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CARPETA COMPARTIDA CS 2016\INFORME CULTURA Y TIEMPO LIBRE 2015\007. Anuario 2015_final\Tablas Excel Final\"/>
    </mc:Choice>
  </mc:AlternateContent>
  <bookViews>
    <workbookView xWindow="0" yWindow="0" windowWidth="24000" windowHeight="9630" tabRatio="932"/>
  </bookViews>
  <sheets>
    <sheet name="ÍNDICE" sheetId="360" r:id="rId1"/>
    <sheet name="10.1" sheetId="4" r:id="rId2"/>
    <sheet name="10.2" sheetId="5" r:id="rId3"/>
    <sheet name="10.3" sheetId="6" r:id="rId4"/>
    <sheet name="10.4" sheetId="7" r:id="rId5"/>
    <sheet name="10.5" sheetId="8" r:id="rId6"/>
    <sheet name="10.6" sheetId="9" r:id="rId7"/>
    <sheet name="10.7" sheetId="10" r:id="rId8"/>
    <sheet name="10.8" sheetId="11" r:id="rId9"/>
    <sheet name="10.9" sheetId="12" r:id="rId10"/>
    <sheet name="10.10" sheetId="13" r:id="rId11"/>
    <sheet name="10.11" sheetId="14" r:id="rId12"/>
    <sheet name="10.12" sheetId="15" r:id="rId13"/>
    <sheet name="10.13" sheetId="16" r:id="rId14"/>
    <sheet name="10.14" sheetId="17" r:id="rId15"/>
    <sheet name="10.15" sheetId="18" r:id="rId16"/>
    <sheet name="10.16" sheetId="19" r:id="rId17"/>
    <sheet name="10.17" sheetId="20" r:id="rId18"/>
    <sheet name="10.18" sheetId="21" r:id="rId19"/>
    <sheet name="10.19" sheetId="22" r:id="rId20"/>
    <sheet name="10.20" sheetId="23" r:id="rId21"/>
    <sheet name="10.21" sheetId="24" r:id="rId22"/>
    <sheet name="10.22" sheetId="25" r:id="rId23"/>
    <sheet name="10.23" sheetId="26" r:id="rId24"/>
    <sheet name="10.24" sheetId="27" r:id="rId25"/>
    <sheet name="10.25" sheetId="28" r:id="rId26"/>
    <sheet name="10.26" sheetId="29" r:id="rId27"/>
    <sheet name="10.27" sheetId="30" r:id="rId28"/>
    <sheet name="10.28" sheetId="31" r:id="rId29"/>
    <sheet name="10.29" sheetId="32" r:id="rId30"/>
    <sheet name="10.30" sheetId="33" r:id="rId31"/>
    <sheet name="10.31" sheetId="34" r:id="rId32"/>
    <sheet name="10.32" sheetId="35" r:id="rId33"/>
    <sheet name="10.33" sheetId="36" r:id="rId34"/>
    <sheet name="10.34" sheetId="37" r:id="rId35"/>
    <sheet name="10.35" sheetId="38" r:id="rId36"/>
    <sheet name="10.36" sheetId="39" r:id="rId37"/>
    <sheet name="10.37" sheetId="40" r:id="rId38"/>
    <sheet name="10.38" sheetId="41" r:id="rId39"/>
    <sheet name="10.39" sheetId="42" r:id="rId40"/>
    <sheet name="10.40" sheetId="43" r:id="rId41"/>
    <sheet name="10.41" sheetId="44" r:id="rId42"/>
    <sheet name="10.42" sheetId="45" r:id="rId43"/>
    <sheet name="10.43" sheetId="46" r:id="rId44"/>
    <sheet name="10.44" sheetId="47" r:id="rId45"/>
    <sheet name="10.45" sheetId="48" r:id="rId46"/>
    <sheet name="10.46" sheetId="49" r:id="rId47"/>
    <sheet name="10.47" sheetId="50" r:id="rId48"/>
    <sheet name="10.48" sheetId="51" r:id="rId49"/>
    <sheet name="10.49" sheetId="52" r:id="rId50"/>
    <sheet name="10.50" sheetId="53" r:id="rId51"/>
    <sheet name="10.51" sheetId="54" r:id="rId52"/>
    <sheet name="10.52" sheetId="55" r:id="rId53"/>
    <sheet name="10.53" sheetId="56" r:id="rId54"/>
    <sheet name="10.54" sheetId="57" r:id="rId55"/>
    <sheet name="10.55" sheetId="58" r:id="rId56"/>
    <sheet name="10.56" sheetId="59" r:id="rId57"/>
    <sheet name="10.57" sheetId="60" r:id="rId58"/>
    <sheet name="10.58" sheetId="61" r:id="rId59"/>
    <sheet name="10.59" sheetId="62" r:id="rId60"/>
    <sheet name="10.60" sheetId="63" r:id="rId61"/>
    <sheet name="10.61" sheetId="64" r:id="rId62"/>
    <sheet name="10.62" sheetId="65" r:id="rId63"/>
    <sheet name="10.63" sheetId="66" r:id="rId64"/>
    <sheet name="10.64" sheetId="67" r:id="rId65"/>
    <sheet name="10.65" sheetId="68" r:id="rId66"/>
    <sheet name="10.66" sheetId="69" r:id="rId67"/>
    <sheet name="10.67" sheetId="70" r:id="rId68"/>
    <sheet name="10.68" sheetId="71" r:id="rId69"/>
    <sheet name="10.69" sheetId="72" r:id="rId70"/>
    <sheet name="10.70" sheetId="73" r:id="rId71"/>
    <sheet name="10.71" sheetId="74" r:id="rId72"/>
    <sheet name="10.72" sheetId="75" r:id="rId73"/>
    <sheet name="10.73" sheetId="76" r:id="rId74"/>
    <sheet name="10.74" sheetId="77" r:id="rId75"/>
    <sheet name="10.75" sheetId="78" r:id="rId76"/>
    <sheet name="10.76" sheetId="79" r:id="rId77"/>
    <sheet name="11.1" sheetId="80" r:id="rId78"/>
    <sheet name="11.2" sheetId="81" r:id="rId79"/>
    <sheet name="11.3" sheetId="82" r:id="rId80"/>
    <sheet name="11.4" sheetId="83" r:id="rId81"/>
    <sheet name="11.5" sheetId="84" r:id="rId82"/>
    <sheet name="12.1" sheetId="85" r:id="rId83"/>
    <sheet name="12.2" sheetId="86" r:id="rId84"/>
    <sheet name="12.3" sheetId="87" r:id="rId85"/>
    <sheet name="12.4" sheetId="88" r:id="rId86"/>
    <sheet name="12.5" sheetId="89" r:id="rId87"/>
    <sheet name="12.6" sheetId="90" r:id="rId88"/>
    <sheet name="12.7" sheetId="91" r:id="rId89"/>
    <sheet name="12.8" sheetId="92" r:id="rId90"/>
    <sheet name="13.1" sheetId="93" r:id="rId91"/>
    <sheet name="13.2" sheetId="94" r:id="rId92"/>
    <sheet name="13.3" sheetId="95" r:id="rId93"/>
    <sheet name="13.4" sheetId="96" r:id="rId94"/>
    <sheet name="13.5" sheetId="97" r:id="rId95"/>
    <sheet name="13.6" sheetId="98" r:id="rId96"/>
    <sheet name="13.7" sheetId="99" r:id="rId97"/>
    <sheet name="13.8" sheetId="100" r:id="rId98"/>
    <sheet name="13.9" sheetId="101" r:id="rId99"/>
    <sheet name="13.10" sheetId="102" r:id="rId100"/>
    <sheet name="13.11" sheetId="103" r:id="rId101"/>
    <sheet name="13.12" sheetId="104" r:id="rId102"/>
    <sheet name="13.13" sheetId="105" r:id="rId103"/>
    <sheet name="13.14" sheetId="106" r:id="rId104"/>
    <sheet name="13.15" sheetId="107" r:id="rId105"/>
    <sheet name="13.16" sheetId="108" r:id="rId106"/>
    <sheet name="13.17" sheetId="109" r:id="rId107"/>
    <sheet name="13.18" sheetId="110" r:id="rId108"/>
    <sheet name="13.19" sheetId="111" r:id="rId109"/>
    <sheet name="13.20" sheetId="112" r:id="rId110"/>
    <sheet name="13.21" sheetId="113" r:id="rId111"/>
    <sheet name="14.1" sheetId="114" r:id="rId112"/>
    <sheet name="14.2" sheetId="115" r:id="rId113"/>
    <sheet name="14.3" sheetId="116" r:id="rId114"/>
    <sheet name="14.4" sheetId="117" r:id="rId115"/>
    <sheet name="14.5" sheetId="118" r:id="rId116"/>
    <sheet name="14.6" sheetId="119" r:id="rId117"/>
    <sheet name="14.7" sheetId="120" r:id="rId118"/>
    <sheet name="14.8" sheetId="121" r:id="rId119"/>
    <sheet name="14.9" sheetId="122" r:id="rId120"/>
    <sheet name="14.10" sheetId="123" r:id="rId121"/>
    <sheet name="14.11" sheetId="124" r:id="rId122"/>
    <sheet name="14.12" sheetId="125" r:id="rId123"/>
    <sheet name="14.13" sheetId="126" r:id="rId124"/>
    <sheet name="14.14" sheetId="127" r:id="rId125"/>
    <sheet name="14.15" sheetId="128" r:id="rId126"/>
    <sheet name="14.16" sheetId="129" r:id="rId127"/>
    <sheet name="14.17" sheetId="130" r:id="rId128"/>
    <sheet name="14.18" sheetId="131" r:id="rId129"/>
    <sheet name="14.19" sheetId="132" r:id="rId130"/>
    <sheet name="14.20" sheetId="133" r:id="rId131"/>
    <sheet name="14.21" sheetId="134" r:id="rId132"/>
    <sheet name="14.22" sheetId="135" r:id="rId133"/>
    <sheet name="14.23" sheetId="136" r:id="rId134"/>
    <sheet name="14.24" sheetId="137" r:id="rId135"/>
    <sheet name="14.25" sheetId="138" r:id="rId136"/>
    <sheet name="14.26" sheetId="139" r:id="rId137"/>
    <sheet name="14.27" sheetId="140" r:id="rId138"/>
    <sheet name="14.28" sheetId="141" r:id="rId139"/>
    <sheet name="14.29" sheetId="142" r:id="rId140"/>
    <sheet name="14.30" sheetId="143" r:id="rId141"/>
    <sheet name="14.31" sheetId="144" r:id="rId142"/>
    <sheet name="14.32" sheetId="145" r:id="rId143"/>
    <sheet name="14.33" sheetId="146" r:id="rId144"/>
    <sheet name="14.34" sheetId="147" r:id="rId145"/>
    <sheet name="14.35" sheetId="148" r:id="rId146"/>
    <sheet name="14.36" sheetId="149" r:id="rId147"/>
    <sheet name="14.37" sheetId="150" r:id="rId148"/>
    <sheet name="14.38" sheetId="151" r:id="rId149"/>
    <sheet name="15.1" sheetId="152" r:id="rId150"/>
    <sheet name="15.2" sheetId="153" r:id="rId151"/>
    <sheet name="15.3" sheetId="154" r:id="rId152"/>
    <sheet name="15.4" sheetId="155" r:id="rId153"/>
    <sheet name="15.5" sheetId="156" r:id="rId154"/>
    <sheet name="15.6" sheetId="157" r:id="rId155"/>
    <sheet name="15.7" sheetId="158" r:id="rId156"/>
    <sheet name="15.8" sheetId="159" r:id="rId157"/>
    <sheet name="15.9" sheetId="160" r:id="rId158"/>
    <sheet name="15.10" sheetId="161" r:id="rId159"/>
    <sheet name="15.11" sheetId="162" r:id="rId160"/>
    <sheet name="15.12" sheetId="163" r:id="rId161"/>
    <sheet name="15.13" sheetId="164" r:id="rId162"/>
    <sheet name="15.14" sheetId="165" r:id="rId163"/>
    <sheet name="15.15" sheetId="166" r:id="rId164"/>
    <sheet name="15.16" sheetId="167" r:id="rId165"/>
    <sheet name="15.17" sheetId="168" r:id="rId166"/>
    <sheet name="15.18" sheetId="169" r:id="rId167"/>
    <sheet name="15.19" sheetId="170" r:id="rId168"/>
    <sheet name="15.20" sheetId="171" r:id="rId169"/>
    <sheet name="15.21" sheetId="172" r:id="rId170"/>
    <sheet name="15.22" sheetId="173" r:id="rId171"/>
    <sheet name="15.23" sheetId="174" r:id="rId172"/>
    <sheet name="15.24" sheetId="175" r:id="rId173"/>
    <sheet name="15.25" sheetId="176" r:id="rId174"/>
    <sheet name="15.26" sheetId="177" r:id="rId175"/>
    <sheet name="15.27" sheetId="178" r:id="rId176"/>
    <sheet name="15.28" sheetId="179" r:id="rId177"/>
    <sheet name="15.29" sheetId="180" r:id="rId178"/>
    <sheet name="15.30" sheetId="181" r:id="rId179"/>
    <sheet name="15.31" sheetId="182" r:id="rId180"/>
    <sheet name="15.32" sheetId="183" r:id="rId181"/>
    <sheet name="15.33" sheetId="184" r:id="rId182"/>
    <sheet name="15.34" sheetId="185" r:id="rId183"/>
    <sheet name="15.34(R)" sheetId="186" r:id="rId184"/>
    <sheet name="15.35" sheetId="187" r:id="rId185"/>
    <sheet name="15.36" sheetId="188" r:id="rId186"/>
    <sheet name="15.37" sheetId="189" r:id="rId187"/>
    <sheet name="15.38" sheetId="190" r:id="rId188"/>
    <sheet name="15.39" sheetId="191" r:id="rId189"/>
    <sheet name="15.40" sheetId="192" r:id="rId190"/>
    <sheet name="15.41" sheetId="193" r:id="rId191"/>
    <sheet name="15.42" sheetId="194" r:id="rId192"/>
    <sheet name="15.43" sheetId="195" r:id="rId193"/>
    <sheet name="15.44" sheetId="196" r:id="rId194"/>
    <sheet name="15.45" sheetId="197" r:id="rId195"/>
    <sheet name="15.46" sheetId="198" r:id="rId196"/>
    <sheet name="15.47" sheetId="352" r:id="rId197"/>
    <sheet name="15.48" sheetId="353" r:id="rId198"/>
    <sheet name="15.49" sheetId="354" r:id="rId199"/>
    <sheet name="15.50" sheetId="355" r:id="rId200"/>
    <sheet name="15.51" sheetId="356" r:id="rId201"/>
    <sheet name="16.1" sheetId="203" r:id="rId202"/>
    <sheet name="16.2" sheetId="204" r:id="rId203"/>
    <sheet name="16.3" sheetId="205" r:id="rId204"/>
    <sheet name="16.4" sheetId="206" r:id="rId205"/>
    <sheet name="16.5" sheetId="207" r:id="rId206"/>
    <sheet name="16.6" sheetId="208" r:id="rId207"/>
    <sheet name="16.7" sheetId="209" r:id="rId208"/>
    <sheet name="16.8" sheetId="210" r:id="rId209"/>
    <sheet name="16.9" sheetId="211" r:id="rId210"/>
    <sheet name="16.10" sheetId="212" r:id="rId211"/>
    <sheet name="16.11" sheetId="213" r:id="rId212"/>
    <sheet name="16.12" sheetId="214" r:id="rId213"/>
    <sheet name="16.13" sheetId="215" r:id="rId214"/>
    <sheet name="16.14" sheetId="216" r:id="rId215"/>
    <sheet name="16.15" sheetId="217" r:id="rId216"/>
    <sheet name="16.16" sheetId="218" r:id="rId217"/>
    <sheet name="16.17" sheetId="219" r:id="rId218"/>
    <sheet name="16.18" sheetId="220" r:id="rId219"/>
    <sheet name="16.19" sheetId="221" r:id="rId220"/>
    <sheet name="16.20" sheetId="222" r:id="rId221"/>
    <sheet name="16.21" sheetId="223" r:id="rId222"/>
    <sheet name="16.22" sheetId="224" r:id="rId223"/>
    <sheet name="16.23" sheetId="225" r:id="rId224"/>
    <sheet name="16.24" sheetId="226" r:id="rId225"/>
    <sheet name="16.25" sheetId="227" r:id="rId226"/>
    <sheet name="16.26" sheetId="228" r:id="rId227"/>
    <sheet name="16.27" sheetId="229" r:id="rId228"/>
    <sheet name="16.28" sheetId="230" r:id="rId229"/>
    <sheet name="16.29" sheetId="231" r:id="rId230"/>
    <sheet name="16.30" sheetId="232" r:id="rId231"/>
    <sheet name="16.31" sheetId="233" r:id="rId232"/>
    <sheet name="16.32" sheetId="234" r:id="rId233"/>
    <sheet name="16.33" sheetId="235" r:id="rId234"/>
    <sheet name="16.34" sheetId="236" r:id="rId235"/>
    <sheet name="16.35" sheetId="237" r:id="rId236"/>
    <sheet name="16.36" sheetId="238" r:id="rId237"/>
    <sheet name="16.37" sheetId="239" r:id="rId238"/>
    <sheet name="16.38" sheetId="240" r:id="rId239"/>
    <sheet name="16.39" sheetId="241" r:id="rId240"/>
    <sheet name="16.40 (ex42)" sheetId="242" r:id="rId241"/>
    <sheet name="16.41 (ex 43)" sheetId="243" r:id="rId242"/>
    <sheet name="16.42 (ex44)" sheetId="244" r:id="rId243"/>
    <sheet name="16.43" sheetId="245" r:id="rId244"/>
    <sheet name="16.44" sheetId="246" r:id="rId245"/>
    <sheet name="17.1" sheetId="247" r:id="rId246"/>
    <sheet name="17.1 (R 2014)" sheetId="248" r:id="rId247"/>
    <sheet name="17.2" sheetId="249" r:id="rId248"/>
    <sheet name="17.3" sheetId="250" r:id="rId249"/>
    <sheet name="17.4" sheetId="251" r:id="rId250"/>
    <sheet name="17.5" sheetId="252" r:id="rId251"/>
    <sheet name="17.6" sheetId="253" r:id="rId252"/>
    <sheet name="17.7" sheetId="254" r:id="rId253"/>
    <sheet name="17.8" sheetId="255" r:id="rId254"/>
    <sheet name="17.9" sheetId="256" r:id="rId255"/>
    <sheet name="18.1" sheetId="257" r:id="rId256"/>
    <sheet name="18.2" sheetId="258" r:id="rId257"/>
    <sheet name="18.3" sheetId="259" r:id="rId258"/>
    <sheet name="18.4" sheetId="260" r:id="rId259"/>
    <sheet name="18.5" sheetId="261" r:id="rId260"/>
    <sheet name="18.6" sheetId="262" r:id="rId261"/>
    <sheet name="18.7" sheetId="263" r:id="rId262"/>
    <sheet name="19.1" sheetId="264" r:id="rId263"/>
    <sheet name="19.2" sheetId="265" r:id="rId264"/>
    <sheet name="19.3" sheetId="266" r:id="rId265"/>
    <sheet name="19.4" sheetId="267" r:id="rId266"/>
    <sheet name="19.5" sheetId="268" r:id="rId267"/>
    <sheet name="19.6" sheetId="269" r:id="rId268"/>
    <sheet name="19.7" sheetId="270" r:id="rId269"/>
    <sheet name="19.8" sheetId="271" r:id="rId270"/>
    <sheet name="19.9" sheetId="272" r:id="rId271"/>
    <sheet name="19.10" sheetId="273" r:id="rId272"/>
    <sheet name="19.11" sheetId="274" r:id="rId273"/>
    <sheet name="20.1" sheetId="275" r:id="rId274"/>
    <sheet name="20.2" sheetId="276" r:id="rId275"/>
    <sheet name="20.3" sheetId="277" r:id="rId276"/>
    <sheet name="20.4" sheetId="278" r:id="rId277"/>
    <sheet name="20.5" sheetId="279" r:id="rId278"/>
    <sheet name="20.6" sheetId="280" r:id="rId279"/>
    <sheet name="20.7" sheetId="281" r:id="rId280"/>
    <sheet name="20.8" sheetId="282" r:id="rId281"/>
    <sheet name="20.9" sheetId="283" r:id="rId282"/>
    <sheet name="20.10" sheetId="284" r:id="rId283"/>
    <sheet name="20.11" sheetId="285" r:id="rId284"/>
    <sheet name="20.12" sheetId="286" r:id="rId285"/>
    <sheet name="20.13" sheetId="287" r:id="rId286"/>
    <sheet name="20.14" sheetId="288" r:id="rId287"/>
    <sheet name="20.15" sheetId="289" r:id="rId288"/>
    <sheet name="20.16" sheetId="290" r:id="rId289"/>
    <sheet name="20.17" sheetId="291" r:id="rId290"/>
    <sheet name="20.18" sheetId="292" r:id="rId291"/>
    <sheet name="20.19" sheetId="293" r:id="rId292"/>
    <sheet name="21.1" sheetId="294" r:id="rId293"/>
    <sheet name="21.2" sheetId="295" r:id="rId294"/>
    <sheet name="21.3" sheetId="296" r:id="rId295"/>
    <sheet name="21.4" sheetId="297" r:id="rId296"/>
    <sheet name="22.1" sheetId="298" r:id="rId297"/>
    <sheet name="22.2" sheetId="299" r:id="rId298"/>
    <sheet name="22.3" sheetId="300" r:id="rId299"/>
    <sheet name="22.4" sheetId="301" r:id="rId300"/>
    <sheet name="22.5" sheetId="302" r:id="rId301"/>
    <sheet name="23.1" sheetId="303" r:id="rId302"/>
    <sheet name="23.2" sheetId="304" r:id="rId303"/>
    <sheet name="23.3" sheetId="305" r:id="rId304"/>
    <sheet name="23.4" sheetId="306" r:id="rId305"/>
    <sheet name="24.1" sheetId="334" r:id="rId306"/>
    <sheet name="24.2" sheetId="335" r:id="rId307"/>
    <sheet name="24.3" sheetId="336" r:id="rId308"/>
    <sheet name="24.4" sheetId="337" r:id="rId309"/>
    <sheet name="24.5" sheetId="338" r:id="rId310"/>
    <sheet name="24.6" sheetId="339" r:id="rId311"/>
    <sheet name="24.7" sheetId="340" r:id="rId312"/>
    <sheet name="24.8" sheetId="341" r:id="rId313"/>
    <sheet name="24.9" sheetId="342" r:id="rId314"/>
    <sheet name="24.10" sheetId="343" r:id="rId315"/>
    <sheet name="24.11" sheetId="344" r:id="rId316"/>
    <sheet name="24.12" sheetId="345" r:id="rId317"/>
    <sheet name="24.13" sheetId="346" r:id="rId318"/>
    <sheet name="24.14" sheetId="347" r:id="rId319"/>
    <sheet name="24.15" sheetId="348" r:id="rId320"/>
    <sheet name="24.16" sheetId="349" r:id="rId321"/>
    <sheet name="24.17" sheetId="350" r:id="rId322"/>
    <sheet name="24.18" sheetId="351" r:id="rId323"/>
    <sheet name="25.1" sheetId="307" r:id="rId324"/>
    <sheet name="25.2" sheetId="308" r:id="rId325"/>
    <sheet name="25.3" sheetId="309" r:id="rId326"/>
    <sheet name="25.4" sheetId="310" r:id="rId327"/>
    <sheet name="25.5" sheetId="311" r:id="rId328"/>
    <sheet name="26.1" sheetId="312" r:id="rId329"/>
    <sheet name="26.2" sheetId="313" r:id="rId330"/>
    <sheet name="26.3" sheetId="314" r:id="rId331"/>
    <sheet name="26.4" sheetId="315" r:id="rId332"/>
    <sheet name="26.5" sheetId="316" r:id="rId333"/>
    <sheet name="26.6" sheetId="317" r:id="rId334"/>
    <sheet name="26.7" sheetId="318" r:id="rId335"/>
    <sheet name="26.8" sheetId="319" r:id="rId336"/>
    <sheet name="26.9" sheetId="320" r:id="rId337"/>
    <sheet name="26.10" sheetId="321" r:id="rId338"/>
    <sheet name="26.11" sheetId="322" r:id="rId339"/>
    <sheet name="26.12" sheetId="323" r:id="rId340"/>
    <sheet name="26.13" sheetId="324" r:id="rId341"/>
    <sheet name="26.14" sheetId="325" r:id="rId342"/>
    <sheet name="26.15" sheetId="326" r:id="rId343"/>
    <sheet name="26.16" sheetId="327" r:id="rId344"/>
    <sheet name="26.17" sheetId="328" r:id="rId345"/>
    <sheet name="26.18" sheetId="329" r:id="rId346"/>
    <sheet name="26.19" sheetId="330" r:id="rId347"/>
    <sheet name="26.20" sheetId="331" r:id="rId348"/>
    <sheet name="26.21" sheetId="332" r:id="rId349"/>
    <sheet name="26.22" sheetId="333" r:id="rId350"/>
  </sheets>
  <definedNames>
    <definedName name="_xlnm._FilterDatabase" localSheetId="53" hidden="1">'10.53'!$A$5:$P$124</definedName>
    <definedName name="_GoBack" localSheetId="87">'12.6'!#REF!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3" hidden="1">#REF!</definedName>
    <definedName name="_Key1" localSheetId="37" hidden="1">#REF!</definedName>
    <definedName name="_Key1" localSheetId="4" hidden="1">#REF!</definedName>
    <definedName name="_Key1" localSheetId="5" hidden="1">#REF!</definedName>
    <definedName name="_Key1" localSheetId="59" hidden="1">#REF!</definedName>
    <definedName name="_Key1" localSheetId="6"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73" hidden="1">#REF!</definedName>
    <definedName name="_Key1" localSheetId="8" hidden="1">#REF!</definedName>
    <definedName name="_Key1" localSheetId="9"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82" hidden="1">#REF!</definedName>
    <definedName name="_Key1" localSheetId="83" hidden="1">#REF!</definedName>
    <definedName name="_Key1" localSheetId="84" hidden="1">#REF!</definedName>
    <definedName name="_Key1" localSheetId="100" hidden="1">#REF!</definedName>
    <definedName name="_Key1" localSheetId="92" hidden="1">#REF!</definedName>
    <definedName name="_Key1" localSheetId="94" hidden="1">#REF!</definedName>
    <definedName name="_Key1" localSheetId="95" hidden="1">#REF!</definedName>
    <definedName name="_Key1" localSheetId="96" hidden="1">#REF!</definedName>
    <definedName name="_Key1" localSheetId="97"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6" hidden="1">#REF!</definedName>
    <definedName name="_Key1" localSheetId="131" hidden="1">#REF!</definedName>
    <definedName name="_Key1" localSheetId="134" hidden="1">#REF!</definedName>
    <definedName name="_Key1" localSheetId="142" hidden="1">#REF!</definedName>
    <definedName name="_Key1" localSheetId="115" hidden="1">#REF!</definedName>
    <definedName name="_Key1" localSheetId="119" hidden="1">#REF!</definedName>
    <definedName name="_Key1" localSheetId="158" hidden="1">#REF!</definedName>
    <definedName name="_Key1" localSheetId="169" hidden="1">#REF!</definedName>
    <definedName name="_Key1" localSheetId="170" hidden="1">#REF!</definedName>
    <definedName name="_Key1" localSheetId="171" hidden="1">#REF!</definedName>
    <definedName name="_Key1" localSheetId="172" hidden="1">#REF!</definedName>
    <definedName name="_Key1" localSheetId="173" hidden="1">#REF!</definedName>
    <definedName name="_Key1" localSheetId="174" hidden="1">#REF!</definedName>
    <definedName name="_Key1" localSheetId="175"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7" hidden="1">#REF!</definedName>
    <definedName name="_Key1" localSheetId="157" hidden="1">#REF!</definedName>
    <definedName name="_Key1" localSheetId="214" hidden="1">#REF!</definedName>
    <definedName name="_Key1" localSheetId="215" hidden="1">#REF!</definedName>
    <definedName name="_Key1" localSheetId="216" hidden="1">#REF!</definedName>
    <definedName name="_Key1" localSheetId="217" hidden="1">#REF!</definedName>
    <definedName name="_Key1" localSheetId="219" hidden="1">#REF!</definedName>
    <definedName name="_Key1" localSheetId="220" hidden="1">#REF!</definedName>
    <definedName name="_Key1" localSheetId="221" hidden="1">#REF!</definedName>
    <definedName name="_Key1" localSheetId="222" hidden="1">#REF!</definedName>
    <definedName name="_Key1" localSheetId="223" hidden="1">#REF!</definedName>
    <definedName name="_Key1" localSheetId="224" hidden="1">#REF!</definedName>
    <definedName name="_Key1" localSheetId="225" hidden="1">#REF!</definedName>
    <definedName name="_Key1" localSheetId="229" hidden="1">#REF!</definedName>
    <definedName name="_Key1" localSheetId="203" hidden="1">#REF!</definedName>
    <definedName name="_Key1" localSheetId="230" hidden="1">#REF!</definedName>
    <definedName name="_Key1" localSheetId="231" hidden="1">#REF!</definedName>
    <definedName name="_Key1" localSheetId="232" hidden="1">#REF!</definedName>
    <definedName name="_Key1" localSheetId="234" hidden="1">#REF!</definedName>
    <definedName name="_Key1" localSheetId="235" hidden="1">#REF!</definedName>
    <definedName name="_Key1" localSheetId="204" hidden="1">#REF!</definedName>
    <definedName name="_Key1" localSheetId="242" hidden="1">#REF!</definedName>
    <definedName name="_Key1" localSheetId="246" hidden="1">#REF!</definedName>
    <definedName name="_Key1" localSheetId="255" hidden="1">#REF!</definedName>
    <definedName name="_Key1" localSheetId="256" hidden="1">#REF!</definedName>
    <definedName name="_Key1" localSheetId="257" hidden="1">#REF!</definedName>
    <definedName name="_Key1" localSheetId="258" hidden="1">#REF!</definedName>
    <definedName name="_Key1" localSheetId="259" hidden="1">#REF!</definedName>
    <definedName name="_Key1" localSheetId="319" hidden="1">#REF!</definedName>
    <definedName name="_Key1" localSheetId="320" hidden="1">#REF!</definedName>
    <definedName name="_Key1" localSheetId="323" hidden="1">#REF!</definedName>
    <definedName name="_Key1"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3" hidden="1">#REF!</definedName>
    <definedName name="_Key2" localSheetId="37" hidden="1">#REF!</definedName>
    <definedName name="_Key2" localSheetId="4" hidden="1">#REF!</definedName>
    <definedName name="_Key2" localSheetId="5" hidden="1">#REF!</definedName>
    <definedName name="_Key2" localSheetId="59" hidden="1">#REF!</definedName>
    <definedName name="_Key2" localSheetId="6"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localSheetId="73" hidden="1">#REF!</definedName>
    <definedName name="_Key2" localSheetId="8" hidden="1">#REF!</definedName>
    <definedName name="_Key2" localSheetId="9"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82" hidden="1">#REF!</definedName>
    <definedName name="_Key2" localSheetId="83" hidden="1">#REF!</definedName>
    <definedName name="_Key2" localSheetId="84" hidden="1">#REF!</definedName>
    <definedName name="_Key2" localSheetId="100" hidden="1">#REF!</definedName>
    <definedName name="_Key2" localSheetId="92" hidden="1">#REF!</definedName>
    <definedName name="_Key2" localSheetId="95" hidden="1">#REF!</definedName>
    <definedName name="_Key2" localSheetId="96" hidden="1">#REF!</definedName>
    <definedName name="_Key2" localSheetId="97" hidden="1">#REF!</definedName>
    <definedName name="_Key2" localSheetId="121" hidden="1">#REF!</definedName>
    <definedName name="_Key2" localSheetId="131" hidden="1">#REF!</definedName>
    <definedName name="_Key2" localSheetId="134" hidden="1">#REF!</definedName>
    <definedName name="_Key2" localSheetId="142" hidden="1">#REF!</definedName>
    <definedName name="_Key2" localSheetId="115" hidden="1">#REF!</definedName>
    <definedName name="_Key2" localSheetId="119" hidden="1">#REF!</definedName>
    <definedName name="_Key2" localSheetId="158" hidden="1">#REF!</definedName>
    <definedName name="_Key2" localSheetId="169" hidden="1">#REF!</definedName>
    <definedName name="_Key2" localSheetId="170" hidden="1">#REF!</definedName>
    <definedName name="_Key2" localSheetId="171" hidden="1">#REF!</definedName>
    <definedName name="_Key2" localSheetId="172" hidden="1">#REF!</definedName>
    <definedName name="_Key2" localSheetId="173" hidden="1">#REF!</definedName>
    <definedName name="_Key2" localSheetId="174" hidden="1">#REF!</definedName>
    <definedName name="_Key2" localSheetId="175"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86" hidden="1">#REF!</definedName>
    <definedName name="_Key2" localSheetId="187" hidden="1">#REF!</definedName>
    <definedName name="_Key2" localSheetId="157" hidden="1">#REF!</definedName>
    <definedName name="_Key2" localSheetId="214" hidden="1">#REF!</definedName>
    <definedName name="_Key2" localSheetId="215" hidden="1">#REF!</definedName>
    <definedName name="_Key2" localSheetId="216" hidden="1">#REF!</definedName>
    <definedName name="_Key2" localSheetId="217" hidden="1">#REF!</definedName>
    <definedName name="_Key2" localSheetId="219" hidden="1">#REF!</definedName>
    <definedName name="_Key2" localSheetId="220" hidden="1">#REF!</definedName>
    <definedName name="_Key2" localSheetId="221" hidden="1">#REF!</definedName>
    <definedName name="_Key2" localSheetId="222" hidden="1">#REF!</definedName>
    <definedName name="_Key2" localSheetId="223" hidden="1">#REF!</definedName>
    <definedName name="_Key2" localSheetId="224" hidden="1">#REF!</definedName>
    <definedName name="_Key2" localSheetId="225" hidden="1">#REF!</definedName>
    <definedName name="_Key2" localSheetId="229" hidden="1">#REF!</definedName>
    <definedName name="_Key2" localSheetId="203" hidden="1">#REF!</definedName>
    <definedName name="_Key2" localSheetId="230" hidden="1">#REF!</definedName>
    <definedName name="_Key2" localSheetId="231" hidden="1">#REF!</definedName>
    <definedName name="_Key2" localSheetId="232" hidden="1">#REF!</definedName>
    <definedName name="_Key2" localSheetId="234" hidden="1">#REF!</definedName>
    <definedName name="_Key2" localSheetId="235" hidden="1">#REF!</definedName>
    <definedName name="_Key2" localSheetId="204" hidden="1">#REF!</definedName>
    <definedName name="_Key2" localSheetId="242" hidden="1">#REF!</definedName>
    <definedName name="_Key2" localSheetId="246" hidden="1">#REF!</definedName>
    <definedName name="_Key2" localSheetId="255" hidden="1">#REF!</definedName>
    <definedName name="_Key2" localSheetId="256" hidden="1">#REF!</definedName>
    <definedName name="_Key2" localSheetId="257" hidden="1">#REF!</definedName>
    <definedName name="_Key2" localSheetId="258" hidden="1">#REF!</definedName>
    <definedName name="_Key2" localSheetId="259" hidden="1">#REF!</definedName>
    <definedName name="_Key2" localSheetId="319" hidden="1">#REF!</definedName>
    <definedName name="_Key2" localSheetId="320" hidden="1">#REF!</definedName>
    <definedName name="_Key2" localSheetId="323" hidden="1">#REF!</definedName>
    <definedName name="_Key2" hidden="1">#REF!</definedName>
    <definedName name="_Order1" hidden="1">255</definedName>
    <definedName name="_Order2" hidden="1">255</definedName>
    <definedName name="_xlnm.Print_Area" localSheetId="80">'11.4'!$A$1:$I$30</definedName>
    <definedName name="_xlnm.Print_Area" localSheetId="81">'11.5'!$A$1:$G$17</definedName>
    <definedName name="_xlnm.Print_Area" localSheetId="83">'12.2'!$A$1:$D$25</definedName>
    <definedName name="_xlnm.Print_Area" localSheetId="91">'13.2'!$A$2:$J$27</definedName>
    <definedName name="_xlnm.Print_Area" localSheetId="92">'13.3'!$A$1:$J$27</definedName>
    <definedName name="_xlnm.Print_Area" localSheetId="97">'13.8'!$A$1:$J$28</definedName>
    <definedName name="_xlnm.Print_Area" localSheetId="123">'14.13'!$A$1:$F$14</definedName>
    <definedName name="_xlnm.Print_Area" localSheetId="119">'14.9'!#REF!</definedName>
    <definedName name="_xlnm.Print_Area" localSheetId="222">'16.22'!$A$1:$E$26</definedName>
    <definedName name="_xlnm.Print_Area" localSheetId="223">'16.23'!$A$1:$E$26</definedName>
    <definedName name="_xlnm.Print_Area" localSheetId="235">'16.35'!$A$1:$D$25</definedName>
    <definedName name="_xlnm.Print_Area" localSheetId="242">'16.42 (ex44)'!$A$2:$O$26</definedName>
    <definedName name="_xlnm.Print_Area" localSheetId="249">'17.4'!$A$2:$E$64</definedName>
    <definedName name="_xlnm.Print_Area" localSheetId="251">'17.6'!$A$1:$AG$67</definedName>
    <definedName name="_xlnm.Print_Area" localSheetId="262">'19.1'!$A$2:$K$24</definedName>
    <definedName name="_xlnm.Print_Area" localSheetId="296">'22.1'!$A$2:$G$14</definedName>
    <definedName name="_xlnm.Print_Area" localSheetId="323">'25.1'!#REF!</definedName>
    <definedName name="_xlnm.Print_Area" localSheetId="324">'25.2'!#REF!</definedName>
    <definedName name="_xlnm.Print_Area" localSheetId="325">'25.3'!#REF!</definedName>
    <definedName name="_xlnm.Print_Area" localSheetId="326">'25.4'!#REF!</definedName>
    <definedName name="_xlnm.Print_Area" localSheetId="346">'26.19'!$A$1:$M$27</definedName>
    <definedName name="cConcDesde" localSheetId="1">#REF!</definedName>
    <definedName name="cConcDesde" localSheetId="10">#REF!</definedName>
    <definedName name="cConcDesde" localSheetId="11">#REF!</definedName>
    <definedName name="cConcDesde" localSheetId="12">#REF!</definedName>
    <definedName name="cConcDesde" localSheetId="13">#REF!</definedName>
    <definedName name="cConcDesde" localSheetId="14">#REF!</definedName>
    <definedName name="cConcDesde" localSheetId="15">#REF!</definedName>
    <definedName name="cConcDesde" localSheetId="16">#REF!</definedName>
    <definedName name="cConcDesde" localSheetId="17">#REF!</definedName>
    <definedName name="cConcDesde" localSheetId="18">#REF!</definedName>
    <definedName name="cConcDesde" localSheetId="2">#REF!</definedName>
    <definedName name="cConcDesde" localSheetId="3">#REF!</definedName>
    <definedName name="cConcDesde" localSheetId="37">#REF!</definedName>
    <definedName name="cConcDesde" localSheetId="4">#REF!</definedName>
    <definedName name="cConcDesde" localSheetId="5">#REF!</definedName>
    <definedName name="cConcDesde" localSheetId="59">#REF!</definedName>
    <definedName name="cConcDesde" localSheetId="6">#REF!</definedName>
    <definedName name="cConcDesde" localSheetId="60">#REF!</definedName>
    <definedName name="cConcDesde" localSheetId="61">#REF!</definedName>
    <definedName name="cConcDesde" localSheetId="62">#REF!</definedName>
    <definedName name="cConcDesde" localSheetId="63">#REF!</definedName>
    <definedName name="cConcDesde" localSheetId="64">#REF!</definedName>
    <definedName name="cConcDesde" localSheetId="65">#REF!</definedName>
    <definedName name="cConcDesde" localSheetId="66">#REF!</definedName>
    <definedName name="cConcDesde" localSheetId="67">#REF!</definedName>
    <definedName name="cConcDesde" localSheetId="7">#REF!</definedName>
    <definedName name="cConcDesde" localSheetId="73">#REF!</definedName>
    <definedName name="cConcDesde" localSheetId="8">#REF!</definedName>
    <definedName name="cConcDesde" localSheetId="9">#REF!</definedName>
    <definedName name="cConcDesde" localSheetId="77">#REF!</definedName>
    <definedName name="cConcDesde" localSheetId="78">#REF!</definedName>
    <definedName name="cConcDesde" localSheetId="79">#REF!</definedName>
    <definedName name="cConcDesde" localSheetId="80">#REF!</definedName>
    <definedName name="cConcDesde" localSheetId="82">#REF!</definedName>
    <definedName name="cConcDesde" localSheetId="83">#REF!</definedName>
    <definedName name="cConcDesde" localSheetId="84">#REF!</definedName>
    <definedName name="cConcDesde" localSheetId="100">#REF!</definedName>
    <definedName name="cConcDesde" localSheetId="92">#REF!</definedName>
    <definedName name="cConcDesde" localSheetId="94">#REF!</definedName>
    <definedName name="cConcDesde" localSheetId="95">#REF!</definedName>
    <definedName name="cConcDesde" localSheetId="96">#REF!</definedName>
    <definedName name="cConcDesde" localSheetId="97">#REF!</definedName>
    <definedName name="cConcDesde" localSheetId="121">#REF!</definedName>
    <definedName name="cConcDesde" localSheetId="122">#REF!</definedName>
    <definedName name="cConcDesde" localSheetId="123">#REF!</definedName>
    <definedName name="cConcDesde" localSheetId="124">#REF!</definedName>
    <definedName name="cConcDesde" localSheetId="125">#REF!</definedName>
    <definedName name="cConcDesde" localSheetId="126">#REF!</definedName>
    <definedName name="cConcDesde" localSheetId="131">#REF!</definedName>
    <definedName name="cConcDesde" localSheetId="134">#REF!</definedName>
    <definedName name="cConcDesde" localSheetId="142">#REF!</definedName>
    <definedName name="cConcDesde" localSheetId="115">#REF!</definedName>
    <definedName name="cConcDesde" localSheetId="119">#REF!</definedName>
    <definedName name="cConcDesde" localSheetId="158">#REF!</definedName>
    <definedName name="cConcDesde" localSheetId="169">#REF!</definedName>
    <definedName name="cConcDesde" localSheetId="170">#REF!</definedName>
    <definedName name="cConcDesde" localSheetId="171">#REF!</definedName>
    <definedName name="cConcDesde" localSheetId="172">#REF!</definedName>
    <definedName name="cConcDesde" localSheetId="173">#REF!</definedName>
    <definedName name="cConcDesde" localSheetId="174">#REF!</definedName>
    <definedName name="cConcDesde" localSheetId="175">#REF!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86">#REF!</definedName>
    <definedName name="cConcDesde" localSheetId="187">#REF!</definedName>
    <definedName name="cConcDesde" localSheetId="157">#REF!</definedName>
    <definedName name="cConcDesde" localSheetId="214">#REF!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9">#REF!</definedName>
    <definedName name="cConcDesde" localSheetId="203">#REF!</definedName>
    <definedName name="cConcDesde" localSheetId="230">#REF!</definedName>
    <definedName name="cConcDesde" localSheetId="231">#REF!</definedName>
    <definedName name="cConcDesde" localSheetId="232">#REF!</definedName>
    <definedName name="cConcDesde" localSheetId="234">#REF!</definedName>
    <definedName name="cConcDesde" localSheetId="235">#REF!</definedName>
    <definedName name="cConcDesde" localSheetId="204">#REF!</definedName>
    <definedName name="cConcDesde" localSheetId="242">#REF!</definedName>
    <definedName name="cConcDesde" localSheetId="246">#REF!</definedName>
    <definedName name="cConcDesde" localSheetId="255">#REF!</definedName>
    <definedName name="cConcDesde" localSheetId="256">#REF!</definedName>
    <definedName name="cConcDesde" localSheetId="257">#REF!</definedName>
    <definedName name="cConcDesde" localSheetId="258">#REF!</definedName>
    <definedName name="cConcDesde" localSheetId="259">#REF!</definedName>
    <definedName name="cConcDesde" localSheetId="319">#REF!</definedName>
    <definedName name="cConcDesde" localSheetId="320">#REF!</definedName>
    <definedName name="cConcDesde" localSheetId="323">#REF!</definedName>
    <definedName name="cConcDesde" localSheetId="326">#REF!</definedName>
    <definedName name="cConcDesde">#REF!</definedName>
    <definedName name="cConcHasta" localSheetId="1">#REF!</definedName>
    <definedName name="cConcHasta" localSheetId="10">#REF!</definedName>
    <definedName name="cConcHasta" localSheetId="11">#REF!</definedName>
    <definedName name="cConcHasta" localSheetId="12">#REF!</definedName>
    <definedName name="cConcHasta" localSheetId="13">#REF!</definedName>
    <definedName name="cConcHasta" localSheetId="14">#REF!</definedName>
    <definedName name="cConcHasta" localSheetId="15">#REF!</definedName>
    <definedName name="cConcHasta" localSheetId="16">#REF!</definedName>
    <definedName name="cConcHasta" localSheetId="17">#REF!</definedName>
    <definedName name="cConcHasta" localSheetId="18">#REF!</definedName>
    <definedName name="cConcHasta" localSheetId="2">#REF!</definedName>
    <definedName name="cConcHasta" localSheetId="37">#REF!</definedName>
    <definedName name="cConcHasta" localSheetId="5">#REF!</definedName>
    <definedName name="cConcHasta" localSheetId="59">#REF!</definedName>
    <definedName name="cConcHasta" localSheetId="60">#REF!</definedName>
    <definedName name="cConcHasta" localSheetId="61">#REF!</definedName>
    <definedName name="cConcHasta" localSheetId="62">#REF!</definedName>
    <definedName name="cConcHasta" localSheetId="63">#REF!</definedName>
    <definedName name="cConcHasta" localSheetId="64">#REF!</definedName>
    <definedName name="cConcHasta" localSheetId="65">#REF!</definedName>
    <definedName name="cConcHasta" localSheetId="66">#REF!</definedName>
    <definedName name="cConcHasta" localSheetId="67">#REF!</definedName>
    <definedName name="cConcHasta" localSheetId="7">#REF!</definedName>
    <definedName name="cConcHasta" localSheetId="73">#REF!</definedName>
    <definedName name="cConcHasta" localSheetId="8">#REF!</definedName>
    <definedName name="cConcHasta" localSheetId="9">#REF!</definedName>
    <definedName name="cConcHasta" localSheetId="77">#REF!</definedName>
    <definedName name="cConcHasta" localSheetId="78">#REF!</definedName>
    <definedName name="cConcHasta" localSheetId="79">#REF!</definedName>
    <definedName name="cConcHasta" localSheetId="80">#REF!</definedName>
    <definedName name="cConcHasta" localSheetId="82">#REF!</definedName>
    <definedName name="cConcHasta" localSheetId="83">#REF!</definedName>
    <definedName name="cConcHasta" localSheetId="84">#REF!</definedName>
    <definedName name="cConcHasta" localSheetId="100">#REF!</definedName>
    <definedName name="cConcHasta" localSheetId="92">#REF!</definedName>
    <definedName name="cConcHasta" localSheetId="95">#REF!</definedName>
    <definedName name="cConcHasta" localSheetId="96">#REF!</definedName>
    <definedName name="cConcHasta" localSheetId="97">#REF!</definedName>
    <definedName name="cConcHasta" localSheetId="121">#REF!</definedName>
    <definedName name="cConcHasta" localSheetId="131">#REF!</definedName>
    <definedName name="cConcHasta" localSheetId="134">#REF!</definedName>
    <definedName name="cConcHasta" localSheetId="142">#REF!</definedName>
    <definedName name="cConcHasta" localSheetId="115">#REF!</definedName>
    <definedName name="cConcHasta" localSheetId="119">#REF!</definedName>
    <definedName name="cConcHasta" localSheetId="158">#REF!</definedName>
    <definedName name="cConcHasta" localSheetId="169">#REF!</definedName>
    <definedName name="cConcHasta" localSheetId="170">#REF!</definedName>
    <definedName name="cConcHasta" localSheetId="171">#REF!</definedName>
    <definedName name="cConcHasta" localSheetId="172">#REF!</definedName>
    <definedName name="cConcHasta" localSheetId="173">#REF!</definedName>
    <definedName name="cConcHasta" localSheetId="174">#REF!</definedName>
    <definedName name="cConcHasta" localSheetId="175">#REF!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86">#REF!</definedName>
    <definedName name="cConcHasta" localSheetId="187">#REF!</definedName>
    <definedName name="cConcHasta" localSheetId="157">#REF!</definedName>
    <definedName name="cConcHasta" localSheetId="214">#REF!</definedName>
    <definedName name="cConcHasta" localSheetId="215">#REF!</definedName>
    <definedName name="cConcHasta" localSheetId="216">#REF!</definedName>
    <definedName name="cConcHasta" localSheetId="217">#REF!</definedName>
    <definedName name="cConcHasta" localSheetId="219">#REF!</definedName>
    <definedName name="cConcHasta" localSheetId="220">#REF!</definedName>
    <definedName name="cConcHasta" localSheetId="221">#REF!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9">#REF!</definedName>
    <definedName name="cConcHasta" localSheetId="203">#REF!</definedName>
    <definedName name="cConcHasta" localSheetId="230">#REF!</definedName>
    <definedName name="cConcHasta" localSheetId="231">#REF!</definedName>
    <definedName name="cConcHasta" localSheetId="232">#REF!</definedName>
    <definedName name="cConcHasta" localSheetId="234">#REF!</definedName>
    <definedName name="cConcHasta" localSheetId="235">#REF!</definedName>
    <definedName name="cConcHasta" localSheetId="204">#REF!</definedName>
    <definedName name="cConcHasta" localSheetId="242">#REF!</definedName>
    <definedName name="cConcHasta" localSheetId="246">#REF!</definedName>
    <definedName name="cConcHasta" localSheetId="255">#REF!</definedName>
    <definedName name="cConcHasta" localSheetId="256">#REF!</definedName>
    <definedName name="cConcHasta" localSheetId="257">#REF!</definedName>
    <definedName name="cConcHasta" localSheetId="258">#REF!</definedName>
    <definedName name="cConcHasta" localSheetId="259">#REF!</definedName>
    <definedName name="cConcHasta" localSheetId="319">#REF!</definedName>
    <definedName name="cConcHasta" localSheetId="320">#REF!</definedName>
    <definedName name="cConcHasta" localSheetId="323">#REF!</definedName>
    <definedName name="cConcHasta" localSheetId="326">#REF!</definedName>
    <definedName name="cConcHasta">#REF!</definedName>
    <definedName name="cFecha" localSheetId="1">#REF!</definedName>
    <definedName name="cFecha" localSheetId="10">#REF!</definedName>
    <definedName name="cFecha" localSheetId="11">#REF!</definedName>
    <definedName name="cFecha" localSheetId="12">#REF!</definedName>
    <definedName name="cFecha" localSheetId="13">#REF!</definedName>
    <definedName name="cFecha" localSheetId="14">#REF!</definedName>
    <definedName name="cFecha" localSheetId="15">#REF!</definedName>
    <definedName name="cFecha" localSheetId="16">#REF!</definedName>
    <definedName name="cFecha" localSheetId="17">#REF!</definedName>
    <definedName name="cFecha" localSheetId="18">#REF!</definedName>
    <definedName name="cFecha" localSheetId="2">#REF!</definedName>
    <definedName name="cFecha" localSheetId="37">#REF!</definedName>
    <definedName name="cFecha" localSheetId="5">#REF!</definedName>
    <definedName name="cFecha" localSheetId="59">#REF!</definedName>
    <definedName name="cFecha" localSheetId="60">#REF!</definedName>
    <definedName name="cFecha" localSheetId="61">#REF!</definedName>
    <definedName name="cFecha" localSheetId="62">#REF!</definedName>
    <definedName name="cFecha" localSheetId="63">#REF!</definedName>
    <definedName name="cFecha" localSheetId="64">#REF!</definedName>
    <definedName name="cFecha" localSheetId="65">#REF!</definedName>
    <definedName name="cFecha" localSheetId="66">#REF!</definedName>
    <definedName name="cFecha" localSheetId="67">#REF!</definedName>
    <definedName name="cFecha" localSheetId="7">#REF!</definedName>
    <definedName name="cFecha" localSheetId="73">#REF!</definedName>
    <definedName name="cFecha" localSheetId="8">#REF!</definedName>
    <definedName name="cFecha" localSheetId="9">#REF!</definedName>
    <definedName name="cFecha" localSheetId="77">#REF!</definedName>
    <definedName name="cFecha" localSheetId="78">#REF!</definedName>
    <definedName name="cFecha" localSheetId="79">#REF!</definedName>
    <definedName name="cFecha" localSheetId="80">#REF!</definedName>
    <definedName name="cFecha" localSheetId="82">#REF!</definedName>
    <definedName name="cFecha" localSheetId="83">#REF!</definedName>
    <definedName name="cFecha" localSheetId="84">#REF!</definedName>
    <definedName name="cFecha" localSheetId="100">#REF!</definedName>
    <definedName name="cFecha" localSheetId="92">#REF!</definedName>
    <definedName name="cFecha" localSheetId="95">#REF!</definedName>
    <definedName name="cFecha" localSheetId="96">#REF!</definedName>
    <definedName name="cFecha" localSheetId="97">#REF!</definedName>
    <definedName name="cFecha" localSheetId="121">#REF!</definedName>
    <definedName name="cFecha" localSheetId="131">#REF!</definedName>
    <definedName name="cFecha" localSheetId="134">#REF!</definedName>
    <definedName name="cFecha" localSheetId="142">#REF!</definedName>
    <definedName name="cFecha" localSheetId="115">#REF!</definedName>
    <definedName name="cFecha" localSheetId="119">#REF!</definedName>
    <definedName name="cFecha" localSheetId="158">#REF!</definedName>
    <definedName name="cFecha" localSheetId="169">#REF!</definedName>
    <definedName name="cFecha" localSheetId="170">#REF!</definedName>
    <definedName name="cFecha" localSheetId="171">#REF!</definedName>
    <definedName name="cFecha" localSheetId="172">#REF!</definedName>
    <definedName name="cFecha" localSheetId="173">#REF!</definedName>
    <definedName name="cFecha" localSheetId="174">#REF!</definedName>
    <definedName name="cFecha" localSheetId="175">#REF!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182">#REF!</definedName>
    <definedName name="cFecha" localSheetId="183">#REF!</definedName>
    <definedName name="cFecha" localSheetId="184">#REF!</definedName>
    <definedName name="cFecha" localSheetId="185">#REF!</definedName>
    <definedName name="cFecha" localSheetId="186">#REF!</definedName>
    <definedName name="cFecha" localSheetId="187">#REF!</definedName>
    <definedName name="cFecha" localSheetId="157">#REF!</definedName>
    <definedName name="cFecha" localSheetId="214">#REF!</definedName>
    <definedName name="cFecha" localSheetId="215">#REF!</definedName>
    <definedName name="cFecha" localSheetId="216">#REF!</definedName>
    <definedName name="cFecha" localSheetId="217">#REF!</definedName>
    <definedName name="cFecha" localSheetId="219">#REF!</definedName>
    <definedName name="cFecha" localSheetId="220">#REF!</definedName>
    <definedName name="cFecha" localSheetId="221">#REF!</definedName>
    <definedName name="cFecha" localSheetId="222">#REF!</definedName>
    <definedName name="cFecha" localSheetId="223">#REF!</definedName>
    <definedName name="cFecha" localSheetId="224">#REF!</definedName>
    <definedName name="cFecha" localSheetId="225">#REF!</definedName>
    <definedName name="cFecha" localSheetId="229">#REF!</definedName>
    <definedName name="cFecha" localSheetId="203">#REF!</definedName>
    <definedName name="cFecha" localSheetId="230">#REF!</definedName>
    <definedName name="cFecha" localSheetId="231">#REF!</definedName>
    <definedName name="cFecha" localSheetId="232">#REF!</definedName>
    <definedName name="cFecha" localSheetId="234">#REF!</definedName>
    <definedName name="cFecha" localSheetId="235">#REF!</definedName>
    <definedName name="cFecha" localSheetId="204">#REF!</definedName>
    <definedName name="cFecha" localSheetId="242">#REF!</definedName>
    <definedName name="cFecha" localSheetId="246">#REF!</definedName>
    <definedName name="cFecha" localSheetId="255">#REF!</definedName>
    <definedName name="cFecha" localSheetId="256">#REF!</definedName>
    <definedName name="cFecha" localSheetId="257">#REF!</definedName>
    <definedName name="cFecha" localSheetId="258">#REF!</definedName>
    <definedName name="cFecha" localSheetId="259">#REF!</definedName>
    <definedName name="cFecha" localSheetId="319">#REF!</definedName>
    <definedName name="cFecha" localSheetId="320">#REF!</definedName>
    <definedName name="cFecha" localSheetId="323">#REF!</definedName>
    <definedName name="cFecha" localSheetId="326">#REF!</definedName>
    <definedName name="cFecha">#REF!</definedName>
    <definedName name="CONAF" localSheetId="15" hidden="1">#REF!</definedName>
    <definedName name="CONAF" localSheetId="16" hidden="1">#REF!</definedName>
    <definedName name="CONAF" localSheetId="37" hidden="1">#REF!</definedName>
    <definedName name="CONAF" localSheetId="59" hidden="1">#REF!</definedName>
    <definedName name="CONAF" localSheetId="60" hidden="1">#REF!</definedName>
    <definedName name="CONAF" localSheetId="61" hidden="1">#REF!</definedName>
    <definedName name="CONAF" localSheetId="62" hidden="1">#REF!</definedName>
    <definedName name="CONAF" localSheetId="63" hidden="1">#REF!</definedName>
    <definedName name="CONAF" localSheetId="64" hidden="1">#REF!</definedName>
    <definedName name="CONAF" localSheetId="65" hidden="1">#REF!</definedName>
    <definedName name="CONAF" localSheetId="66" hidden="1">#REF!</definedName>
    <definedName name="CONAF" localSheetId="67" hidden="1">#REF!</definedName>
    <definedName name="CONAF" localSheetId="73" hidden="1">#REF!</definedName>
    <definedName name="CONAF" localSheetId="100" hidden="1">#REF!</definedName>
    <definedName name="CONAF" localSheetId="92" hidden="1">#REF!</definedName>
    <definedName name="CONAF" localSheetId="95" hidden="1">#REF!</definedName>
    <definedName name="CONAF" localSheetId="96" hidden="1">#REF!</definedName>
    <definedName name="CONAF" localSheetId="97" hidden="1">#REF!</definedName>
    <definedName name="CONAF" localSheetId="115" hidden="1">#REF!</definedName>
    <definedName name="CONAF" localSheetId="158" hidden="1">#REF!</definedName>
    <definedName name="CONAF" localSheetId="169" hidden="1">#REF!</definedName>
    <definedName name="CONAF" localSheetId="170" hidden="1">#REF!</definedName>
    <definedName name="CONAF" localSheetId="171" hidden="1">#REF!</definedName>
    <definedName name="CONAF" localSheetId="172" hidden="1">#REF!</definedName>
    <definedName name="CONAF" localSheetId="173" hidden="1">#REF!</definedName>
    <definedName name="CONAF" localSheetId="174" hidden="1">#REF!</definedName>
    <definedName name="CONAF" localSheetId="175"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86" hidden="1">#REF!</definedName>
    <definedName name="CONAF" localSheetId="187" hidden="1">#REF!</definedName>
    <definedName name="CONAF" localSheetId="157" hidden="1">#REF!</definedName>
    <definedName name="CONAF" localSheetId="214" hidden="1">#REF!</definedName>
    <definedName name="CONAF" localSheetId="215" hidden="1">#REF!</definedName>
    <definedName name="CONAF" localSheetId="216" hidden="1">#REF!</definedName>
    <definedName name="CONAF" localSheetId="217" hidden="1">#REF!</definedName>
    <definedName name="CONAF" localSheetId="219" hidden="1">#REF!</definedName>
    <definedName name="CONAF" localSheetId="220" hidden="1">#REF!</definedName>
    <definedName name="CONAF" localSheetId="221" hidden="1">#REF!</definedName>
    <definedName name="CONAF" localSheetId="222" hidden="1">#REF!</definedName>
    <definedName name="CONAF" localSheetId="223" hidden="1">#REF!</definedName>
    <definedName name="CONAF" localSheetId="224" hidden="1">#REF!</definedName>
    <definedName name="CONAF" localSheetId="229" hidden="1">#REF!</definedName>
    <definedName name="CONAF" localSheetId="230" hidden="1">#REF!</definedName>
    <definedName name="CONAF" localSheetId="231" hidden="1">#REF!</definedName>
    <definedName name="CONAF" localSheetId="232" hidden="1">#REF!</definedName>
    <definedName name="CONAF" localSheetId="204" hidden="1">#REF!</definedName>
    <definedName name="CONAF" localSheetId="246" hidden="1">#REF!</definedName>
    <definedName name="CONAF" localSheetId="319" hidden="1">#REF!</definedName>
    <definedName name="CONAF" localSheetId="320" hidden="1">#REF!</definedName>
    <definedName name="CONAF" localSheetId="323" hidden="1">#REF!</definedName>
    <definedName name="CONAF" hidden="1">#REF!</definedName>
    <definedName name="CONAF_2" localSheetId="15" hidden="1">#REF!</definedName>
    <definedName name="CONAF_2" localSheetId="16" hidden="1">#REF!</definedName>
    <definedName name="CONAF_2" localSheetId="37" hidden="1">#REF!</definedName>
    <definedName name="CONAF_2" localSheetId="59" hidden="1">#REF!</definedName>
    <definedName name="CONAF_2" localSheetId="60" hidden="1">#REF!</definedName>
    <definedName name="CONAF_2" localSheetId="61" hidden="1">#REF!</definedName>
    <definedName name="CONAF_2" localSheetId="62" hidden="1">#REF!</definedName>
    <definedName name="CONAF_2" localSheetId="63" hidden="1">#REF!</definedName>
    <definedName name="CONAF_2" localSheetId="64" hidden="1">#REF!</definedName>
    <definedName name="CONAF_2" localSheetId="65" hidden="1">#REF!</definedName>
    <definedName name="CONAF_2" localSheetId="66" hidden="1">#REF!</definedName>
    <definedName name="CONAF_2" localSheetId="67" hidden="1">#REF!</definedName>
    <definedName name="CONAF_2" localSheetId="73" hidden="1">#REF!</definedName>
    <definedName name="CONAF_2" localSheetId="100" hidden="1">#REF!</definedName>
    <definedName name="CONAF_2" localSheetId="92" hidden="1">#REF!</definedName>
    <definedName name="CONAF_2" localSheetId="95" hidden="1">#REF!</definedName>
    <definedName name="CONAF_2" localSheetId="96" hidden="1">#REF!</definedName>
    <definedName name="CONAF_2" localSheetId="97" hidden="1">#REF!</definedName>
    <definedName name="CONAF_2" localSheetId="115" hidden="1">#REF!</definedName>
    <definedName name="CONAF_2" localSheetId="158" hidden="1">#REF!</definedName>
    <definedName name="CONAF_2" localSheetId="169" hidden="1">#REF!</definedName>
    <definedName name="CONAF_2" localSheetId="170" hidden="1">#REF!</definedName>
    <definedName name="CONAF_2" localSheetId="171" hidden="1">#REF!</definedName>
    <definedName name="CONAF_2" localSheetId="172" hidden="1">#REF!</definedName>
    <definedName name="CONAF_2" localSheetId="173" hidden="1">#REF!</definedName>
    <definedName name="CONAF_2" localSheetId="174" hidden="1">#REF!</definedName>
    <definedName name="CONAF_2" localSheetId="175"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86" hidden="1">#REF!</definedName>
    <definedName name="CONAF_2" localSheetId="187" hidden="1">#REF!</definedName>
    <definedName name="CONAF_2" localSheetId="157" hidden="1">#REF!</definedName>
    <definedName name="CONAF_2" localSheetId="214" hidden="1">#REF!</definedName>
    <definedName name="CONAF_2" localSheetId="215" hidden="1">#REF!</definedName>
    <definedName name="CONAF_2" localSheetId="216" hidden="1">#REF!</definedName>
    <definedName name="CONAF_2" localSheetId="217" hidden="1">#REF!</definedName>
    <definedName name="CONAF_2" localSheetId="219" hidden="1">#REF!</definedName>
    <definedName name="CONAF_2" localSheetId="220" hidden="1">#REF!</definedName>
    <definedName name="CONAF_2" localSheetId="221" hidden="1">#REF!</definedName>
    <definedName name="CONAF_2" localSheetId="222" hidden="1">#REF!</definedName>
    <definedName name="CONAF_2" localSheetId="223" hidden="1">#REF!</definedName>
    <definedName name="CONAF_2" localSheetId="224" hidden="1">#REF!</definedName>
    <definedName name="CONAF_2" localSheetId="229" hidden="1">#REF!</definedName>
    <definedName name="CONAF_2" localSheetId="230" hidden="1">#REF!</definedName>
    <definedName name="CONAF_2" localSheetId="231" hidden="1">#REF!</definedName>
    <definedName name="CONAF_2" localSheetId="232" hidden="1">#REF!</definedName>
    <definedName name="CONAF_2" localSheetId="204" hidden="1">#REF!</definedName>
    <definedName name="CONAF_2" localSheetId="246" hidden="1">#REF!</definedName>
    <definedName name="CONAF_2" localSheetId="319" hidden="1">#REF!</definedName>
    <definedName name="CONAF_2" localSheetId="320" hidden="1">#REF!</definedName>
    <definedName name="CONAF_2" localSheetId="323" hidden="1">#REF!</definedName>
    <definedName name="CONAF_2" hidden="1">#REF!</definedName>
    <definedName name="CONAF_3" localSheetId="15">#REF!</definedName>
    <definedName name="CONAF_3" localSheetId="16">#REF!</definedName>
    <definedName name="CONAF_3" localSheetId="37">#REF!</definedName>
    <definedName name="CONAF_3" localSheetId="59">#REF!</definedName>
    <definedName name="CONAF_3" localSheetId="60">#REF!</definedName>
    <definedName name="CONAF_3" localSheetId="61">#REF!</definedName>
    <definedName name="CONAF_3" localSheetId="62">#REF!</definedName>
    <definedName name="CONAF_3" localSheetId="63">#REF!</definedName>
    <definedName name="CONAF_3" localSheetId="64">#REF!</definedName>
    <definedName name="CONAF_3" localSheetId="65">#REF!</definedName>
    <definedName name="CONAF_3" localSheetId="66">#REF!</definedName>
    <definedName name="CONAF_3" localSheetId="67">#REF!</definedName>
    <definedName name="CONAF_3" localSheetId="73">#REF!</definedName>
    <definedName name="CONAF_3" localSheetId="100">#REF!</definedName>
    <definedName name="CONAF_3" localSheetId="92">#REF!</definedName>
    <definedName name="CONAF_3" localSheetId="95">#REF!</definedName>
    <definedName name="CONAF_3" localSheetId="96">#REF!</definedName>
    <definedName name="CONAF_3" localSheetId="97">#REF!</definedName>
    <definedName name="CONAF_3" localSheetId="115">#REF!</definedName>
    <definedName name="CONAF_3" localSheetId="158">#REF!</definedName>
    <definedName name="CONAF_3" localSheetId="169">#REF!</definedName>
    <definedName name="CONAF_3" localSheetId="170">#REF!</definedName>
    <definedName name="CONAF_3" localSheetId="171">#REF!</definedName>
    <definedName name="CONAF_3" localSheetId="172">#REF!</definedName>
    <definedName name="CONAF_3" localSheetId="173">#REF!</definedName>
    <definedName name="CONAF_3" localSheetId="174">#REF!</definedName>
    <definedName name="CONAF_3" localSheetId="175">#REF!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182">#REF!</definedName>
    <definedName name="CONAF_3" localSheetId="183">#REF!</definedName>
    <definedName name="CONAF_3" localSheetId="184">#REF!</definedName>
    <definedName name="CONAF_3" localSheetId="185">#REF!</definedName>
    <definedName name="CONAF_3" localSheetId="186">#REF!</definedName>
    <definedName name="CONAF_3" localSheetId="187">#REF!</definedName>
    <definedName name="CONAF_3" localSheetId="157">#REF!</definedName>
    <definedName name="CONAF_3" localSheetId="214">#REF!</definedName>
    <definedName name="CONAF_3" localSheetId="215">#REF!</definedName>
    <definedName name="CONAF_3" localSheetId="216">#REF!</definedName>
    <definedName name="CONAF_3" localSheetId="217">#REF!</definedName>
    <definedName name="CONAF_3" localSheetId="219">#REF!</definedName>
    <definedName name="CONAF_3" localSheetId="220">#REF!</definedName>
    <definedName name="CONAF_3" localSheetId="221">#REF!</definedName>
    <definedName name="CONAF_3" localSheetId="222">#REF!</definedName>
    <definedName name="CONAF_3" localSheetId="223">#REF!</definedName>
    <definedName name="CONAF_3" localSheetId="224">#REF!</definedName>
    <definedName name="CONAF_3" localSheetId="229">#REF!</definedName>
    <definedName name="CONAF_3" localSheetId="230">#REF!</definedName>
    <definedName name="CONAF_3" localSheetId="231">#REF!</definedName>
    <definedName name="CONAF_3" localSheetId="232">#REF!</definedName>
    <definedName name="CONAF_3" localSheetId="204">#REF!</definedName>
    <definedName name="CONAF_3" localSheetId="246">#REF!</definedName>
    <definedName name="CONAF_3" localSheetId="319">#REF!</definedName>
    <definedName name="CONAF_3" localSheetId="320">#REF!</definedName>
    <definedName name="CONAF_3" localSheetId="323">#REF!</definedName>
    <definedName name="CONAF_3">#REF!</definedName>
    <definedName name="coni" localSheetId="15">#REF!</definedName>
    <definedName name="coni" localSheetId="16">#REF!</definedName>
    <definedName name="coni" localSheetId="37">#REF!</definedName>
    <definedName name="coni" localSheetId="59">#REF!</definedName>
    <definedName name="coni" localSheetId="60">#REF!</definedName>
    <definedName name="coni" localSheetId="61">#REF!</definedName>
    <definedName name="coni" localSheetId="62">#REF!</definedName>
    <definedName name="coni" localSheetId="63">#REF!</definedName>
    <definedName name="coni" localSheetId="64">#REF!</definedName>
    <definedName name="coni" localSheetId="65">#REF!</definedName>
    <definedName name="coni" localSheetId="66">#REF!</definedName>
    <definedName name="coni" localSheetId="67">#REF!</definedName>
    <definedName name="coni" localSheetId="73">#REF!</definedName>
    <definedName name="coni" localSheetId="77">#REF!</definedName>
    <definedName name="coni" localSheetId="78">#REF!</definedName>
    <definedName name="coni" localSheetId="79">#REF!</definedName>
    <definedName name="coni" localSheetId="80">#REF!</definedName>
    <definedName name="coni" localSheetId="82">#REF!</definedName>
    <definedName name="coni" localSheetId="83">#REF!</definedName>
    <definedName name="coni" localSheetId="84">#REF!</definedName>
    <definedName name="coni" localSheetId="100">#REF!</definedName>
    <definedName name="coni" localSheetId="92">#REF!</definedName>
    <definedName name="coni" localSheetId="95">#REF!</definedName>
    <definedName name="coni" localSheetId="96">#REF!</definedName>
    <definedName name="coni" localSheetId="97">#REF!</definedName>
    <definedName name="coni" localSheetId="121">#REF!</definedName>
    <definedName name="coni" localSheetId="131">#REF!</definedName>
    <definedName name="coni" localSheetId="134">#REF!</definedName>
    <definedName name="coni" localSheetId="142">#REF!</definedName>
    <definedName name="coni" localSheetId="115">#REF!</definedName>
    <definedName name="coni" localSheetId="119">#REF!</definedName>
    <definedName name="coni" localSheetId="158">#REF!</definedName>
    <definedName name="coni" localSheetId="169">#REF!</definedName>
    <definedName name="coni" localSheetId="170">#REF!</definedName>
    <definedName name="coni" localSheetId="171">#REF!</definedName>
    <definedName name="coni" localSheetId="172">#REF!</definedName>
    <definedName name="coni" localSheetId="173">#REF!</definedName>
    <definedName name="coni" localSheetId="174">#REF!</definedName>
    <definedName name="coni" localSheetId="175">#REF!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182">#REF!</definedName>
    <definedName name="coni" localSheetId="183">#REF!</definedName>
    <definedName name="coni" localSheetId="184">#REF!</definedName>
    <definedName name="coni" localSheetId="185">#REF!</definedName>
    <definedName name="coni" localSheetId="186">#REF!</definedName>
    <definedName name="coni" localSheetId="187">#REF!</definedName>
    <definedName name="coni" localSheetId="157">#REF!</definedName>
    <definedName name="coni" localSheetId="214">#REF!</definedName>
    <definedName name="coni" localSheetId="215">#REF!</definedName>
    <definedName name="coni" localSheetId="216">#REF!</definedName>
    <definedName name="coni" localSheetId="217">#REF!</definedName>
    <definedName name="coni" localSheetId="219">#REF!</definedName>
    <definedName name="coni" localSheetId="220">#REF!</definedName>
    <definedName name="coni" localSheetId="221">#REF!</definedName>
    <definedName name="coni" localSheetId="222">#REF!</definedName>
    <definedName name="coni" localSheetId="223">#REF!</definedName>
    <definedName name="coni" localSheetId="224">#REF!</definedName>
    <definedName name="coni" localSheetId="229">#REF!</definedName>
    <definedName name="coni" localSheetId="203">#REF!</definedName>
    <definedName name="coni" localSheetId="230">#REF!</definedName>
    <definedName name="coni" localSheetId="231">#REF!</definedName>
    <definedName name="coni" localSheetId="232">#REF!</definedName>
    <definedName name="coni" localSheetId="204">#REF!</definedName>
    <definedName name="coni" localSheetId="246">#REF!</definedName>
    <definedName name="coni" localSheetId="255">#REF!</definedName>
    <definedName name="coni" localSheetId="256">#REF!</definedName>
    <definedName name="coni" localSheetId="257">#REF!</definedName>
    <definedName name="coni" localSheetId="258">#REF!</definedName>
    <definedName name="coni" localSheetId="259">#REF!</definedName>
    <definedName name="coni" localSheetId="319">#REF!</definedName>
    <definedName name="coni" localSheetId="320">#REF!</definedName>
    <definedName name="coni" localSheetId="323">#REF!</definedName>
    <definedName name="coni">#REF!</definedName>
    <definedName name="cURL" localSheetId="15">#REF!</definedName>
    <definedName name="cURL" localSheetId="16">#REF!</definedName>
    <definedName name="cURL" localSheetId="37">#REF!</definedName>
    <definedName name="cURL" localSheetId="59">#REF!</definedName>
    <definedName name="cURL" localSheetId="60">#REF!</definedName>
    <definedName name="cURL" localSheetId="61">#REF!</definedName>
    <definedName name="cURL" localSheetId="62">#REF!</definedName>
    <definedName name="cURL" localSheetId="63">#REF!</definedName>
    <definedName name="cURL" localSheetId="64">#REF!</definedName>
    <definedName name="cURL" localSheetId="65">#REF!</definedName>
    <definedName name="cURL" localSheetId="66">#REF!</definedName>
    <definedName name="cURL" localSheetId="67">#REF!</definedName>
    <definedName name="cURL" localSheetId="73">#REF!</definedName>
    <definedName name="cURL" localSheetId="77">#REF!</definedName>
    <definedName name="cURL" localSheetId="78">#REF!</definedName>
    <definedName name="cURL" localSheetId="79">#REF!</definedName>
    <definedName name="cURL" localSheetId="80">#REF!</definedName>
    <definedName name="cURL" localSheetId="82">#REF!</definedName>
    <definedName name="cURL" localSheetId="83">#REF!</definedName>
    <definedName name="cURL" localSheetId="84">#REF!</definedName>
    <definedName name="cURL" localSheetId="100">#REF!</definedName>
    <definedName name="cURL" localSheetId="92">#REF!</definedName>
    <definedName name="cURL" localSheetId="95">#REF!</definedName>
    <definedName name="cURL" localSheetId="96">#REF!</definedName>
    <definedName name="cURL" localSheetId="97">#REF!</definedName>
    <definedName name="cURL" localSheetId="121">#REF!</definedName>
    <definedName name="cURL" localSheetId="131">#REF!</definedName>
    <definedName name="cURL" localSheetId="134">#REF!</definedName>
    <definedName name="cURL" localSheetId="142">#REF!</definedName>
    <definedName name="cURL" localSheetId="115">#REF!</definedName>
    <definedName name="cURL" localSheetId="119">#REF!</definedName>
    <definedName name="cURL" localSheetId="158">#REF!</definedName>
    <definedName name="cURL" localSheetId="169">#REF!</definedName>
    <definedName name="cURL" localSheetId="170">#REF!</definedName>
    <definedName name="cURL" localSheetId="171">#REF!</definedName>
    <definedName name="cURL" localSheetId="172">#REF!</definedName>
    <definedName name="cURL" localSheetId="173">#REF!</definedName>
    <definedName name="cURL" localSheetId="174">#REF!</definedName>
    <definedName name="cURL" localSheetId="175">#REF!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182">#REF!</definedName>
    <definedName name="cURL" localSheetId="183">#REF!</definedName>
    <definedName name="cURL" localSheetId="184">#REF!</definedName>
    <definedName name="cURL" localSheetId="185">#REF!</definedName>
    <definedName name="cURL" localSheetId="186">#REF!</definedName>
    <definedName name="cURL" localSheetId="187">#REF!</definedName>
    <definedName name="cURL" localSheetId="157">#REF!</definedName>
    <definedName name="cURL" localSheetId="214">#REF!</definedName>
    <definedName name="cURL" localSheetId="215">#REF!</definedName>
    <definedName name="cURL" localSheetId="216">#REF!</definedName>
    <definedName name="cURL" localSheetId="217">#REF!</definedName>
    <definedName name="cURL" localSheetId="219">#REF!</definedName>
    <definedName name="cURL" localSheetId="220">#REF!</definedName>
    <definedName name="cURL" localSheetId="221">#REF!</definedName>
    <definedName name="cURL" localSheetId="222">#REF!</definedName>
    <definedName name="cURL" localSheetId="223">#REF!</definedName>
    <definedName name="cURL" localSheetId="224">#REF!</definedName>
    <definedName name="cURL" localSheetId="229">#REF!</definedName>
    <definedName name="cURL" localSheetId="203">#REF!</definedName>
    <definedName name="cURL" localSheetId="230">#REF!</definedName>
    <definedName name="cURL" localSheetId="231">#REF!</definedName>
    <definedName name="cURL" localSheetId="232">#REF!</definedName>
    <definedName name="cURL" localSheetId="204">#REF!</definedName>
    <definedName name="cURL" localSheetId="246">#REF!</definedName>
    <definedName name="cURL" localSheetId="255">#REF!</definedName>
    <definedName name="cURL" localSheetId="256">#REF!</definedName>
    <definedName name="cURL" localSheetId="257">#REF!</definedName>
    <definedName name="cURL" localSheetId="258">#REF!</definedName>
    <definedName name="cURL" localSheetId="259">#REF!</definedName>
    <definedName name="cURL" localSheetId="319">#REF!</definedName>
    <definedName name="cURL" localSheetId="320">#REF!</definedName>
    <definedName name="cURL" localSheetId="323">#REF!</definedName>
    <definedName name="cURL">#REF!</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15">#REF!</definedName>
    <definedName name="MO" localSheetId="16">#REF!</definedName>
    <definedName name="MO" localSheetId="37">#REF!</definedName>
    <definedName name="MO" localSheetId="59">#REF!</definedName>
    <definedName name="MO" localSheetId="60">#REF!</definedName>
    <definedName name="MO" localSheetId="61">#REF!</definedName>
    <definedName name="MO" localSheetId="62">#REF!</definedName>
    <definedName name="MO" localSheetId="63">#REF!</definedName>
    <definedName name="MO" localSheetId="64">#REF!</definedName>
    <definedName name="MO" localSheetId="65">#REF!</definedName>
    <definedName name="MO" localSheetId="66">#REF!</definedName>
    <definedName name="MO" localSheetId="67">#REF!</definedName>
    <definedName name="MO" localSheetId="73">#REF!</definedName>
    <definedName name="MO" localSheetId="77">#REF!</definedName>
    <definedName name="MO" localSheetId="78">#REF!</definedName>
    <definedName name="MO" localSheetId="79">#REF!</definedName>
    <definedName name="MO" localSheetId="80">#REF!</definedName>
    <definedName name="MO" localSheetId="82">#REF!</definedName>
    <definedName name="MO" localSheetId="83">#REF!</definedName>
    <definedName name="MO" localSheetId="84">#REF!</definedName>
    <definedName name="MO" localSheetId="100">#REF!</definedName>
    <definedName name="MO" localSheetId="92">#REF!</definedName>
    <definedName name="MO" localSheetId="95">#REF!</definedName>
    <definedName name="MO" localSheetId="96">#REF!</definedName>
    <definedName name="MO" localSheetId="97">#REF!</definedName>
    <definedName name="MO" localSheetId="121">#REF!</definedName>
    <definedName name="MO" localSheetId="131">#REF!</definedName>
    <definedName name="MO" localSheetId="134">#REF!</definedName>
    <definedName name="MO" localSheetId="142">#REF!</definedName>
    <definedName name="MO" localSheetId="115">#REF!</definedName>
    <definedName name="MO" localSheetId="119">#REF!</definedName>
    <definedName name="MO" localSheetId="158">#REF!</definedName>
    <definedName name="MO" localSheetId="169">#REF!</definedName>
    <definedName name="MO" localSheetId="170">#REF!</definedName>
    <definedName name="MO" localSheetId="171">#REF!</definedName>
    <definedName name="MO" localSheetId="172">#REF!</definedName>
    <definedName name="MO" localSheetId="173">#REF!</definedName>
    <definedName name="MO" localSheetId="174">#REF!</definedName>
    <definedName name="MO" localSheetId="175">#REF!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182">#REF!</definedName>
    <definedName name="MO" localSheetId="183">#REF!</definedName>
    <definedName name="MO" localSheetId="184">#REF!</definedName>
    <definedName name="MO" localSheetId="185">#REF!</definedName>
    <definedName name="MO" localSheetId="186">#REF!</definedName>
    <definedName name="MO" localSheetId="187">#REF!</definedName>
    <definedName name="MO" localSheetId="157">#REF!</definedName>
    <definedName name="MO" localSheetId="214">#REF!</definedName>
    <definedName name="MO" localSheetId="215">#REF!</definedName>
    <definedName name="MO" localSheetId="216">#REF!</definedName>
    <definedName name="MO" localSheetId="217">#REF!</definedName>
    <definedName name="MO" localSheetId="219">#REF!</definedName>
    <definedName name="MO" localSheetId="220">#REF!</definedName>
    <definedName name="MO" localSheetId="221">#REF!</definedName>
    <definedName name="MO" localSheetId="222">#REF!</definedName>
    <definedName name="MO" localSheetId="223">#REF!</definedName>
    <definedName name="MO" localSheetId="224">#REF!</definedName>
    <definedName name="MO" localSheetId="229">#REF!</definedName>
    <definedName name="MO" localSheetId="203">#REF!</definedName>
    <definedName name="MO" localSheetId="230">#REF!</definedName>
    <definedName name="MO" localSheetId="231">#REF!</definedName>
    <definedName name="MO" localSheetId="232">#REF!</definedName>
    <definedName name="MO" localSheetId="204">#REF!</definedName>
    <definedName name="MO" localSheetId="246">#REF!</definedName>
    <definedName name="MO" localSheetId="255">#REF!</definedName>
    <definedName name="MO" localSheetId="256">#REF!</definedName>
    <definedName name="MO" localSheetId="257">#REF!</definedName>
    <definedName name="MO" localSheetId="258">#REF!</definedName>
    <definedName name="MO" localSheetId="259">#REF!</definedName>
    <definedName name="MO" localSheetId="319">#REF!</definedName>
    <definedName name="MO" localSheetId="320">#REF!</definedName>
    <definedName name="MO" localSheetId="323">#REF!</definedName>
    <definedName name="MO">#REF!</definedName>
    <definedName name="OLE_LINK1" localSheetId="302">'23.2'!$G$43</definedName>
    <definedName name="Q_ConsolidadoMutuales_EmpresasCreativas">#REF!</definedName>
    <definedName name="rApO" localSheetId="15">#REF!</definedName>
    <definedName name="rApO" localSheetId="16">#REF!</definedName>
    <definedName name="rApO" localSheetId="37">#REF!</definedName>
    <definedName name="rApO" localSheetId="59">#REF!</definedName>
    <definedName name="rApO" localSheetId="60">#REF!</definedName>
    <definedName name="rApO" localSheetId="61">#REF!</definedName>
    <definedName name="rApO" localSheetId="62">#REF!</definedName>
    <definedName name="rApO" localSheetId="63">#REF!</definedName>
    <definedName name="rApO" localSheetId="64">#REF!</definedName>
    <definedName name="rApO" localSheetId="65">#REF!</definedName>
    <definedName name="rApO" localSheetId="66">#REF!</definedName>
    <definedName name="rApO" localSheetId="67">#REF!</definedName>
    <definedName name="rApO" localSheetId="73">#REF!</definedName>
    <definedName name="rApO" localSheetId="77">#REF!</definedName>
    <definedName name="rApO" localSheetId="78">#REF!</definedName>
    <definedName name="rApO" localSheetId="79">#REF!</definedName>
    <definedName name="rApO" localSheetId="80">#REF!</definedName>
    <definedName name="rApO" localSheetId="82">#REF!</definedName>
    <definedName name="rApO" localSheetId="83">#REF!</definedName>
    <definedName name="rApO" localSheetId="84">#REF!</definedName>
    <definedName name="rApO" localSheetId="100">#REF!</definedName>
    <definedName name="rApO" localSheetId="92">#REF!</definedName>
    <definedName name="rApO" localSheetId="95">#REF!</definedName>
    <definedName name="rApO" localSheetId="96">#REF!</definedName>
    <definedName name="rApO" localSheetId="97">#REF!</definedName>
    <definedName name="rApO" localSheetId="121">#REF!</definedName>
    <definedName name="rApO" localSheetId="131">#REF!</definedName>
    <definedName name="rApO" localSheetId="134">#REF!</definedName>
    <definedName name="rApO" localSheetId="142">#REF!</definedName>
    <definedName name="rApO" localSheetId="115">#REF!</definedName>
    <definedName name="rApO" localSheetId="119">#REF!</definedName>
    <definedName name="rApO" localSheetId="158">#REF!</definedName>
    <definedName name="rApO" localSheetId="169">#REF!</definedName>
    <definedName name="rApO" localSheetId="170">#REF!</definedName>
    <definedName name="rApO" localSheetId="171">#REF!</definedName>
    <definedName name="rApO" localSheetId="172">#REF!</definedName>
    <definedName name="rApO" localSheetId="173">#REF!</definedName>
    <definedName name="rApO" localSheetId="174">#REF!</definedName>
    <definedName name="rApO" localSheetId="175">#REF!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182">#REF!</definedName>
    <definedName name="rApO" localSheetId="183">#REF!</definedName>
    <definedName name="rApO" localSheetId="184">#REF!</definedName>
    <definedName name="rApO" localSheetId="185">#REF!</definedName>
    <definedName name="rApO" localSheetId="186">#REF!</definedName>
    <definedName name="rApO" localSheetId="187">#REF!</definedName>
    <definedName name="rApO" localSheetId="157">#REF!</definedName>
    <definedName name="rApO" localSheetId="214">#REF!</definedName>
    <definedName name="rApO" localSheetId="215">#REF!</definedName>
    <definedName name="rApO" localSheetId="216">#REF!</definedName>
    <definedName name="rApO" localSheetId="217">#REF!</definedName>
    <definedName name="rApO" localSheetId="219">#REF!</definedName>
    <definedName name="rApO" localSheetId="220">#REF!</definedName>
    <definedName name="rApO" localSheetId="221">#REF!</definedName>
    <definedName name="rApO" localSheetId="222">#REF!</definedName>
    <definedName name="rApO" localSheetId="223">#REF!</definedName>
    <definedName name="rApO" localSheetId="224">#REF!</definedName>
    <definedName name="rApO" localSheetId="229">#REF!</definedName>
    <definedName name="rApO" localSheetId="203">#REF!</definedName>
    <definedName name="rApO" localSheetId="230">#REF!</definedName>
    <definedName name="rApO" localSheetId="231">#REF!</definedName>
    <definedName name="rApO" localSheetId="232">#REF!</definedName>
    <definedName name="rApO" localSheetId="204">#REF!</definedName>
    <definedName name="rApO" localSheetId="246">#REF!</definedName>
    <definedName name="rApO" localSheetId="255">#REF!</definedName>
    <definedName name="rApO" localSheetId="256">#REF!</definedName>
    <definedName name="rApO" localSheetId="257">#REF!</definedName>
    <definedName name="rApO" localSheetId="258">#REF!</definedName>
    <definedName name="rApO" localSheetId="259">#REF!</definedName>
    <definedName name="rApO" localSheetId="319">#REF!</definedName>
    <definedName name="rApO" localSheetId="320">#REF!</definedName>
    <definedName name="rApO" localSheetId="323">#REF!</definedName>
    <definedName name="rApO">#REF!</definedName>
    <definedName name="rApP" localSheetId="15">#REF!</definedName>
    <definedName name="rApP" localSheetId="16">#REF!</definedName>
    <definedName name="rApP" localSheetId="37">#REF!</definedName>
    <definedName name="rApP" localSheetId="59">#REF!</definedName>
    <definedName name="rApP" localSheetId="60">#REF!</definedName>
    <definedName name="rApP" localSheetId="61">#REF!</definedName>
    <definedName name="rApP" localSheetId="62">#REF!</definedName>
    <definedName name="rApP" localSheetId="63">#REF!</definedName>
    <definedName name="rApP" localSheetId="64">#REF!</definedName>
    <definedName name="rApP" localSheetId="65">#REF!</definedName>
    <definedName name="rApP" localSheetId="66">#REF!</definedName>
    <definedName name="rApP" localSheetId="67">#REF!</definedName>
    <definedName name="rApP" localSheetId="73">#REF!</definedName>
    <definedName name="rApP" localSheetId="77">#REF!</definedName>
    <definedName name="rApP" localSheetId="78">#REF!</definedName>
    <definedName name="rApP" localSheetId="79">#REF!</definedName>
    <definedName name="rApP" localSheetId="80">#REF!</definedName>
    <definedName name="rApP" localSheetId="82">#REF!</definedName>
    <definedName name="rApP" localSheetId="83">#REF!</definedName>
    <definedName name="rApP" localSheetId="84">#REF!</definedName>
    <definedName name="rApP" localSheetId="100">#REF!</definedName>
    <definedName name="rApP" localSheetId="92">#REF!</definedName>
    <definedName name="rApP" localSheetId="95">#REF!</definedName>
    <definedName name="rApP" localSheetId="96">#REF!</definedName>
    <definedName name="rApP" localSheetId="97">#REF!</definedName>
    <definedName name="rApP" localSheetId="121">#REF!</definedName>
    <definedName name="rApP" localSheetId="131">#REF!</definedName>
    <definedName name="rApP" localSheetId="134">#REF!</definedName>
    <definedName name="rApP" localSheetId="142">#REF!</definedName>
    <definedName name="rApP" localSheetId="115">#REF!</definedName>
    <definedName name="rApP" localSheetId="119">#REF!</definedName>
    <definedName name="rApP" localSheetId="158">#REF!</definedName>
    <definedName name="rApP" localSheetId="169">#REF!</definedName>
    <definedName name="rApP" localSheetId="170">#REF!</definedName>
    <definedName name="rApP" localSheetId="171">#REF!</definedName>
    <definedName name="rApP" localSheetId="172">#REF!</definedName>
    <definedName name="rApP" localSheetId="173">#REF!</definedName>
    <definedName name="rApP" localSheetId="174">#REF!</definedName>
    <definedName name="rApP" localSheetId="175">#REF!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182">#REF!</definedName>
    <definedName name="rApP" localSheetId="183">#REF!</definedName>
    <definedName name="rApP" localSheetId="184">#REF!</definedName>
    <definedName name="rApP" localSheetId="185">#REF!</definedName>
    <definedName name="rApP" localSheetId="186">#REF!</definedName>
    <definedName name="rApP" localSheetId="187">#REF!</definedName>
    <definedName name="rApP" localSheetId="157">#REF!</definedName>
    <definedName name="rApP" localSheetId="214">#REF!</definedName>
    <definedName name="rApP" localSheetId="215">#REF!</definedName>
    <definedName name="rApP" localSheetId="216">#REF!</definedName>
    <definedName name="rApP" localSheetId="217">#REF!</definedName>
    <definedName name="rApP" localSheetId="219">#REF!</definedName>
    <definedName name="rApP" localSheetId="220">#REF!</definedName>
    <definedName name="rApP" localSheetId="221">#REF!</definedName>
    <definedName name="rApP" localSheetId="222">#REF!</definedName>
    <definedName name="rApP" localSheetId="223">#REF!</definedName>
    <definedName name="rApP" localSheetId="224">#REF!</definedName>
    <definedName name="rApP" localSheetId="229">#REF!</definedName>
    <definedName name="rApP" localSheetId="203">#REF!</definedName>
    <definedName name="rApP" localSheetId="230">#REF!</definedName>
    <definedName name="rApP" localSheetId="231">#REF!</definedName>
    <definedName name="rApP" localSheetId="232">#REF!</definedName>
    <definedName name="rApP" localSheetId="204">#REF!</definedName>
    <definedName name="rApP" localSheetId="246">#REF!</definedName>
    <definedName name="rApP" localSheetId="255">#REF!</definedName>
    <definedName name="rApP" localSheetId="256">#REF!</definedName>
    <definedName name="rApP" localSheetId="257">#REF!</definedName>
    <definedName name="rApP" localSheetId="258">#REF!</definedName>
    <definedName name="rApP" localSheetId="259">#REF!</definedName>
    <definedName name="rApP" localSheetId="319">#REF!</definedName>
    <definedName name="rApP" localSheetId="320">#REF!</definedName>
    <definedName name="rApP" localSheetId="323">#REF!</definedName>
    <definedName name="rApP">#REF!</definedName>
    <definedName name="rDif" localSheetId="15">#REF!</definedName>
    <definedName name="rDif" localSheetId="16">#REF!</definedName>
    <definedName name="rDif" localSheetId="37">#REF!</definedName>
    <definedName name="rDif" localSheetId="59">#REF!</definedName>
    <definedName name="rDif" localSheetId="60">#REF!</definedName>
    <definedName name="rDif" localSheetId="61">#REF!</definedName>
    <definedName name="rDif" localSheetId="62">#REF!</definedName>
    <definedName name="rDif" localSheetId="63">#REF!</definedName>
    <definedName name="rDif" localSheetId="64">#REF!</definedName>
    <definedName name="rDif" localSheetId="65">#REF!</definedName>
    <definedName name="rDif" localSheetId="66">#REF!</definedName>
    <definedName name="rDif" localSheetId="67">#REF!</definedName>
    <definedName name="rDif" localSheetId="73">#REF!</definedName>
    <definedName name="rDif" localSheetId="77">#REF!</definedName>
    <definedName name="rDif" localSheetId="78">#REF!</definedName>
    <definedName name="rDif" localSheetId="79">#REF!</definedName>
    <definedName name="rDif" localSheetId="80">#REF!</definedName>
    <definedName name="rDif" localSheetId="82">#REF!</definedName>
    <definedName name="rDif" localSheetId="83">#REF!</definedName>
    <definedName name="rDif" localSheetId="84">#REF!</definedName>
    <definedName name="rDif" localSheetId="100">#REF!</definedName>
    <definedName name="rDif" localSheetId="92">#REF!</definedName>
    <definedName name="rDif" localSheetId="95">#REF!</definedName>
    <definedName name="rDif" localSheetId="96">#REF!</definedName>
    <definedName name="rDif" localSheetId="97">#REF!</definedName>
    <definedName name="rDif" localSheetId="121">#REF!</definedName>
    <definedName name="rDif" localSheetId="131">#REF!</definedName>
    <definedName name="rDif" localSheetId="134">#REF!</definedName>
    <definedName name="rDif" localSheetId="142">#REF!</definedName>
    <definedName name="rDif" localSheetId="115">#REF!</definedName>
    <definedName name="rDif" localSheetId="119">#REF!</definedName>
    <definedName name="rDif" localSheetId="158">#REF!</definedName>
    <definedName name="rDif" localSheetId="169">#REF!</definedName>
    <definedName name="rDif" localSheetId="170">#REF!</definedName>
    <definedName name="rDif" localSheetId="171">#REF!</definedName>
    <definedName name="rDif" localSheetId="172">#REF!</definedName>
    <definedName name="rDif" localSheetId="173">#REF!</definedName>
    <definedName name="rDif" localSheetId="174">#REF!</definedName>
    <definedName name="rDif" localSheetId="175">#REF!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182">#REF!</definedName>
    <definedName name="rDif" localSheetId="183">#REF!</definedName>
    <definedName name="rDif" localSheetId="184">#REF!</definedName>
    <definedName name="rDif" localSheetId="185">#REF!</definedName>
    <definedName name="rDif" localSheetId="186">#REF!</definedName>
    <definedName name="rDif" localSheetId="187">#REF!</definedName>
    <definedName name="rDif" localSheetId="157">#REF!</definedName>
    <definedName name="rDif" localSheetId="214">#REF!</definedName>
    <definedName name="rDif" localSheetId="215">#REF!</definedName>
    <definedName name="rDif" localSheetId="216">#REF!</definedName>
    <definedName name="rDif" localSheetId="217">#REF!</definedName>
    <definedName name="rDif" localSheetId="219">#REF!</definedName>
    <definedName name="rDif" localSheetId="220">#REF!</definedName>
    <definedName name="rDif" localSheetId="221">#REF!</definedName>
    <definedName name="rDif" localSheetId="222">#REF!</definedName>
    <definedName name="rDif" localSheetId="223">#REF!</definedName>
    <definedName name="rDif" localSheetId="224">#REF!</definedName>
    <definedName name="rDif" localSheetId="229">#REF!</definedName>
    <definedName name="rDif" localSheetId="203">#REF!</definedName>
    <definedName name="rDif" localSheetId="230">#REF!</definedName>
    <definedName name="rDif" localSheetId="231">#REF!</definedName>
    <definedName name="rDif" localSheetId="232">#REF!</definedName>
    <definedName name="rDif" localSheetId="204">#REF!</definedName>
    <definedName name="rDif" localSheetId="246">#REF!</definedName>
    <definedName name="rDif" localSheetId="255">#REF!</definedName>
    <definedName name="rDif" localSheetId="256">#REF!</definedName>
    <definedName name="rDif" localSheetId="257">#REF!</definedName>
    <definedName name="rDif" localSheetId="258">#REF!</definedName>
    <definedName name="rDif" localSheetId="259">#REF!</definedName>
    <definedName name="rDif" localSheetId="319">#REF!</definedName>
    <definedName name="rDif" localSheetId="320">#REF!</definedName>
    <definedName name="rDif" localSheetId="323">#REF!</definedName>
    <definedName name="rDif">#REF!</definedName>
    <definedName name="rHon" localSheetId="15">#REF!</definedName>
    <definedName name="rHon" localSheetId="16">#REF!</definedName>
    <definedName name="rHon" localSheetId="37">#REF!</definedName>
    <definedName name="rHon" localSheetId="59">#REF!</definedName>
    <definedName name="rHon" localSheetId="60">#REF!</definedName>
    <definedName name="rHon" localSheetId="61">#REF!</definedName>
    <definedName name="rHon" localSheetId="62">#REF!</definedName>
    <definedName name="rHon" localSheetId="63">#REF!</definedName>
    <definedName name="rHon" localSheetId="64">#REF!</definedName>
    <definedName name="rHon" localSheetId="65">#REF!</definedName>
    <definedName name="rHon" localSheetId="66">#REF!</definedName>
    <definedName name="rHon" localSheetId="67">#REF!</definedName>
    <definedName name="rHon" localSheetId="73">#REF!</definedName>
    <definedName name="rHon" localSheetId="77">#REF!</definedName>
    <definedName name="rHon" localSheetId="78">#REF!</definedName>
    <definedName name="rHon" localSheetId="79">#REF!</definedName>
    <definedName name="rHon" localSheetId="80">#REF!</definedName>
    <definedName name="rHon" localSheetId="82">#REF!</definedName>
    <definedName name="rHon" localSheetId="83">#REF!</definedName>
    <definedName name="rHon" localSheetId="84">#REF!</definedName>
    <definedName name="rHon" localSheetId="100">#REF!</definedName>
    <definedName name="rHon" localSheetId="92">#REF!</definedName>
    <definedName name="rHon" localSheetId="95">#REF!</definedName>
    <definedName name="rHon" localSheetId="96">#REF!</definedName>
    <definedName name="rHon" localSheetId="97">#REF!</definedName>
    <definedName name="rHon" localSheetId="121">#REF!</definedName>
    <definedName name="rHon" localSheetId="131">#REF!</definedName>
    <definedName name="rHon" localSheetId="134">#REF!</definedName>
    <definedName name="rHon" localSheetId="142">#REF!</definedName>
    <definedName name="rHon" localSheetId="115">#REF!</definedName>
    <definedName name="rHon" localSheetId="119">#REF!</definedName>
    <definedName name="rHon" localSheetId="158">#REF!</definedName>
    <definedName name="rHon" localSheetId="169">#REF!</definedName>
    <definedName name="rHon" localSheetId="170">#REF!</definedName>
    <definedName name="rHon" localSheetId="171">#REF!</definedName>
    <definedName name="rHon" localSheetId="172">#REF!</definedName>
    <definedName name="rHon" localSheetId="173">#REF!</definedName>
    <definedName name="rHon" localSheetId="174">#REF!</definedName>
    <definedName name="rHon" localSheetId="175">#REF!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182">#REF!</definedName>
    <definedName name="rHon" localSheetId="183">#REF!</definedName>
    <definedName name="rHon" localSheetId="184">#REF!</definedName>
    <definedName name="rHon" localSheetId="185">#REF!</definedName>
    <definedName name="rHon" localSheetId="186">#REF!</definedName>
    <definedName name="rHon" localSheetId="187">#REF!</definedName>
    <definedName name="rHon" localSheetId="157">#REF!</definedName>
    <definedName name="rHon" localSheetId="214">#REF!</definedName>
    <definedName name="rHon" localSheetId="215">#REF!</definedName>
    <definedName name="rHon" localSheetId="216">#REF!</definedName>
    <definedName name="rHon" localSheetId="217">#REF!</definedName>
    <definedName name="rHon" localSheetId="219">#REF!</definedName>
    <definedName name="rHon" localSheetId="220">#REF!</definedName>
    <definedName name="rHon" localSheetId="221">#REF!</definedName>
    <definedName name="rHon" localSheetId="222">#REF!</definedName>
    <definedName name="rHon" localSheetId="223">#REF!</definedName>
    <definedName name="rHon" localSheetId="224">#REF!</definedName>
    <definedName name="rHon" localSheetId="229">#REF!</definedName>
    <definedName name="rHon" localSheetId="203">#REF!</definedName>
    <definedName name="rHon" localSheetId="230">#REF!</definedName>
    <definedName name="rHon" localSheetId="231">#REF!</definedName>
    <definedName name="rHon" localSheetId="232">#REF!</definedName>
    <definedName name="rHon" localSheetId="204">#REF!</definedName>
    <definedName name="rHon" localSheetId="246">#REF!</definedName>
    <definedName name="rHon" localSheetId="255">#REF!</definedName>
    <definedName name="rHon" localSheetId="256">#REF!</definedName>
    <definedName name="rHon" localSheetId="257">#REF!</definedName>
    <definedName name="rHon" localSheetId="258">#REF!</definedName>
    <definedName name="rHon" localSheetId="259">#REF!</definedName>
    <definedName name="rHon" localSheetId="319">#REF!</definedName>
    <definedName name="rHon" localSheetId="320">#REF!</definedName>
    <definedName name="rHon" localSheetId="323">#REF!</definedName>
    <definedName name="rHon">#REF!</definedName>
    <definedName name="rInv" localSheetId="15">#REF!</definedName>
    <definedName name="rInv" localSheetId="16">#REF!</definedName>
    <definedName name="rInv" localSheetId="37">#REF!</definedName>
    <definedName name="rInv" localSheetId="59">#REF!</definedName>
    <definedName name="rInv" localSheetId="60">#REF!</definedName>
    <definedName name="rInv" localSheetId="61">#REF!</definedName>
    <definedName name="rInv" localSheetId="62">#REF!</definedName>
    <definedName name="rInv" localSheetId="63">#REF!</definedName>
    <definedName name="rInv" localSheetId="64">#REF!</definedName>
    <definedName name="rInv" localSheetId="65">#REF!</definedName>
    <definedName name="rInv" localSheetId="66">#REF!</definedName>
    <definedName name="rInv" localSheetId="67">#REF!</definedName>
    <definedName name="rInv" localSheetId="73">#REF!</definedName>
    <definedName name="rInv" localSheetId="77">#REF!</definedName>
    <definedName name="rInv" localSheetId="78">#REF!</definedName>
    <definedName name="rInv" localSheetId="79">#REF!</definedName>
    <definedName name="rInv" localSheetId="80">#REF!</definedName>
    <definedName name="rInv" localSheetId="82">#REF!</definedName>
    <definedName name="rInv" localSheetId="83">#REF!</definedName>
    <definedName name="rInv" localSheetId="84">#REF!</definedName>
    <definedName name="rInv" localSheetId="100">#REF!</definedName>
    <definedName name="rInv" localSheetId="92">#REF!</definedName>
    <definedName name="rInv" localSheetId="95">#REF!</definedName>
    <definedName name="rInv" localSheetId="96">#REF!</definedName>
    <definedName name="rInv" localSheetId="97">#REF!</definedName>
    <definedName name="rInv" localSheetId="121">#REF!</definedName>
    <definedName name="rInv" localSheetId="131">#REF!</definedName>
    <definedName name="rInv" localSheetId="134">#REF!</definedName>
    <definedName name="rInv" localSheetId="142">#REF!</definedName>
    <definedName name="rInv" localSheetId="115">#REF!</definedName>
    <definedName name="rInv" localSheetId="119">#REF!</definedName>
    <definedName name="rInv" localSheetId="158">#REF!</definedName>
    <definedName name="rInv" localSheetId="169">#REF!</definedName>
    <definedName name="rInv" localSheetId="170">#REF!</definedName>
    <definedName name="rInv" localSheetId="171">#REF!</definedName>
    <definedName name="rInv" localSheetId="172">#REF!</definedName>
    <definedName name="rInv" localSheetId="173">#REF!</definedName>
    <definedName name="rInv" localSheetId="174">#REF!</definedName>
    <definedName name="rInv" localSheetId="175">#REF!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182">#REF!</definedName>
    <definedName name="rInv" localSheetId="183">#REF!</definedName>
    <definedName name="rInv" localSheetId="184">#REF!</definedName>
    <definedName name="rInv" localSheetId="185">#REF!</definedName>
    <definedName name="rInv" localSheetId="186">#REF!</definedName>
    <definedName name="rInv" localSheetId="187">#REF!</definedName>
    <definedName name="rInv" localSheetId="157">#REF!</definedName>
    <definedName name="rInv" localSheetId="214">#REF!</definedName>
    <definedName name="rInv" localSheetId="215">#REF!</definedName>
    <definedName name="rInv" localSheetId="216">#REF!</definedName>
    <definedName name="rInv" localSheetId="217">#REF!</definedName>
    <definedName name="rInv" localSheetId="219">#REF!</definedName>
    <definedName name="rInv" localSheetId="220">#REF!</definedName>
    <definedName name="rInv" localSheetId="221">#REF!</definedName>
    <definedName name="rInv" localSheetId="222">#REF!</definedName>
    <definedName name="rInv" localSheetId="223">#REF!</definedName>
    <definedName name="rInv" localSheetId="224">#REF!</definedName>
    <definedName name="rInv" localSheetId="229">#REF!</definedName>
    <definedName name="rInv" localSheetId="203">#REF!</definedName>
    <definedName name="rInv" localSheetId="230">#REF!</definedName>
    <definedName name="rInv" localSheetId="231">#REF!</definedName>
    <definedName name="rInv" localSheetId="232">#REF!</definedName>
    <definedName name="rInv" localSheetId="204">#REF!</definedName>
    <definedName name="rInv" localSheetId="246">#REF!</definedName>
    <definedName name="rInv" localSheetId="255">#REF!</definedName>
    <definedName name="rInv" localSheetId="256">#REF!</definedName>
    <definedName name="rInv" localSheetId="257">#REF!</definedName>
    <definedName name="rInv" localSheetId="258">#REF!</definedName>
    <definedName name="rInv" localSheetId="259">#REF!</definedName>
    <definedName name="rInv" localSheetId="319">#REF!</definedName>
    <definedName name="rInv" localSheetId="320">#REF!</definedName>
    <definedName name="rInv" localSheetId="323">#REF!</definedName>
    <definedName name="rInv">#REF!</definedName>
    <definedName name="rOpe" localSheetId="15">#REF!</definedName>
    <definedName name="rOpe" localSheetId="16">#REF!</definedName>
    <definedName name="rOpe" localSheetId="37">#REF!</definedName>
    <definedName name="rOpe" localSheetId="59">#REF!</definedName>
    <definedName name="rOpe" localSheetId="60">#REF!</definedName>
    <definedName name="rOpe" localSheetId="61">#REF!</definedName>
    <definedName name="rOpe" localSheetId="62">#REF!</definedName>
    <definedName name="rOpe" localSheetId="63">#REF!</definedName>
    <definedName name="rOpe" localSheetId="64">#REF!</definedName>
    <definedName name="rOpe" localSheetId="65">#REF!</definedName>
    <definedName name="rOpe" localSheetId="66">#REF!</definedName>
    <definedName name="rOpe" localSheetId="67">#REF!</definedName>
    <definedName name="rOpe" localSheetId="73">#REF!</definedName>
    <definedName name="rOpe" localSheetId="77">#REF!</definedName>
    <definedName name="rOpe" localSheetId="78">#REF!</definedName>
    <definedName name="rOpe" localSheetId="79">#REF!</definedName>
    <definedName name="rOpe" localSheetId="80">#REF!</definedName>
    <definedName name="rOpe" localSheetId="82">#REF!</definedName>
    <definedName name="rOpe" localSheetId="83">#REF!</definedName>
    <definedName name="rOpe" localSheetId="84">#REF!</definedName>
    <definedName name="rOpe" localSheetId="100">#REF!</definedName>
    <definedName name="rOpe" localSheetId="92">#REF!</definedName>
    <definedName name="rOpe" localSheetId="95">#REF!</definedName>
    <definedName name="rOpe" localSheetId="96">#REF!</definedName>
    <definedName name="rOpe" localSheetId="97">#REF!</definedName>
    <definedName name="rOpe" localSheetId="121">#REF!</definedName>
    <definedName name="rOpe" localSheetId="131">#REF!</definedName>
    <definedName name="rOpe" localSheetId="134">#REF!</definedName>
    <definedName name="rOpe" localSheetId="142">#REF!</definedName>
    <definedName name="rOpe" localSheetId="115">#REF!</definedName>
    <definedName name="rOpe" localSheetId="119">#REF!</definedName>
    <definedName name="rOpe" localSheetId="158">#REF!</definedName>
    <definedName name="rOpe" localSheetId="169">#REF!</definedName>
    <definedName name="rOpe" localSheetId="170">#REF!</definedName>
    <definedName name="rOpe" localSheetId="171">#REF!</definedName>
    <definedName name="rOpe" localSheetId="172">#REF!</definedName>
    <definedName name="rOpe" localSheetId="173">#REF!</definedName>
    <definedName name="rOpe" localSheetId="174">#REF!</definedName>
    <definedName name="rOpe" localSheetId="175">#REF!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182">#REF!</definedName>
    <definedName name="rOpe" localSheetId="183">#REF!</definedName>
    <definedName name="rOpe" localSheetId="184">#REF!</definedName>
    <definedName name="rOpe" localSheetId="185">#REF!</definedName>
    <definedName name="rOpe" localSheetId="186">#REF!</definedName>
    <definedName name="rOpe" localSheetId="187">#REF!</definedName>
    <definedName name="rOpe" localSheetId="157">#REF!</definedName>
    <definedName name="rOpe" localSheetId="214">#REF!</definedName>
    <definedName name="rOpe" localSheetId="215">#REF!</definedName>
    <definedName name="rOpe" localSheetId="216">#REF!</definedName>
    <definedName name="rOpe" localSheetId="217">#REF!</definedName>
    <definedName name="rOpe" localSheetId="219">#REF!</definedName>
    <definedName name="rOpe" localSheetId="220">#REF!</definedName>
    <definedName name="rOpe" localSheetId="221">#REF!</definedName>
    <definedName name="rOpe" localSheetId="222">#REF!</definedName>
    <definedName name="rOpe" localSheetId="223">#REF!</definedName>
    <definedName name="rOpe" localSheetId="224">#REF!</definedName>
    <definedName name="rOpe" localSheetId="229">#REF!</definedName>
    <definedName name="rOpe" localSheetId="203">#REF!</definedName>
    <definedName name="rOpe" localSheetId="230">#REF!</definedName>
    <definedName name="rOpe" localSheetId="231">#REF!</definedName>
    <definedName name="rOpe" localSheetId="232">#REF!</definedName>
    <definedName name="rOpe" localSheetId="204">#REF!</definedName>
    <definedName name="rOpe" localSheetId="246">#REF!</definedName>
    <definedName name="rOpe" localSheetId="255">#REF!</definedName>
    <definedName name="rOpe" localSheetId="256">#REF!</definedName>
    <definedName name="rOpe" localSheetId="257">#REF!</definedName>
    <definedName name="rOpe" localSheetId="258">#REF!</definedName>
    <definedName name="rOpe" localSheetId="259">#REF!</definedName>
    <definedName name="rOpe" localSheetId="319">#REF!</definedName>
    <definedName name="rOpe" localSheetId="320">#REF!</definedName>
    <definedName name="rOpe" localSheetId="323">#REF!</definedName>
    <definedName name="rOpe">#REF!</definedName>
    <definedName name="_xlnm.Print_Titles" localSheetId="242">'16.42 (ex44)'!$A:$A,'16.42 (ex44)'!$2:$5</definedName>
    <definedName name="yyy" localSheetId="15" hidden="1">#REF!</definedName>
    <definedName name="yyy" localSheetId="16" hidden="1">#REF!</definedName>
    <definedName name="yyy" localSheetId="37" hidden="1">#REF!</definedName>
    <definedName name="yyy" localSheetId="59" hidden="1">#REF!</definedName>
    <definedName name="yyy" localSheetId="60" hidden="1">#REF!</definedName>
    <definedName name="yyy" localSheetId="61" hidden="1">#REF!</definedName>
    <definedName name="yyy" localSheetId="62" hidden="1">#REF!</definedName>
    <definedName name="yyy" localSheetId="63" hidden="1">#REF!</definedName>
    <definedName name="yyy" localSheetId="64" hidden="1">#REF!</definedName>
    <definedName name="yyy" localSheetId="65" hidden="1">#REF!</definedName>
    <definedName name="yyy" localSheetId="66" hidden="1">#REF!</definedName>
    <definedName name="yyy" localSheetId="67" hidden="1">#REF!</definedName>
    <definedName name="yyy" localSheetId="73" hidden="1">#REF!</definedName>
    <definedName name="yyy" localSheetId="77" hidden="1">#REF!</definedName>
    <definedName name="yyy" localSheetId="78" hidden="1">#REF!</definedName>
    <definedName name="yyy" localSheetId="79" hidden="1">#REF!</definedName>
    <definedName name="yyy" localSheetId="80" hidden="1">#REF!</definedName>
    <definedName name="yyy" localSheetId="100" hidden="1">#REF!</definedName>
    <definedName name="yyy" localSheetId="92" hidden="1">#REF!</definedName>
    <definedName name="yyy" localSheetId="95" hidden="1">#REF!</definedName>
    <definedName name="yyy" localSheetId="96" hidden="1">#REF!</definedName>
    <definedName name="yyy" localSheetId="97" hidden="1">#REF!</definedName>
    <definedName name="yyy" localSheetId="115" hidden="1">#REF!</definedName>
    <definedName name="yyy" localSheetId="158" hidden="1">#REF!</definedName>
    <definedName name="yyy" localSheetId="169" hidden="1">#REF!</definedName>
    <definedName name="yyy" localSheetId="170" hidden="1">#REF!</definedName>
    <definedName name="yyy" localSheetId="171" hidden="1">#REF!</definedName>
    <definedName name="yyy" localSheetId="172" hidden="1">#REF!</definedName>
    <definedName name="yyy" localSheetId="173" hidden="1">#REF!</definedName>
    <definedName name="yyy" localSheetId="174" hidden="1">#REF!</definedName>
    <definedName name="yyy" localSheetId="175"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86" hidden="1">#REF!</definedName>
    <definedName name="yyy" localSheetId="187" hidden="1">#REF!</definedName>
    <definedName name="yyy" localSheetId="157" hidden="1">#REF!</definedName>
    <definedName name="yyy" localSheetId="214" hidden="1">#REF!</definedName>
    <definedName name="yyy" localSheetId="215" hidden="1">#REF!</definedName>
    <definedName name="yyy" localSheetId="216" hidden="1">#REF!</definedName>
    <definedName name="yyy" localSheetId="217" hidden="1">#REF!</definedName>
    <definedName name="yyy" localSheetId="219" hidden="1">#REF!</definedName>
    <definedName name="yyy" localSheetId="220" hidden="1">#REF!</definedName>
    <definedName name="yyy" localSheetId="221" hidden="1">#REF!</definedName>
    <definedName name="yyy" localSheetId="222" hidden="1">#REF!</definedName>
    <definedName name="yyy" localSheetId="223" hidden="1">#REF!</definedName>
    <definedName name="yyy" localSheetId="224" hidden="1">#REF!</definedName>
    <definedName name="yyy" localSheetId="229" hidden="1">#REF!</definedName>
    <definedName name="yyy" localSheetId="230" hidden="1">#REF!</definedName>
    <definedName name="yyy" localSheetId="231" hidden="1">#REF!</definedName>
    <definedName name="yyy" localSheetId="232" hidden="1">#REF!</definedName>
    <definedName name="yyy" localSheetId="234" hidden="1">#REF!</definedName>
    <definedName name="yyy" localSheetId="235" hidden="1">#REF!</definedName>
    <definedName name="yyy" localSheetId="204" hidden="1">#REF!</definedName>
    <definedName name="yyy" localSheetId="242" hidden="1">#REF!</definedName>
    <definedName name="yyy" localSheetId="246" hidden="1">#REF!</definedName>
    <definedName name="yyy" localSheetId="319" hidden="1">#REF!</definedName>
    <definedName name="yyy" localSheetId="320" hidden="1">#REF!</definedName>
    <definedName name="yyy" localSheetId="323" hidden="1">#REF!</definedName>
    <definedName name="yyy" hidden="1">#REF!</definedName>
    <definedName name="Z_51FBA572_2699_42A1_9123_1A6459BBB26F_.wvu.PrintArea" localSheetId="123" hidden="1">'14.13'!$A$2:$D$14</definedName>
    <definedName name="Z_51FBA572_2699_42A1_9123_1A6459BBB26F_.wvu.PrintArea" localSheetId="242" hidden="1">'16.42 (ex44)'!$A$2:$O$21</definedName>
    <definedName name="Z_51FBA572_2699_42A1_9123_1A6459BBB26F_.wvu.PrintArea" localSheetId="257" hidden="1">'18.3'!$A$1:$D$36</definedName>
    <definedName name="Z_51FBA572_2699_42A1_9123_1A6459BBB26F_.wvu.PrintArea" localSheetId="258" hidden="1">'18.4'!$A$1:$F$29</definedName>
    <definedName name="Z_51FBA572_2699_42A1_9123_1A6459BBB26F_.wvu.PrintTitles" localSheetId="242" hidden="1">'16.42 (ex44)'!$A:$A,'16.42 (ex44)'!$2:$5</definedName>
    <definedName name="Z_BE7EB97C_E11C_4B62_A8D0_356ED063A064_.wvu.PrintArea" localSheetId="123" hidden="1">'14.13'!$A$2:$D$14</definedName>
    <definedName name="Z_BE7EB97C_E11C_4B62_A8D0_356ED063A064_.wvu.PrintArea" localSheetId="242" hidden="1">'16.42 (ex44)'!$A$2:$O$21</definedName>
    <definedName name="Z_BE7EB97C_E11C_4B62_A8D0_356ED063A064_.wvu.PrintArea" localSheetId="257" hidden="1">'18.3'!$A$1:$D$36</definedName>
    <definedName name="Z_BE7EB97C_E11C_4B62_A8D0_356ED063A064_.wvu.PrintArea" localSheetId="258" hidden="1">'18.4'!$A$1:$F$29</definedName>
    <definedName name="Z_BE7EB97C_E11C_4B62_A8D0_356ED063A064_.wvu.PrintTitles" localSheetId="242" hidden="1">'16.42 (ex44)'!$A:$A,'16.42 (ex44)'!$2:$5</definedName>
    <definedName name="Z_C24E30C0_020A_4E2D_954B_FCF38865B0E1_.wvu.PrintArea" localSheetId="123" hidden="1">'14.13'!$A$2:$D$14</definedName>
    <definedName name="Z_C24E30C0_020A_4E2D_954B_FCF38865B0E1_.wvu.PrintArea" localSheetId="242" hidden="1">'16.42 (ex44)'!$A$2:$O$21</definedName>
    <definedName name="Z_C24E30C0_020A_4E2D_954B_FCF38865B0E1_.wvu.PrintArea" localSheetId="257" hidden="1">'18.3'!$A$1:$D$36</definedName>
    <definedName name="Z_C24E30C0_020A_4E2D_954B_FCF38865B0E1_.wvu.PrintArea" localSheetId="258" hidden="1">'18.4'!$A$1:$F$29</definedName>
    <definedName name="Z_C24E30C0_020A_4E2D_954B_FCF38865B0E1_.wvu.PrintTitles" localSheetId="242" hidden="1">'16.42 (ex44)'!$A:$A,'16.42 (ex44)'!$2:$5</definedName>
  </definedNames>
  <calcPr calcId="162913"/>
</workbook>
</file>

<file path=xl/calcChain.xml><?xml version="1.0" encoding="utf-8"?>
<calcChain xmlns="http://schemas.openxmlformats.org/spreadsheetml/2006/main">
  <c r="F6" i="204" l="1"/>
  <c r="C31" i="309" l="1"/>
  <c r="B9" i="21" l="1"/>
  <c r="B8" i="21"/>
  <c r="B7" i="21"/>
  <c r="F6" i="21"/>
  <c r="E6" i="21"/>
  <c r="D6" i="21"/>
  <c r="C6" i="21"/>
  <c r="B6" i="21" l="1"/>
  <c r="B12" i="356" l="1"/>
  <c r="B11" i="356"/>
  <c r="B10" i="356"/>
  <c r="B9" i="356"/>
  <c r="B7" i="356" s="1"/>
  <c r="B8" i="356"/>
  <c r="B5" i="356"/>
  <c r="G35" i="355"/>
  <c r="C35" i="355"/>
  <c r="G34" i="355"/>
  <c r="C34" i="355"/>
  <c r="G33" i="355"/>
  <c r="C33" i="355"/>
  <c r="G32" i="355"/>
  <c r="C32" i="355"/>
  <c r="G31" i="355"/>
  <c r="C31" i="355"/>
  <c r="G30" i="355"/>
  <c r="C30" i="355"/>
  <c r="G29" i="355"/>
  <c r="C29" i="355"/>
  <c r="G28" i="355"/>
  <c r="C28" i="355"/>
  <c r="J27" i="355"/>
  <c r="I27" i="355"/>
  <c r="H27" i="355"/>
  <c r="F27" i="355"/>
  <c r="E27" i="355"/>
  <c r="D27" i="355"/>
  <c r="G26" i="355"/>
  <c r="C26" i="355"/>
  <c r="I25" i="355"/>
  <c r="G25" i="355" s="1"/>
  <c r="G15" i="355" s="1"/>
  <c r="C25" i="355"/>
  <c r="G24" i="355"/>
  <c r="C24" i="355"/>
  <c r="G23" i="355"/>
  <c r="C23" i="355"/>
  <c r="G22" i="355"/>
  <c r="C22" i="355"/>
  <c r="G21" i="355"/>
  <c r="C21" i="355"/>
  <c r="G20" i="355"/>
  <c r="C20" i="355"/>
  <c r="G19" i="355"/>
  <c r="C19" i="355"/>
  <c r="G18" i="355"/>
  <c r="C18" i="355"/>
  <c r="C15" i="355" s="1"/>
  <c r="G17" i="355"/>
  <c r="C17" i="355"/>
  <c r="G16" i="355"/>
  <c r="C16" i="355"/>
  <c r="J15" i="355"/>
  <c r="H15" i="355"/>
  <c r="F15" i="355"/>
  <c r="E15" i="355"/>
  <c r="D15" i="355"/>
  <c r="G14" i="355"/>
  <c r="C14" i="355"/>
  <c r="G13" i="355"/>
  <c r="C13" i="355"/>
  <c r="G12" i="355"/>
  <c r="C12" i="355"/>
  <c r="G11" i="355"/>
  <c r="C11" i="355"/>
  <c r="G10" i="355"/>
  <c r="C10" i="355"/>
  <c r="G9" i="355"/>
  <c r="C9" i="355"/>
  <c r="G8" i="355"/>
  <c r="C8" i="355"/>
  <c r="C6" i="355" s="1"/>
  <c r="J7" i="355"/>
  <c r="J6" i="355" s="1"/>
  <c r="C7" i="355"/>
  <c r="I6" i="355"/>
  <c r="H6" i="355"/>
  <c r="F6" i="355"/>
  <c r="E6" i="355"/>
  <c r="D6" i="355"/>
  <c r="H21" i="354"/>
  <c r="H18" i="354" s="1"/>
  <c r="G21" i="354"/>
  <c r="G18" i="354" s="1"/>
  <c r="E18" i="354" s="1"/>
  <c r="D21" i="354"/>
  <c r="H20" i="354"/>
  <c r="D20" i="354"/>
  <c r="H19" i="354"/>
  <c r="D19" i="354"/>
  <c r="D18" i="354" s="1"/>
  <c r="B18" i="354" s="1"/>
  <c r="J18" i="354"/>
  <c r="I18" i="354"/>
  <c r="F18" i="354"/>
  <c r="C18" i="354"/>
  <c r="H17" i="354"/>
  <c r="G17" i="354"/>
  <c r="E17" i="354" s="1"/>
  <c r="D17" i="354"/>
  <c r="H16" i="354"/>
  <c r="G16" i="354"/>
  <c r="D16" i="354"/>
  <c r="H15" i="354"/>
  <c r="G15" i="354"/>
  <c r="D15" i="354"/>
  <c r="H14" i="354"/>
  <c r="G14" i="354"/>
  <c r="E14" i="354" s="1"/>
  <c r="D14" i="354"/>
  <c r="H13" i="354"/>
  <c r="G13" i="354"/>
  <c r="D13" i="354"/>
  <c r="H12" i="354"/>
  <c r="G12" i="354"/>
  <c r="D12" i="354"/>
  <c r="H11" i="354"/>
  <c r="H10" i="354" s="1"/>
  <c r="G11" i="354"/>
  <c r="D11" i="354"/>
  <c r="J10" i="354"/>
  <c r="I10" i="354"/>
  <c r="F10" i="354"/>
  <c r="D10" i="354"/>
  <c r="B10" i="354" s="1"/>
  <c r="C10" i="354"/>
  <c r="J9" i="354"/>
  <c r="J7" i="354" s="1"/>
  <c r="E9" i="354"/>
  <c r="D9" i="354"/>
  <c r="H8" i="354"/>
  <c r="E8" i="354"/>
  <c r="D8" i="354"/>
  <c r="D7" i="354" s="1"/>
  <c r="D6" i="354" s="1"/>
  <c r="I7" i="354"/>
  <c r="G7" i="354"/>
  <c r="F7" i="354"/>
  <c r="F6" i="354" s="1"/>
  <c r="C7" i="354"/>
  <c r="C6" i="354" s="1"/>
  <c r="I6" i="354"/>
  <c r="B18" i="353"/>
  <c r="B17" i="353"/>
  <c r="B15" i="353"/>
  <c r="B14" i="353"/>
  <c r="B12" i="353"/>
  <c r="B11" i="353"/>
  <c r="B10" i="353"/>
  <c r="B7" i="353" s="1"/>
  <c r="B9" i="353"/>
  <c r="G7" i="353"/>
  <c r="F7" i="353"/>
  <c r="E7" i="353"/>
  <c r="D7" i="353"/>
  <c r="C7" i="353"/>
  <c r="G6" i="353"/>
  <c r="F6" i="353"/>
  <c r="E6" i="353"/>
  <c r="D6" i="353"/>
  <c r="C6" i="353"/>
  <c r="B6" i="353"/>
  <c r="E16" i="352"/>
  <c r="E14" i="352"/>
  <c r="D10" i="352"/>
  <c r="E17" i="352" s="1"/>
  <c r="B10" i="352"/>
  <c r="C18" i="352" s="1"/>
  <c r="D6" i="352"/>
  <c r="E8" i="352" s="1"/>
  <c r="B6" i="352"/>
  <c r="C9" i="352" s="1"/>
  <c r="C8" i="352" l="1"/>
  <c r="E18" i="352"/>
  <c r="G27" i="355"/>
  <c r="E9" i="352"/>
  <c r="E7" i="354"/>
  <c r="C27" i="355"/>
  <c r="E7" i="352"/>
  <c r="H9" i="354"/>
  <c r="H7" i="354" s="1"/>
  <c r="H6" i="354" s="1"/>
  <c r="E10" i="352"/>
  <c r="J6" i="354"/>
  <c r="G10" i="354"/>
  <c r="E21" i="354"/>
  <c r="C6" i="352"/>
  <c r="E12" i="352"/>
  <c r="G7" i="355"/>
  <c r="G6" i="355" s="1"/>
  <c r="G6" i="354"/>
  <c r="E10" i="354"/>
  <c r="E6" i="354" s="1"/>
  <c r="C13" i="352"/>
  <c r="E6" i="352"/>
  <c r="C10" i="352"/>
  <c r="E11" i="352"/>
  <c r="E13" i="352"/>
  <c r="E15" i="352"/>
  <c r="B7" i="354"/>
  <c r="B6" i="354" s="1"/>
  <c r="I15" i="355"/>
  <c r="C11" i="352"/>
  <c r="C15" i="352"/>
  <c r="C17" i="352"/>
  <c r="C7" i="352"/>
  <c r="C12" i="352"/>
  <c r="C14" i="352"/>
  <c r="C16" i="352"/>
  <c r="B63" i="351" l="1"/>
  <c r="B62" i="351"/>
  <c r="B61" i="351"/>
  <c r="B60" i="351"/>
  <c r="B59" i="351"/>
  <c r="B58" i="351"/>
  <c r="B57" i="351"/>
  <c r="B56" i="351"/>
  <c r="B55" i="351"/>
  <c r="B54" i="351"/>
  <c r="B53" i="351"/>
  <c r="B52" i="351"/>
  <c r="B51" i="351"/>
  <c r="B50" i="351"/>
  <c r="B49" i="351"/>
  <c r="I48" i="351"/>
  <c r="H48" i="351"/>
  <c r="G48" i="351"/>
  <c r="F48" i="351"/>
  <c r="E48" i="351"/>
  <c r="D48" i="351"/>
  <c r="C48" i="351"/>
  <c r="B47" i="351"/>
  <c r="I46" i="351"/>
  <c r="I45" i="351" s="1"/>
  <c r="H46" i="351"/>
  <c r="G46" i="351"/>
  <c r="F46" i="351"/>
  <c r="F45" i="351" s="1"/>
  <c r="E46" i="351"/>
  <c r="E45" i="351" s="1"/>
  <c r="D46" i="351"/>
  <c r="D45" i="351" s="1"/>
  <c r="C46" i="351"/>
  <c r="B46" i="351"/>
  <c r="H45" i="351"/>
  <c r="B44" i="351"/>
  <c r="I43" i="351"/>
  <c r="H43" i="351"/>
  <c r="G43" i="351"/>
  <c r="F43" i="351"/>
  <c r="E43" i="351"/>
  <c r="D43" i="351"/>
  <c r="C43" i="351"/>
  <c r="B43" i="351"/>
  <c r="B42" i="351"/>
  <c r="B41" i="351"/>
  <c r="B40" i="351"/>
  <c r="B39" i="351"/>
  <c r="B38" i="351"/>
  <c r="I37" i="351"/>
  <c r="I27" i="351" s="1"/>
  <c r="H37" i="351"/>
  <c r="G37" i="351"/>
  <c r="F37" i="351"/>
  <c r="E37" i="351"/>
  <c r="D37" i="351"/>
  <c r="C37" i="351"/>
  <c r="B36" i="351"/>
  <c r="B35" i="351"/>
  <c r="B33" i="351" s="1"/>
  <c r="B34" i="351"/>
  <c r="I33" i="351"/>
  <c r="H33" i="351"/>
  <c r="G33" i="351"/>
  <c r="F33" i="351"/>
  <c r="E33" i="351"/>
  <c r="D33" i="351"/>
  <c r="C33" i="351"/>
  <c r="B32" i="351"/>
  <c r="B31" i="351"/>
  <c r="B30" i="351"/>
  <c r="B29" i="351"/>
  <c r="I28" i="351"/>
  <c r="H28" i="351"/>
  <c r="G28" i="351"/>
  <c r="G27" i="351" s="1"/>
  <c r="F28" i="351"/>
  <c r="F27" i="351" s="1"/>
  <c r="E28" i="351"/>
  <c r="D28" i="351"/>
  <c r="C28" i="351"/>
  <c r="B26" i="351"/>
  <c r="B25" i="351"/>
  <c r="B24" i="351"/>
  <c r="I23" i="351"/>
  <c r="H23" i="351"/>
  <c r="G23" i="351"/>
  <c r="F23" i="351"/>
  <c r="E23" i="351"/>
  <c r="D23" i="351"/>
  <c r="C23" i="351"/>
  <c r="B22" i="351"/>
  <c r="B20" i="351" s="1"/>
  <c r="B21" i="351"/>
  <c r="I20" i="351"/>
  <c r="H20" i="351"/>
  <c r="H19" i="351" s="1"/>
  <c r="G20" i="351"/>
  <c r="G19" i="351" s="1"/>
  <c r="F20" i="351"/>
  <c r="F19" i="351" s="1"/>
  <c r="E20" i="351"/>
  <c r="D20" i="351"/>
  <c r="D19" i="351" s="1"/>
  <c r="C20" i="351"/>
  <c r="B18" i="351"/>
  <c r="I17" i="351"/>
  <c r="H17" i="351"/>
  <c r="G17" i="351"/>
  <c r="F17" i="351"/>
  <c r="E17" i="351"/>
  <c r="D17" i="351"/>
  <c r="C17" i="351"/>
  <c r="B17" i="351"/>
  <c r="B16" i="351"/>
  <c r="I15" i="351"/>
  <c r="H15" i="351"/>
  <c r="G15" i="351"/>
  <c r="F15" i="351"/>
  <c r="F10" i="351" s="1"/>
  <c r="E15" i="351"/>
  <c r="D15" i="351"/>
  <c r="C15" i="351"/>
  <c r="B15" i="351"/>
  <c r="B14" i="351"/>
  <c r="B13" i="351"/>
  <c r="B12" i="351"/>
  <c r="I11" i="351"/>
  <c r="I10" i="351" s="1"/>
  <c r="H11" i="351"/>
  <c r="G11" i="351"/>
  <c r="F11" i="351"/>
  <c r="E11" i="351"/>
  <c r="D11" i="351"/>
  <c r="C11" i="351"/>
  <c r="C10" i="351" s="1"/>
  <c r="H10" i="351"/>
  <c r="D10" i="351"/>
  <c r="B9" i="351"/>
  <c r="I8" i="351"/>
  <c r="H8" i="351"/>
  <c r="G8" i="351"/>
  <c r="F8" i="351"/>
  <c r="E8" i="351"/>
  <c r="D8" i="351"/>
  <c r="C8" i="351"/>
  <c r="B8" i="351"/>
  <c r="I7" i="351"/>
  <c r="H7" i="351"/>
  <c r="G7" i="351"/>
  <c r="F7" i="351"/>
  <c r="E7" i="351"/>
  <c r="D7" i="351"/>
  <c r="C7" i="351"/>
  <c r="B7" i="351"/>
  <c r="B25" i="350"/>
  <c r="B23" i="350" s="1"/>
  <c r="B24" i="350"/>
  <c r="I23" i="350"/>
  <c r="H23" i="350"/>
  <c r="G23" i="350"/>
  <c r="F23" i="350"/>
  <c r="E23" i="350"/>
  <c r="D23" i="350"/>
  <c r="C23" i="350"/>
  <c r="B22" i="350"/>
  <c r="B21" i="350"/>
  <c r="B20" i="350"/>
  <c r="B19" i="350"/>
  <c r="I18" i="350"/>
  <c r="H18" i="350"/>
  <c r="G18" i="350"/>
  <c r="F18" i="350"/>
  <c r="E18" i="350"/>
  <c r="D18" i="350"/>
  <c r="C18" i="350"/>
  <c r="B17" i="350"/>
  <c r="B16" i="350"/>
  <c r="B15" i="350"/>
  <c r="B14" i="350"/>
  <c r="I13" i="350"/>
  <c r="H13" i="350"/>
  <c r="G13" i="350"/>
  <c r="F13" i="350"/>
  <c r="E13" i="350"/>
  <c r="D13" i="350"/>
  <c r="C13" i="350"/>
  <c r="B12" i="350"/>
  <c r="B11" i="350"/>
  <c r="B9" i="350" s="1"/>
  <c r="B10" i="350"/>
  <c r="I9" i="350"/>
  <c r="H9" i="350"/>
  <c r="G9" i="350"/>
  <c r="F9" i="350"/>
  <c r="E9" i="350"/>
  <c r="D9" i="350"/>
  <c r="C9" i="350"/>
  <c r="B8" i="350"/>
  <c r="I7" i="350"/>
  <c r="H7" i="350"/>
  <c r="H6" i="350" s="1"/>
  <c r="G7" i="350"/>
  <c r="G6" i="350" s="1"/>
  <c r="F7" i="350"/>
  <c r="E7" i="350"/>
  <c r="D7" i="350"/>
  <c r="D6" i="350" s="1"/>
  <c r="C7" i="350"/>
  <c r="B7" i="350"/>
  <c r="F6" i="350"/>
  <c r="B25" i="349"/>
  <c r="B23" i="349" s="1"/>
  <c r="B24" i="349"/>
  <c r="N23" i="349"/>
  <c r="M23" i="349"/>
  <c r="L23" i="349"/>
  <c r="K23" i="349"/>
  <c r="J23" i="349"/>
  <c r="I23" i="349"/>
  <c r="H23" i="349"/>
  <c r="G23" i="349"/>
  <c r="F23" i="349"/>
  <c r="E23" i="349"/>
  <c r="D23" i="349"/>
  <c r="C23" i="349"/>
  <c r="B22" i="349"/>
  <c r="B21" i="349"/>
  <c r="B18" i="349" s="1"/>
  <c r="B20" i="349"/>
  <c r="B19" i="349"/>
  <c r="N18" i="349"/>
  <c r="M18" i="349"/>
  <c r="L18" i="349"/>
  <c r="K18" i="349"/>
  <c r="J18" i="349"/>
  <c r="I18" i="349"/>
  <c r="H18" i="349"/>
  <c r="G18" i="349"/>
  <c r="F18" i="349"/>
  <c r="E18" i="349"/>
  <c r="D18" i="349"/>
  <c r="C18" i="349"/>
  <c r="B17" i="349"/>
  <c r="B16" i="349"/>
  <c r="B15" i="349"/>
  <c r="B14" i="349"/>
  <c r="N13" i="349"/>
  <c r="M13" i="349"/>
  <c r="L13" i="349"/>
  <c r="K13" i="349"/>
  <c r="J13" i="349"/>
  <c r="I13" i="349"/>
  <c r="H13" i="349"/>
  <c r="G13" i="349"/>
  <c r="F13" i="349"/>
  <c r="E13" i="349"/>
  <c r="D13" i="349"/>
  <c r="C13" i="349"/>
  <c r="B12" i="349"/>
  <c r="B11" i="349"/>
  <c r="B10" i="349"/>
  <c r="N9" i="349"/>
  <c r="M9" i="349"/>
  <c r="L9" i="349"/>
  <c r="K9" i="349"/>
  <c r="J9" i="349"/>
  <c r="J6" i="349" s="1"/>
  <c r="I9" i="349"/>
  <c r="H9" i="349"/>
  <c r="G9" i="349"/>
  <c r="F9" i="349"/>
  <c r="E9" i="349"/>
  <c r="D9" i="349"/>
  <c r="C9" i="349"/>
  <c r="B8" i="349"/>
  <c r="B7" i="349" s="1"/>
  <c r="N7" i="349"/>
  <c r="M7" i="349"/>
  <c r="L7" i="349"/>
  <c r="L6" i="349" s="1"/>
  <c r="K7" i="349"/>
  <c r="K6" i="349" s="1"/>
  <c r="J7" i="349"/>
  <c r="I7" i="349"/>
  <c r="H7" i="349"/>
  <c r="G7" i="349"/>
  <c r="G6" i="349" s="1"/>
  <c r="F7" i="349"/>
  <c r="E7" i="349"/>
  <c r="D7" i="349"/>
  <c r="C7" i="349"/>
  <c r="D6" i="349"/>
  <c r="B60" i="348"/>
  <c r="B58" i="348"/>
  <c r="B55" i="348"/>
  <c r="B49" i="348"/>
  <c r="B44" i="348"/>
  <c r="B36" i="348"/>
  <c r="B29" i="348"/>
  <c r="B27" i="348"/>
  <c r="B24" i="348"/>
  <c r="B22" i="348"/>
  <c r="B18" i="348"/>
  <c r="B16" i="348"/>
  <c r="B11" i="348"/>
  <c r="B7" i="348"/>
  <c r="B6" i="348" s="1"/>
  <c r="F24" i="347"/>
  <c r="E20" i="347"/>
  <c r="D20" i="347"/>
  <c r="D14" i="347"/>
  <c r="C13" i="347"/>
  <c r="G7" i="347"/>
  <c r="G6" i="347" s="1"/>
  <c r="G24" i="346"/>
  <c r="G24" i="347" s="1"/>
  <c r="F24" i="346"/>
  <c r="E24" i="346"/>
  <c r="E24" i="347" s="1"/>
  <c r="D24" i="346"/>
  <c r="D22" i="346" s="1"/>
  <c r="C24" i="346"/>
  <c r="C24" i="347" s="1"/>
  <c r="B24" i="346"/>
  <c r="B24" i="347" s="1"/>
  <c r="B22" i="347" s="1"/>
  <c r="G23" i="346"/>
  <c r="F23" i="346"/>
  <c r="F22" i="346" s="1"/>
  <c r="E23" i="346"/>
  <c r="E23" i="347" s="1"/>
  <c r="D23" i="346"/>
  <c r="D23" i="347" s="1"/>
  <c r="C23" i="346"/>
  <c r="C22" i="346" s="1"/>
  <c r="B23" i="346"/>
  <c r="B22" i="346" s="1"/>
  <c r="G21" i="346"/>
  <c r="G21" i="347" s="1"/>
  <c r="F21" i="346"/>
  <c r="F21" i="347" s="1"/>
  <c r="E21" i="346"/>
  <c r="E21" i="347" s="1"/>
  <c r="D21" i="346"/>
  <c r="D21" i="347" s="1"/>
  <c r="C21" i="346"/>
  <c r="C21" i="347" s="1"/>
  <c r="B21" i="346"/>
  <c r="B21" i="347" s="1"/>
  <c r="G20" i="346"/>
  <c r="G20" i="347" s="1"/>
  <c r="F20" i="346"/>
  <c r="F20" i="347" s="1"/>
  <c r="E20" i="346"/>
  <c r="D20" i="346"/>
  <c r="C20" i="346"/>
  <c r="C20" i="347" s="1"/>
  <c r="B20" i="346"/>
  <c r="B20" i="347" s="1"/>
  <c r="G19" i="346"/>
  <c r="G19" i="347" s="1"/>
  <c r="F19" i="346"/>
  <c r="F17" i="346" s="1"/>
  <c r="E19" i="346"/>
  <c r="E19" i="347" s="1"/>
  <c r="D19" i="346"/>
  <c r="D19" i="347" s="1"/>
  <c r="C19" i="346"/>
  <c r="C19" i="347" s="1"/>
  <c r="B19" i="346"/>
  <c r="G18" i="346"/>
  <c r="F18" i="346"/>
  <c r="F18" i="347" s="1"/>
  <c r="E18" i="346"/>
  <c r="E18" i="347" s="1"/>
  <c r="D18" i="346"/>
  <c r="C18" i="346"/>
  <c r="B18" i="346"/>
  <c r="B18" i="347" s="1"/>
  <c r="G16" i="346"/>
  <c r="G16" i="347" s="1"/>
  <c r="F16" i="346"/>
  <c r="F16" i="347" s="1"/>
  <c r="E16" i="346"/>
  <c r="E16" i="347" s="1"/>
  <c r="D16" i="346"/>
  <c r="D16" i="347" s="1"/>
  <c r="C16" i="346"/>
  <c r="C16" i="347" s="1"/>
  <c r="B16" i="346"/>
  <c r="B16" i="347" s="1"/>
  <c r="G15" i="346"/>
  <c r="G15" i="347" s="1"/>
  <c r="F15" i="346"/>
  <c r="F15" i="347" s="1"/>
  <c r="E15" i="346"/>
  <c r="E15" i="347" s="1"/>
  <c r="D15" i="346"/>
  <c r="D15" i="347" s="1"/>
  <c r="C15" i="346"/>
  <c r="C15" i="347" s="1"/>
  <c r="B15" i="346"/>
  <c r="B15" i="347" s="1"/>
  <c r="G14" i="346"/>
  <c r="G14" i="347" s="1"/>
  <c r="F14" i="346"/>
  <c r="F14" i="347" s="1"/>
  <c r="E14" i="346"/>
  <c r="E14" i="347" s="1"/>
  <c r="D14" i="346"/>
  <c r="C14" i="346"/>
  <c r="B14" i="346"/>
  <c r="B14" i="347" s="1"/>
  <c r="G13" i="346"/>
  <c r="G13" i="347" s="1"/>
  <c r="F13" i="346"/>
  <c r="F12" i="346" s="1"/>
  <c r="E13" i="346"/>
  <c r="E12" i="346" s="1"/>
  <c r="D13" i="346"/>
  <c r="D13" i="347" s="1"/>
  <c r="C13" i="346"/>
  <c r="B13" i="346"/>
  <c r="G11" i="346"/>
  <c r="G11" i="347" s="1"/>
  <c r="F11" i="346"/>
  <c r="F11" i="347" s="1"/>
  <c r="E11" i="346"/>
  <c r="E11" i="347" s="1"/>
  <c r="D11" i="346"/>
  <c r="D11" i="347" s="1"/>
  <c r="C11" i="346"/>
  <c r="C11" i="347" s="1"/>
  <c r="B11" i="346"/>
  <c r="B11" i="347" s="1"/>
  <c r="G10" i="346"/>
  <c r="G10" i="347" s="1"/>
  <c r="F10" i="346"/>
  <c r="F10" i="347" s="1"/>
  <c r="E10" i="346"/>
  <c r="D10" i="346"/>
  <c r="D10" i="347" s="1"/>
  <c r="C10" i="346"/>
  <c r="C10" i="347" s="1"/>
  <c r="C8" i="347" s="1"/>
  <c r="B10" i="346"/>
  <c r="B10" i="347" s="1"/>
  <c r="G9" i="346"/>
  <c r="G8" i="346" s="1"/>
  <c r="F9" i="346"/>
  <c r="E9" i="346"/>
  <c r="E9" i="347" s="1"/>
  <c r="D9" i="346"/>
  <c r="D9" i="347" s="1"/>
  <c r="C9" i="346"/>
  <c r="C9" i="347" s="1"/>
  <c r="B9" i="346"/>
  <c r="C8" i="346"/>
  <c r="G7" i="346"/>
  <c r="F7" i="346"/>
  <c r="F6" i="346" s="1"/>
  <c r="E7" i="346"/>
  <c r="D7" i="346"/>
  <c r="D7" i="347" s="1"/>
  <c r="D6" i="347" s="1"/>
  <c r="C7" i="346"/>
  <c r="C7" i="347" s="1"/>
  <c r="C6" i="347" s="1"/>
  <c r="B7" i="346"/>
  <c r="B6" i="346" s="1"/>
  <c r="G6" i="346"/>
  <c r="D6" i="346"/>
  <c r="G22" i="345"/>
  <c r="F22" i="345"/>
  <c r="E22" i="345"/>
  <c r="D22" i="345"/>
  <c r="C22" i="345"/>
  <c r="B22" i="345"/>
  <c r="G17" i="345"/>
  <c r="F17" i="345"/>
  <c r="E17" i="345"/>
  <c r="D17" i="345"/>
  <c r="C17" i="345"/>
  <c r="B17" i="345"/>
  <c r="G12" i="345"/>
  <c r="F12" i="345"/>
  <c r="E12" i="345"/>
  <c r="D12" i="345"/>
  <c r="C12" i="345"/>
  <c r="B12" i="345"/>
  <c r="G8" i="345"/>
  <c r="F8" i="345"/>
  <c r="E8" i="345"/>
  <c r="D8" i="345"/>
  <c r="C8" i="345"/>
  <c r="B8" i="345"/>
  <c r="G6" i="345"/>
  <c r="F6" i="345"/>
  <c r="E6" i="345"/>
  <c r="D6" i="345"/>
  <c r="C6" i="345"/>
  <c r="B6" i="345"/>
  <c r="F5" i="345"/>
  <c r="B116" i="344"/>
  <c r="B115" i="344"/>
  <c r="B114" i="344"/>
  <c r="R113" i="344"/>
  <c r="Q113" i="344"/>
  <c r="Q112" i="344" s="1"/>
  <c r="P113" i="344"/>
  <c r="O113" i="344"/>
  <c r="O112" i="344" s="1"/>
  <c r="N113" i="344"/>
  <c r="N112" i="344" s="1"/>
  <c r="M113" i="344"/>
  <c r="M112" i="344" s="1"/>
  <c r="L113" i="344"/>
  <c r="K113" i="344"/>
  <c r="J113" i="344"/>
  <c r="J112" i="344" s="1"/>
  <c r="I113" i="344"/>
  <c r="I112" i="344" s="1"/>
  <c r="H113" i="344"/>
  <c r="G113" i="344"/>
  <c r="G112" i="344" s="1"/>
  <c r="F113" i="344"/>
  <c r="F112" i="344" s="1"/>
  <c r="E113" i="344"/>
  <c r="E112" i="344" s="1"/>
  <c r="D113" i="344"/>
  <c r="D112" i="344" s="1"/>
  <c r="C113" i="344"/>
  <c r="R112" i="344"/>
  <c r="P112" i="344"/>
  <c r="L112" i="344"/>
  <c r="K112" i="344"/>
  <c r="H112" i="344"/>
  <c r="C112" i="344"/>
  <c r="B111" i="344"/>
  <c r="R110" i="344"/>
  <c r="Q110" i="344"/>
  <c r="P110" i="344"/>
  <c r="O110" i="344"/>
  <c r="N110" i="344"/>
  <c r="M110" i="344"/>
  <c r="L110" i="344"/>
  <c r="K110" i="344"/>
  <c r="J110" i="344"/>
  <c r="I110" i="344"/>
  <c r="H110" i="344"/>
  <c r="G110" i="344"/>
  <c r="F110" i="344"/>
  <c r="E110" i="344"/>
  <c r="D110" i="344"/>
  <c r="C110" i="344"/>
  <c r="C103" i="344" s="1"/>
  <c r="B110" i="344"/>
  <c r="B109" i="344"/>
  <c r="R108" i="344"/>
  <c r="Q108" i="344"/>
  <c r="P108" i="344"/>
  <c r="O108" i="344"/>
  <c r="N108" i="344"/>
  <c r="M108" i="344"/>
  <c r="M103" i="344" s="1"/>
  <c r="L108" i="344"/>
  <c r="L103" i="344" s="1"/>
  <c r="K108" i="344"/>
  <c r="J108" i="344"/>
  <c r="I108" i="344"/>
  <c r="H108" i="344"/>
  <c r="G108" i="344"/>
  <c r="F108" i="344"/>
  <c r="E108" i="344"/>
  <c r="D108" i="344"/>
  <c r="C108" i="344"/>
  <c r="B108" i="344"/>
  <c r="B107" i="344"/>
  <c r="B106" i="344"/>
  <c r="B105" i="344"/>
  <c r="R104" i="344"/>
  <c r="Q104" i="344"/>
  <c r="P104" i="344"/>
  <c r="O104" i="344"/>
  <c r="N104" i="344"/>
  <c r="N103" i="344" s="1"/>
  <c r="M104" i="344"/>
  <c r="L104" i="344"/>
  <c r="K104" i="344"/>
  <c r="J104" i="344"/>
  <c r="I104" i="344"/>
  <c r="I103" i="344" s="1"/>
  <c r="H104" i="344"/>
  <c r="H103" i="344" s="1"/>
  <c r="G104" i="344"/>
  <c r="F104" i="344"/>
  <c r="F103" i="344" s="1"/>
  <c r="E104" i="344"/>
  <c r="D104" i="344"/>
  <c r="C104" i="344"/>
  <c r="B104" i="344"/>
  <c r="Q103" i="344"/>
  <c r="O103" i="344"/>
  <c r="G103" i="344"/>
  <c r="B102" i="344"/>
  <c r="B101" i="344"/>
  <c r="B100" i="344"/>
  <c r="R99" i="344"/>
  <c r="Q99" i="344"/>
  <c r="P99" i="344"/>
  <c r="O99" i="344"/>
  <c r="O98" i="344" s="1"/>
  <c r="N99" i="344"/>
  <c r="N98" i="344" s="1"/>
  <c r="M99" i="344"/>
  <c r="M98" i="344" s="1"/>
  <c r="L99" i="344"/>
  <c r="L98" i="344" s="1"/>
  <c r="K99" i="344"/>
  <c r="K98" i="344" s="1"/>
  <c r="J99" i="344"/>
  <c r="I99" i="344"/>
  <c r="I98" i="344" s="1"/>
  <c r="H99" i="344"/>
  <c r="G99" i="344"/>
  <c r="G98" i="344" s="1"/>
  <c r="F99" i="344"/>
  <c r="E99" i="344"/>
  <c r="E98" i="344" s="1"/>
  <c r="D99" i="344"/>
  <c r="D98" i="344" s="1"/>
  <c r="C99" i="344"/>
  <c r="C98" i="344" s="1"/>
  <c r="R98" i="344"/>
  <c r="Q98" i="344"/>
  <c r="P98" i="344"/>
  <c r="J98" i="344"/>
  <c r="H98" i="344"/>
  <c r="F98" i="344"/>
  <c r="B97" i="344"/>
  <c r="B96" i="344"/>
  <c r="B95" i="344"/>
  <c r="B94" i="344"/>
  <c r="B93" i="344"/>
  <c r="B92" i="344"/>
  <c r="B91" i="344"/>
  <c r="B90" i="344"/>
  <c r="B89" i="344"/>
  <c r="B88" i="344"/>
  <c r="B87" i="344"/>
  <c r="B86" i="344"/>
  <c r="B85" i="344"/>
  <c r="B84" i="344"/>
  <c r="B83" i="344"/>
  <c r="B82" i="344"/>
  <c r="B81" i="344"/>
  <c r="B80" i="344"/>
  <c r="B79" i="344"/>
  <c r="B78" i="344"/>
  <c r="B77" i="344"/>
  <c r="B76" i="344"/>
  <c r="B75" i="344"/>
  <c r="B74" i="344"/>
  <c r="B73" i="344"/>
  <c r="B72" i="344"/>
  <c r="B71" i="344"/>
  <c r="B70" i="344"/>
  <c r="B69" i="344"/>
  <c r="B68" i="344"/>
  <c r="B67" i="344"/>
  <c r="B66" i="344"/>
  <c r="R65" i="344"/>
  <c r="R64" i="344" s="1"/>
  <c r="Q65" i="344"/>
  <c r="Q64" i="344" s="1"/>
  <c r="P65" i="344"/>
  <c r="O65" i="344"/>
  <c r="O64" i="344" s="1"/>
  <c r="N65" i="344"/>
  <c r="N64" i="344" s="1"/>
  <c r="M65" i="344"/>
  <c r="M64" i="344" s="1"/>
  <c r="L65" i="344"/>
  <c r="K65" i="344"/>
  <c r="K64" i="344" s="1"/>
  <c r="J65" i="344"/>
  <c r="J64" i="344" s="1"/>
  <c r="I65" i="344"/>
  <c r="I64" i="344" s="1"/>
  <c r="H65" i="344"/>
  <c r="G65" i="344"/>
  <c r="G64" i="344" s="1"/>
  <c r="F65" i="344"/>
  <c r="F64" i="344" s="1"/>
  <c r="E65" i="344"/>
  <c r="E64" i="344" s="1"/>
  <c r="D65" i="344"/>
  <c r="C65" i="344"/>
  <c r="C64" i="344" s="1"/>
  <c r="P64" i="344"/>
  <c r="L64" i="344"/>
  <c r="H64" i="344"/>
  <c r="D64" i="344"/>
  <c r="B63" i="344"/>
  <c r="B62" i="344"/>
  <c r="B61" i="344"/>
  <c r="B60" i="344"/>
  <c r="B59" i="344"/>
  <c r="B58" i="344"/>
  <c r="B57" i="344"/>
  <c r="B56" i="344"/>
  <c r="B55" i="344"/>
  <c r="B53" i="344" s="1"/>
  <c r="B54" i="344"/>
  <c r="R53" i="344"/>
  <c r="Q53" i="344"/>
  <c r="P53" i="344"/>
  <c r="O53" i="344"/>
  <c r="N53" i="344"/>
  <c r="M53" i="344"/>
  <c r="L53" i="344"/>
  <c r="K53" i="344"/>
  <c r="J53" i="344"/>
  <c r="I53" i="344"/>
  <c r="H53" i="344"/>
  <c r="G53" i="344"/>
  <c r="F53" i="344"/>
  <c r="E53" i="344"/>
  <c r="D53" i="344"/>
  <c r="C53" i="344"/>
  <c r="B52" i="344"/>
  <c r="B51" i="344"/>
  <c r="B50" i="344"/>
  <c r="B49" i="344"/>
  <c r="B48" i="344"/>
  <c r="B47" i="344"/>
  <c r="R46" i="344"/>
  <c r="Q46" i="344"/>
  <c r="Q45" i="344" s="1"/>
  <c r="P46" i="344"/>
  <c r="P45" i="344" s="1"/>
  <c r="O46" i="344"/>
  <c r="N46" i="344"/>
  <c r="M46" i="344"/>
  <c r="L46" i="344"/>
  <c r="K46" i="344"/>
  <c r="J46" i="344"/>
  <c r="I46" i="344"/>
  <c r="I45" i="344" s="1"/>
  <c r="H46" i="344"/>
  <c r="H45" i="344" s="1"/>
  <c r="G46" i="344"/>
  <c r="F46" i="344"/>
  <c r="E46" i="344"/>
  <c r="D46" i="344"/>
  <c r="C46" i="344"/>
  <c r="C45" i="344" s="1"/>
  <c r="N45" i="344"/>
  <c r="G45" i="344"/>
  <c r="B44" i="344"/>
  <c r="B43" i="344"/>
  <c r="B42" i="344"/>
  <c r="B41" i="344"/>
  <c r="B40" i="344"/>
  <c r="B38" i="344" s="1"/>
  <c r="B37" i="344" s="1"/>
  <c r="B39" i="344"/>
  <c r="R38" i="344"/>
  <c r="R37" i="344" s="1"/>
  <c r="Q38" i="344"/>
  <c r="Q37" i="344" s="1"/>
  <c r="P38" i="344"/>
  <c r="P37" i="344" s="1"/>
  <c r="O38" i="344"/>
  <c r="N38" i="344"/>
  <c r="N37" i="344" s="1"/>
  <c r="M38" i="344"/>
  <c r="M37" i="344" s="1"/>
  <c r="L38" i="344"/>
  <c r="L37" i="344" s="1"/>
  <c r="K38" i="344"/>
  <c r="J38" i="344"/>
  <c r="I38" i="344"/>
  <c r="H38" i="344"/>
  <c r="G38" i="344"/>
  <c r="F38" i="344"/>
  <c r="F37" i="344" s="1"/>
  <c r="E38" i="344"/>
  <c r="E37" i="344" s="1"/>
  <c r="D38" i="344"/>
  <c r="D37" i="344" s="1"/>
  <c r="C38" i="344"/>
  <c r="O37" i="344"/>
  <c r="K37" i="344"/>
  <c r="J37" i="344"/>
  <c r="I37" i="344"/>
  <c r="H37" i="344"/>
  <c r="G37" i="344"/>
  <c r="C37" i="344"/>
  <c r="B36" i="344"/>
  <c r="B35" i="344"/>
  <c r="B34" i="344"/>
  <c r="B33" i="344"/>
  <c r="B32" i="344"/>
  <c r="B31" i="344"/>
  <c r="B30" i="344"/>
  <c r="B29" i="344"/>
  <c r="B28" i="344"/>
  <c r="B27" i="344"/>
  <c r="B26" i="344"/>
  <c r="B25" i="344"/>
  <c r="B24" i="344"/>
  <c r="B23" i="344"/>
  <c r="B22" i="344"/>
  <c r="B21" i="344"/>
  <c r="B20" i="344" s="1"/>
  <c r="B16" i="344" s="1"/>
  <c r="R20" i="344"/>
  <c r="Q20" i="344"/>
  <c r="P20" i="344"/>
  <c r="O20" i="344"/>
  <c r="N20" i="344"/>
  <c r="M20" i="344"/>
  <c r="L20" i="344"/>
  <c r="K20" i="344"/>
  <c r="K16" i="344" s="1"/>
  <c r="J20" i="344"/>
  <c r="I20" i="344"/>
  <c r="H20" i="344"/>
  <c r="G20" i="344"/>
  <c r="F20" i="344"/>
  <c r="E20" i="344"/>
  <c r="D20" i="344"/>
  <c r="D16" i="344" s="1"/>
  <c r="C20" i="344"/>
  <c r="C16" i="344" s="1"/>
  <c r="B19" i="344"/>
  <c r="B18" i="344"/>
  <c r="R17" i="344"/>
  <c r="Q17" i="344"/>
  <c r="Q16" i="344" s="1"/>
  <c r="P17" i="344"/>
  <c r="O17" i="344"/>
  <c r="N17" i="344"/>
  <c r="M17" i="344"/>
  <c r="M16" i="344" s="1"/>
  <c r="L17" i="344"/>
  <c r="K17" i="344"/>
  <c r="J17" i="344"/>
  <c r="I17" i="344"/>
  <c r="I16" i="344" s="1"/>
  <c r="H17" i="344"/>
  <c r="G17" i="344"/>
  <c r="F17" i="344"/>
  <c r="E17" i="344"/>
  <c r="E16" i="344" s="1"/>
  <c r="D17" i="344"/>
  <c r="C17" i="344"/>
  <c r="B17" i="344"/>
  <c r="R16" i="344"/>
  <c r="P16" i="344"/>
  <c r="L16" i="344"/>
  <c r="H16" i="344"/>
  <c r="B15" i="344"/>
  <c r="B14" i="344"/>
  <c r="B13" i="344"/>
  <c r="R12" i="344"/>
  <c r="Q12" i="344"/>
  <c r="P12" i="344"/>
  <c r="O12" i="344"/>
  <c r="N12" i="344"/>
  <c r="M12" i="344"/>
  <c r="L12" i="344"/>
  <c r="K12" i="344"/>
  <c r="J12" i="344"/>
  <c r="I12" i="344"/>
  <c r="I7" i="344" s="1"/>
  <c r="H12" i="344"/>
  <c r="G12" i="344"/>
  <c r="F12" i="344"/>
  <c r="E12" i="344"/>
  <c r="D12" i="344"/>
  <c r="C12" i="344"/>
  <c r="B12" i="344"/>
  <c r="B11" i="344"/>
  <c r="B10" i="344" s="1"/>
  <c r="R10" i="344"/>
  <c r="Q10" i="344"/>
  <c r="P10" i="344"/>
  <c r="O10" i="344"/>
  <c r="N10" i="344"/>
  <c r="M10" i="344"/>
  <c r="L10" i="344"/>
  <c r="L7" i="344" s="1"/>
  <c r="K10" i="344"/>
  <c r="J10" i="344"/>
  <c r="I10" i="344"/>
  <c r="H10" i="344"/>
  <c r="G10" i="344"/>
  <c r="F10" i="344"/>
  <c r="E10" i="344"/>
  <c r="D10" i="344"/>
  <c r="D7" i="344" s="1"/>
  <c r="C10" i="344"/>
  <c r="C7" i="344" s="1"/>
  <c r="B9" i="344"/>
  <c r="R8" i="344"/>
  <c r="Q8" i="344"/>
  <c r="P8" i="344"/>
  <c r="O8" i="344"/>
  <c r="O7" i="344" s="1"/>
  <c r="N8" i="344"/>
  <c r="N7" i="344" s="1"/>
  <c r="M8" i="344"/>
  <c r="M7" i="344" s="1"/>
  <c r="L8" i="344"/>
  <c r="K8" i="344"/>
  <c r="J8" i="344"/>
  <c r="I8" i="344"/>
  <c r="H8" i="344"/>
  <c r="G8" i="344"/>
  <c r="G7" i="344" s="1"/>
  <c r="F8" i="344"/>
  <c r="F7" i="344" s="1"/>
  <c r="E8" i="344"/>
  <c r="D8" i="344"/>
  <c r="C8" i="344"/>
  <c r="B8" i="344"/>
  <c r="H7" i="344"/>
  <c r="B28" i="343"/>
  <c r="B27" i="343" s="1"/>
  <c r="R27" i="343"/>
  <c r="Q27" i="343"/>
  <c r="P27" i="343"/>
  <c r="O27" i="343"/>
  <c r="N27" i="343"/>
  <c r="M27" i="343"/>
  <c r="L27" i="343"/>
  <c r="K27" i="343"/>
  <c r="J27" i="343"/>
  <c r="I27" i="343"/>
  <c r="H27" i="343"/>
  <c r="G27" i="343"/>
  <c r="F27" i="343"/>
  <c r="E27" i="343"/>
  <c r="D27" i="343"/>
  <c r="C27" i="343"/>
  <c r="B26" i="343"/>
  <c r="B25" i="343"/>
  <c r="B24" i="343"/>
  <c r="R23" i="343"/>
  <c r="Q23" i="343"/>
  <c r="P23" i="343"/>
  <c r="O23" i="343"/>
  <c r="N23" i="343"/>
  <c r="M23" i="343"/>
  <c r="L23" i="343"/>
  <c r="K23" i="343"/>
  <c r="J23" i="343"/>
  <c r="I23" i="343"/>
  <c r="H23" i="343"/>
  <c r="G23" i="343"/>
  <c r="F23" i="343"/>
  <c r="E23" i="343"/>
  <c r="D23" i="343"/>
  <c r="C23" i="343"/>
  <c r="B23" i="343"/>
  <c r="B22" i="343"/>
  <c r="R21" i="343"/>
  <c r="Q21" i="343"/>
  <c r="P21" i="343"/>
  <c r="O21" i="343"/>
  <c r="N21" i="343"/>
  <c r="M21" i="343"/>
  <c r="L21" i="343"/>
  <c r="K21" i="343"/>
  <c r="J21" i="343"/>
  <c r="I21" i="343"/>
  <c r="H21" i="343"/>
  <c r="G21" i="343"/>
  <c r="F21" i="343"/>
  <c r="E21" i="343"/>
  <c r="D21" i="343"/>
  <c r="C21" i="343"/>
  <c r="B21" i="343"/>
  <c r="B20" i="343"/>
  <c r="B19" i="343" s="1"/>
  <c r="R19" i="343"/>
  <c r="Q19" i="343"/>
  <c r="P19" i="343"/>
  <c r="O19" i="343"/>
  <c r="N19" i="343"/>
  <c r="M19" i="343"/>
  <c r="L19" i="343"/>
  <c r="K19" i="343"/>
  <c r="J19" i="343"/>
  <c r="I19" i="343"/>
  <c r="H19" i="343"/>
  <c r="G19" i="343"/>
  <c r="F19" i="343"/>
  <c r="E19" i="343"/>
  <c r="D19" i="343"/>
  <c r="C19" i="343"/>
  <c r="B18" i="343"/>
  <c r="B17" i="343"/>
  <c r="R16" i="343"/>
  <c r="Q16" i="343"/>
  <c r="P16" i="343"/>
  <c r="O16" i="343"/>
  <c r="N16" i="343"/>
  <c r="M16" i="343"/>
  <c r="L16" i="343"/>
  <c r="K16" i="343"/>
  <c r="J16" i="343"/>
  <c r="I16" i="343"/>
  <c r="H16" i="343"/>
  <c r="G16" i="343"/>
  <c r="F16" i="343"/>
  <c r="E16" i="343"/>
  <c r="D16" i="343"/>
  <c r="C16" i="343"/>
  <c r="B15" i="343"/>
  <c r="B14" i="343" s="1"/>
  <c r="R14" i="343"/>
  <c r="Q14" i="343"/>
  <c r="P14" i="343"/>
  <c r="P6" i="343" s="1"/>
  <c r="O14" i="343"/>
  <c r="O6" i="343" s="1"/>
  <c r="N14" i="343"/>
  <c r="M14" i="343"/>
  <c r="L14" i="343"/>
  <c r="K14" i="343"/>
  <c r="J14" i="343"/>
  <c r="I14" i="343"/>
  <c r="H14" i="343"/>
  <c r="G14" i="343"/>
  <c r="F14" i="343"/>
  <c r="E14" i="343"/>
  <c r="D14" i="343"/>
  <c r="C14" i="343"/>
  <c r="B13" i="343"/>
  <c r="B12" i="343"/>
  <c r="R11" i="343"/>
  <c r="Q11" i="343"/>
  <c r="P11" i="343"/>
  <c r="O11" i="343"/>
  <c r="N11" i="343"/>
  <c r="M11" i="343"/>
  <c r="L11" i="343"/>
  <c r="K11" i="343"/>
  <c r="J11" i="343"/>
  <c r="I11" i="343"/>
  <c r="H11" i="343"/>
  <c r="G11" i="343"/>
  <c r="F11" i="343"/>
  <c r="E11" i="343"/>
  <c r="D11" i="343"/>
  <c r="C11" i="343"/>
  <c r="B10" i="343"/>
  <c r="B9" i="343"/>
  <c r="B8" i="343"/>
  <c r="R7" i="343"/>
  <c r="Q7" i="343"/>
  <c r="P7" i="343"/>
  <c r="O7" i="343"/>
  <c r="N7" i="343"/>
  <c r="M7" i="343"/>
  <c r="L7" i="343"/>
  <c r="K7" i="343"/>
  <c r="K6" i="343" s="1"/>
  <c r="J7" i="343"/>
  <c r="I7" i="343"/>
  <c r="H7" i="343"/>
  <c r="G7" i="343"/>
  <c r="G6" i="343" s="1"/>
  <c r="F7" i="343"/>
  <c r="E7" i="343"/>
  <c r="E6" i="343" s="1"/>
  <c r="D7" i="343"/>
  <c r="C7" i="343"/>
  <c r="C74" i="342"/>
  <c r="C73" i="342" s="1"/>
  <c r="B74" i="342"/>
  <c r="B73" i="342" s="1"/>
  <c r="C71" i="342"/>
  <c r="C70" i="342" s="1"/>
  <c r="B71" i="342"/>
  <c r="B70" i="342" s="1"/>
  <c r="C68" i="342"/>
  <c r="B68" i="342"/>
  <c r="B67" i="342" s="1"/>
  <c r="C67" i="342"/>
  <c r="C43" i="342"/>
  <c r="C42" i="342" s="1"/>
  <c r="B43" i="342"/>
  <c r="B42" i="342" s="1"/>
  <c r="C39" i="342"/>
  <c r="B39" i="342"/>
  <c r="C35" i="342"/>
  <c r="C34" i="342" s="1"/>
  <c r="B35" i="342"/>
  <c r="B34" i="342" s="1"/>
  <c r="C31" i="342"/>
  <c r="B31" i="342"/>
  <c r="B30" i="342" s="1"/>
  <c r="C30" i="342"/>
  <c r="C18" i="342"/>
  <c r="B18" i="342"/>
  <c r="C16" i="342"/>
  <c r="C15" i="342" s="1"/>
  <c r="B16" i="342"/>
  <c r="B15" i="342" s="1"/>
  <c r="C13" i="342"/>
  <c r="C12" i="342" s="1"/>
  <c r="B13" i="342"/>
  <c r="B12" i="342" s="1"/>
  <c r="C9" i="342"/>
  <c r="B9" i="342"/>
  <c r="C7" i="342"/>
  <c r="C6" i="342" s="1"/>
  <c r="B7" i="342"/>
  <c r="B6" i="342"/>
  <c r="C21" i="341"/>
  <c r="B21" i="341"/>
  <c r="C19" i="341"/>
  <c r="B19" i="341"/>
  <c r="C16" i="341"/>
  <c r="B16" i="341"/>
  <c r="C13" i="341"/>
  <c r="C12" i="341" s="1"/>
  <c r="B13" i="341"/>
  <c r="B12" i="341" s="1"/>
  <c r="C10" i="341"/>
  <c r="C9" i="341" s="1"/>
  <c r="B10" i="341"/>
  <c r="B9" i="341" s="1"/>
  <c r="C7" i="341"/>
  <c r="C6" i="341" s="1"/>
  <c r="B7" i="341"/>
  <c r="B6" i="341" s="1"/>
  <c r="C68" i="340"/>
  <c r="C67" i="340" s="1"/>
  <c r="B68" i="340"/>
  <c r="B67" i="340" s="1"/>
  <c r="C63" i="340"/>
  <c r="B63" i="340"/>
  <c r="B62" i="340" s="1"/>
  <c r="C62" i="340"/>
  <c r="C45" i="340"/>
  <c r="C44" i="340" s="1"/>
  <c r="B45" i="340"/>
  <c r="B44" i="340" s="1"/>
  <c r="C35" i="340"/>
  <c r="B35" i="340"/>
  <c r="C28" i="340"/>
  <c r="C27" i="340" s="1"/>
  <c r="B28" i="340"/>
  <c r="C22" i="340"/>
  <c r="C21" i="340" s="1"/>
  <c r="B22" i="340"/>
  <c r="B21" i="340" s="1"/>
  <c r="C14" i="340"/>
  <c r="B14" i="340"/>
  <c r="C12" i="340"/>
  <c r="B12" i="340"/>
  <c r="B11" i="340" s="1"/>
  <c r="C11" i="340"/>
  <c r="C9" i="340"/>
  <c r="B9" i="340"/>
  <c r="C7" i="340"/>
  <c r="B7" i="340"/>
  <c r="B30" i="339"/>
  <c r="B29" i="339" s="1"/>
  <c r="O29" i="339"/>
  <c r="N29" i="339"/>
  <c r="M29" i="339"/>
  <c r="L29" i="339"/>
  <c r="K29" i="339"/>
  <c r="J29" i="339"/>
  <c r="I29" i="339"/>
  <c r="H29" i="339"/>
  <c r="G29" i="339"/>
  <c r="F29" i="339"/>
  <c r="E29" i="339"/>
  <c r="D29" i="339"/>
  <c r="C29" i="339"/>
  <c r="B28" i="339"/>
  <c r="B27" i="339"/>
  <c r="B25" i="339" s="1"/>
  <c r="B26" i="339"/>
  <c r="O25" i="339"/>
  <c r="N25" i="339"/>
  <c r="M25" i="339"/>
  <c r="L25" i="339"/>
  <c r="K25" i="339"/>
  <c r="J25" i="339"/>
  <c r="I25" i="339"/>
  <c r="H25" i="339"/>
  <c r="G25" i="339"/>
  <c r="F25" i="339"/>
  <c r="E25" i="339"/>
  <c r="D25" i="339"/>
  <c r="C25" i="339"/>
  <c r="B24" i="339"/>
  <c r="B23" i="339" s="1"/>
  <c r="O23" i="339"/>
  <c r="N23" i="339"/>
  <c r="M23" i="339"/>
  <c r="L23" i="339"/>
  <c r="K23" i="339"/>
  <c r="J23" i="339"/>
  <c r="I23" i="339"/>
  <c r="H23" i="339"/>
  <c r="G23" i="339"/>
  <c r="F23" i="339"/>
  <c r="E23" i="339"/>
  <c r="D23" i="339"/>
  <c r="C23" i="339"/>
  <c r="B22" i="339"/>
  <c r="B21" i="339" s="1"/>
  <c r="O21" i="339"/>
  <c r="N21" i="339"/>
  <c r="M21" i="339"/>
  <c r="L21" i="339"/>
  <c r="K21" i="339"/>
  <c r="J21" i="339"/>
  <c r="I21" i="339"/>
  <c r="H21" i="339"/>
  <c r="G21" i="339"/>
  <c r="F21" i="339"/>
  <c r="E21" i="339"/>
  <c r="D21" i="339"/>
  <c r="C21" i="339"/>
  <c r="B20" i="339"/>
  <c r="B19" i="339"/>
  <c r="O18" i="339"/>
  <c r="N18" i="339"/>
  <c r="M18" i="339"/>
  <c r="L18" i="339"/>
  <c r="K18" i="339"/>
  <c r="J18" i="339"/>
  <c r="I18" i="339"/>
  <c r="H18" i="339"/>
  <c r="G18" i="339"/>
  <c r="F18" i="339"/>
  <c r="E18" i="339"/>
  <c r="D18" i="339"/>
  <c r="C18" i="339"/>
  <c r="B17" i="339"/>
  <c r="B16" i="339" s="1"/>
  <c r="O16" i="339"/>
  <c r="N16" i="339"/>
  <c r="M16" i="339"/>
  <c r="L16" i="339"/>
  <c r="K16" i="339"/>
  <c r="J16" i="339"/>
  <c r="I16" i="339"/>
  <c r="H16" i="339"/>
  <c r="G16" i="339"/>
  <c r="F16" i="339"/>
  <c r="E16" i="339"/>
  <c r="D16" i="339"/>
  <c r="C16" i="339"/>
  <c r="B15" i="339"/>
  <c r="B14" i="339"/>
  <c r="B13" i="339" s="1"/>
  <c r="O13" i="339"/>
  <c r="N13" i="339"/>
  <c r="M13" i="339"/>
  <c r="L13" i="339"/>
  <c r="K13" i="339"/>
  <c r="J13" i="339"/>
  <c r="I13" i="339"/>
  <c r="H13" i="339"/>
  <c r="G13" i="339"/>
  <c r="F13" i="339"/>
  <c r="E13" i="339"/>
  <c r="D13" i="339"/>
  <c r="C13" i="339"/>
  <c r="B12" i="339"/>
  <c r="O11" i="339"/>
  <c r="N11" i="339"/>
  <c r="M11" i="339"/>
  <c r="L11" i="339"/>
  <c r="K11" i="339"/>
  <c r="J11" i="339"/>
  <c r="I11" i="339"/>
  <c r="H11" i="339"/>
  <c r="G11" i="339"/>
  <c r="F11" i="339"/>
  <c r="E11" i="339"/>
  <c r="D11" i="339"/>
  <c r="C11" i="339"/>
  <c r="B11" i="339"/>
  <c r="B10" i="339"/>
  <c r="B9" i="339"/>
  <c r="B8" i="339"/>
  <c r="O7" i="339"/>
  <c r="N7" i="339"/>
  <c r="M7" i="339"/>
  <c r="L7" i="339"/>
  <c r="K7" i="339"/>
  <c r="J7" i="339"/>
  <c r="I7" i="339"/>
  <c r="H7" i="339"/>
  <c r="G7" i="339"/>
  <c r="F7" i="339"/>
  <c r="E7" i="339"/>
  <c r="D7" i="339"/>
  <c r="C7" i="339"/>
  <c r="I6" i="339"/>
  <c r="B28" i="338"/>
  <c r="B27" i="338" s="1"/>
  <c r="N27" i="338"/>
  <c r="M27" i="338"/>
  <c r="L27" i="338"/>
  <c r="K27" i="338"/>
  <c r="J27" i="338"/>
  <c r="I27" i="338"/>
  <c r="H27" i="338"/>
  <c r="G27" i="338"/>
  <c r="F27" i="338"/>
  <c r="E27" i="338"/>
  <c r="D27" i="338"/>
  <c r="C27" i="338"/>
  <c r="B26" i="338"/>
  <c r="B25" i="338"/>
  <c r="B24" i="338"/>
  <c r="N23" i="338"/>
  <c r="M23" i="338"/>
  <c r="L23" i="338"/>
  <c r="K23" i="338"/>
  <c r="J23" i="338"/>
  <c r="I23" i="338"/>
  <c r="H23" i="338"/>
  <c r="G23" i="338"/>
  <c r="F23" i="338"/>
  <c r="E23" i="338"/>
  <c r="D23" i="338"/>
  <c r="C23" i="338"/>
  <c r="B22" i="338"/>
  <c r="N21" i="338"/>
  <c r="M21" i="338"/>
  <c r="L21" i="338"/>
  <c r="K21" i="338"/>
  <c r="J21" i="338"/>
  <c r="I21" i="338"/>
  <c r="H21" i="338"/>
  <c r="G21" i="338"/>
  <c r="F21" i="338"/>
  <c r="E21" i="338"/>
  <c r="D21" i="338"/>
  <c r="C21" i="338"/>
  <c r="B21" i="338"/>
  <c r="B20" i="338"/>
  <c r="B19" i="338" s="1"/>
  <c r="N19" i="338"/>
  <c r="M19" i="338"/>
  <c r="L19" i="338"/>
  <c r="K19" i="338"/>
  <c r="J19" i="338"/>
  <c r="I19" i="338"/>
  <c r="H19" i="338"/>
  <c r="G19" i="338"/>
  <c r="F19" i="338"/>
  <c r="E19" i="338"/>
  <c r="D19" i="338"/>
  <c r="C19" i="338"/>
  <c r="B18" i="338"/>
  <c r="B17" i="338"/>
  <c r="N16" i="338"/>
  <c r="M16" i="338"/>
  <c r="L16" i="338"/>
  <c r="K16" i="338"/>
  <c r="J16" i="338"/>
  <c r="I16" i="338"/>
  <c r="H16" i="338"/>
  <c r="G16" i="338"/>
  <c r="F16" i="338"/>
  <c r="E16" i="338"/>
  <c r="D16" i="338"/>
  <c r="C16" i="338"/>
  <c r="B15" i="338"/>
  <c r="B14" i="338" s="1"/>
  <c r="N14" i="338"/>
  <c r="M14" i="338"/>
  <c r="L14" i="338"/>
  <c r="K14" i="338"/>
  <c r="J14" i="338"/>
  <c r="I14" i="338"/>
  <c r="H14" i="338"/>
  <c r="G14" i="338"/>
  <c r="F14" i="338"/>
  <c r="E14" i="338"/>
  <c r="E6" i="338" s="1"/>
  <c r="D14" i="338"/>
  <c r="C14" i="338"/>
  <c r="B13" i="338"/>
  <c r="B12" i="338"/>
  <c r="N11" i="338"/>
  <c r="M11" i="338"/>
  <c r="L11" i="338"/>
  <c r="K11" i="338"/>
  <c r="J11" i="338"/>
  <c r="I11" i="338"/>
  <c r="H11" i="338"/>
  <c r="G11" i="338"/>
  <c r="F11" i="338"/>
  <c r="E11" i="338"/>
  <c r="D11" i="338"/>
  <c r="C11" i="338"/>
  <c r="B10" i="338"/>
  <c r="B9" i="338"/>
  <c r="B8" i="338"/>
  <c r="N7" i="338"/>
  <c r="M7" i="338"/>
  <c r="L7" i="338"/>
  <c r="K7" i="338"/>
  <c r="J7" i="338"/>
  <c r="J6" i="338" s="1"/>
  <c r="I7" i="338"/>
  <c r="H7" i="338"/>
  <c r="G7" i="338"/>
  <c r="F7" i="338"/>
  <c r="E7" i="338"/>
  <c r="D7" i="338"/>
  <c r="C7" i="338"/>
  <c r="M6" i="338"/>
  <c r="G26" i="337"/>
  <c r="E21" i="337"/>
  <c r="G20" i="337"/>
  <c r="E15" i="337"/>
  <c r="G14" i="337"/>
  <c r="E9" i="337"/>
  <c r="G30" i="336"/>
  <c r="G30" i="337" s="1"/>
  <c r="G29" i="337" s="1"/>
  <c r="F30" i="336"/>
  <c r="F30" i="337" s="1"/>
  <c r="F29" i="337" s="1"/>
  <c r="E30" i="336"/>
  <c r="E30" i="337" s="1"/>
  <c r="E29" i="337" s="1"/>
  <c r="D30" i="336"/>
  <c r="D30" i="337" s="1"/>
  <c r="D29" i="337" s="1"/>
  <c r="C30" i="336"/>
  <c r="C30" i="337" s="1"/>
  <c r="C29" i="337" s="1"/>
  <c r="B30" i="336"/>
  <c r="B30" i="337" s="1"/>
  <c r="B29" i="337" s="1"/>
  <c r="B29" i="336"/>
  <c r="G28" i="336"/>
  <c r="G25" i="336" s="1"/>
  <c r="F28" i="336"/>
  <c r="F28" i="337" s="1"/>
  <c r="E28" i="336"/>
  <c r="E28" i="337" s="1"/>
  <c r="D28" i="336"/>
  <c r="D28" i="337" s="1"/>
  <c r="C28" i="336"/>
  <c r="C28" i="337" s="1"/>
  <c r="B28" i="336"/>
  <c r="B28" i="337" s="1"/>
  <c r="G27" i="336"/>
  <c r="G27" i="337" s="1"/>
  <c r="F27" i="336"/>
  <c r="F27" i="337" s="1"/>
  <c r="E27" i="336"/>
  <c r="E27" i="337" s="1"/>
  <c r="E25" i="337" s="1"/>
  <c r="D27" i="336"/>
  <c r="D27" i="337" s="1"/>
  <c r="C27" i="336"/>
  <c r="C27" i="337" s="1"/>
  <c r="B27" i="336"/>
  <c r="B27" i="337" s="1"/>
  <c r="G26" i="336"/>
  <c r="F26" i="336"/>
  <c r="F26" i="337" s="1"/>
  <c r="E26" i="336"/>
  <c r="E26" i="337" s="1"/>
  <c r="D26" i="336"/>
  <c r="D26" i="337" s="1"/>
  <c r="D25" i="337" s="1"/>
  <c r="C26" i="336"/>
  <c r="C26" i="337" s="1"/>
  <c r="B26" i="336"/>
  <c r="B26" i="337" s="1"/>
  <c r="B25" i="337" s="1"/>
  <c r="B25" i="336"/>
  <c r="G24" i="336"/>
  <c r="G24" i="337" s="1"/>
  <c r="G23" i="337" s="1"/>
  <c r="F24" i="336"/>
  <c r="F24" i="337" s="1"/>
  <c r="F23" i="337" s="1"/>
  <c r="E24" i="336"/>
  <c r="E24" i="337" s="1"/>
  <c r="E23" i="337" s="1"/>
  <c r="D24" i="336"/>
  <c r="D24" i="337" s="1"/>
  <c r="D23" i="337" s="1"/>
  <c r="C24" i="336"/>
  <c r="C24" i="337" s="1"/>
  <c r="C23" i="337" s="1"/>
  <c r="B24" i="336"/>
  <c r="B24" i="337" s="1"/>
  <c r="B23" i="337" s="1"/>
  <c r="B23" i="336"/>
  <c r="G22" i="336"/>
  <c r="G22" i="337" s="1"/>
  <c r="G21" i="337" s="1"/>
  <c r="F22" i="336"/>
  <c r="F22" i="337" s="1"/>
  <c r="F21" i="337" s="1"/>
  <c r="E22" i="336"/>
  <c r="E22" i="337" s="1"/>
  <c r="D22" i="336"/>
  <c r="D22" i="337" s="1"/>
  <c r="D21" i="337" s="1"/>
  <c r="C22" i="336"/>
  <c r="C22" i="337" s="1"/>
  <c r="C21" i="337" s="1"/>
  <c r="B22" i="336"/>
  <c r="B22" i="337" s="1"/>
  <c r="B21" i="337" s="1"/>
  <c r="F21" i="336"/>
  <c r="C21" i="336"/>
  <c r="B21" i="336"/>
  <c r="G20" i="336"/>
  <c r="F20" i="336"/>
  <c r="F20" i="337" s="1"/>
  <c r="E20" i="336"/>
  <c r="E20" i="337" s="1"/>
  <c r="D20" i="336"/>
  <c r="D20" i="337" s="1"/>
  <c r="C20" i="336"/>
  <c r="C20" i="337" s="1"/>
  <c r="B20" i="336"/>
  <c r="B20" i="337" s="1"/>
  <c r="G19" i="336"/>
  <c r="G19" i="337" s="1"/>
  <c r="F19" i="336"/>
  <c r="F19" i="337" s="1"/>
  <c r="E19" i="336"/>
  <c r="E19" i="337" s="1"/>
  <c r="E18" i="337" s="1"/>
  <c r="D19" i="336"/>
  <c r="D19" i="337" s="1"/>
  <c r="D18" i="337" s="1"/>
  <c r="C19" i="336"/>
  <c r="C19" i="337" s="1"/>
  <c r="C18" i="337" s="1"/>
  <c r="B19" i="336"/>
  <c r="B19" i="337" s="1"/>
  <c r="D18" i="336"/>
  <c r="G17" i="336"/>
  <c r="G17" i="337" s="1"/>
  <c r="G16" i="337" s="1"/>
  <c r="F17" i="336"/>
  <c r="F17" i="337" s="1"/>
  <c r="F16" i="337" s="1"/>
  <c r="E17" i="336"/>
  <c r="E17" i="337" s="1"/>
  <c r="E16" i="337" s="1"/>
  <c r="D17" i="336"/>
  <c r="D17" i="337" s="1"/>
  <c r="D16" i="337" s="1"/>
  <c r="C17" i="336"/>
  <c r="C17" i="337" s="1"/>
  <c r="C16" i="337" s="1"/>
  <c r="B17" i="336"/>
  <c r="B17" i="337" s="1"/>
  <c r="B16" i="337" s="1"/>
  <c r="D16" i="336"/>
  <c r="G15" i="336"/>
  <c r="G15" i="337" s="1"/>
  <c r="F15" i="336"/>
  <c r="F15" i="337" s="1"/>
  <c r="E15" i="336"/>
  <c r="D15" i="336"/>
  <c r="D15" i="337" s="1"/>
  <c r="C15" i="336"/>
  <c r="C15" i="337" s="1"/>
  <c r="B15" i="336"/>
  <c r="B15" i="337" s="1"/>
  <c r="G14" i="336"/>
  <c r="F14" i="336"/>
  <c r="F14" i="337" s="1"/>
  <c r="F13" i="337" s="1"/>
  <c r="E14" i="336"/>
  <c r="E14" i="337" s="1"/>
  <c r="D14" i="336"/>
  <c r="D14" i="337" s="1"/>
  <c r="C14" i="336"/>
  <c r="C14" i="337" s="1"/>
  <c r="C13" i="337" s="1"/>
  <c r="B14" i="336"/>
  <c r="B14" i="337" s="1"/>
  <c r="B13" i="337" s="1"/>
  <c r="B13" i="336"/>
  <c r="G12" i="336"/>
  <c r="G12" i="337" s="1"/>
  <c r="G11" i="337" s="1"/>
  <c r="F12" i="336"/>
  <c r="F12" i="337" s="1"/>
  <c r="F11" i="337" s="1"/>
  <c r="E12" i="336"/>
  <c r="E11" i="336" s="1"/>
  <c r="D12" i="336"/>
  <c r="D12" i="337" s="1"/>
  <c r="D11" i="337" s="1"/>
  <c r="C12" i="336"/>
  <c r="C12" i="337" s="1"/>
  <c r="C11" i="337" s="1"/>
  <c r="B12" i="336"/>
  <c r="B12" i="337" s="1"/>
  <c r="B11" i="337" s="1"/>
  <c r="F11" i="336"/>
  <c r="C11" i="336"/>
  <c r="B11" i="336"/>
  <c r="G10" i="336"/>
  <c r="G10" i="337" s="1"/>
  <c r="F10" i="336"/>
  <c r="F10" i="337" s="1"/>
  <c r="E10" i="336"/>
  <c r="E10" i="337" s="1"/>
  <c r="D10" i="336"/>
  <c r="D10" i="337" s="1"/>
  <c r="C10" i="336"/>
  <c r="C10" i="337" s="1"/>
  <c r="B10" i="336"/>
  <c r="B7" i="336" s="1"/>
  <c r="G9" i="336"/>
  <c r="G9" i="337" s="1"/>
  <c r="F9" i="336"/>
  <c r="F9" i="337" s="1"/>
  <c r="E9" i="336"/>
  <c r="D9" i="336"/>
  <c r="D9" i="337" s="1"/>
  <c r="C9" i="336"/>
  <c r="C9" i="337" s="1"/>
  <c r="B9" i="336"/>
  <c r="B9" i="337" s="1"/>
  <c r="G8" i="336"/>
  <c r="G8" i="337" s="1"/>
  <c r="F8" i="336"/>
  <c r="F8" i="337" s="1"/>
  <c r="F7" i="337" s="1"/>
  <c r="E8" i="336"/>
  <c r="E8" i="337" s="1"/>
  <c r="E7" i="337" s="1"/>
  <c r="D8" i="336"/>
  <c r="D8" i="337" s="1"/>
  <c r="C8" i="336"/>
  <c r="C8" i="337" s="1"/>
  <c r="B8" i="336"/>
  <c r="B8" i="337" s="1"/>
  <c r="G29" i="335"/>
  <c r="F29" i="335"/>
  <c r="E29" i="335"/>
  <c r="D29" i="335"/>
  <c r="C29" i="335"/>
  <c r="B29" i="335"/>
  <c r="G25" i="335"/>
  <c r="F25" i="335"/>
  <c r="E25" i="335"/>
  <c r="D25" i="335"/>
  <c r="C25" i="335"/>
  <c r="B25" i="335"/>
  <c r="G23" i="335"/>
  <c r="F23" i="335"/>
  <c r="E23" i="335"/>
  <c r="D23" i="335"/>
  <c r="C23" i="335"/>
  <c r="B23" i="335"/>
  <c r="G21" i="335"/>
  <c r="F21" i="335"/>
  <c r="E21" i="335"/>
  <c r="D21" i="335"/>
  <c r="C21" i="335"/>
  <c r="B21" i="335"/>
  <c r="G18" i="335"/>
  <c r="F18" i="335"/>
  <c r="E18" i="335"/>
  <c r="D18" i="335"/>
  <c r="C18" i="335"/>
  <c r="B18" i="335"/>
  <c r="G16" i="335"/>
  <c r="F16" i="335"/>
  <c r="E16" i="335"/>
  <c r="D16" i="335"/>
  <c r="C16" i="335"/>
  <c r="B16" i="335"/>
  <c r="G13" i="335"/>
  <c r="F13" i="335"/>
  <c r="E13" i="335"/>
  <c r="D13" i="335"/>
  <c r="C13" i="335"/>
  <c r="B13" i="335"/>
  <c r="G11" i="335"/>
  <c r="F11" i="335"/>
  <c r="E11" i="335"/>
  <c r="D11" i="335"/>
  <c r="C11" i="335"/>
  <c r="B11" i="335"/>
  <c r="G7" i="335"/>
  <c r="G6" i="335" s="1"/>
  <c r="F7" i="335"/>
  <c r="E7" i="335"/>
  <c r="E6" i="335" s="1"/>
  <c r="D7" i="335"/>
  <c r="C7" i="335"/>
  <c r="B7" i="335"/>
  <c r="D6" i="335"/>
  <c r="C22" i="334"/>
  <c r="C21" i="334"/>
  <c r="C20" i="334"/>
  <c r="C19" i="334"/>
  <c r="C18" i="334"/>
  <c r="C17" i="334"/>
  <c r="B17" i="334"/>
  <c r="C16" i="334"/>
  <c r="E15" i="334"/>
  <c r="C15" i="334"/>
  <c r="E14" i="334"/>
  <c r="C14" i="334"/>
  <c r="E13" i="334"/>
  <c r="C13" i="334"/>
  <c r="E12" i="334"/>
  <c r="C12" i="334"/>
  <c r="E11" i="334"/>
  <c r="C11" i="334"/>
  <c r="E10" i="334"/>
  <c r="C10" i="334"/>
  <c r="E9" i="334"/>
  <c r="C9" i="334"/>
  <c r="E8" i="334"/>
  <c r="C8" i="334"/>
  <c r="E7" i="334"/>
  <c r="C7" i="334"/>
  <c r="D6" i="334"/>
  <c r="E6" i="334" s="1"/>
  <c r="B6" i="334"/>
  <c r="C6" i="334" s="1"/>
  <c r="E5" i="334"/>
  <c r="C5" i="334"/>
  <c r="C25" i="337" l="1"/>
  <c r="B10" i="337"/>
  <c r="C7" i="336"/>
  <c r="G11" i="336"/>
  <c r="C13" i="336"/>
  <c r="E16" i="336"/>
  <c r="E18" i="336"/>
  <c r="G21" i="336"/>
  <c r="C23" i="336"/>
  <c r="C29" i="336"/>
  <c r="D6" i="338"/>
  <c r="L6" i="338"/>
  <c r="H6" i="344"/>
  <c r="E7" i="344"/>
  <c r="E45" i="344"/>
  <c r="M45" i="344"/>
  <c r="B46" i="344"/>
  <c r="B45" i="344" s="1"/>
  <c r="B103" i="344"/>
  <c r="J103" i="344"/>
  <c r="R103" i="344"/>
  <c r="D103" i="344"/>
  <c r="C5" i="345"/>
  <c r="E5" i="345"/>
  <c r="I6" i="350"/>
  <c r="B11" i="351"/>
  <c r="E19" i="351"/>
  <c r="C45" i="351"/>
  <c r="J6" i="339"/>
  <c r="B18" i="350"/>
  <c r="B6" i="335"/>
  <c r="F7" i="336"/>
  <c r="F13" i="336"/>
  <c r="F23" i="336"/>
  <c r="F25" i="337"/>
  <c r="F29" i="336"/>
  <c r="G28" i="337"/>
  <c r="G25" i="337" s="1"/>
  <c r="B6" i="340"/>
  <c r="B5" i="342"/>
  <c r="L6" i="343"/>
  <c r="I6" i="343"/>
  <c r="Q6" i="343"/>
  <c r="I6" i="344"/>
  <c r="N16" i="344"/>
  <c r="N6" i="344" s="1"/>
  <c r="O45" i="344"/>
  <c r="K103" i="344"/>
  <c r="E103" i="344"/>
  <c r="D5" i="345"/>
  <c r="E8" i="346"/>
  <c r="E22" i="347"/>
  <c r="G9" i="347"/>
  <c r="G8" i="347" s="1"/>
  <c r="D27" i="351"/>
  <c r="D6" i="351" s="1"/>
  <c r="B37" i="351"/>
  <c r="B27" i="351" s="1"/>
  <c r="B6" i="351" s="1"/>
  <c r="G18" i="337"/>
  <c r="D24" i="347"/>
  <c r="D22" i="347" s="1"/>
  <c r="C6" i="339"/>
  <c r="B23" i="351"/>
  <c r="C6" i="335"/>
  <c r="G7" i="336"/>
  <c r="G6" i="336" s="1"/>
  <c r="G13" i="336"/>
  <c r="G23" i="336"/>
  <c r="C25" i="336"/>
  <c r="G29" i="336"/>
  <c r="F6" i="338"/>
  <c r="N6" i="338"/>
  <c r="B11" i="338"/>
  <c r="I6" i="338"/>
  <c r="C6" i="340"/>
  <c r="C5" i="340" s="1"/>
  <c r="G16" i="344"/>
  <c r="O16" i="344"/>
  <c r="O6" i="344" s="1"/>
  <c r="G12" i="346"/>
  <c r="C23" i="347"/>
  <c r="C22" i="347" s="1"/>
  <c r="B35" i="348"/>
  <c r="E10" i="351"/>
  <c r="E6" i="351" s="1"/>
  <c r="F25" i="336"/>
  <c r="G6" i="339"/>
  <c r="O6" i="339"/>
  <c r="F6" i="339"/>
  <c r="N6" i="339"/>
  <c r="E6" i="339"/>
  <c r="M6" i="339"/>
  <c r="B15" i="341"/>
  <c r="B5" i="341" s="1"/>
  <c r="B16" i="343"/>
  <c r="B7" i="344"/>
  <c r="J7" i="344"/>
  <c r="R7" i="344"/>
  <c r="P7" i="344"/>
  <c r="B65" i="344"/>
  <c r="B64" i="344" s="1"/>
  <c r="B12" i="346"/>
  <c r="D12" i="346"/>
  <c r="D5" i="346" s="1"/>
  <c r="E17" i="346"/>
  <c r="C6" i="349"/>
  <c r="B13" i="349"/>
  <c r="F6" i="349"/>
  <c r="B28" i="351"/>
  <c r="K6" i="339"/>
  <c r="L45" i="344"/>
  <c r="L6" i="344" s="1"/>
  <c r="H6" i="338"/>
  <c r="B7" i="339"/>
  <c r="C15" i="341"/>
  <c r="C5" i="341" s="1"/>
  <c r="K7" i="344"/>
  <c r="Q7" i="344"/>
  <c r="R45" i="344"/>
  <c r="P103" i="344"/>
  <c r="G5" i="345"/>
  <c r="B7" i="347"/>
  <c r="B6" i="347" s="1"/>
  <c r="F23" i="347"/>
  <c r="F22" i="347" s="1"/>
  <c r="H6" i="349"/>
  <c r="E6" i="350"/>
  <c r="G10" i="351"/>
  <c r="I19" i="351"/>
  <c r="I6" i="351" s="1"/>
  <c r="G45" i="351"/>
  <c r="G13" i="337"/>
  <c r="E13" i="337"/>
  <c r="D45" i="344"/>
  <c r="D6" i="344" s="1"/>
  <c r="D8" i="346"/>
  <c r="F6" i="335"/>
  <c r="D7" i="337"/>
  <c r="D6" i="337" s="1"/>
  <c r="B16" i="338"/>
  <c r="B27" i="340"/>
  <c r="C6" i="343"/>
  <c r="B7" i="343"/>
  <c r="E6" i="344"/>
  <c r="K45" i="344"/>
  <c r="B113" i="344"/>
  <c r="B112" i="344" s="1"/>
  <c r="B5" i="345"/>
  <c r="C6" i="346"/>
  <c r="E22" i="346"/>
  <c r="B57" i="348"/>
  <c r="C19" i="351"/>
  <c r="B19" i="351"/>
  <c r="E27" i="351"/>
  <c r="H27" i="351"/>
  <c r="H6" i="351" s="1"/>
  <c r="C7" i="337"/>
  <c r="C6" i="337" s="1"/>
  <c r="G7" i="337"/>
  <c r="F6" i="337"/>
  <c r="D13" i="337"/>
  <c r="B18" i="337"/>
  <c r="F18" i="337"/>
  <c r="B7" i="337"/>
  <c r="R6" i="344"/>
  <c r="E7" i="347"/>
  <c r="E6" i="347" s="1"/>
  <c r="E6" i="346"/>
  <c r="E12" i="337"/>
  <c r="E11" i="337" s="1"/>
  <c r="C6" i="338"/>
  <c r="G6" i="338"/>
  <c r="K6" i="338"/>
  <c r="B7" i="338"/>
  <c r="B6" i="338" s="1"/>
  <c r="B23" i="338"/>
  <c r="D6" i="339"/>
  <c r="H6" i="339"/>
  <c r="L6" i="339"/>
  <c r="B18" i="339"/>
  <c r="C5" i="342"/>
  <c r="B11" i="343"/>
  <c r="M6" i="343"/>
  <c r="G6" i="344"/>
  <c r="K6" i="344"/>
  <c r="Q6" i="344"/>
  <c r="F16" i="344"/>
  <c r="J16" i="344"/>
  <c r="J6" i="344" s="1"/>
  <c r="B8" i="346"/>
  <c r="B5" i="346" s="1"/>
  <c r="B9" i="347"/>
  <c r="B8" i="347" s="1"/>
  <c r="F8" i="346"/>
  <c r="F5" i="346" s="1"/>
  <c r="F9" i="347"/>
  <c r="F8" i="347" s="1"/>
  <c r="E13" i="347"/>
  <c r="E12" i="347" s="1"/>
  <c r="F6" i="351"/>
  <c r="D7" i="336"/>
  <c r="D11" i="336"/>
  <c r="D13" i="336"/>
  <c r="B16" i="336"/>
  <c r="B6" i="336" s="1"/>
  <c r="F16" i="336"/>
  <c r="F6" i="336" s="1"/>
  <c r="B18" i="336"/>
  <c r="F18" i="336"/>
  <c r="D21" i="336"/>
  <c r="D23" i="336"/>
  <c r="D25" i="336"/>
  <c r="D29" i="336"/>
  <c r="B6" i="343"/>
  <c r="C6" i="344"/>
  <c r="M6" i="344"/>
  <c r="D12" i="347"/>
  <c r="C17" i="346"/>
  <c r="C18" i="347"/>
  <c r="C17" i="347" s="1"/>
  <c r="G17" i="346"/>
  <c r="G18" i="347"/>
  <c r="G17" i="347" s="1"/>
  <c r="G5" i="347" s="1"/>
  <c r="E17" i="347"/>
  <c r="G6" i="351"/>
  <c r="E7" i="336"/>
  <c r="E13" i="336"/>
  <c r="C16" i="336"/>
  <c r="G16" i="336"/>
  <c r="C18" i="336"/>
  <c r="G18" i="336"/>
  <c r="E21" i="336"/>
  <c r="E23" i="336"/>
  <c r="E25" i="336"/>
  <c r="E29" i="336"/>
  <c r="D6" i="343"/>
  <c r="H6" i="343"/>
  <c r="C12" i="346"/>
  <c r="C5" i="346" s="1"/>
  <c r="C14" i="347"/>
  <c r="C12" i="347" s="1"/>
  <c r="C5" i="347" s="1"/>
  <c r="D17" i="346"/>
  <c r="D18" i="347"/>
  <c r="D17" i="347" s="1"/>
  <c r="B19" i="347"/>
  <c r="B17" i="347" s="1"/>
  <c r="B17" i="346"/>
  <c r="F19" i="347"/>
  <c r="F17" i="347" s="1"/>
  <c r="F6" i="343"/>
  <c r="J6" i="343"/>
  <c r="N6" i="343"/>
  <c r="R6" i="343"/>
  <c r="F45" i="344"/>
  <c r="J45" i="344"/>
  <c r="G12" i="347"/>
  <c r="G23" i="347"/>
  <c r="G22" i="347" s="1"/>
  <c r="G22" i="346"/>
  <c r="E10" i="347"/>
  <c r="E8" i="347" s="1"/>
  <c r="N6" i="349"/>
  <c r="B13" i="350"/>
  <c r="B6" i="350" s="1"/>
  <c r="D8" i="347"/>
  <c r="C6" i="350"/>
  <c r="C27" i="351"/>
  <c r="B99" i="344"/>
  <c r="B98" i="344" s="1"/>
  <c r="B6" i="344" s="1"/>
  <c r="F13" i="347"/>
  <c r="F12" i="347" s="1"/>
  <c r="B21" i="348"/>
  <c r="B9" i="349"/>
  <c r="B6" i="349" s="1"/>
  <c r="B10" i="351"/>
  <c r="F7" i="347"/>
  <c r="F6" i="347" s="1"/>
  <c r="B13" i="347"/>
  <c r="B12" i="347" s="1"/>
  <c r="B10" i="348"/>
  <c r="E6" i="349"/>
  <c r="I6" i="349"/>
  <c r="M6" i="349"/>
  <c r="B48" i="351"/>
  <c r="B45" i="351" s="1"/>
  <c r="B5" i="347" l="1"/>
  <c r="G5" i="346"/>
  <c r="C6" i="336"/>
  <c r="B6" i="339"/>
  <c r="B6" i="337"/>
  <c r="C6" i="351"/>
  <c r="F6" i="344"/>
  <c r="E6" i="337"/>
  <c r="P6" i="344"/>
  <c r="D5" i="347"/>
  <c r="E5" i="346"/>
  <c r="B5" i="340"/>
  <c r="E6" i="336"/>
  <c r="F5" i="347"/>
  <c r="D6" i="336"/>
  <c r="G6" i="337"/>
  <c r="E5" i="347"/>
  <c r="B5" i="348"/>
  <c r="E6" i="333" l="1"/>
  <c r="D6" i="333"/>
  <c r="C6" i="333"/>
  <c r="B6" i="333"/>
  <c r="F5" i="332"/>
  <c r="E5" i="332"/>
  <c r="D5" i="332"/>
  <c r="C5" i="332"/>
  <c r="B5" i="332"/>
  <c r="F5" i="331"/>
  <c r="E5" i="331"/>
  <c r="D5" i="331"/>
  <c r="C5" i="331"/>
  <c r="B5" i="331"/>
  <c r="C23" i="330"/>
  <c r="B23" i="330"/>
  <c r="C22" i="330"/>
  <c r="B22" i="330"/>
  <c r="C21" i="330"/>
  <c r="B21" i="330"/>
  <c r="C20" i="330"/>
  <c r="B20" i="330"/>
  <c r="C19" i="330"/>
  <c r="B19" i="330"/>
  <c r="C18" i="330"/>
  <c r="B18" i="330"/>
  <c r="C17" i="330"/>
  <c r="B17" i="330"/>
  <c r="C16" i="330"/>
  <c r="B16" i="330"/>
  <c r="C15" i="330"/>
  <c r="B15" i="330"/>
  <c r="C14" i="330"/>
  <c r="B14" i="330"/>
  <c r="C13" i="330"/>
  <c r="B13" i="330"/>
  <c r="C12" i="330"/>
  <c r="B12" i="330"/>
  <c r="C11" i="330"/>
  <c r="B11" i="330"/>
  <c r="C10" i="330"/>
  <c r="B10" i="330"/>
  <c r="C9" i="330"/>
  <c r="B9" i="330"/>
  <c r="C8" i="330"/>
  <c r="B8" i="330"/>
  <c r="C7" i="330"/>
  <c r="C6" i="330" s="1"/>
  <c r="B7" i="330"/>
  <c r="B6" i="330" s="1"/>
  <c r="M6" i="330"/>
  <c r="L6" i="330"/>
  <c r="K6" i="330"/>
  <c r="J6" i="330"/>
  <c r="I6" i="330"/>
  <c r="H6" i="330"/>
  <c r="G6" i="330"/>
  <c r="F6" i="330"/>
  <c r="E6" i="330"/>
  <c r="D6" i="330"/>
  <c r="B23" i="329"/>
  <c r="B22" i="329"/>
  <c r="B21" i="329"/>
  <c r="B20" i="329"/>
  <c r="B19" i="329"/>
  <c r="B18" i="329"/>
  <c r="B17" i="329"/>
  <c r="B16" i="329"/>
  <c r="B15" i="329"/>
  <c r="B14" i="329"/>
  <c r="B13" i="329"/>
  <c r="B12" i="329"/>
  <c r="B11" i="329"/>
  <c r="B10" i="329"/>
  <c r="B9" i="329"/>
  <c r="B8" i="329"/>
  <c r="B7" i="329"/>
  <c r="G6" i="329"/>
  <c r="F6" i="329"/>
  <c r="E6" i="329"/>
  <c r="D6" i="329"/>
  <c r="C6" i="329"/>
  <c r="B23" i="328"/>
  <c r="B22" i="328"/>
  <c r="B21" i="328"/>
  <c r="B20" i="328"/>
  <c r="B19" i="328"/>
  <c r="B18" i="328"/>
  <c r="B17" i="328"/>
  <c r="B16" i="328"/>
  <c r="B15" i="328"/>
  <c r="B14" i="328"/>
  <c r="B13" i="328"/>
  <c r="B12" i="328"/>
  <c r="B11" i="328"/>
  <c r="B10" i="328"/>
  <c r="B9" i="328"/>
  <c r="B8" i="328"/>
  <c r="B7" i="328"/>
  <c r="G6" i="328"/>
  <c r="F6" i="328"/>
  <c r="E6" i="328"/>
  <c r="D6" i="328"/>
  <c r="C6" i="328"/>
  <c r="B46" i="327"/>
  <c r="E45" i="327"/>
  <c r="D45" i="327"/>
  <c r="B45" i="327" s="1"/>
  <c r="C45" i="327"/>
  <c r="B44" i="327"/>
  <c r="B43" i="327"/>
  <c r="B42" i="327"/>
  <c r="E41" i="327"/>
  <c r="D41" i="327"/>
  <c r="C41" i="327"/>
  <c r="B40" i="327"/>
  <c r="B39" i="327"/>
  <c r="B38" i="327"/>
  <c r="B37" i="327"/>
  <c r="B36" i="327"/>
  <c r="B35" i="327"/>
  <c r="B34" i="327"/>
  <c r="B33" i="327"/>
  <c r="B32" i="327"/>
  <c r="B31" i="327"/>
  <c r="B30" i="327"/>
  <c r="B29" i="327"/>
  <c r="E28" i="327"/>
  <c r="D28" i="327"/>
  <c r="C28" i="327"/>
  <c r="B27" i="327"/>
  <c r="B26" i="327"/>
  <c r="B25" i="327"/>
  <c r="B24" i="327"/>
  <c r="B23" i="327"/>
  <c r="E22" i="327"/>
  <c r="D22" i="327"/>
  <c r="B22" i="327" s="1"/>
  <c r="C22" i="327"/>
  <c r="B21" i="327"/>
  <c r="E20" i="327"/>
  <c r="D20" i="327"/>
  <c r="C20" i="327"/>
  <c r="B19" i="327"/>
  <c r="B18" i="327"/>
  <c r="B17" i="327"/>
  <c r="E16" i="327"/>
  <c r="D16" i="327"/>
  <c r="C16" i="327"/>
  <c r="B15" i="327"/>
  <c r="B14" i="327"/>
  <c r="E13" i="327"/>
  <c r="D13" i="327"/>
  <c r="D6" i="327" s="1"/>
  <c r="C13" i="327"/>
  <c r="B13" i="327" s="1"/>
  <c r="B12" i="327"/>
  <c r="B11" i="327"/>
  <c r="E10" i="327"/>
  <c r="D10" i="327"/>
  <c r="C10" i="327"/>
  <c r="B9" i="327"/>
  <c r="B8" i="327"/>
  <c r="E7" i="327"/>
  <c r="D7" i="327"/>
  <c r="C7" i="327"/>
  <c r="B7" i="327" s="1"/>
  <c r="B21" i="326"/>
  <c r="B20" i="326"/>
  <c r="B19" i="326"/>
  <c r="B18" i="326"/>
  <c r="B17" i="326"/>
  <c r="B16" i="326"/>
  <c r="B15" i="326"/>
  <c r="B14" i="326"/>
  <c r="B13" i="326"/>
  <c r="B12" i="326"/>
  <c r="B11" i="326"/>
  <c r="B10" i="326"/>
  <c r="B9" i="326"/>
  <c r="B8" i="326"/>
  <c r="E7" i="326"/>
  <c r="D7" i="326"/>
  <c r="C7" i="326"/>
  <c r="B22" i="325"/>
  <c r="B21" i="325"/>
  <c r="B20" i="325"/>
  <c r="B19" i="325"/>
  <c r="B18" i="325"/>
  <c r="B17" i="325"/>
  <c r="B16" i="325"/>
  <c r="B15" i="325"/>
  <c r="B14" i="325"/>
  <c r="B13" i="325"/>
  <c r="B12" i="325"/>
  <c r="B11" i="325"/>
  <c r="B10" i="325"/>
  <c r="B9" i="325"/>
  <c r="B8" i="325"/>
  <c r="E7" i="325"/>
  <c r="D7" i="325"/>
  <c r="C7" i="325"/>
  <c r="B7" i="325" s="1"/>
  <c r="B186" i="324"/>
  <c r="G185" i="324"/>
  <c r="F185" i="324"/>
  <c r="E185" i="324"/>
  <c r="D185" i="324"/>
  <c r="C185" i="324"/>
  <c r="B185" i="324"/>
  <c r="B184" i="324"/>
  <c r="G183" i="324"/>
  <c r="F183" i="324"/>
  <c r="E183" i="324"/>
  <c r="D183" i="324"/>
  <c r="C183" i="324"/>
  <c r="B183" i="324" s="1"/>
  <c r="B182" i="324"/>
  <c r="B181" i="324"/>
  <c r="B180" i="324"/>
  <c r="B179" i="324"/>
  <c r="B178" i="324"/>
  <c r="B177" i="324"/>
  <c r="B176" i="324"/>
  <c r="G175" i="324"/>
  <c r="F175" i="324"/>
  <c r="E175" i="324"/>
  <c r="D175" i="324"/>
  <c r="B175" i="324" s="1"/>
  <c r="C175" i="324"/>
  <c r="B174" i="324"/>
  <c r="B173" i="324"/>
  <c r="B172" i="324"/>
  <c r="B171" i="324"/>
  <c r="B170" i="324"/>
  <c r="G169" i="324"/>
  <c r="F169" i="324"/>
  <c r="E169" i="324"/>
  <c r="D169" i="324"/>
  <c r="C169" i="324"/>
  <c r="B168" i="324"/>
  <c r="B167" i="324"/>
  <c r="B166" i="324"/>
  <c r="B165" i="324"/>
  <c r="B164" i="324"/>
  <c r="B163" i="324"/>
  <c r="B162" i="324"/>
  <c r="B161" i="324"/>
  <c r="B160" i="324"/>
  <c r="B159" i="324"/>
  <c r="B158" i="324"/>
  <c r="G157" i="324"/>
  <c r="F157" i="324"/>
  <c r="E157" i="324"/>
  <c r="D157" i="324"/>
  <c r="C157" i="324"/>
  <c r="B157" i="324" s="1"/>
  <c r="B156" i="324"/>
  <c r="B155" i="324"/>
  <c r="B154" i="324"/>
  <c r="B153" i="324"/>
  <c r="B152" i="324"/>
  <c r="B151" i="324"/>
  <c r="B150" i="324"/>
  <c r="B149" i="324"/>
  <c r="B148" i="324"/>
  <c r="B147" i="324"/>
  <c r="B146" i="324"/>
  <c r="B145" i="324"/>
  <c r="G144" i="324"/>
  <c r="F144" i="324"/>
  <c r="E144" i="324"/>
  <c r="D144" i="324"/>
  <c r="C144" i="324"/>
  <c r="B143" i="324"/>
  <c r="B142" i="324"/>
  <c r="B141" i="324"/>
  <c r="B140" i="324"/>
  <c r="B139" i="324"/>
  <c r="B138" i="324"/>
  <c r="B137" i="324"/>
  <c r="B136" i="324"/>
  <c r="B135" i="324"/>
  <c r="B134" i="324"/>
  <c r="B133" i="324"/>
  <c r="B132" i="324"/>
  <c r="B131" i="324"/>
  <c r="G130" i="324"/>
  <c r="F130" i="324"/>
  <c r="E130" i="324"/>
  <c r="D130" i="324"/>
  <c r="C130" i="324"/>
  <c r="B130" i="324" s="1"/>
  <c r="B129" i="324"/>
  <c r="B128" i="324"/>
  <c r="B127" i="324"/>
  <c r="B126" i="324"/>
  <c r="B125" i="324"/>
  <c r="B124" i="324"/>
  <c r="B123" i="324"/>
  <c r="B122" i="324"/>
  <c r="B121" i="324"/>
  <c r="G120" i="324"/>
  <c r="F120" i="324"/>
  <c r="E120" i="324"/>
  <c r="D120" i="324"/>
  <c r="C120" i="324"/>
  <c r="B120" i="324"/>
  <c r="B119" i="324"/>
  <c r="B118" i="324"/>
  <c r="B117" i="324"/>
  <c r="B116" i="324"/>
  <c r="B115" i="324"/>
  <c r="B114" i="324"/>
  <c r="B113" i="324"/>
  <c r="B112" i="324"/>
  <c r="B111" i="324"/>
  <c r="B110" i="324"/>
  <c r="B109" i="324"/>
  <c r="B108" i="324"/>
  <c r="B107" i="324"/>
  <c r="B106" i="324"/>
  <c r="B105" i="324"/>
  <c r="B104" i="324"/>
  <c r="B103" i="324"/>
  <c r="B102" i="324"/>
  <c r="B101" i="324"/>
  <c r="B100" i="324"/>
  <c r="B99" i="324"/>
  <c r="B98" i="324"/>
  <c r="B97" i="324"/>
  <c r="B96" i="324"/>
  <c r="B95" i="324"/>
  <c r="B94" i="324"/>
  <c r="B93" i="324"/>
  <c r="B92" i="324"/>
  <c r="B91" i="324"/>
  <c r="B90" i="324"/>
  <c r="B89" i="324"/>
  <c r="B88" i="324"/>
  <c r="B87" i="324"/>
  <c r="B86" i="324"/>
  <c r="B85" i="324"/>
  <c r="B84" i="324"/>
  <c r="B83" i="324"/>
  <c r="B82" i="324"/>
  <c r="B81" i="324"/>
  <c r="B80" i="324"/>
  <c r="B79" i="324"/>
  <c r="B78" i="324"/>
  <c r="B77" i="324"/>
  <c r="B76" i="324"/>
  <c r="B75" i="324"/>
  <c r="B74" i="324"/>
  <c r="B73" i="324"/>
  <c r="B72" i="324"/>
  <c r="B71" i="324"/>
  <c r="B70" i="324"/>
  <c r="B69" i="324"/>
  <c r="B68" i="324"/>
  <c r="G67" i="324"/>
  <c r="F67" i="324"/>
  <c r="E67" i="324"/>
  <c r="D67" i="324"/>
  <c r="C67" i="324"/>
  <c r="B66" i="324"/>
  <c r="B65" i="324"/>
  <c r="B64" i="324"/>
  <c r="B63" i="324"/>
  <c r="B62" i="324"/>
  <c r="B61" i="324"/>
  <c r="B60" i="324"/>
  <c r="B59" i="324"/>
  <c r="B58" i="324"/>
  <c r="B57" i="324"/>
  <c r="B56" i="324"/>
  <c r="B55" i="324"/>
  <c r="B54" i="324"/>
  <c r="B53" i="324"/>
  <c r="B52" i="324"/>
  <c r="B51" i="324"/>
  <c r="B50" i="324"/>
  <c r="B49" i="324"/>
  <c r="B48" i="324"/>
  <c r="B47" i="324"/>
  <c r="B46" i="324"/>
  <c r="B45" i="324"/>
  <c r="B44" i="324"/>
  <c r="B43" i="324"/>
  <c r="B42" i="324"/>
  <c r="B41" i="324"/>
  <c r="G40" i="324"/>
  <c r="F40" i="324"/>
  <c r="E40" i="324"/>
  <c r="D40" i="324"/>
  <c r="C40" i="324"/>
  <c r="B39" i="324"/>
  <c r="B38" i="324"/>
  <c r="B37" i="324"/>
  <c r="B36" i="324"/>
  <c r="B35" i="324"/>
  <c r="B34" i="324"/>
  <c r="B33" i="324"/>
  <c r="B32" i="324"/>
  <c r="G31" i="324"/>
  <c r="F31" i="324"/>
  <c r="E31" i="324"/>
  <c r="D31" i="324"/>
  <c r="C31" i="324"/>
  <c r="B31" i="324" s="1"/>
  <c r="B30" i="324"/>
  <c r="B29" i="324"/>
  <c r="B28" i="324"/>
  <c r="B27" i="324"/>
  <c r="B26" i="324"/>
  <c r="G25" i="324"/>
  <c r="F25" i="324"/>
  <c r="E25" i="324"/>
  <c r="D25" i="324"/>
  <c r="C25" i="324"/>
  <c r="B25" i="324" s="1"/>
  <c r="B24" i="324"/>
  <c r="B23" i="324"/>
  <c r="G22" i="324"/>
  <c r="F22" i="324"/>
  <c r="E22" i="324"/>
  <c r="D22" i="324"/>
  <c r="C22" i="324"/>
  <c r="B21" i="324"/>
  <c r="B20" i="324"/>
  <c r="B19" i="324"/>
  <c r="B18" i="324"/>
  <c r="B17" i="324"/>
  <c r="G16" i="324"/>
  <c r="F16" i="324"/>
  <c r="E16" i="324"/>
  <c r="D16" i="324"/>
  <c r="C16" i="324"/>
  <c r="B15" i="324"/>
  <c r="B14" i="324"/>
  <c r="B13" i="324"/>
  <c r="B12" i="324"/>
  <c r="B11" i="324"/>
  <c r="B10" i="324"/>
  <c r="B9" i="324"/>
  <c r="B8" i="324"/>
  <c r="G7" i="324"/>
  <c r="F7" i="324"/>
  <c r="F6" i="324" s="1"/>
  <c r="E7" i="324"/>
  <c r="D7" i="324"/>
  <c r="B7" i="324" s="1"/>
  <c r="C7" i="324"/>
  <c r="L47" i="323"/>
  <c r="K47" i="323"/>
  <c r="J47" i="323"/>
  <c r="I47" i="323"/>
  <c r="H47" i="323"/>
  <c r="G47" i="323"/>
  <c r="F47" i="323"/>
  <c r="E47" i="323"/>
  <c r="D47" i="323"/>
  <c r="C47" i="323"/>
  <c r="B47" i="323"/>
  <c r="L45" i="323"/>
  <c r="K45" i="323"/>
  <c r="J45" i="323"/>
  <c r="I45" i="323"/>
  <c r="H45" i="323"/>
  <c r="G45" i="323"/>
  <c r="F45" i="323"/>
  <c r="E45" i="323"/>
  <c r="D45" i="323"/>
  <c r="C45" i="323"/>
  <c r="B45" i="323"/>
  <c r="L42" i="323"/>
  <c r="K42" i="323"/>
  <c r="J42" i="323"/>
  <c r="I42" i="323"/>
  <c r="H42" i="323"/>
  <c r="G42" i="323"/>
  <c r="F42" i="323"/>
  <c r="E42" i="323"/>
  <c r="D42" i="323"/>
  <c r="C42" i="323"/>
  <c r="B42" i="323"/>
  <c r="L40" i="323"/>
  <c r="K40" i="323"/>
  <c r="J40" i="323"/>
  <c r="I40" i="323"/>
  <c r="H40" i="323"/>
  <c r="G40" i="323"/>
  <c r="F40" i="323"/>
  <c r="E40" i="323"/>
  <c r="D40" i="323"/>
  <c r="C40" i="323"/>
  <c r="B40" i="323"/>
  <c r="L38" i="323"/>
  <c r="K38" i="323"/>
  <c r="J38" i="323"/>
  <c r="I38" i="323"/>
  <c r="H38" i="323"/>
  <c r="G38" i="323"/>
  <c r="F38" i="323"/>
  <c r="E38" i="323"/>
  <c r="D38" i="323"/>
  <c r="C38" i="323"/>
  <c r="B38" i="323"/>
  <c r="L35" i="323"/>
  <c r="K35" i="323"/>
  <c r="J35" i="323"/>
  <c r="I35" i="323"/>
  <c r="H35" i="323"/>
  <c r="G35" i="323"/>
  <c r="F35" i="323"/>
  <c r="E35" i="323"/>
  <c r="D35" i="323"/>
  <c r="C35" i="323"/>
  <c r="B35" i="323"/>
  <c r="L32" i="323"/>
  <c r="K32" i="323"/>
  <c r="J32" i="323"/>
  <c r="I32" i="323"/>
  <c r="H32" i="323"/>
  <c r="G32" i="323"/>
  <c r="F32" i="323"/>
  <c r="E32" i="323"/>
  <c r="D32" i="323"/>
  <c r="C32" i="323"/>
  <c r="B32" i="323"/>
  <c r="L30" i="323"/>
  <c r="K30" i="323"/>
  <c r="J30" i="323"/>
  <c r="I30" i="323"/>
  <c r="H30" i="323"/>
  <c r="G30" i="323"/>
  <c r="F30" i="323"/>
  <c r="E30" i="323"/>
  <c r="D30" i="323"/>
  <c r="C30" i="323"/>
  <c r="B30" i="323"/>
  <c r="L25" i="323"/>
  <c r="K25" i="323"/>
  <c r="J25" i="323"/>
  <c r="I25" i="323"/>
  <c r="H25" i="323"/>
  <c r="G25" i="323"/>
  <c r="F25" i="323"/>
  <c r="E25" i="323"/>
  <c r="D25" i="323"/>
  <c r="C25" i="323"/>
  <c r="B25" i="323"/>
  <c r="L19" i="323"/>
  <c r="K19" i="323"/>
  <c r="J19" i="323"/>
  <c r="I19" i="323"/>
  <c r="H19" i="323"/>
  <c r="G19" i="323"/>
  <c r="F19" i="323"/>
  <c r="E19" i="323"/>
  <c r="D19" i="323"/>
  <c r="C19" i="323"/>
  <c r="B19" i="323"/>
  <c r="L17" i="323"/>
  <c r="K17" i="323"/>
  <c r="J17" i="323"/>
  <c r="I17" i="323"/>
  <c r="H17" i="323"/>
  <c r="G17" i="323"/>
  <c r="F17" i="323"/>
  <c r="E17" i="323"/>
  <c r="D17" i="323"/>
  <c r="C17" i="323"/>
  <c r="B17" i="323"/>
  <c r="B6" i="323" s="1"/>
  <c r="L15" i="323"/>
  <c r="K15" i="323"/>
  <c r="J15" i="323"/>
  <c r="I15" i="323"/>
  <c r="H15" i="323"/>
  <c r="G15" i="323"/>
  <c r="F15" i="323"/>
  <c r="E15" i="323"/>
  <c r="D15" i="323"/>
  <c r="C15" i="323"/>
  <c r="B15" i="323"/>
  <c r="L13" i="323"/>
  <c r="K13" i="323"/>
  <c r="J13" i="323"/>
  <c r="I13" i="323"/>
  <c r="H13" i="323"/>
  <c r="H6" i="323" s="1"/>
  <c r="G13" i="323"/>
  <c r="F13" i="323"/>
  <c r="E13" i="323"/>
  <c r="D13" i="323"/>
  <c r="C13" i="323"/>
  <c r="B13" i="323"/>
  <c r="L9" i="323"/>
  <c r="L6" i="323" s="1"/>
  <c r="K9" i="323"/>
  <c r="J9" i="323"/>
  <c r="I9" i="323"/>
  <c r="H9" i="323"/>
  <c r="G9" i="323"/>
  <c r="F9" i="323"/>
  <c r="E9" i="323"/>
  <c r="D9" i="323"/>
  <c r="C9" i="323"/>
  <c r="B9" i="323"/>
  <c r="L7" i="323"/>
  <c r="K7" i="323"/>
  <c r="J7" i="323"/>
  <c r="I7" i="323"/>
  <c r="H7" i="323"/>
  <c r="G7" i="323"/>
  <c r="F7" i="323"/>
  <c r="F6" i="323" s="1"/>
  <c r="E7" i="323"/>
  <c r="D7" i="323"/>
  <c r="C7" i="323"/>
  <c r="B7" i="323"/>
  <c r="D6" i="323"/>
  <c r="B133" i="322"/>
  <c r="B132" i="322"/>
  <c r="B131" i="322"/>
  <c r="B130" i="322"/>
  <c r="B129" i="322"/>
  <c r="B128" i="322"/>
  <c r="B127" i="322"/>
  <c r="G126" i="322"/>
  <c r="F126" i="322"/>
  <c r="E126" i="322"/>
  <c r="D126" i="322"/>
  <c r="C126" i="322"/>
  <c r="B125" i="322"/>
  <c r="B124" i="322"/>
  <c r="B123" i="322"/>
  <c r="B122" i="322"/>
  <c r="B121" i="322"/>
  <c r="B120" i="322"/>
  <c r="B119" i="322"/>
  <c r="G118" i="322"/>
  <c r="F118" i="322"/>
  <c r="E118" i="322"/>
  <c r="D118" i="322"/>
  <c r="C118" i="322"/>
  <c r="B118" i="322" s="1"/>
  <c r="B117" i="322"/>
  <c r="B116" i="322"/>
  <c r="B115" i="322"/>
  <c r="B114" i="322"/>
  <c r="B113" i="322"/>
  <c r="B112" i="322"/>
  <c r="B111" i="322"/>
  <c r="G110" i="322"/>
  <c r="F110" i="322"/>
  <c r="E110" i="322"/>
  <c r="D110" i="322"/>
  <c r="C110" i="322"/>
  <c r="B109" i="322"/>
  <c r="B108" i="322"/>
  <c r="B107" i="322"/>
  <c r="B106" i="322"/>
  <c r="B105" i="322"/>
  <c r="B104" i="322"/>
  <c r="B103" i="322"/>
  <c r="G102" i="322"/>
  <c r="F102" i="322"/>
  <c r="E102" i="322"/>
  <c r="D102" i="322"/>
  <c r="C102" i="322"/>
  <c r="B101" i="322"/>
  <c r="B100" i="322"/>
  <c r="B99" i="322"/>
  <c r="B98" i="322"/>
  <c r="B97" i="322"/>
  <c r="B96" i="322"/>
  <c r="B95" i="322"/>
  <c r="G94" i="322"/>
  <c r="F94" i="322"/>
  <c r="E94" i="322"/>
  <c r="D94" i="322"/>
  <c r="C94" i="322"/>
  <c r="B93" i="322"/>
  <c r="B92" i="322"/>
  <c r="B91" i="322"/>
  <c r="B90" i="322"/>
  <c r="B89" i="322"/>
  <c r="B88" i="322"/>
  <c r="B87" i="322"/>
  <c r="G86" i="322"/>
  <c r="F86" i="322"/>
  <c r="E86" i="322"/>
  <c r="D86" i="322"/>
  <c r="B86" i="322" s="1"/>
  <c r="C86" i="322"/>
  <c r="B85" i="322"/>
  <c r="B84" i="322"/>
  <c r="B83" i="322"/>
  <c r="B82" i="322"/>
  <c r="B81" i="322"/>
  <c r="B80" i="322"/>
  <c r="B79" i="322"/>
  <c r="G78" i="322"/>
  <c r="F78" i="322"/>
  <c r="E78" i="322"/>
  <c r="D78" i="322"/>
  <c r="C78" i="322"/>
  <c r="B78" i="322" s="1"/>
  <c r="B77" i="322"/>
  <c r="B76" i="322"/>
  <c r="B75" i="322"/>
  <c r="B74" i="322"/>
  <c r="B73" i="322"/>
  <c r="B72" i="322"/>
  <c r="B71" i="322"/>
  <c r="G70" i="322"/>
  <c r="F70" i="322"/>
  <c r="E70" i="322"/>
  <c r="D70" i="322"/>
  <c r="C70" i="322"/>
  <c r="B69" i="322"/>
  <c r="B68" i="322"/>
  <c r="B67" i="322"/>
  <c r="B66" i="322"/>
  <c r="B65" i="322"/>
  <c r="B64" i="322"/>
  <c r="B63" i="322"/>
  <c r="G62" i="322"/>
  <c r="F62" i="322"/>
  <c r="E62" i="322"/>
  <c r="D62" i="322"/>
  <c r="C62" i="322"/>
  <c r="B62" i="322" s="1"/>
  <c r="B61" i="322"/>
  <c r="B60" i="322"/>
  <c r="B59" i="322"/>
  <c r="B58" i="322"/>
  <c r="B57" i="322"/>
  <c r="B56" i="322"/>
  <c r="B55" i="322"/>
  <c r="G54" i="322"/>
  <c r="F54" i="322"/>
  <c r="E54" i="322"/>
  <c r="D54" i="322"/>
  <c r="C54" i="322"/>
  <c r="B54" i="322" s="1"/>
  <c r="B53" i="322"/>
  <c r="B52" i="322"/>
  <c r="B51" i="322"/>
  <c r="B50" i="322"/>
  <c r="B49" i="322"/>
  <c r="B48" i="322"/>
  <c r="B47" i="322"/>
  <c r="G46" i="322"/>
  <c r="F46" i="322"/>
  <c r="E46" i="322"/>
  <c r="D46" i="322"/>
  <c r="C46" i="322"/>
  <c r="B46" i="322" s="1"/>
  <c r="B45" i="322"/>
  <c r="B44" i="322"/>
  <c r="B43" i="322"/>
  <c r="B42" i="322"/>
  <c r="B41" i="322"/>
  <c r="B40" i="322"/>
  <c r="B39" i="322"/>
  <c r="G38" i="322"/>
  <c r="F38" i="322"/>
  <c r="E38" i="322"/>
  <c r="D38" i="322"/>
  <c r="C38" i="322"/>
  <c r="B37" i="322"/>
  <c r="B36" i="322"/>
  <c r="B35" i="322"/>
  <c r="B34" i="322"/>
  <c r="B33" i="322"/>
  <c r="B32" i="322"/>
  <c r="B31" i="322"/>
  <c r="G30" i="322"/>
  <c r="F30" i="322"/>
  <c r="E30" i="322"/>
  <c r="D30" i="322"/>
  <c r="C30" i="322"/>
  <c r="B30" i="322" s="1"/>
  <c r="B29" i="322"/>
  <c r="B28" i="322"/>
  <c r="B27" i="322"/>
  <c r="B26" i="322"/>
  <c r="B25" i="322"/>
  <c r="B24" i="322"/>
  <c r="B23" i="322"/>
  <c r="G22" i="322"/>
  <c r="F22" i="322"/>
  <c r="E22" i="322"/>
  <c r="D22" i="322"/>
  <c r="C22" i="322"/>
  <c r="B22" i="322" s="1"/>
  <c r="B21" i="322"/>
  <c r="B20" i="322"/>
  <c r="B19" i="322"/>
  <c r="B18" i="322"/>
  <c r="B17" i="322"/>
  <c r="B16" i="322"/>
  <c r="B15" i="322"/>
  <c r="G14" i="322"/>
  <c r="F14" i="322"/>
  <c r="E14" i="322"/>
  <c r="D14" i="322"/>
  <c r="C14" i="322"/>
  <c r="G13" i="322"/>
  <c r="F13" i="322"/>
  <c r="E13" i="322"/>
  <c r="D13" i="322"/>
  <c r="C13" i="322"/>
  <c r="G12" i="322"/>
  <c r="F12" i="322"/>
  <c r="E12" i="322"/>
  <c r="D12" i="322"/>
  <c r="C12" i="322"/>
  <c r="G11" i="322"/>
  <c r="F11" i="322"/>
  <c r="E11" i="322"/>
  <c r="D11" i="322"/>
  <c r="D6" i="322" s="1"/>
  <c r="C11" i="322"/>
  <c r="B11" i="322" s="1"/>
  <c r="G10" i="322"/>
  <c r="F10" i="322"/>
  <c r="E10" i="322"/>
  <c r="D10" i="322"/>
  <c r="C10" i="322"/>
  <c r="G9" i="322"/>
  <c r="F9" i="322"/>
  <c r="E9" i="322"/>
  <c r="D9" i="322"/>
  <c r="C9" i="322"/>
  <c r="G8" i="322"/>
  <c r="F8" i="322"/>
  <c r="E8" i="322"/>
  <c r="D8" i="322"/>
  <c r="C8" i="322"/>
  <c r="B8" i="322" s="1"/>
  <c r="G7" i="322"/>
  <c r="G6" i="322" s="1"/>
  <c r="F7" i="322"/>
  <c r="F6" i="322" s="1"/>
  <c r="E7" i="322"/>
  <c r="D7" i="322"/>
  <c r="C7" i="322"/>
  <c r="B53" i="321"/>
  <c r="B52" i="321"/>
  <c r="G51" i="321"/>
  <c r="F51" i="321"/>
  <c r="E51" i="321"/>
  <c r="D51" i="321"/>
  <c r="C51" i="321"/>
  <c r="B51" i="321" s="1"/>
  <c r="B50" i="321"/>
  <c r="B49" i="321"/>
  <c r="G48" i="321"/>
  <c r="F48" i="321"/>
  <c r="E48" i="321"/>
  <c r="D48" i="321"/>
  <c r="C48" i="321"/>
  <c r="B47" i="321"/>
  <c r="B46" i="321"/>
  <c r="G45" i="321"/>
  <c r="F45" i="321"/>
  <c r="E45" i="321"/>
  <c r="D45" i="321"/>
  <c r="C45" i="321"/>
  <c r="B44" i="321"/>
  <c r="B43" i="321"/>
  <c r="G42" i="321"/>
  <c r="F42" i="321"/>
  <c r="E42" i="321"/>
  <c r="D42" i="321"/>
  <c r="C42" i="321"/>
  <c r="B41" i="321"/>
  <c r="B40" i="321"/>
  <c r="G39" i="321"/>
  <c r="F39" i="321"/>
  <c r="E39" i="321"/>
  <c r="D39" i="321"/>
  <c r="C39" i="321"/>
  <c r="B38" i="321"/>
  <c r="B36" i="321" s="1"/>
  <c r="B37" i="321"/>
  <c r="G36" i="321"/>
  <c r="F36" i="321"/>
  <c r="E36" i="321"/>
  <c r="D36" i="321"/>
  <c r="C36" i="321"/>
  <c r="B35" i="321"/>
  <c r="B34" i="321"/>
  <c r="G33" i="321"/>
  <c r="F33" i="321"/>
  <c r="E33" i="321"/>
  <c r="D33" i="321"/>
  <c r="C33" i="321"/>
  <c r="B32" i="321"/>
  <c r="B31" i="321"/>
  <c r="G30" i="321"/>
  <c r="F30" i="321"/>
  <c r="E30" i="321"/>
  <c r="D30" i="321"/>
  <c r="C30" i="321"/>
  <c r="B30" i="321" s="1"/>
  <c r="B29" i="321"/>
  <c r="B28" i="321"/>
  <c r="G27" i="321"/>
  <c r="F27" i="321"/>
  <c r="E27" i="321"/>
  <c r="D27" i="321"/>
  <c r="C27" i="321"/>
  <c r="B27" i="321" s="1"/>
  <c r="B26" i="321"/>
  <c r="B25" i="321"/>
  <c r="G24" i="321"/>
  <c r="F24" i="321"/>
  <c r="E24" i="321"/>
  <c r="D24" i="321"/>
  <c r="C24" i="321"/>
  <c r="B23" i="321"/>
  <c r="B22" i="321"/>
  <c r="G21" i="321"/>
  <c r="F21" i="321"/>
  <c r="E21" i="321"/>
  <c r="D21" i="321"/>
  <c r="C21" i="321"/>
  <c r="B20" i="321"/>
  <c r="B19" i="321"/>
  <c r="B7" i="321" s="1"/>
  <c r="G18" i="321"/>
  <c r="F18" i="321"/>
  <c r="E18" i="321"/>
  <c r="D18" i="321"/>
  <c r="C18" i="321"/>
  <c r="B17" i="321"/>
  <c r="B16" i="321"/>
  <c r="B15" i="321" s="1"/>
  <c r="G15" i="321"/>
  <c r="F15" i="321"/>
  <c r="E15" i="321"/>
  <c r="D15" i="321"/>
  <c r="C15" i="321"/>
  <c r="B14" i="321"/>
  <c r="B13" i="321"/>
  <c r="G12" i="321"/>
  <c r="F12" i="321"/>
  <c r="E12" i="321"/>
  <c r="D12" i="321"/>
  <c r="C12" i="321"/>
  <c r="B11" i="321"/>
  <c r="B10" i="321"/>
  <c r="G9" i="321"/>
  <c r="F9" i="321"/>
  <c r="E9" i="321"/>
  <c r="D9" i="321"/>
  <c r="C9" i="321"/>
  <c r="G8" i="321"/>
  <c r="F8" i="321"/>
  <c r="E8" i="321"/>
  <c r="D8" i="321"/>
  <c r="C8" i="321"/>
  <c r="G7" i="321"/>
  <c r="G6" i="321" s="1"/>
  <c r="F7" i="321"/>
  <c r="F6" i="321" s="1"/>
  <c r="E7" i="321"/>
  <c r="D7" i="321"/>
  <c r="C7" i="321"/>
  <c r="C6" i="321" s="1"/>
  <c r="E6" i="321"/>
  <c r="D6" i="321"/>
  <c r="B53" i="320"/>
  <c r="B52" i="320"/>
  <c r="B51" i="320" s="1"/>
  <c r="G51" i="320"/>
  <c r="F51" i="320"/>
  <c r="E51" i="320"/>
  <c r="D51" i="320"/>
  <c r="C51" i="320"/>
  <c r="B50" i="320"/>
  <c r="B49" i="320"/>
  <c r="G48" i="320"/>
  <c r="F48" i="320"/>
  <c r="E48" i="320"/>
  <c r="D48" i="320"/>
  <c r="C48" i="320"/>
  <c r="B47" i="320"/>
  <c r="B46" i="320"/>
  <c r="G45" i="320"/>
  <c r="F45" i="320"/>
  <c r="E45" i="320"/>
  <c r="D45" i="320"/>
  <c r="C45" i="320"/>
  <c r="B44" i="320"/>
  <c r="B43" i="320"/>
  <c r="G42" i="320"/>
  <c r="F42" i="320"/>
  <c r="E42" i="320"/>
  <c r="D42" i="320"/>
  <c r="C42" i="320"/>
  <c r="B41" i="320"/>
  <c r="B39" i="320" s="1"/>
  <c r="B40" i="320"/>
  <c r="G39" i="320"/>
  <c r="F39" i="320"/>
  <c r="E39" i="320"/>
  <c r="D39" i="320"/>
  <c r="C39" i="320"/>
  <c r="B38" i="320"/>
  <c r="B36" i="320" s="1"/>
  <c r="B37" i="320"/>
  <c r="G36" i="320"/>
  <c r="F36" i="320"/>
  <c r="E36" i="320"/>
  <c r="D36" i="320"/>
  <c r="C36" i="320"/>
  <c r="B35" i="320"/>
  <c r="B33" i="320" s="1"/>
  <c r="B34" i="320"/>
  <c r="G33" i="320"/>
  <c r="F33" i="320"/>
  <c r="E33" i="320"/>
  <c r="D33" i="320"/>
  <c r="C33" i="320"/>
  <c r="B32" i="320"/>
  <c r="B31" i="320"/>
  <c r="G30" i="320"/>
  <c r="F30" i="320"/>
  <c r="E30" i="320"/>
  <c r="D30" i="320"/>
  <c r="C30" i="320"/>
  <c r="B29" i="320"/>
  <c r="B28" i="320"/>
  <c r="G27" i="320"/>
  <c r="F27" i="320"/>
  <c r="E27" i="320"/>
  <c r="D27" i="320"/>
  <c r="C27" i="320"/>
  <c r="B26" i="320"/>
  <c r="B25" i="320"/>
  <c r="G24" i="320"/>
  <c r="F24" i="320"/>
  <c r="E24" i="320"/>
  <c r="D24" i="320"/>
  <c r="C24" i="320"/>
  <c r="B23" i="320"/>
  <c r="B22" i="320"/>
  <c r="B21" i="320" s="1"/>
  <c r="G21" i="320"/>
  <c r="F21" i="320"/>
  <c r="E21" i="320"/>
  <c r="D21" i="320"/>
  <c r="C21" i="320"/>
  <c r="B20" i="320"/>
  <c r="B19" i="320"/>
  <c r="B18" i="320" s="1"/>
  <c r="G18" i="320"/>
  <c r="F18" i="320"/>
  <c r="E18" i="320"/>
  <c r="D18" i="320"/>
  <c r="C18" i="320"/>
  <c r="B17" i="320"/>
  <c r="B16" i="320"/>
  <c r="G15" i="320"/>
  <c r="F15" i="320"/>
  <c r="E15" i="320"/>
  <c r="D15" i="320"/>
  <c r="C15" i="320"/>
  <c r="B14" i="320"/>
  <c r="B12" i="320" s="1"/>
  <c r="B13" i="320"/>
  <c r="G12" i="320"/>
  <c r="F12" i="320"/>
  <c r="E12" i="320"/>
  <c r="D12" i="320"/>
  <c r="C12" i="320"/>
  <c r="B11" i="320"/>
  <c r="B10" i="320"/>
  <c r="G9" i="320"/>
  <c r="F9" i="320"/>
  <c r="E9" i="320"/>
  <c r="D9" i="320"/>
  <c r="C9" i="320"/>
  <c r="G8" i="320"/>
  <c r="F8" i="320"/>
  <c r="E8" i="320"/>
  <c r="D8" i="320"/>
  <c r="C8" i="320"/>
  <c r="G7" i="320"/>
  <c r="G6" i="320" s="1"/>
  <c r="F7" i="320"/>
  <c r="F6" i="320" s="1"/>
  <c r="E7" i="320"/>
  <c r="D7" i="320"/>
  <c r="C7" i="320"/>
  <c r="D6" i="320"/>
  <c r="C6" i="320"/>
  <c r="B21" i="319"/>
  <c r="B20" i="319"/>
  <c r="B19" i="319"/>
  <c r="B18" i="319"/>
  <c r="B17" i="319"/>
  <c r="B16" i="319"/>
  <c r="B15" i="319"/>
  <c r="B14" i="319"/>
  <c r="B13" i="319"/>
  <c r="B12" i="319"/>
  <c r="B11" i="319"/>
  <c r="B10" i="319"/>
  <c r="B9" i="319"/>
  <c r="B8" i="319"/>
  <c r="B7" i="319"/>
  <c r="G6" i="319"/>
  <c r="F6" i="319"/>
  <c r="E6" i="319"/>
  <c r="D6" i="319"/>
  <c r="C6" i="319"/>
  <c r="B88" i="318"/>
  <c r="B87" i="318"/>
  <c r="B86" i="318"/>
  <c r="B85" i="318"/>
  <c r="G84" i="318"/>
  <c r="F84" i="318"/>
  <c r="E84" i="318"/>
  <c r="D84" i="318"/>
  <c r="C84" i="318"/>
  <c r="B84" i="318" s="1"/>
  <c r="B83" i="318"/>
  <c r="G82" i="318"/>
  <c r="F82" i="318"/>
  <c r="E82" i="318"/>
  <c r="D82" i="318"/>
  <c r="C82" i="318"/>
  <c r="B81" i="318"/>
  <c r="B80" i="318"/>
  <c r="G79" i="318"/>
  <c r="F79" i="318"/>
  <c r="E79" i="318"/>
  <c r="D79" i="318"/>
  <c r="C79" i="318"/>
  <c r="B78" i="318"/>
  <c r="B77" i="318"/>
  <c r="G76" i="318"/>
  <c r="F76" i="318"/>
  <c r="E76" i="318"/>
  <c r="D76" i="318"/>
  <c r="C76" i="318"/>
  <c r="B75" i="318"/>
  <c r="B74" i="318"/>
  <c r="B73" i="318"/>
  <c r="B72" i="318"/>
  <c r="B71" i="318"/>
  <c r="G70" i="318"/>
  <c r="F70" i="318"/>
  <c r="E70" i="318"/>
  <c r="D70" i="318"/>
  <c r="C70" i="318"/>
  <c r="B69" i="318"/>
  <c r="B68" i="318"/>
  <c r="B67" i="318"/>
  <c r="B66" i="318"/>
  <c r="G65" i="318"/>
  <c r="F65" i="318"/>
  <c r="E65" i="318"/>
  <c r="D65" i="318"/>
  <c r="C65" i="318"/>
  <c r="B65" i="318" s="1"/>
  <c r="B64" i="318"/>
  <c r="G63" i="318"/>
  <c r="F63" i="318"/>
  <c r="E63" i="318"/>
  <c r="D63" i="318"/>
  <c r="C63" i="318"/>
  <c r="B62" i="318"/>
  <c r="B61" i="318"/>
  <c r="G60" i="318"/>
  <c r="F60" i="318"/>
  <c r="E60" i="318"/>
  <c r="D60" i="318"/>
  <c r="C60" i="318"/>
  <c r="B59" i="318"/>
  <c r="B58" i="318"/>
  <c r="B57" i="318"/>
  <c r="B56" i="318"/>
  <c r="B55" i="318"/>
  <c r="B54" i="318"/>
  <c r="B53" i="318"/>
  <c r="B52" i="318"/>
  <c r="B51" i="318"/>
  <c r="B50" i="318"/>
  <c r="B49" i="318"/>
  <c r="B48" i="318"/>
  <c r="B47" i="318"/>
  <c r="B46" i="318"/>
  <c r="B45" i="318"/>
  <c r="B44" i="318"/>
  <c r="B43" i="318"/>
  <c r="G42" i="318"/>
  <c r="F42" i="318"/>
  <c r="E42" i="318"/>
  <c r="D42" i="318"/>
  <c r="B42" i="318" s="1"/>
  <c r="C42" i="318"/>
  <c r="B41" i="318"/>
  <c r="B40" i="318"/>
  <c r="B39" i="318"/>
  <c r="B38" i="318"/>
  <c r="B37" i="318"/>
  <c r="B36" i="318"/>
  <c r="B35" i="318"/>
  <c r="G34" i="318"/>
  <c r="F34" i="318"/>
  <c r="E34" i="318"/>
  <c r="D34" i="318"/>
  <c r="C34" i="318"/>
  <c r="B33" i="318"/>
  <c r="G32" i="318"/>
  <c r="F32" i="318"/>
  <c r="E32" i="318"/>
  <c r="D32" i="318"/>
  <c r="C32" i="318"/>
  <c r="B31" i="318"/>
  <c r="B30" i="318"/>
  <c r="B29" i="318"/>
  <c r="B28" i="318"/>
  <c r="B27" i="318"/>
  <c r="B26" i="318"/>
  <c r="B25" i="318"/>
  <c r="G24" i="318"/>
  <c r="F24" i="318"/>
  <c r="E24" i="318"/>
  <c r="D24" i="318"/>
  <c r="C24" i="318"/>
  <c r="B24" i="318" s="1"/>
  <c r="B23" i="318"/>
  <c r="B22" i="318"/>
  <c r="B21" i="318"/>
  <c r="B20" i="318"/>
  <c r="B19" i="318"/>
  <c r="B18" i="318"/>
  <c r="B17" i="318"/>
  <c r="B16" i="318"/>
  <c r="B15" i="318"/>
  <c r="G14" i="318"/>
  <c r="F14" i="318"/>
  <c r="E14" i="318"/>
  <c r="D14" i="318"/>
  <c r="C14" i="318"/>
  <c r="B13" i="318"/>
  <c r="B12" i="318"/>
  <c r="B11" i="318"/>
  <c r="B10" i="318"/>
  <c r="B9" i="318"/>
  <c r="B8" i="318"/>
  <c r="G7" i="318"/>
  <c r="F7" i="318"/>
  <c r="F6" i="318" s="1"/>
  <c r="E7" i="318"/>
  <c r="D7" i="318"/>
  <c r="C7" i="318"/>
  <c r="B100" i="317"/>
  <c r="B99" i="317"/>
  <c r="B97" i="317" s="1"/>
  <c r="B98" i="317"/>
  <c r="G97" i="317"/>
  <c r="F97" i="317"/>
  <c r="E97" i="317"/>
  <c r="D97" i="317"/>
  <c r="C97" i="317"/>
  <c r="B96" i="317"/>
  <c r="B95" i="317"/>
  <c r="G94" i="317"/>
  <c r="F94" i="317"/>
  <c r="E94" i="317"/>
  <c r="D94" i="317"/>
  <c r="D6" i="317" s="1"/>
  <c r="C94" i="317"/>
  <c r="B93" i="317"/>
  <c r="B92" i="317"/>
  <c r="B91" i="317" s="1"/>
  <c r="G91" i="317"/>
  <c r="F91" i="317"/>
  <c r="E91" i="317"/>
  <c r="D91" i="317"/>
  <c r="C91" i="317"/>
  <c r="B90" i="317"/>
  <c r="B89" i="317"/>
  <c r="B88" i="317"/>
  <c r="B87" i="317"/>
  <c r="B86" i="317"/>
  <c r="B85" i="317"/>
  <c r="G84" i="317"/>
  <c r="F84" i="317"/>
  <c r="E84" i="317"/>
  <c r="D84" i="317"/>
  <c r="C84" i="317"/>
  <c r="B83" i="317"/>
  <c r="B82" i="317"/>
  <c r="B81" i="317"/>
  <c r="B80" i="317"/>
  <c r="B79" i="317"/>
  <c r="B78" i="317"/>
  <c r="B77" i="317" s="1"/>
  <c r="G77" i="317"/>
  <c r="F77" i="317"/>
  <c r="E77" i="317"/>
  <c r="D77" i="317"/>
  <c r="C77" i="317"/>
  <c r="B76" i="317"/>
  <c r="B75" i="317"/>
  <c r="B74" i="317"/>
  <c r="B72" i="317" s="1"/>
  <c r="B73" i="317"/>
  <c r="G72" i="317"/>
  <c r="F72" i="317"/>
  <c r="E72" i="317"/>
  <c r="D72" i="317"/>
  <c r="C72" i="317"/>
  <c r="B71" i="317"/>
  <c r="B70" i="317" s="1"/>
  <c r="G70" i="317"/>
  <c r="F70" i="317"/>
  <c r="E70" i="317"/>
  <c r="D70" i="317"/>
  <c r="C70" i="317"/>
  <c r="B69" i="317"/>
  <c r="B68" i="317"/>
  <c r="B67" i="317" s="1"/>
  <c r="G67" i="317"/>
  <c r="F67" i="317"/>
  <c r="E67" i="317"/>
  <c r="D67" i="317"/>
  <c r="C67" i="317"/>
  <c r="B66" i="317"/>
  <c r="B65" i="317"/>
  <c r="B64" i="317"/>
  <c r="B63" i="317"/>
  <c r="B62" i="317"/>
  <c r="B61" i="317"/>
  <c r="B60" i="317"/>
  <c r="B59" i="317"/>
  <c r="B58" i="317"/>
  <c r="B57" i="317"/>
  <c r="B56" i="317"/>
  <c r="B55" i="317"/>
  <c r="B54" i="317"/>
  <c r="B53" i="317"/>
  <c r="B52" i="317"/>
  <c r="B51" i="317"/>
  <c r="B50" i="317"/>
  <c r="B49" i="317"/>
  <c r="B48" i="317"/>
  <c r="B47" i="317"/>
  <c r="B46" i="317"/>
  <c r="B45" i="317"/>
  <c r="B44" i="317"/>
  <c r="B43" i="317"/>
  <c r="B42" i="317"/>
  <c r="B41" i="317"/>
  <c r="B40" i="317"/>
  <c r="B39" i="317"/>
  <c r="B38" i="317"/>
  <c r="B37" i="317"/>
  <c r="G36" i="317"/>
  <c r="F36" i="317"/>
  <c r="E36" i="317"/>
  <c r="D36" i="317"/>
  <c r="C36" i="317"/>
  <c r="B35" i="317"/>
  <c r="B34" i="317"/>
  <c r="B33" i="317"/>
  <c r="B32" i="317"/>
  <c r="B31" i="317"/>
  <c r="B30" i="317"/>
  <c r="B29" i="317"/>
  <c r="B28" i="317"/>
  <c r="B27" i="317"/>
  <c r="B26" i="317"/>
  <c r="B24" i="317" s="1"/>
  <c r="B25" i="317"/>
  <c r="G24" i="317"/>
  <c r="F24" i="317"/>
  <c r="E24" i="317"/>
  <c r="D24" i="317"/>
  <c r="C24" i="317"/>
  <c r="B23" i="317"/>
  <c r="B22" i="317" s="1"/>
  <c r="G22" i="317"/>
  <c r="F22" i="317"/>
  <c r="E22" i="317"/>
  <c r="D22" i="317"/>
  <c r="C22" i="317"/>
  <c r="B21" i="317"/>
  <c r="B20" i="317"/>
  <c r="B19" i="317"/>
  <c r="B18" i="317"/>
  <c r="B17" i="317"/>
  <c r="B16" i="317"/>
  <c r="G15" i="317"/>
  <c r="F15" i="317"/>
  <c r="E15" i="317"/>
  <c r="D15" i="317"/>
  <c r="C15" i="317"/>
  <c r="B14" i="317"/>
  <c r="B13" i="317"/>
  <c r="B12" i="317"/>
  <c r="G11" i="317"/>
  <c r="F11" i="317"/>
  <c r="E11" i="317"/>
  <c r="D11" i="317"/>
  <c r="C11" i="317"/>
  <c r="B10" i="317"/>
  <c r="B9" i="317"/>
  <c r="B8" i="317"/>
  <c r="G7" i="317"/>
  <c r="F7" i="317"/>
  <c r="E7" i="317"/>
  <c r="D7" i="317"/>
  <c r="C7" i="317"/>
  <c r="B7" i="317"/>
  <c r="B21" i="316"/>
  <c r="B20" i="316"/>
  <c r="B19" i="316"/>
  <c r="B18" i="316"/>
  <c r="B17" i="316"/>
  <c r="B16" i="316"/>
  <c r="B15" i="316"/>
  <c r="B14" i="316"/>
  <c r="B13" i="316"/>
  <c r="B12" i="316"/>
  <c r="B11" i="316"/>
  <c r="B10" i="316"/>
  <c r="B9" i="316"/>
  <c r="B8" i="316"/>
  <c r="B7" i="316"/>
  <c r="G6" i="316"/>
  <c r="F6" i="316"/>
  <c r="E6" i="316"/>
  <c r="D6" i="316"/>
  <c r="C6" i="316"/>
  <c r="H21" i="315"/>
  <c r="E21" i="315"/>
  <c r="B21" i="315"/>
  <c r="H20" i="315"/>
  <c r="E20" i="315"/>
  <c r="B20" i="315"/>
  <c r="H19" i="315"/>
  <c r="E19" i="315"/>
  <c r="B19" i="315"/>
  <c r="H18" i="315"/>
  <c r="E18" i="315"/>
  <c r="B18" i="315"/>
  <c r="H17" i="315"/>
  <c r="E17" i="315"/>
  <c r="B17" i="315"/>
  <c r="H16" i="315"/>
  <c r="E16" i="315"/>
  <c r="B16" i="315"/>
  <c r="H15" i="315"/>
  <c r="E15" i="315"/>
  <c r="B15" i="315"/>
  <c r="H14" i="315"/>
  <c r="E14" i="315"/>
  <c r="B14" i="315"/>
  <c r="H13" i="315"/>
  <c r="E13" i="315"/>
  <c r="B13" i="315"/>
  <c r="H12" i="315"/>
  <c r="E12" i="315"/>
  <c r="B12" i="315"/>
  <c r="H11" i="315"/>
  <c r="E11" i="315"/>
  <c r="B11" i="315"/>
  <c r="H10" i="315"/>
  <c r="E10" i="315"/>
  <c r="B10" i="315"/>
  <c r="H9" i="315"/>
  <c r="E9" i="315"/>
  <c r="B9" i="315"/>
  <c r="H8" i="315"/>
  <c r="E8" i="315"/>
  <c r="B8" i="315"/>
  <c r="H7" i="315"/>
  <c r="H6" i="315" s="1"/>
  <c r="E7" i="315"/>
  <c r="B7" i="315"/>
  <c r="J6" i="315"/>
  <c r="I6" i="315"/>
  <c r="G6" i="315"/>
  <c r="F6" i="315"/>
  <c r="C6" i="315"/>
  <c r="F21" i="314"/>
  <c r="B21" i="314"/>
  <c r="F20" i="314"/>
  <c r="B20" i="314"/>
  <c r="F19" i="314"/>
  <c r="B19" i="314"/>
  <c r="F18" i="314"/>
  <c r="B18" i="314"/>
  <c r="F17" i="314"/>
  <c r="B17" i="314"/>
  <c r="F16" i="314"/>
  <c r="B16" i="314"/>
  <c r="F15" i="314"/>
  <c r="B15" i="314"/>
  <c r="F14" i="314"/>
  <c r="B14" i="314"/>
  <c r="F13" i="314"/>
  <c r="B13" i="314"/>
  <c r="F12" i="314"/>
  <c r="B12" i="314"/>
  <c r="F11" i="314"/>
  <c r="B11" i="314"/>
  <c r="F10" i="314"/>
  <c r="B10" i="314"/>
  <c r="B6" i="314" s="1"/>
  <c r="F9" i="314"/>
  <c r="B9" i="314"/>
  <c r="F8" i="314"/>
  <c r="B8" i="314"/>
  <c r="F7" i="314"/>
  <c r="B7" i="314"/>
  <c r="I6" i="314"/>
  <c r="H6" i="314"/>
  <c r="G6" i="314"/>
  <c r="E6" i="314"/>
  <c r="D6" i="314"/>
  <c r="C6" i="314"/>
  <c r="G22" i="313"/>
  <c r="B22" i="313" s="1"/>
  <c r="C22" i="313"/>
  <c r="G21" i="313"/>
  <c r="C21" i="313"/>
  <c r="B21" i="313" s="1"/>
  <c r="G20" i="313"/>
  <c r="C20" i="313"/>
  <c r="B20" i="313"/>
  <c r="G19" i="313"/>
  <c r="C19" i="313"/>
  <c r="B19" i="313" s="1"/>
  <c r="G18" i="313"/>
  <c r="C18" i="313"/>
  <c r="G17" i="313"/>
  <c r="C17" i="313"/>
  <c r="G16" i="313"/>
  <c r="C16" i="313"/>
  <c r="G15" i="313"/>
  <c r="C15" i="313"/>
  <c r="B15" i="313" s="1"/>
  <c r="G14" i="313"/>
  <c r="C14" i="313"/>
  <c r="B14" i="313"/>
  <c r="G13" i="313"/>
  <c r="C13" i="313"/>
  <c r="G12" i="313"/>
  <c r="C12" i="313"/>
  <c r="B12" i="313"/>
  <c r="G11" i="313"/>
  <c r="C11" i="313"/>
  <c r="B11" i="313" s="1"/>
  <c r="G10" i="313"/>
  <c r="B10" i="313" s="1"/>
  <c r="C10" i="313"/>
  <c r="G9" i="313"/>
  <c r="C9" i="313"/>
  <c r="B9" i="313" s="1"/>
  <c r="G8" i="313"/>
  <c r="C8" i="313"/>
  <c r="J7" i="313"/>
  <c r="I7" i="313"/>
  <c r="H7" i="313"/>
  <c r="F7" i="313"/>
  <c r="E7" i="313"/>
  <c r="D7" i="313"/>
  <c r="B21" i="312"/>
  <c r="B20" i="312"/>
  <c r="B19" i="312"/>
  <c r="B18" i="312"/>
  <c r="B17" i="312"/>
  <c r="B16" i="312"/>
  <c r="B15" i="312"/>
  <c r="B14" i="312"/>
  <c r="B13" i="312"/>
  <c r="B12" i="312"/>
  <c r="B11" i="312"/>
  <c r="B10" i="312"/>
  <c r="B9" i="312"/>
  <c r="B6" i="312" s="1"/>
  <c r="B8" i="312"/>
  <c r="B7" i="312"/>
  <c r="E6" i="312"/>
  <c r="D6" i="312"/>
  <c r="C6" i="312"/>
  <c r="C6" i="317" l="1"/>
  <c r="G6" i="323"/>
  <c r="B16" i="324"/>
  <c r="B18" i="313"/>
  <c r="E6" i="315"/>
  <c r="B42" i="320"/>
  <c r="B24" i="321"/>
  <c r="B48" i="321"/>
  <c r="B13" i="322"/>
  <c r="B94" i="322"/>
  <c r="B110" i="322"/>
  <c r="C6" i="324"/>
  <c r="B40" i="324"/>
  <c r="B16" i="327"/>
  <c r="B6" i="315"/>
  <c r="B45" i="320"/>
  <c r="D6" i="315"/>
  <c r="B6" i="316"/>
  <c r="E6" i="317"/>
  <c r="E6" i="318"/>
  <c r="B34" i="318"/>
  <c r="B15" i="320"/>
  <c r="B21" i="321"/>
  <c r="B45" i="321"/>
  <c r="B10" i="322"/>
  <c r="B126" i="322"/>
  <c r="I6" i="323"/>
  <c r="B144" i="324"/>
  <c r="B10" i="327"/>
  <c r="B20" i="327"/>
  <c r="B6" i="329"/>
  <c r="B8" i="313"/>
  <c r="F6" i="317"/>
  <c r="B84" i="317"/>
  <c r="B14" i="318"/>
  <c r="B63" i="318"/>
  <c r="B82" i="318"/>
  <c r="B7" i="320"/>
  <c r="B18" i="321"/>
  <c r="B42" i="321"/>
  <c r="B7" i="322"/>
  <c r="E6" i="324"/>
  <c r="B169" i="324"/>
  <c r="C6" i="322"/>
  <c r="G6" i="317"/>
  <c r="B7" i="318"/>
  <c r="G6" i="318"/>
  <c r="B60" i="318"/>
  <c r="B70" i="318"/>
  <c r="B79" i="318"/>
  <c r="B8" i="320"/>
  <c r="B8" i="321"/>
  <c r="B6" i="321" s="1"/>
  <c r="B39" i="321"/>
  <c r="B12" i="322"/>
  <c r="B38" i="322"/>
  <c r="C6" i="323"/>
  <c r="K6" i="323"/>
  <c r="E6" i="327"/>
  <c r="D6" i="318"/>
  <c r="D6" i="324"/>
  <c r="B13" i="313"/>
  <c r="B16" i="313"/>
  <c r="B15" i="317"/>
  <c r="B94" i="317"/>
  <c r="B32" i="318"/>
  <c r="B76" i="318"/>
  <c r="B30" i="320"/>
  <c r="B12" i="321"/>
  <c r="E6" i="322"/>
  <c r="B9" i="322"/>
  <c r="B70" i="322"/>
  <c r="G6" i="324"/>
  <c r="B41" i="327"/>
  <c r="B6" i="328"/>
  <c r="B6" i="319"/>
  <c r="B67" i="324"/>
  <c r="B17" i="313"/>
  <c r="B11" i="317"/>
  <c r="B36" i="317"/>
  <c r="E6" i="320"/>
  <c r="B24" i="320"/>
  <c r="B27" i="320"/>
  <c r="B48" i="320"/>
  <c r="B9" i="321"/>
  <c r="B33" i="321"/>
  <c r="B14" i="322"/>
  <c r="B102" i="322"/>
  <c r="E6" i="323"/>
  <c r="J6" i="323"/>
  <c r="B7" i="326"/>
  <c r="B28" i="327"/>
  <c r="B6" i="327" s="1"/>
  <c r="C7" i="313"/>
  <c r="B7" i="313" s="1"/>
  <c r="G7" i="313"/>
  <c r="F6" i="314"/>
  <c r="B6" i="317"/>
  <c r="B6" i="320"/>
  <c r="B6" i="322"/>
  <c r="B6" i="324"/>
  <c r="C6" i="318"/>
  <c r="B9" i="320"/>
  <c r="B22" i="324"/>
  <c r="C6" i="327"/>
  <c r="B6" i="318" l="1"/>
  <c r="B5" i="311"/>
  <c r="C36" i="310"/>
  <c r="C33" i="310"/>
  <c r="C29" i="310"/>
  <c r="C23" i="310"/>
  <c r="C18" i="310"/>
  <c r="C11" i="310"/>
  <c r="C10" i="310" s="1"/>
  <c r="C7" i="310"/>
  <c r="C48" i="309"/>
  <c r="C46" i="309"/>
  <c r="C44" i="309"/>
  <c r="C28" i="309"/>
  <c r="C26" i="309"/>
  <c r="C24" i="309"/>
  <c r="C21" i="309"/>
  <c r="C19" i="309"/>
  <c r="C13" i="309"/>
  <c r="C11" i="309"/>
  <c r="C11" i="308"/>
  <c r="C10" i="308" s="1"/>
  <c r="C7" i="308"/>
  <c r="C49" i="307"/>
  <c r="C48" i="307" s="1"/>
  <c r="C42" i="307"/>
  <c r="C12" i="307"/>
  <c r="C11" i="307" s="1"/>
  <c r="C10" i="309" l="1"/>
  <c r="C6" i="309"/>
  <c r="C7" i="309" s="1"/>
  <c r="C10" i="307"/>
  <c r="C6" i="307" s="1"/>
  <c r="C7" i="307" s="1"/>
  <c r="E42" i="302" l="1"/>
  <c r="D42" i="302"/>
  <c r="C42" i="302"/>
  <c r="B42" i="302"/>
  <c r="E41" i="302"/>
  <c r="D41" i="302"/>
  <c r="C41" i="302"/>
  <c r="B41" i="302"/>
  <c r="E40" i="302"/>
  <c r="D40" i="302"/>
  <c r="C40" i="302"/>
  <c r="B40" i="302"/>
  <c r="E39" i="302"/>
  <c r="D39" i="302"/>
  <c r="C39" i="302"/>
  <c r="B39" i="302"/>
  <c r="E38" i="302"/>
  <c r="D38" i="302"/>
  <c r="C38" i="302"/>
  <c r="B38" i="302"/>
  <c r="M37" i="302"/>
  <c r="L37" i="302"/>
  <c r="K37" i="302"/>
  <c r="J37" i="302"/>
  <c r="I37" i="302"/>
  <c r="H37" i="302"/>
  <c r="G37" i="302"/>
  <c r="F37" i="302"/>
  <c r="E37" i="302"/>
  <c r="D37" i="302"/>
  <c r="C37" i="302"/>
  <c r="B37" i="302"/>
  <c r="E36" i="302"/>
  <c r="D36" i="302"/>
  <c r="C36" i="302"/>
  <c r="B36" i="302"/>
  <c r="E35" i="302"/>
  <c r="D35" i="302"/>
  <c r="D31" i="302" s="1"/>
  <c r="C35" i="302"/>
  <c r="B35" i="302"/>
  <c r="E34" i="302"/>
  <c r="D34" i="302"/>
  <c r="C34" i="302"/>
  <c r="B34" i="302"/>
  <c r="E33" i="302"/>
  <c r="D33" i="302"/>
  <c r="C33" i="302"/>
  <c r="B33" i="302"/>
  <c r="E32" i="302"/>
  <c r="D32" i="302"/>
  <c r="C32" i="302"/>
  <c r="B32" i="302"/>
  <c r="M31" i="302"/>
  <c r="L31" i="302"/>
  <c r="K31" i="302"/>
  <c r="J31" i="302"/>
  <c r="I31" i="302"/>
  <c r="H31" i="302"/>
  <c r="G31" i="302"/>
  <c r="F31" i="302"/>
  <c r="E31" i="302"/>
  <c r="C31" i="302"/>
  <c r="B31" i="302"/>
  <c r="E30" i="302"/>
  <c r="D30" i="302"/>
  <c r="C30" i="302"/>
  <c r="B30" i="302"/>
  <c r="E29" i="302"/>
  <c r="D29" i="302"/>
  <c r="C29" i="302"/>
  <c r="B29" i="302"/>
  <c r="E28" i="302"/>
  <c r="D28" i="302"/>
  <c r="C28" i="302"/>
  <c r="B28" i="302"/>
  <c r="E27" i="302"/>
  <c r="D27" i="302"/>
  <c r="D25" i="302" s="1"/>
  <c r="C27" i="302"/>
  <c r="B27" i="302"/>
  <c r="E26" i="302"/>
  <c r="D26" i="302"/>
  <c r="C26" i="302"/>
  <c r="B26" i="302"/>
  <c r="M25" i="302"/>
  <c r="L25" i="302"/>
  <c r="K25" i="302"/>
  <c r="J25" i="302"/>
  <c r="I25" i="302"/>
  <c r="H25" i="302"/>
  <c r="G25" i="302"/>
  <c r="F25" i="302"/>
  <c r="E25" i="302"/>
  <c r="C25" i="302"/>
  <c r="B25" i="302"/>
  <c r="E24" i="302"/>
  <c r="D24" i="302"/>
  <c r="C24" i="302"/>
  <c r="B24" i="302"/>
  <c r="E23" i="302"/>
  <c r="D23" i="302"/>
  <c r="C23" i="302"/>
  <c r="B23" i="302"/>
  <c r="E22" i="302"/>
  <c r="D22" i="302"/>
  <c r="C22" i="302"/>
  <c r="B22" i="302"/>
  <c r="E21" i="302"/>
  <c r="D21" i="302"/>
  <c r="C21" i="302"/>
  <c r="B21" i="302"/>
  <c r="E20" i="302"/>
  <c r="D20" i="302"/>
  <c r="C20" i="302"/>
  <c r="B20" i="302"/>
  <c r="M19" i="302"/>
  <c r="L19" i="302"/>
  <c r="K19" i="302"/>
  <c r="J19" i="302"/>
  <c r="I19" i="302"/>
  <c r="H19" i="302"/>
  <c r="G19" i="302"/>
  <c r="F19" i="302"/>
  <c r="E19" i="302"/>
  <c r="D19" i="302"/>
  <c r="C19" i="302"/>
  <c r="B19" i="302"/>
  <c r="E18" i="302"/>
  <c r="D18" i="302"/>
  <c r="C18" i="302"/>
  <c r="B18" i="302"/>
  <c r="E17" i="302"/>
  <c r="D17" i="302"/>
  <c r="D13" i="302" s="1"/>
  <c r="C17" i="302"/>
  <c r="B17" i="302"/>
  <c r="E16" i="302"/>
  <c r="D16" i="302"/>
  <c r="C16" i="302"/>
  <c r="B16" i="302"/>
  <c r="E15" i="302"/>
  <c r="D15" i="302"/>
  <c r="C15" i="302"/>
  <c r="B15" i="302"/>
  <c r="E14" i="302"/>
  <c r="D14" i="302"/>
  <c r="C14" i="302"/>
  <c r="B14" i="302"/>
  <c r="M13" i="302"/>
  <c r="L13" i="302"/>
  <c r="K13" i="302"/>
  <c r="J13" i="302"/>
  <c r="I13" i="302"/>
  <c r="H13" i="302"/>
  <c r="G13" i="302"/>
  <c r="F13" i="302"/>
  <c r="E13" i="302"/>
  <c r="C13" i="302"/>
  <c r="B13" i="302"/>
  <c r="M12" i="302"/>
  <c r="L12" i="302"/>
  <c r="K12" i="302"/>
  <c r="J12" i="302"/>
  <c r="I12" i="302"/>
  <c r="H12" i="302"/>
  <c r="G12" i="302"/>
  <c r="F12" i="302"/>
  <c r="E12" i="302"/>
  <c r="D12" i="302"/>
  <c r="C12" i="302"/>
  <c r="B12" i="302"/>
  <c r="M11" i="302"/>
  <c r="L11" i="302"/>
  <c r="K11" i="302"/>
  <c r="J11" i="302"/>
  <c r="I11" i="302"/>
  <c r="H11" i="302"/>
  <c r="G11" i="302"/>
  <c r="F11" i="302"/>
  <c r="E11" i="302"/>
  <c r="D11" i="302"/>
  <c r="C11" i="302"/>
  <c r="B11" i="302"/>
  <c r="M10" i="302"/>
  <c r="L10" i="302"/>
  <c r="K10" i="302"/>
  <c r="J10" i="302"/>
  <c r="I10" i="302"/>
  <c r="H10" i="302"/>
  <c r="G10" i="302"/>
  <c r="F10" i="302"/>
  <c r="E10" i="302"/>
  <c r="D10" i="302"/>
  <c r="C10" i="302"/>
  <c r="B10" i="302"/>
  <c r="M9" i="302"/>
  <c r="L9" i="302"/>
  <c r="K9" i="302"/>
  <c r="J9" i="302"/>
  <c r="I9" i="302"/>
  <c r="H9" i="302"/>
  <c r="G9" i="302"/>
  <c r="F9" i="302"/>
  <c r="E9" i="302"/>
  <c r="D9" i="302"/>
  <c r="C9" i="302"/>
  <c r="B9" i="302"/>
  <c r="M8" i="302"/>
  <c r="L8" i="302"/>
  <c r="K8" i="302"/>
  <c r="J8" i="302"/>
  <c r="I8" i="302"/>
  <c r="H8" i="302"/>
  <c r="H7" i="302" s="1"/>
  <c r="G8" i="302"/>
  <c r="F8" i="302"/>
  <c r="F7" i="302" s="1"/>
  <c r="E8" i="302"/>
  <c r="D8" i="302"/>
  <c r="C8" i="302"/>
  <c r="C7" i="302" s="1"/>
  <c r="B8" i="302"/>
  <c r="M7" i="302"/>
  <c r="L7" i="302"/>
  <c r="K7" i="302"/>
  <c r="J7" i="302"/>
  <c r="I7" i="302"/>
  <c r="G7" i="302"/>
  <c r="E7" i="302"/>
  <c r="D7" i="302"/>
  <c r="B7" i="302"/>
  <c r="E42" i="301"/>
  <c r="D42" i="301"/>
  <c r="C42" i="301"/>
  <c r="B42" i="301"/>
  <c r="E41" i="301"/>
  <c r="D41" i="301"/>
  <c r="C41" i="301"/>
  <c r="B41" i="301"/>
  <c r="B37" i="301" s="1"/>
  <c r="E40" i="301"/>
  <c r="D40" i="301"/>
  <c r="C40" i="301"/>
  <c r="B40" i="301"/>
  <c r="E39" i="301"/>
  <c r="D39" i="301"/>
  <c r="D37" i="301" s="1"/>
  <c r="C39" i="301"/>
  <c r="B39" i="301"/>
  <c r="E38" i="301"/>
  <c r="D38" i="301"/>
  <c r="C38" i="301"/>
  <c r="C37" i="301" s="1"/>
  <c r="B38" i="301"/>
  <c r="M37" i="301"/>
  <c r="L37" i="301"/>
  <c r="K37" i="301"/>
  <c r="J37" i="301"/>
  <c r="I37" i="301"/>
  <c r="H37" i="301"/>
  <c r="G37" i="301"/>
  <c r="F37" i="301"/>
  <c r="E37" i="301"/>
  <c r="E36" i="301"/>
  <c r="D36" i="301"/>
  <c r="C36" i="301"/>
  <c r="B36" i="301"/>
  <c r="E35" i="301"/>
  <c r="D35" i="301"/>
  <c r="C35" i="301"/>
  <c r="B35" i="301"/>
  <c r="E34" i="301"/>
  <c r="D34" i="301"/>
  <c r="C34" i="301"/>
  <c r="B34" i="301"/>
  <c r="E33" i="301"/>
  <c r="D33" i="301"/>
  <c r="C33" i="301"/>
  <c r="B33" i="301"/>
  <c r="B31" i="301" s="1"/>
  <c r="E32" i="301"/>
  <c r="D32" i="301"/>
  <c r="C32" i="301"/>
  <c r="B32" i="301"/>
  <c r="M31" i="301"/>
  <c r="L31" i="301"/>
  <c r="K31" i="301"/>
  <c r="J31" i="301"/>
  <c r="I31" i="301"/>
  <c r="H31" i="301"/>
  <c r="G31" i="301"/>
  <c r="F31" i="301"/>
  <c r="E31" i="301"/>
  <c r="D31" i="301"/>
  <c r="C31" i="301"/>
  <c r="E30" i="301"/>
  <c r="D30" i="301"/>
  <c r="C30" i="301"/>
  <c r="B30" i="301"/>
  <c r="E29" i="301"/>
  <c r="D29" i="301"/>
  <c r="C29" i="301"/>
  <c r="B29" i="301"/>
  <c r="E28" i="301"/>
  <c r="D28" i="301"/>
  <c r="C28" i="301"/>
  <c r="B28" i="301"/>
  <c r="E27" i="301"/>
  <c r="D27" i="301"/>
  <c r="C27" i="301"/>
  <c r="B27" i="301"/>
  <c r="E26" i="301"/>
  <c r="D26" i="301"/>
  <c r="C26" i="301"/>
  <c r="B26" i="301"/>
  <c r="M25" i="301"/>
  <c r="L25" i="301"/>
  <c r="K25" i="301"/>
  <c r="J25" i="301"/>
  <c r="I25" i="301"/>
  <c r="H25" i="301"/>
  <c r="G25" i="301"/>
  <c r="F25" i="301"/>
  <c r="E25" i="301"/>
  <c r="D25" i="301"/>
  <c r="C25" i="301"/>
  <c r="B25" i="301"/>
  <c r="E24" i="301"/>
  <c r="D24" i="301"/>
  <c r="C24" i="301"/>
  <c r="B24" i="301"/>
  <c r="E23" i="301"/>
  <c r="D23" i="301"/>
  <c r="C23" i="301"/>
  <c r="B23" i="301"/>
  <c r="E22" i="301"/>
  <c r="D22" i="301"/>
  <c r="C22" i="301"/>
  <c r="B22" i="301"/>
  <c r="E21" i="301"/>
  <c r="D21" i="301"/>
  <c r="C21" i="301"/>
  <c r="B21" i="301"/>
  <c r="B19" i="301" s="1"/>
  <c r="E20" i="301"/>
  <c r="D20" i="301"/>
  <c r="C20" i="301"/>
  <c r="B20" i="301"/>
  <c r="M19" i="301"/>
  <c r="L19" i="301"/>
  <c r="K19" i="301"/>
  <c r="J19" i="301"/>
  <c r="I19" i="301"/>
  <c r="H19" i="301"/>
  <c r="G19" i="301"/>
  <c r="F19" i="301"/>
  <c r="E19" i="301"/>
  <c r="D19" i="301"/>
  <c r="C19" i="301"/>
  <c r="E18" i="301"/>
  <c r="D18" i="301"/>
  <c r="C18" i="301"/>
  <c r="B18" i="301"/>
  <c r="E17" i="301"/>
  <c r="D17" i="301"/>
  <c r="C17" i="301"/>
  <c r="B17" i="301"/>
  <c r="E16" i="301"/>
  <c r="D16" i="301"/>
  <c r="C16" i="301"/>
  <c r="B16" i="301"/>
  <c r="E15" i="301"/>
  <c r="D15" i="301"/>
  <c r="C15" i="301"/>
  <c r="B15" i="301"/>
  <c r="B13" i="301" s="1"/>
  <c r="E14" i="301"/>
  <c r="E13" i="301" s="1"/>
  <c r="D14" i="301"/>
  <c r="C14" i="301"/>
  <c r="B14" i="301"/>
  <c r="M13" i="301"/>
  <c r="L13" i="301"/>
  <c r="K13" i="301"/>
  <c r="J13" i="301"/>
  <c r="I13" i="301"/>
  <c r="H13" i="301"/>
  <c r="G13" i="301"/>
  <c r="F13" i="301"/>
  <c r="D13" i="301"/>
  <c r="C13" i="301"/>
  <c r="M12" i="301"/>
  <c r="L12" i="301"/>
  <c r="K12" i="301"/>
  <c r="J12" i="301"/>
  <c r="I12" i="301"/>
  <c r="H12" i="301"/>
  <c r="G12" i="301"/>
  <c r="F12" i="301"/>
  <c r="E12" i="301"/>
  <c r="D12" i="301"/>
  <c r="C12" i="301"/>
  <c r="B12" i="301"/>
  <c r="M11" i="301"/>
  <c r="L11" i="301"/>
  <c r="K11" i="301"/>
  <c r="J11" i="301"/>
  <c r="I11" i="301"/>
  <c r="H11" i="301"/>
  <c r="G11" i="301"/>
  <c r="F11" i="301"/>
  <c r="E11" i="301"/>
  <c r="D11" i="301"/>
  <c r="C11" i="301"/>
  <c r="B11" i="301"/>
  <c r="M10" i="301"/>
  <c r="L10" i="301"/>
  <c r="K10" i="301"/>
  <c r="J10" i="301"/>
  <c r="I10" i="301"/>
  <c r="H10" i="301"/>
  <c r="G10" i="301"/>
  <c r="F10" i="301"/>
  <c r="E10" i="301"/>
  <c r="D10" i="301"/>
  <c r="C10" i="301"/>
  <c r="B10" i="301"/>
  <c r="M9" i="301"/>
  <c r="L9" i="301"/>
  <c r="K9" i="301"/>
  <c r="J9" i="301"/>
  <c r="J7" i="301" s="1"/>
  <c r="I9" i="301"/>
  <c r="H9" i="301"/>
  <c r="G9" i="301"/>
  <c r="F9" i="301"/>
  <c r="E9" i="301"/>
  <c r="D9" i="301"/>
  <c r="C9" i="301"/>
  <c r="B9" i="301"/>
  <c r="B7" i="301" s="1"/>
  <c r="M8" i="301"/>
  <c r="M7" i="301" s="1"/>
  <c r="L8" i="301"/>
  <c r="K8" i="301"/>
  <c r="J8" i="301"/>
  <c r="I8" i="301"/>
  <c r="H8" i="301"/>
  <c r="H7" i="301" s="1"/>
  <c r="G8" i="301"/>
  <c r="F8" i="301"/>
  <c r="F7" i="301" s="1"/>
  <c r="E8" i="301"/>
  <c r="E7" i="301" s="1"/>
  <c r="D8" i="301"/>
  <c r="C8" i="301"/>
  <c r="C7" i="301" s="1"/>
  <c r="B8" i="301"/>
  <c r="L7" i="301"/>
  <c r="K7" i="301"/>
  <c r="I7" i="301"/>
  <c r="G7" i="301"/>
  <c r="D7" i="301"/>
  <c r="C21" i="300"/>
  <c r="B21" i="300"/>
  <c r="C20" i="300"/>
  <c r="B20" i="300"/>
  <c r="C19" i="300"/>
  <c r="B19" i="300"/>
  <c r="C18" i="300"/>
  <c r="B18" i="300"/>
  <c r="C17" i="300"/>
  <c r="B17" i="300"/>
  <c r="C16" i="300"/>
  <c r="B16" i="300"/>
  <c r="C15" i="300"/>
  <c r="B15" i="300"/>
  <c r="C14" i="300"/>
  <c r="B14" i="300"/>
  <c r="C13" i="300"/>
  <c r="B13" i="300"/>
  <c r="C12" i="300"/>
  <c r="B12" i="300"/>
  <c r="C11" i="300"/>
  <c r="B11" i="300"/>
  <c r="C10" i="300"/>
  <c r="B10" i="300"/>
  <c r="C9" i="300"/>
  <c r="B9" i="300"/>
  <c r="C8" i="300"/>
  <c r="B8" i="300"/>
  <c r="C7" i="300"/>
  <c r="B7" i="300"/>
  <c r="U6" i="300"/>
  <c r="T6" i="300"/>
  <c r="S6" i="300"/>
  <c r="R6" i="300"/>
  <c r="Q6" i="300"/>
  <c r="P6" i="300"/>
  <c r="O6" i="300"/>
  <c r="N6" i="300"/>
  <c r="M6" i="300"/>
  <c r="L6" i="300"/>
  <c r="K6" i="300"/>
  <c r="J6" i="300"/>
  <c r="I6" i="300"/>
  <c r="H6" i="300"/>
  <c r="G6" i="300"/>
  <c r="F6" i="300"/>
  <c r="E6" i="300"/>
  <c r="D6" i="300"/>
  <c r="C6" i="300"/>
  <c r="C22" i="299"/>
  <c r="B22" i="299"/>
  <c r="C21" i="299"/>
  <c r="B21" i="299"/>
  <c r="C20" i="299"/>
  <c r="B20" i="299"/>
  <c r="C19" i="299"/>
  <c r="B19" i="299"/>
  <c r="C18" i="299"/>
  <c r="B18" i="299"/>
  <c r="C17" i="299"/>
  <c r="B17" i="299"/>
  <c r="C16" i="299"/>
  <c r="B16" i="299"/>
  <c r="C15" i="299"/>
  <c r="B15" i="299"/>
  <c r="C14" i="299"/>
  <c r="B14" i="299"/>
  <c r="C13" i="299"/>
  <c r="B13" i="299"/>
  <c r="C12" i="299"/>
  <c r="B12" i="299"/>
  <c r="C11" i="299"/>
  <c r="B11" i="299"/>
  <c r="C10" i="299"/>
  <c r="B10" i="299"/>
  <c r="C9" i="299"/>
  <c r="B9" i="299"/>
  <c r="C8" i="299"/>
  <c r="B8" i="299"/>
  <c r="C7" i="299"/>
  <c r="B7" i="299"/>
  <c r="AA6" i="299"/>
  <c r="Z6" i="299"/>
  <c r="Y6" i="299"/>
  <c r="X6" i="299"/>
  <c r="W6" i="299"/>
  <c r="V6" i="299"/>
  <c r="U6" i="299"/>
  <c r="T6" i="299"/>
  <c r="S6" i="299"/>
  <c r="R6" i="299"/>
  <c r="Q6" i="299"/>
  <c r="P6" i="299"/>
  <c r="O6" i="299"/>
  <c r="N6" i="299"/>
  <c r="M6" i="299"/>
  <c r="L6" i="299"/>
  <c r="K6" i="299"/>
  <c r="J6" i="299"/>
  <c r="I6" i="299"/>
  <c r="H6" i="299"/>
  <c r="G6" i="299"/>
  <c r="F6" i="299"/>
  <c r="E6" i="299"/>
  <c r="C6" i="299" s="1"/>
  <c r="D6" i="299"/>
  <c r="B6" i="299"/>
  <c r="G6" i="298"/>
  <c r="F6" i="298"/>
  <c r="E6" i="298"/>
  <c r="D6" i="298"/>
  <c r="C6" i="298"/>
  <c r="B6" i="298"/>
  <c r="B6" i="300" l="1"/>
  <c r="F23" i="297"/>
  <c r="E23" i="297"/>
  <c r="D23" i="297"/>
  <c r="C23" i="297"/>
  <c r="B23" i="297"/>
  <c r="F7" i="297"/>
  <c r="F6" i="297" s="1"/>
  <c r="E7" i="297"/>
  <c r="E6" i="297" s="1"/>
  <c r="D7" i="297"/>
  <c r="D6" i="297" s="1"/>
  <c r="C7" i="297"/>
  <c r="C6" i="297" s="1"/>
  <c r="B7" i="297"/>
  <c r="F6" i="296"/>
  <c r="E6" i="296"/>
  <c r="D6" i="296"/>
  <c r="C6" i="296"/>
  <c r="B6" i="296"/>
  <c r="F45" i="295"/>
  <c r="G49" i="295" s="1"/>
  <c r="E45" i="295"/>
  <c r="D45" i="295"/>
  <c r="C45" i="295"/>
  <c r="B45" i="295"/>
  <c r="F6" i="295"/>
  <c r="E6" i="295"/>
  <c r="D6" i="295"/>
  <c r="C6" i="295"/>
  <c r="B6" i="295"/>
  <c r="G46" i="295" l="1"/>
  <c r="G48" i="295"/>
  <c r="G50" i="295"/>
  <c r="G47" i="295"/>
  <c r="G51" i="295"/>
  <c r="B6" i="297"/>
  <c r="B21" i="293"/>
  <c r="B20" i="293"/>
  <c r="B19" i="293"/>
  <c r="B18" i="293"/>
  <c r="B17" i="293"/>
  <c r="B16" i="293"/>
  <c r="B15" i="293"/>
  <c r="B14" i="293"/>
  <c r="B13" i="293"/>
  <c r="B12" i="293"/>
  <c r="B11" i="293"/>
  <c r="B10" i="293"/>
  <c r="B9" i="293"/>
  <c r="B8" i="293"/>
  <c r="B7" i="293"/>
  <c r="N6" i="293"/>
  <c r="M6" i="293"/>
  <c r="L6" i="293"/>
  <c r="K6" i="293"/>
  <c r="J6" i="293"/>
  <c r="I6" i="293"/>
  <c r="H6" i="293"/>
  <c r="G6" i="293"/>
  <c r="F6" i="293"/>
  <c r="E6" i="293"/>
  <c r="D6" i="293"/>
  <c r="C6" i="293"/>
  <c r="B11" i="292"/>
  <c r="B10" i="292"/>
  <c r="B9" i="292"/>
  <c r="B8" i="292"/>
  <c r="B7" i="292"/>
  <c r="B11" i="291"/>
  <c r="B10" i="291"/>
  <c r="B9" i="291"/>
  <c r="B8" i="291"/>
  <c r="B7" i="291"/>
  <c r="B11" i="290"/>
  <c r="B10" i="290"/>
  <c r="B9" i="290"/>
  <c r="B8" i="290"/>
  <c r="B7" i="290"/>
  <c r="B22" i="289"/>
  <c r="B21" i="289"/>
  <c r="B20" i="289"/>
  <c r="B19" i="289"/>
  <c r="B18" i="289"/>
  <c r="B17" i="289"/>
  <c r="B16" i="289"/>
  <c r="B15" i="289"/>
  <c r="B14" i="289"/>
  <c r="B13" i="289"/>
  <c r="B12" i="289"/>
  <c r="B11" i="289"/>
  <c r="B10" i="289"/>
  <c r="B9" i="289"/>
  <c r="B8" i="289"/>
  <c r="L7" i="289"/>
  <c r="K7" i="289"/>
  <c r="J7" i="289"/>
  <c r="I7" i="289"/>
  <c r="H7" i="289"/>
  <c r="G7" i="289"/>
  <c r="F7" i="289"/>
  <c r="E7" i="289"/>
  <c r="D7" i="289"/>
  <c r="C7" i="289"/>
  <c r="B22" i="288"/>
  <c r="B21" i="288"/>
  <c r="B20" i="288"/>
  <c r="B19" i="288"/>
  <c r="B18" i="288"/>
  <c r="B17" i="288"/>
  <c r="B16" i="288"/>
  <c r="B15" i="288"/>
  <c r="B14" i="288"/>
  <c r="B13" i="288"/>
  <c r="B12" i="288"/>
  <c r="B11" i="288"/>
  <c r="B10" i="288"/>
  <c r="B9" i="288"/>
  <c r="B8" i="288"/>
  <c r="B7" i="288" s="1"/>
  <c r="L7" i="288"/>
  <c r="K7" i="288"/>
  <c r="J7" i="288"/>
  <c r="I7" i="288"/>
  <c r="H7" i="288"/>
  <c r="G7" i="288"/>
  <c r="F7" i="288"/>
  <c r="E7" i="288"/>
  <c r="D7" i="288"/>
  <c r="C7" i="288"/>
  <c r="B22" i="287"/>
  <c r="B21" i="287"/>
  <c r="B20" i="287"/>
  <c r="B19" i="287"/>
  <c r="B18" i="287"/>
  <c r="B17" i="287"/>
  <c r="B16" i="287"/>
  <c r="B15" i="287"/>
  <c r="B14" i="287"/>
  <c r="B13" i="287"/>
  <c r="B12" i="287"/>
  <c r="B11" i="287"/>
  <c r="B10" i="287"/>
  <c r="B9" i="287"/>
  <c r="B8" i="287"/>
  <c r="L7" i="287"/>
  <c r="K7" i="287"/>
  <c r="J7" i="287"/>
  <c r="I7" i="287"/>
  <c r="H7" i="287"/>
  <c r="G7" i="287"/>
  <c r="F7" i="287"/>
  <c r="E7" i="287"/>
  <c r="D7" i="287"/>
  <c r="C7" i="287"/>
  <c r="B22" i="286"/>
  <c r="B21" i="286"/>
  <c r="B20" i="286"/>
  <c r="B19" i="286"/>
  <c r="B18" i="286"/>
  <c r="B17" i="286"/>
  <c r="B16" i="286"/>
  <c r="B15" i="286"/>
  <c r="B14" i="286"/>
  <c r="B13" i="286"/>
  <c r="B12" i="286"/>
  <c r="B11" i="286"/>
  <c r="B10" i="286"/>
  <c r="B9" i="286"/>
  <c r="B8" i="286"/>
  <c r="M7" i="286"/>
  <c r="L7" i="286"/>
  <c r="K7" i="286"/>
  <c r="J7" i="286"/>
  <c r="I7" i="286"/>
  <c r="H7" i="286"/>
  <c r="G7" i="286"/>
  <c r="F7" i="286"/>
  <c r="E7" i="286"/>
  <c r="D7" i="286"/>
  <c r="B11" i="285"/>
  <c r="B10" i="285"/>
  <c r="B9" i="285"/>
  <c r="B8" i="285"/>
  <c r="B7" i="285"/>
  <c r="B89" i="284"/>
  <c r="D88" i="284"/>
  <c r="C88" i="284"/>
  <c r="B88" i="284"/>
  <c r="B87" i="284"/>
  <c r="B86" i="284" s="1"/>
  <c r="D86" i="284"/>
  <c r="C86" i="284"/>
  <c r="B85" i="284"/>
  <c r="B84" i="284"/>
  <c r="B83" i="284" s="1"/>
  <c r="D83" i="284"/>
  <c r="C83" i="284"/>
  <c r="B82" i="284"/>
  <c r="B81" i="284"/>
  <c r="B80" i="284" s="1"/>
  <c r="D80" i="284"/>
  <c r="C80" i="284"/>
  <c r="B79" i="284"/>
  <c r="B78" i="284"/>
  <c r="B77" i="284"/>
  <c r="D76" i="284"/>
  <c r="C76" i="284"/>
  <c r="B76" i="284"/>
  <c r="B75" i="284"/>
  <c r="B74" i="284"/>
  <c r="B73" i="284"/>
  <c r="B72" i="284"/>
  <c r="B71" i="284"/>
  <c r="D70" i="284"/>
  <c r="C70" i="284"/>
  <c r="B69" i="284"/>
  <c r="B68" i="284"/>
  <c r="B67" i="284"/>
  <c r="B66" i="284"/>
  <c r="B65" i="284"/>
  <c r="D64" i="284"/>
  <c r="C64" i="284"/>
  <c r="B63" i="284"/>
  <c r="B62" i="284"/>
  <c r="B61" i="284"/>
  <c r="B60" i="284"/>
  <c r="D59" i="284"/>
  <c r="C59" i="284"/>
  <c r="B58" i="284"/>
  <c r="B57" i="284"/>
  <c r="B56" i="284"/>
  <c r="B55" i="284"/>
  <c r="B54" i="284"/>
  <c r="B53" i="284"/>
  <c r="B52" i="284"/>
  <c r="B51" i="284"/>
  <c r="B50" i="284"/>
  <c r="B49" i="284"/>
  <c r="B48" i="284"/>
  <c r="B47" i="284"/>
  <c r="B46" i="284"/>
  <c r="B45" i="284"/>
  <c r="B44" i="284"/>
  <c r="B43" i="284"/>
  <c r="B42" i="284"/>
  <c r="B41" i="284"/>
  <c r="B40" i="284"/>
  <c r="B39" i="284"/>
  <c r="B38" i="284"/>
  <c r="B37" i="284"/>
  <c r="B36" i="284"/>
  <c r="B35" i="284"/>
  <c r="B34" i="284"/>
  <c r="B33" i="284"/>
  <c r="B32" i="284"/>
  <c r="B31" i="284"/>
  <c r="B30" i="284"/>
  <c r="B29" i="284"/>
  <c r="B28" i="284"/>
  <c r="D27" i="284"/>
  <c r="C27" i="284"/>
  <c r="B26" i="284"/>
  <c r="B25" i="284"/>
  <c r="B24" i="284"/>
  <c r="B23" i="284"/>
  <c r="B22" i="284"/>
  <c r="D21" i="284"/>
  <c r="C21" i="284"/>
  <c r="B20" i="284"/>
  <c r="B19" i="284"/>
  <c r="B18" i="284"/>
  <c r="B17" i="284"/>
  <c r="B16" i="284" s="1"/>
  <c r="D16" i="284"/>
  <c r="C16" i="284"/>
  <c r="B15" i="284"/>
  <c r="D14" i="284"/>
  <c r="C14" i="284"/>
  <c r="B14" i="284"/>
  <c r="B13" i="284"/>
  <c r="B12" i="284" s="1"/>
  <c r="D12" i="284"/>
  <c r="C12" i="284"/>
  <c r="B11" i="284"/>
  <c r="B10" i="284"/>
  <c r="D9" i="284"/>
  <c r="C9" i="284"/>
  <c r="B8" i="284"/>
  <c r="B7" i="284" s="1"/>
  <c r="D7" i="284"/>
  <c r="C7" i="284"/>
  <c r="F6" i="283"/>
  <c r="E6" i="283"/>
  <c r="D6" i="283"/>
  <c r="C6" i="283"/>
  <c r="B6" i="283"/>
  <c r="D7" i="282"/>
  <c r="D6" i="282" s="1"/>
  <c r="E6" i="282"/>
  <c r="C6" i="282"/>
  <c r="B6" i="282"/>
  <c r="F6" i="281"/>
  <c r="E6" i="281"/>
  <c r="D6" i="281"/>
  <c r="C6" i="281"/>
  <c r="B6" i="281"/>
  <c r="B9" i="280"/>
  <c r="B8" i="280"/>
  <c r="B7" i="280"/>
  <c r="B6" i="280" s="1"/>
  <c r="D6" i="280"/>
  <c r="C6" i="280"/>
  <c r="F6" i="279"/>
  <c r="E6" i="279"/>
  <c r="D6" i="279"/>
  <c r="C6" i="279"/>
  <c r="B6" i="279"/>
  <c r="C5" i="277"/>
  <c r="B5" i="277"/>
  <c r="C6" i="276"/>
  <c r="B6" i="276"/>
  <c r="E5" i="275"/>
  <c r="D5" i="275"/>
  <c r="C5" i="275"/>
  <c r="B5" i="275"/>
  <c r="B9" i="284" l="1"/>
  <c r="B6" i="284" s="1"/>
  <c r="B70" i="284"/>
  <c r="B27" i="284"/>
  <c r="B64" i="284"/>
  <c r="B7" i="286"/>
  <c r="C18" i="286" s="1"/>
  <c r="B7" i="287"/>
  <c r="C6" i="284"/>
  <c r="B21" i="284"/>
  <c r="B59" i="284"/>
  <c r="B6" i="293"/>
  <c r="D6" i="284"/>
  <c r="B7" i="289"/>
  <c r="C22" i="286"/>
  <c r="C20" i="286"/>
  <c r="C14" i="286"/>
  <c r="C12" i="286"/>
  <c r="C8" i="286"/>
  <c r="C7" i="286"/>
  <c r="C19" i="286"/>
  <c r="C21" i="286"/>
  <c r="C13" i="286"/>
  <c r="C11" i="286" l="1"/>
  <c r="C10" i="286"/>
  <c r="C17" i="286"/>
  <c r="C9" i="286"/>
  <c r="C16" i="286"/>
  <c r="C15" i="286"/>
  <c r="R20" i="274"/>
  <c r="N20" i="274"/>
  <c r="J20" i="274"/>
  <c r="J19" i="274" s="1"/>
  <c r="F20" i="274"/>
  <c r="B20" i="274"/>
  <c r="U19" i="274"/>
  <c r="R19" i="274" s="1"/>
  <c r="T19" i="274"/>
  <c r="S19" i="274"/>
  <c r="Q19" i="274"/>
  <c r="P19" i="274"/>
  <c r="O19" i="274"/>
  <c r="M19" i="274"/>
  <c r="L19" i="274"/>
  <c r="K19" i="274"/>
  <c r="I19" i="274"/>
  <c r="H19" i="274"/>
  <c r="G19" i="274"/>
  <c r="G6" i="274" s="1"/>
  <c r="F19" i="274"/>
  <c r="E19" i="274"/>
  <c r="D19" i="274"/>
  <c r="C19" i="274"/>
  <c r="R18" i="274"/>
  <c r="N18" i="274"/>
  <c r="J18" i="274"/>
  <c r="F18" i="274"/>
  <c r="B18" i="274"/>
  <c r="R17" i="274"/>
  <c r="N17" i="274"/>
  <c r="J17" i="274"/>
  <c r="F17" i="274"/>
  <c r="B17" i="274"/>
  <c r="R16" i="274"/>
  <c r="N16" i="274"/>
  <c r="J16" i="274"/>
  <c r="J14" i="274" s="1"/>
  <c r="F16" i="274"/>
  <c r="B16" i="274"/>
  <c r="R15" i="274"/>
  <c r="N15" i="274"/>
  <c r="J15" i="274"/>
  <c r="F15" i="274"/>
  <c r="B15" i="274"/>
  <c r="U14" i="274"/>
  <c r="T14" i="274"/>
  <c r="S14" i="274"/>
  <c r="Q14" i="274"/>
  <c r="P14" i="274"/>
  <c r="O14" i="274"/>
  <c r="M14" i="274"/>
  <c r="L14" i="274"/>
  <c r="L6" i="274" s="1"/>
  <c r="K14" i="274"/>
  <c r="I14" i="274"/>
  <c r="H14" i="274"/>
  <c r="G14" i="274"/>
  <c r="E14" i="274"/>
  <c r="D14" i="274"/>
  <c r="C14" i="274"/>
  <c r="R13" i="274"/>
  <c r="N13" i="274"/>
  <c r="J13" i="274"/>
  <c r="F13" i="274"/>
  <c r="B13" i="274"/>
  <c r="U12" i="274"/>
  <c r="T12" i="274"/>
  <c r="S12" i="274"/>
  <c r="R12" i="274"/>
  <c r="Q12" i="274"/>
  <c r="P12" i="274"/>
  <c r="N12" i="274" s="1"/>
  <c r="O12" i="274"/>
  <c r="M12" i="274"/>
  <c r="L12" i="274"/>
  <c r="K12" i="274"/>
  <c r="J12" i="274"/>
  <c r="I12" i="274"/>
  <c r="H12" i="274"/>
  <c r="G12" i="274"/>
  <c r="F12" i="274"/>
  <c r="E12" i="274"/>
  <c r="D12" i="274"/>
  <c r="C12" i="274"/>
  <c r="B12" i="274"/>
  <c r="R11" i="274"/>
  <c r="N11" i="274"/>
  <c r="J11" i="274"/>
  <c r="F11" i="274"/>
  <c r="B11" i="274"/>
  <c r="R10" i="274"/>
  <c r="N10" i="274"/>
  <c r="J10" i="274"/>
  <c r="F10" i="274"/>
  <c r="B10" i="274"/>
  <c r="R9" i="274"/>
  <c r="N9" i="274"/>
  <c r="J9" i="274"/>
  <c r="F9" i="274"/>
  <c r="B9" i="274"/>
  <c r="R8" i="274"/>
  <c r="N8" i="274"/>
  <c r="J8" i="274"/>
  <c r="F8" i="274"/>
  <c r="B8" i="274"/>
  <c r="U7" i="274"/>
  <c r="T7" i="274"/>
  <c r="S7" i="274"/>
  <c r="R7" i="274"/>
  <c r="Q7" i="274"/>
  <c r="P7" i="274"/>
  <c r="P6" i="274" s="1"/>
  <c r="O7" i="274"/>
  <c r="N7" i="274"/>
  <c r="M7" i="274"/>
  <c r="L7" i="274"/>
  <c r="K7" i="274"/>
  <c r="K6" i="274" s="1"/>
  <c r="J7" i="274"/>
  <c r="J6" i="274" s="1"/>
  <c r="I7" i="274"/>
  <c r="H7" i="274"/>
  <c r="G7" i="274"/>
  <c r="F7" i="274"/>
  <c r="E7" i="274"/>
  <c r="D7" i="274"/>
  <c r="C7" i="274"/>
  <c r="C6" i="274" s="1"/>
  <c r="B7" i="274"/>
  <c r="T6" i="274"/>
  <c r="S6" i="274"/>
  <c r="O6" i="274"/>
  <c r="H6" i="274"/>
  <c r="D6" i="274"/>
  <c r="L6" i="273"/>
  <c r="K6" i="273"/>
  <c r="J6" i="273"/>
  <c r="I6" i="273"/>
  <c r="H6" i="273"/>
  <c r="G6" i="273"/>
  <c r="F6" i="273"/>
  <c r="E6" i="273"/>
  <c r="D6" i="273"/>
  <c r="C6" i="273"/>
  <c r="F42" i="272"/>
  <c r="F41" i="272"/>
  <c r="F40" i="272"/>
  <c r="F39" i="272"/>
  <c r="F38" i="272"/>
  <c r="F37" i="272"/>
  <c r="F36" i="272"/>
  <c r="F35" i="272"/>
  <c r="F34" i="272"/>
  <c r="F33" i="272"/>
  <c r="F32" i="272"/>
  <c r="F31" i="272"/>
  <c r="F30" i="272"/>
  <c r="F29" i="272"/>
  <c r="F28" i="272"/>
  <c r="I27" i="272"/>
  <c r="H27" i="272"/>
  <c r="G27" i="272"/>
  <c r="E27" i="272"/>
  <c r="D27" i="272"/>
  <c r="C27" i="272"/>
  <c r="B27" i="272"/>
  <c r="J21" i="272"/>
  <c r="F21" i="272"/>
  <c r="B21" i="272"/>
  <c r="J20" i="272"/>
  <c r="F20" i="272"/>
  <c r="B20" i="272"/>
  <c r="J19" i="272"/>
  <c r="F19" i="272"/>
  <c r="B19" i="272"/>
  <c r="J18" i="272"/>
  <c r="F18" i="272"/>
  <c r="B18" i="272"/>
  <c r="J17" i="272"/>
  <c r="F17" i="272"/>
  <c r="B17" i="272"/>
  <c r="J16" i="272"/>
  <c r="F16" i="272"/>
  <c r="B16" i="272"/>
  <c r="J15" i="272"/>
  <c r="F15" i="272"/>
  <c r="B15" i="272"/>
  <c r="J14" i="272"/>
  <c r="F14" i="272"/>
  <c r="B14" i="272"/>
  <c r="J13" i="272"/>
  <c r="F13" i="272"/>
  <c r="B13" i="272"/>
  <c r="J12" i="272"/>
  <c r="F12" i="272"/>
  <c r="B12" i="272"/>
  <c r="J11" i="272"/>
  <c r="F11" i="272"/>
  <c r="B11" i="272"/>
  <c r="J10" i="272"/>
  <c r="F10" i="272"/>
  <c r="B10" i="272"/>
  <c r="J9" i="272"/>
  <c r="F9" i="272"/>
  <c r="B9" i="272"/>
  <c r="J8" i="272"/>
  <c r="F8" i="272"/>
  <c r="B8" i="272"/>
  <c r="J7" i="272"/>
  <c r="F7" i="272"/>
  <c r="B7" i="272"/>
  <c r="M6" i="272"/>
  <c r="L6" i="272"/>
  <c r="K6" i="272"/>
  <c r="J6" i="272" s="1"/>
  <c r="I6" i="272"/>
  <c r="H6" i="272"/>
  <c r="G6" i="272"/>
  <c r="E6" i="272"/>
  <c r="D6" i="272"/>
  <c r="C6" i="272"/>
  <c r="D51" i="271"/>
  <c r="C51" i="271"/>
  <c r="D50" i="271"/>
  <c r="C50" i="271"/>
  <c r="D49" i="271"/>
  <c r="C49" i="271"/>
  <c r="D48" i="271"/>
  <c r="C48" i="271"/>
  <c r="D47" i="271"/>
  <c r="C47" i="271"/>
  <c r="D46" i="271"/>
  <c r="C46" i="271"/>
  <c r="D45" i="271"/>
  <c r="C45" i="271"/>
  <c r="D44" i="271"/>
  <c r="C44" i="271"/>
  <c r="D43" i="271"/>
  <c r="C43" i="271"/>
  <c r="D42" i="271"/>
  <c r="C42" i="271"/>
  <c r="D41" i="271"/>
  <c r="C41" i="271"/>
  <c r="C40" i="271" s="1"/>
  <c r="H40" i="271"/>
  <c r="G40" i="271"/>
  <c r="F40" i="271"/>
  <c r="E40" i="271"/>
  <c r="J34" i="271"/>
  <c r="I34" i="271"/>
  <c r="D34" i="271"/>
  <c r="C34" i="271"/>
  <c r="J33" i="271"/>
  <c r="I33" i="271"/>
  <c r="D33" i="271"/>
  <c r="C33" i="271"/>
  <c r="J32" i="271"/>
  <c r="I32" i="271"/>
  <c r="D32" i="271"/>
  <c r="C32" i="271"/>
  <c r="J31" i="271"/>
  <c r="I31" i="271"/>
  <c r="D31" i="271"/>
  <c r="C31" i="271"/>
  <c r="J30" i="271"/>
  <c r="I30" i="271"/>
  <c r="D30" i="271"/>
  <c r="C30" i="271"/>
  <c r="J29" i="271"/>
  <c r="I29" i="271"/>
  <c r="D29" i="271"/>
  <c r="C29" i="271"/>
  <c r="J28" i="271"/>
  <c r="I28" i="271"/>
  <c r="D28" i="271"/>
  <c r="C28" i="271"/>
  <c r="J27" i="271"/>
  <c r="I27" i="271"/>
  <c r="D27" i="271"/>
  <c r="C27" i="271"/>
  <c r="J26" i="271"/>
  <c r="I26" i="271"/>
  <c r="D26" i="271"/>
  <c r="C26" i="271"/>
  <c r="J25" i="271"/>
  <c r="I25" i="271"/>
  <c r="D25" i="271"/>
  <c r="C25" i="271"/>
  <c r="J24" i="271"/>
  <c r="I24" i="271"/>
  <c r="D24" i="271"/>
  <c r="C24" i="271"/>
  <c r="N23" i="271"/>
  <c r="J23" i="271" s="1"/>
  <c r="M23" i="271"/>
  <c r="I23" i="271" s="1"/>
  <c r="L23" i="271"/>
  <c r="K23" i="271"/>
  <c r="G23" i="271"/>
  <c r="F23" i="271"/>
  <c r="E23" i="271"/>
  <c r="D23" i="271"/>
  <c r="J17" i="271"/>
  <c r="I17" i="271"/>
  <c r="D17" i="271"/>
  <c r="C17" i="271"/>
  <c r="J16" i="271"/>
  <c r="I16" i="271"/>
  <c r="D16" i="271"/>
  <c r="C16" i="271"/>
  <c r="J15" i="271"/>
  <c r="I15" i="271"/>
  <c r="D15" i="271"/>
  <c r="C15" i="271"/>
  <c r="J14" i="271"/>
  <c r="I14" i="271"/>
  <c r="D14" i="271"/>
  <c r="C14" i="271"/>
  <c r="J13" i="271"/>
  <c r="I13" i="271"/>
  <c r="D13" i="271"/>
  <c r="C13" i="271"/>
  <c r="J12" i="271"/>
  <c r="I12" i="271"/>
  <c r="D12" i="271"/>
  <c r="C12" i="271"/>
  <c r="J11" i="271"/>
  <c r="I11" i="271"/>
  <c r="D11" i="271"/>
  <c r="C11" i="271"/>
  <c r="J10" i="271"/>
  <c r="I10" i="271"/>
  <c r="D10" i="271"/>
  <c r="C10" i="271"/>
  <c r="J9" i="271"/>
  <c r="I9" i="271"/>
  <c r="D9" i="271"/>
  <c r="C9" i="271"/>
  <c r="J8" i="271"/>
  <c r="I8" i="271"/>
  <c r="D8" i="271"/>
  <c r="C8" i="271"/>
  <c r="J7" i="271"/>
  <c r="J6" i="271" s="1"/>
  <c r="I7" i="271"/>
  <c r="D7" i="271"/>
  <c r="C7" i="271"/>
  <c r="N6" i="271"/>
  <c r="M6" i="271"/>
  <c r="L6" i="271"/>
  <c r="K6" i="271"/>
  <c r="I6" i="271"/>
  <c r="H6" i="271"/>
  <c r="G6" i="271"/>
  <c r="F6" i="271"/>
  <c r="E6" i="271"/>
  <c r="D6" i="271"/>
  <c r="C6" i="271"/>
  <c r="D52" i="270"/>
  <c r="C52" i="270"/>
  <c r="D51" i="270"/>
  <c r="C51" i="270"/>
  <c r="D50" i="270"/>
  <c r="C50" i="270"/>
  <c r="D49" i="270"/>
  <c r="C49" i="270"/>
  <c r="D48" i="270"/>
  <c r="C48" i="270"/>
  <c r="D47" i="270"/>
  <c r="C47" i="270"/>
  <c r="D46" i="270"/>
  <c r="C46" i="270"/>
  <c r="D45" i="270"/>
  <c r="C45" i="270"/>
  <c r="D44" i="270"/>
  <c r="C44" i="270"/>
  <c r="C41" i="270" s="1"/>
  <c r="D43" i="270"/>
  <c r="C43" i="270"/>
  <c r="D42" i="270"/>
  <c r="C42" i="270"/>
  <c r="J41" i="270"/>
  <c r="I41" i="270"/>
  <c r="H41" i="270"/>
  <c r="G41" i="270"/>
  <c r="F41" i="270"/>
  <c r="E41" i="270"/>
  <c r="L35" i="270"/>
  <c r="K35" i="270"/>
  <c r="D35" i="270"/>
  <c r="C35" i="270"/>
  <c r="L34" i="270"/>
  <c r="K34" i="270"/>
  <c r="D34" i="270"/>
  <c r="C34" i="270"/>
  <c r="L33" i="270"/>
  <c r="K33" i="270"/>
  <c r="D33" i="270"/>
  <c r="C33" i="270"/>
  <c r="L32" i="270"/>
  <c r="K32" i="270"/>
  <c r="D32" i="270"/>
  <c r="C32" i="270"/>
  <c r="L31" i="270"/>
  <c r="K31" i="270"/>
  <c r="D31" i="270"/>
  <c r="C31" i="270"/>
  <c r="L30" i="270"/>
  <c r="K30" i="270"/>
  <c r="D30" i="270"/>
  <c r="C30" i="270"/>
  <c r="L29" i="270"/>
  <c r="K29" i="270"/>
  <c r="D29" i="270"/>
  <c r="C29" i="270"/>
  <c r="L28" i="270"/>
  <c r="K28" i="270"/>
  <c r="D28" i="270"/>
  <c r="C28" i="270"/>
  <c r="L27" i="270"/>
  <c r="K27" i="270"/>
  <c r="D27" i="270"/>
  <c r="C27" i="270"/>
  <c r="L26" i="270"/>
  <c r="K26" i="270"/>
  <c r="D26" i="270"/>
  <c r="C26" i="270"/>
  <c r="L25" i="270"/>
  <c r="K25" i="270"/>
  <c r="D25" i="270"/>
  <c r="C25" i="270"/>
  <c r="R24" i="270"/>
  <c r="Q24" i="270"/>
  <c r="P24" i="270"/>
  <c r="O24" i="270"/>
  <c r="N24" i="270"/>
  <c r="M24" i="270"/>
  <c r="K24" i="270"/>
  <c r="J24" i="270"/>
  <c r="I24" i="270"/>
  <c r="H24" i="270"/>
  <c r="G24" i="270"/>
  <c r="F24" i="270"/>
  <c r="L17" i="270"/>
  <c r="K17" i="270"/>
  <c r="D17" i="270"/>
  <c r="C17" i="270"/>
  <c r="L16" i="270"/>
  <c r="K16" i="270"/>
  <c r="D16" i="270"/>
  <c r="C16" i="270"/>
  <c r="L15" i="270"/>
  <c r="K15" i="270"/>
  <c r="D15" i="270"/>
  <c r="C15" i="270"/>
  <c r="L14" i="270"/>
  <c r="K14" i="270"/>
  <c r="D14" i="270"/>
  <c r="C14" i="270"/>
  <c r="L13" i="270"/>
  <c r="K13" i="270"/>
  <c r="D13" i="270"/>
  <c r="C13" i="270"/>
  <c r="L12" i="270"/>
  <c r="K12" i="270"/>
  <c r="D12" i="270"/>
  <c r="C12" i="270"/>
  <c r="L11" i="270"/>
  <c r="K11" i="270"/>
  <c r="D11" i="270"/>
  <c r="C11" i="270"/>
  <c r="L10" i="270"/>
  <c r="K10" i="270"/>
  <c r="D10" i="270"/>
  <c r="C10" i="270"/>
  <c r="L9" i="270"/>
  <c r="K9" i="270"/>
  <c r="D9" i="270"/>
  <c r="C9" i="270"/>
  <c r="L8" i="270"/>
  <c r="K8" i="270"/>
  <c r="D8" i="270"/>
  <c r="C8" i="270"/>
  <c r="L7" i="270"/>
  <c r="K7" i="270"/>
  <c r="D7" i="270"/>
  <c r="C7" i="270"/>
  <c r="R6" i="270"/>
  <c r="Q6" i="270"/>
  <c r="P6" i="270"/>
  <c r="O6" i="270"/>
  <c r="N6" i="270"/>
  <c r="L6" i="270" s="1"/>
  <c r="M6" i="270"/>
  <c r="J6" i="270"/>
  <c r="I6" i="270"/>
  <c r="H6" i="270"/>
  <c r="G6" i="270"/>
  <c r="F6" i="270"/>
  <c r="D6" i="270" s="1"/>
  <c r="E6" i="270"/>
  <c r="N21" i="269"/>
  <c r="H21" i="269"/>
  <c r="E21" i="269"/>
  <c r="B21" i="269"/>
  <c r="N20" i="269"/>
  <c r="H20" i="269"/>
  <c r="E20" i="269"/>
  <c r="B20" i="269"/>
  <c r="N19" i="269"/>
  <c r="H19" i="269"/>
  <c r="E19" i="269"/>
  <c r="B19" i="269"/>
  <c r="N18" i="269"/>
  <c r="H18" i="269"/>
  <c r="E18" i="269"/>
  <c r="B18" i="269"/>
  <c r="N17" i="269"/>
  <c r="H17" i="269"/>
  <c r="E17" i="269"/>
  <c r="B17" i="269"/>
  <c r="N16" i="269"/>
  <c r="H16" i="269"/>
  <c r="E16" i="269"/>
  <c r="B16" i="269"/>
  <c r="N15" i="269"/>
  <c r="H15" i="269"/>
  <c r="E15" i="269"/>
  <c r="B15" i="269"/>
  <c r="N14" i="269"/>
  <c r="H14" i="269"/>
  <c r="E14" i="269"/>
  <c r="B14" i="269"/>
  <c r="N13" i="269"/>
  <c r="H13" i="269"/>
  <c r="E13" i="269"/>
  <c r="B13" i="269"/>
  <c r="N12" i="269"/>
  <c r="H12" i="269"/>
  <c r="E12" i="269"/>
  <c r="B12" i="269"/>
  <c r="N11" i="269"/>
  <c r="H11" i="269"/>
  <c r="E11" i="269"/>
  <c r="B11" i="269"/>
  <c r="N10" i="269"/>
  <c r="H10" i="269"/>
  <c r="E10" i="269"/>
  <c r="B10" i="269"/>
  <c r="N9" i="269"/>
  <c r="H9" i="269"/>
  <c r="E9" i="269"/>
  <c r="B9" i="269"/>
  <c r="N8" i="269"/>
  <c r="H8" i="269"/>
  <c r="E8" i="269"/>
  <c r="B8" i="269"/>
  <c r="N7" i="269"/>
  <c r="N6" i="269" s="1"/>
  <c r="H7" i="269"/>
  <c r="H6" i="269" s="1"/>
  <c r="E7" i="269"/>
  <c r="B7" i="269"/>
  <c r="B6" i="269" s="1"/>
  <c r="P6" i="269"/>
  <c r="O6" i="269"/>
  <c r="M6" i="269"/>
  <c r="L6" i="269"/>
  <c r="K6" i="269"/>
  <c r="J6" i="269"/>
  <c r="I6" i="269"/>
  <c r="G6" i="269"/>
  <c r="F6" i="269"/>
  <c r="E6" i="269"/>
  <c r="D6" i="269"/>
  <c r="C6" i="269"/>
  <c r="R15" i="268"/>
  <c r="N15" i="268"/>
  <c r="J15" i="268"/>
  <c r="F15" i="268"/>
  <c r="B15" i="268"/>
  <c r="R14" i="268"/>
  <c r="N14" i="268"/>
  <c r="J14" i="268"/>
  <c r="F14" i="268"/>
  <c r="B14" i="268"/>
  <c r="R13" i="268"/>
  <c r="N13" i="268"/>
  <c r="J13" i="268"/>
  <c r="F13" i="268"/>
  <c r="B13" i="268"/>
  <c r="R12" i="268"/>
  <c r="N12" i="268"/>
  <c r="J12" i="268"/>
  <c r="F12" i="268"/>
  <c r="B12" i="268"/>
  <c r="R11" i="268"/>
  <c r="N11" i="268"/>
  <c r="J11" i="268"/>
  <c r="F11" i="268"/>
  <c r="B11" i="268"/>
  <c r="R10" i="268"/>
  <c r="N10" i="268"/>
  <c r="J10" i="268"/>
  <c r="F10" i="268"/>
  <c r="B10" i="268"/>
  <c r="R9" i="268"/>
  <c r="N9" i="268"/>
  <c r="J9" i="268"/>
  <c r="F9" i="268"/>
  <c r="B9" i="268"/>
  <c r="R8" i="268"/>
  <c r="N8" i="268"/>
  <c r="J8" i="268"/>
  <c r="F8" i="268"/>
  <c r="B8" i="268"/>
  <c r="R7" i="268"/>
  <c r="N7" i="268"/>
  <c r="J7" i="268"/>
  <c r="F7" i="268"/>
  <c r="B7" i="268"/>
  <c r="U6" i="268"/>
  <c r="T6" i="268"/>
  <c r="S6" i="268"/>
  <c r="Q6" i="268"/>
  <c r="P6" i="268"/>
  <c r="O6" i="268"/>
  <c r="N6" i="268" s="1"/>
  <c r="M6" i="268"/>
  <c r="L6" i="268"/>
  <c r="K6" i="268"/>
  <c r="I6" i="268"/>
  <c r="H6" i="268"/>
  <c r="G6" i="268"/>
  <c r="F6" i="268" s="1"/>
  <c r="E6" i="268"/>
  <c r="D6" i="268"/>
  <c r="C6" i="268"/>
  <c r="F46" i="267"/>
  <c r="B46" i="267"/>
  <c r="F45" i="267"/>
  <c r="B45" i="267"/>
  <c r="F44" i="267"/>
  <c r="B44" i="267"/>
  <c r="F43" i="267"/>
  <c r="B43" i="267"/>
  <c r="F42" i="267"/>
  <c r="B42" i="267"/>
  <c r="F41" i="267"/>
  <c r="B41" i="267"/>
  <c r="F40" i="267"/>
  <c r="B40" i="267"/>
  <c r="F39" i="267"/>
  <c r="B39" i="267"/>
  <c r="F38" i="267"/>
  <c r="B38" i="267"/>
  <c r="F37" i="267"/>
  <c r="B37" i="267"/>
  <c r="F36" i="267"/>
  <c r="B36" i="267"/>
  <c r="F35" i="267"/>
  <c r="B35" i="267"/>
  <c r="F34" i="267"/>
  <c r="B34" i="267"/>
  <c r="F33" i="267"/>
  <c r="B33" i="267"/>
  <c r="F32" i="267"/>
  <c r="B32" i="267"/>
  <c r="I31" i="267"/>
  <c r="H31" i="267"/>
  <c r="F31" i="267" s="1"/>
  <c r="G31" i="267"/>
  <c r="E31" i="267"/>
  <c r="D31" i="267"/>
  <c r="C31" i="267"/>
  <c r="B31" i="267" s="1"/>
  <c r="J22" i="267"/>
  <c r="F22" i="267"/>
  <c r="B22" i="267"/>
  <c r="J21" i="267"/>
  <c r="F21" i="267"/>
  <c r="B21" i="267"/>
  <c r="J20" i="267"/>
  <c r="F20" i="267"/>
  <c r="B20" i="267"/>
  <c r="J19" i="267"/>
  <c r="F19" i="267"/>
  <c r="B19" i="267"/>
  <c r="J18" i="267"/>
  <c r="F18" i="267"/>
  <c r="B18" i="267"/>
  <c r="J17" i="267"/>
  <c r="F17" i="267"/>
  <c r="B17" i="267"/>
  <c r="J16" i="267"/>
  <c r="F16" i="267"/>
  <c r="B16" i="267"/>
  <c r="J15" i="267"/>
  <c r="F15" i="267"/>
  <c r="B15" i="267"/>
  <c r="J14" i="267"/>
  <c r="F14" i="267"/>
  <c r="B14" i="267"/>
  <c r="J13" i="267"/>
  <c r="F13" i="267"/>
  <c r="B13" i="267"/>
  <c r="J12" i="267"/>
  <c r="F12" i="267"/>
  <c r="B12" i="267"/>
  <c r="J11" i="267"/>
  <c r="F11" i="267"/>
  <c r="B11" i="267"/>
  <c r="J10" i="267"/>
  <c r="F10" i="267"/>
  <c r="B10" i="267"/>
  <c r="J9" i="267"/>
  <c r="F9" i="267"/>
  <c r="B9" i="267"/>
  <c r="J8" i="267"/>
  <c r="F8" i="267"/>
  <c r="B8" i="267"/>
  <c r="M7" i="267"/>
  <c r="L7" i="267"/>
  <c r="K7" i="267"/>
  <c r="J7" i="267" s="1"/>
  <c r="I7" i="267"/>
  <c r="H7" i="267"/>
  <c r="G7" i="267"/>
  <c r="E7" i="267"/>
  <c r="D7" i="267"/>
  <c r="C7" i="267"/>
  <c r="B7" i="267" s="1"/>
  <c r="I73" i="266"/>
  <c r="F73" i="266"/>
  <c r="C73" i="266"/>
  <c r="B73" i="266" s="1"/>
  <c r="I72" i="266"/>
  <c r="F72" i="266"/>
  <c r="C72" i="266"/>
  <c r="I71" i="266"/>
  <c r="F71" i="266"/>
  <c r="C71" i="266"/>
  <c r="B71" i="266" s="1"/>
  <c r="I70" i="266"/>
  <c r="F70" i="266"/>
  <c r="C70" i="266"/>
  <c r="I69" i="266"/>
  <c r="F69" i="266"/>
  <c r="C69" i="266"/>
  <c r="I68" i="266"/>
  <c r="F68" i="266"/>
  <c r="C68" i="266"/>
  <c r="I67" i="266"/>
  <c r="F67" i="266"/>
  <c r="C67" i="266"/>
  <c r="I66" i="266"/>
  <c r="F66" i="266"/>
  <c r="C66" i="266"/>
  <c r="I65" i="266"/>
  <c r="F65" i="266"/>
  <c r="C65" i="266"/>
  <c r="B65" i="266" s="1"/>
  <c r="I64" i="266"/>
  <c r="F64" i="266"/>
  <c r="C64" i="266"/>
  <c r="B64" i="266" s="1"/>
  <c r="I63" i="266"/>
  <c r="F63" i="266"/>
  <c r="C63" i="266"/>
  <c r="B63" i="266" s="1"/>
  <c r="I62" i="266"/>
  <c r="F62" i="266"/>
  <c r="F58" i="266" s="1"/>
  <c r="C62" i="266"/>
  <c r="I61" i="266"/>
  <c r="F61" i="266"/>
  <c r="C61" i="266"/>
  <c r="I60" i="266"/>
  <c r="F60" i="266"/>
  <c r="C60" i="266"/>
  <c r="I59" i="266"/>
  <c r="F59" i="266"/>
  <c r="C59" i="266"/>
  <c r="K58" i="266"/>
  <c r="J58" i="266"/>
  <c r="I58" i="266" s="1"/>
  <c r="H58" i="266"/>
  <c r="G58" i="266"/>
  <c r="E58" i="266"/>
  <c r="D58" i="266"/>
  <c r="S48" i="266"/>
  <c r="L48" i="266" s="1"/>
  <c r="P48" i="266"/>
  <c r="M48" i="266"/>
  <c r="I48" i="266"/>
  <c r="F48" i="266"/>
  <c r="C48" i="266"/>
  <c r="S47" i="266"/>
  <c r="P47" i="266"/>
  <c r="M47" i="266"/>
  <c r="I47" i="266"/>
  <c r="F47" i="266"/>
  <c r="C47" i="266"/>
  <c r="S46" i="266"/>
  <c r="P46" i="266"/>
  <c r="M46" i="266"/>
  <c r="I46" i="266"/>
  <c r="F46" i="266"/>
  <c r="C46" i="266"/>
  <c r="S45" i="266"/>
  <c r="P45" i="266"/>
  <c r="M45" i="266"/>
  <c r="I45" i="266"/>
  <c r="B45" i="266" s="1"/>
  <c r="F45" i="266"/>
  <c r="C45" i="266"/>
  <c r="S44" i="266"/>
  <c r="L44" i="266" s="1"/>
  <c r="P44" i="266"/>
  <c r="M44" i="266"/>
  <c r="I44" i="266"/>
  <c r="F44" i="266"/>
  <c r="C44" i="266"/>
  <c r="S43" i="266"/>
  <c r="P43" i="266"/>
  <c r="M43" i="266"/>
  <c r="I43" i="266"/>
  <c r="F43" i="266"/>
  <c r="C43" i="266"/>
  <c r="S42" i="266"/>
  <c r="P42" i="266"/>
  <c r="M42" i="266"/>
  <c r="I42" i="266"/>
  <c r="F42" i="266"/>
  <c r="C42" i="266"/>
  <c r="S41" i="266"/>
  <c r="P41" i="266"/>
  <c r="M41" i="266"/>
  <c r="I41" i="266"/>
  <c r="B41" i="266" s="1"/>
  <c r="F41" i="266"/>
  <c r="C41" i="266"/>
  <c r="S40" i="266"/>
  <c r="L40" i="266" s="1"/>
  <c r="P40" i="266"/>
  <c r="M40" i="266"/>
  <c r="I40" i="266"/>
  <c r="F40" i="266"/>
  <c r="C40" i="266"/>
  <c r="S39" i="266"/>
  <c r="P39" i="266"/>
  <c r="M39" i="266"/>
  <c r="I39" i="266"/>
  <c r="F39" i="266"/>
  <c r="C39" i="266"/>
  <c r="S38" i="266"/>
  <c r="P38" i="266"/>
  <c r="M38" i="266"/>
  <c r="I38" i="266"/>
  <c r="F38" i="266"/>
  <c r="C38" i="266"/>
  <c r="S37" i="266"/>
  <c r="P37" i="266"/>
  <c r="M37" i="266"/>
  <c r="I37" i="266"/>
  <c r="B37" i="266" s="1"/>
  <c r="F37" i="266"/>
  <c r="C37" i="266"/>
  <c r="S36" i="266"/>
  <c r="P36" i="266"/>
  <c r="M36" i="266"/>
  <c r="I36" i="266"/>
  <c r="F36" i="266"/>
  <c r="C36" i="266"/>
  <c r="S35" i="266"/>
  <c r="P35" i="266"/>
  <c r="M35" i="266"/>
  <c r="I35" i="266"/>
  <c r="F35" i="266"/>
  <c r="C35" i="266"/>
  <c r="S34" i="266"/>
  <c r="P34" i="266"/>
  <c r="M34" i="266"/>
  <c r="I34" i="266"/>
  <c r="F34" i="266"/>
  <c r="C34" i="266"/>
  <c r="U33" i="266"/>
  <c r="T33" i="266"/>
  <c r="R33" i="266"/>
  <c r="Q33" i="266"/>
  <c r="P33" i="266" s="1"/>
  <c r="O33" i="266"/>
  <c r="N33" i="266"/>
  <c r="M33" i="266"/>
  <c r="K33" i="266"/>
  <c r="I33" i="266" s="1"/>
  <c r="J33" i="266"/>
  <c r="H33" i="266"/>
  <c r="F33" i="266" s="1"/>
  <c r="G33" i="266"/>
  <c r="E33" i="266"/>
  <c r="D33" i="266"/>
  <c r="S23" i="266"/>
  <c r="P23" i="266"/>
  <c r="M23" i="266"/>
  <c r="I23" i="266"/>
  <c r="F23" i="266"/>
  <c r="C23" i="266"/>
  <c r="S22" i="266"/>
  <c r="P22" i="266"/>
  <c r="M22" i="266"/>
  <c r="I22" i="266"/>
  <c r="F22" i="266"/>
  <c r="C22" i="266"/>
  <c r="S21" i="266"/>
  <c r="L21" i="266" s="1"/>
  <c r="P21" i="266"/>
  <c r="M21" i="266"/>
  <c r="I21" i="266"/>
  <c r="F21" i="266"/>
  <c r="C21" i="266"/>
  <c r="S20" i="266"/>
  <c r="P20" i="266"/>
  <c r="M20" i="266"/>
  <c r="I20" i="266"/>
  <c r="F20" i="266"/>
  <c r="C20" i="266"/>
  <c r="S19" i="266"/>
  <c r="L19" i="266" s="1"/>
  <c r="P19" i="266"/>
  <c r="M19" i="266"/>
  <c r="I19" i="266"/>
  <c r="F19" i="266"/>
  <c r="C19" i="266"/>
  <c r="S18" i="266"/>
  <c r="P18" i="266"/>
  <c r="M18" i="266"/>
  <c r="I18" i="266"/>
  <c r="F18" i="266"/>
  <c r="C18" i="266"/>
  <c r="S17" i="266"/>
  <c r="L17" i="266" s="1"/>
  <c r="P17" i="266"/>
  <c r="M17" i="266"/>
  <c r="I17" i="266"/>
  <c r="F17" i="266"/>
  <c r="C17" i="266"/>
  <c r="S16" i="266"/>
  <c r="P16" i="266"/>
  <c r="M16" i="266"/>
  <c r="I16" i="266"/>
  <c r="B16" i="266" s="1"/>
  <c r="F16" i="266"/>
  <c r="C16" i="266"/>
  <c r="S15" i="266"/>
  <c r="L15" i="266" s="1"/>
  <c r="P15" i="266"/>
  <c r="M15" i="266"/>
  <c r="I15" i="266"/>
  <c r="F15" i="266"/>
  <c r="C15" i="266"/>
  <c r="S14" i="266"/>
  <c r="P14" i="266"/>
  <c r="M14" i="266"/>
  <c r="I14" i="266"/>
  <c r="F14" i="266"/>
  <c r="C14" i="266"/>
  <c r="S13" i="266"/>
  <c r="L13" i="266" s="1"/>
  <c r="P13" i="266"/>
  <c r="M13" i="266"/>
  <c r="I13" i="266"/>
  <c r="F13" i="266"/>
  <c r="C13" i="266"/>
  <c r="S12" i="266"/>
  <c r="P12" i="266"/>
  <c r="M12" i="266"/>
  <c r="I12" i="266"/>
  <c r="B12" i="266" s="1"/>
  <c r="F12" i="266"/>
  <c r="C12" i="266"/>
  <c r="S11" i="266"/>
  <c r="P11" i="266"/>
  <c r="M11" i="266"/>
  <c r="I11" i="266"/>
  <c r="F11" i="266"/>
  <c r="C11" i="266"/>
  <c r="S10" i="266"/>
  <c r="P10" i="266"/>
  <c r="M10" i="266"/>
  <c r="I10" i="266"/>
  <c r="F10" i="266"/>
  <c r="C10" i="266"/>
  <c r="S9" i="266"/>
  <c r="L9" i="266" s="1"/>
  <c r="P9" i="266"/>
  <c r="M9" i="266"/>
  <c r="I9" i="266"/>
  <c r="F9" i="266"/>
  <c r="C9" i="266"/>
  <c r="U8" i="266"/>
  <c r="T8" i="266"/>
  <c r="R8" i="266"/>
  <c r="Q8" i="266"/>
  <c r="O8" i="266"/>
  <c r="N8" i="266"/>
  <c r="M8" i="266"/>
  <c r="K8" i="266"/>
  <c r="J8" i="266"/>
  <c r="I8" i="266" s="1"/>
  <c r="H8" i="266"/>
  <c r="G8" i="266"/>
  <c r="F8" i="266" s="1"/>
  <c r="E8" i="266"/>
  <c r="D8" i="266"/>
  <c r="C8" i="266" s="1"/>
  <c r="I12" i="265"/>
  <c r="I8" i="265"/>
  <c r="H6" i="265"/>
  <c r="I11" i="265" s="1"/>
  <c r="F6" i="265"/>
  <c r="D6" i="265"/>
  <c r="E15" i="265" s="1"/>
  <c r="B6" i="265"/>
  <c r="H23" i="264"/>
  <c r="E23" i="264"/>
  <c r="B23" i="264"/>
  <c r="H22" i="264"/>
  <c r="E22" i="264"/>
  <c r="B22" i="264"/>
  <c r="H21" i="264"/>
  <c r="E21" i="264"/>
  <c r="B21" i="264"/>
  <c r="H20" i="264"/>
  <c r="E20" i="264"/>
  <c r="B20" i="264"/>
  <c r="H19" i="264"/>
  <c r="E19" i="264"/>
  <c r="B19" i="264"/>
  <c r="H18" i="264"/>
  <c r="E18" i="264"/>
  <c r="B18" i="264"/>
  <c r="H17" i="264"/>
  <c r="E17" i="264"/>
  <c r="B17" i="264"/>
  <c r="H16" i="264"/>
  <c r="E16" i="264"/>
  <c r="B16" i="264"/>
  <c r="H15" i="264"/>
  <c r="E15" i="264"/>
  <c r="B15" i="264"/>
  <c r="H14" i="264"/>
  <c r="E14" i="264"/>
  <c r="B14" i="264"/>
  <c r="H13" i="264"/>
  <c r="E13" i="264"/>
  <c r="B13" i="264"/>
  <c r="H12" i="264"/>
  <c r="E12" i="264"/>
  <c r="B12" i="264"/>
  <c r="H11" i="264"/>
  <c r="E11" i="264"/>
  <c r="B11" i="264"/>
  <c r="H10" i="264"/>
  <c r="E10" i="264"/>
  <c r="B10" i="264"/>
  <c r="H9" i="264"/>
  <c r="E9" i="264"/>
  <c r="B9" i="264"/>
  <c r="H8" i="264"/>
  <c r="E8" i="264"/>
  <c r="B8" i="264"/>
  <c r="J7" i="264"/>
  <c r="I7" i="264"/>
  <c r="G7" i="264"/>
  <c r="F7" i="264"/>
  <c r="E7" i="264" s="1"/>
  <c r="D7" i="264"/>
  <c r="C7" i="264"/>
  <c r="B7" i="264" s="1"/>
  <c r="I13" i="265" l="1"/>
  <c r="B11" i="266"/>
  <c r="B15" i="266"/>
  <c r="B19" i="266"/>
  <c r="B23" i="266"/>
  <c r="L34" i="266"/>
  <c r="L38" i="266"/>
  <c r="L42" i="266"/>
  <c r="L46" i="266"/>
  <c r="B60" i="266"/>
  <c r="B68" i="266"/>
  <c r="M6" i="274"/>
  <c r="N19" i="274"/>
  <c r="I14" i="265"/>
  <c r="L12" i="266"/>
  <c r="L16" i="266"/>
  <c r="L20" i="266"/>
  <c r="S33" i="266"/>
  <c r="B36" i="266"/>
  <c r="B40" i="266"/>
  <c r="B44" i="266"/>
  <c r="B48" i="266"/>
  <c r="K6" i="270"/>
  <c r="C23" i="271"/>
  <c r="D40" i="271"/>
  <c r="I7" i="265"/>
  <c r="I15" i="265"/>
  <c r="B10" i="266"/>
  <c r="B14" i="266"/>
  <c r="B18" i="266"/>
  <c r="B22" i="266"/>
  <c r="L37" i="266"/>
  <c r="L41" i="266"/>
  <c r="L45" i="266"/>
  <c r="B66" i="266"/>
  <c r="L24" i="270"/>
  <c r="B6" i="272"/>
  <c r="E6" i="274"/>
  <c r="F14" i="274"/>
  <c r="F6" i="274" s="1"/>
  <c r="B8" i="266"/>
  <c r="L11" i="266"/>
  <c r="L23" i="266"/>
  <c r="B35" i="266"/>
  <c r="B39" i="266"/>
  <c r="B43" i="266"/>
  <c r="B47" i="266"/>
  <c r="B61" i="266"/>
  <c r="B69" i="266"/>
  <c r="C6" i="270"/>
  <c r="D24" i="270"/>
  <c r="I9" i="265"/>
  <c r="B9" i="266"/>
  <c r="B13" i="266"/>
  <c r="B17" i="266"/>
  <c r="B21" i="266"/>
  <c r="L36" i="266"/>
  <c r="B72" i="266"/>
  <c r="C24" i="270"/>
  <c r="F27" i="272"/>
  <c r="I10" i="265"/>
  <c r="L10" i="266"/>
  <c r="L14" i="266"/>
  <c r="L18" i="266"/>
  <c r="L22" i="266"/>
  <c r="B34" i="266"/>
  <c r="B38" i="266"/>
  <c r="B42" i="266"/>
  <c r="B46" i="266"/>
  <c r="B67" i="266"/>
  <c r="F7" i="267"/>
  <c r="D41" i="270"/>
  <c r="I6" i="274"/>
  <c r="B19" i="274"/>
  <c r="H7" i="264"/>
  <c r="P8" i="266"/>
  <c r="B20" i="266"/>
  <c r="L35" i="266"/>
  <c r="L39" i="266"/>
  <c r="L43" i="266"/>
  <c r="L47" i="266"/>
  <c r="B62" i="266"/>
  <c r="B70" i="266"/>
  <c r="B14" i="274"/>
  <c r="B6" i="274" s="1"/>
  <c r="C14" i="265"/>
  <c r="C11" i="265"/>
  <c r="C15" i="265"/>
  <c r="C13" i="265"/>
  <c r="C12" i="265"/>
  <c r="C10" i="265"/>
  <c r="B59" i="266"/>
  <c r="C58" i="266"/>
  <c r="B6" i="268"/>
  <c r="R6" i="268"/>
  <c r="F6" i="272"/>
  <c r="C8" i="265"/>
  <c r="C7" i="265"/>
  <c r="C9" i="265"/>
  <c r="U6" i="274"/>
  <c r="R14" i="274"/>
  <c r="R6" i="274" s="1"/>
  <c r="G15" i="265"/>
  <c r="G14" i="265"/>
  <c r="G13" i="265"/>
  <c r="G12" i="265"/>
  <c r="G11" i="265"/>
  <c r="G10" i="265"/>
  <c r="G9" i="265"/>
  <c r="G8" i="265"/>
  <c r="G7" i="265"/>
  <c r="S8" i="266"/>
  <c r="C33" i="266"/>
  <c r="B33" i="266" s="1"/>
  <c r="L33" i="266"/>
  <c r="J6" i="268"/>
  <c r="Q6" i="274"/>
  <c r="N14" i="274"/>
  <c r="N6" i="274" s="1"/>
  <c r="E7" i="265"/>
  <c r="E8" i="265"/>
  <c r="E9" i="265"/>
  <c r="E10" i="265"/>
  <c r="E11" i="265"/>
  <c r="E12" i="265"/>
  <c r="E13" i="265"/>
  <c r="E14" i="265"/>
  <c r="L8" i="266" l="1"/>
  <c r="I6" i="265"/>
  <c r="B58" i="266"/>
  <c r="E6" i="265"/>
  <c r="C6" i="265"/>
  <c r="G6" i="265"/>
  <c r="F6" i="262" l="1"/>
  <c r="F6" i="259"/>
  <c r="E6" i="259"/>
  <c r="D6" i="259"/>
  <c r="C6" i="259"/>
  <c r="B6" i="259"/>
  <c r="B22" i="258"/>
  <c r="B21" i="258"/>
  <c r="B20" i="258"/>
  <c r="B19" i="258"/>
  <c r="B18" i="258"/>
  <c r="B17" i="258"/>
  <c r="B16" i="258"/>
  <c r="B15" i="258"/>
  <c r="B14" i="258"/>
  <c r="B13" i="258"/>
  <c r="B12" i="258"/>
  <c r="B11" i="258"/>
  <c r="B10" i="258"/>
  <c r="B9" i="258"/>
  <c r="B8" i="258"/>
  <c r="C7" i="258"/>
  <c r="B7" i="258"/>
  <c r="C61" i="256" l="1"/>
  <c r="B61" i="256"/>
  <c r="C33" i="256"/>
  <c r="B33" i="256"/>
  <c r="C6" i="256"/>
  <c r="C5" i="256" s="1"/>
  <c r="B6" i="256"/>
  <c r="B5" i="256" s="1"/>
  <c r="B116" i="255"/>
  <c r="B115" i="255"/>
  <c r="B114" i="255"/>
  <c r="B113" i="255"/>
  <c r="B112" i="255"/>
  <c r="B111" i="255"/>
  <c r="B110" i="255"/>
  <c r="B109" i="255"/>
  <c r="B108" i="255"/>
  <c r="B107" i="255"/>
  <c r="B106" i="255"/>
  <c r="B105" i="255"/>
  <c r="B104" i="255"/>
  <c r="B103" i="255"/>
  <c r="B102" i="255"/>
  <c r="B101" i="255"/>
  <c r="B100" i="255"/>
  <c r="B99" i="255"/>
  <c r="B98" i="255"/>
  <c r="B97" i="255"/>
  <c r="B96" i="255"/>
  <c r="B95" i="255"/>
  <c r="B94" i="255"/>
  <c r="B93" i="255"/>
  <c r="B92" i="255"/>
  <c r="B91" i="255"/>
  <c r="B90" i="255"/>
  <c r="B89" i="255"/>
  <c r="B88" i="255"/>
  <c r="B87" i="255"/>
  <c r="B86" i="255"/>
  <c r="B85" i="255"/>
  <c r="B84" i="255"/>
  <c r="B83" i="255"/>
  <c r="B82" i="255"/>
  <c r="B81" i="255"/>
  <c r="B80" i="255"/>
  <c r="B79" i="255"/>
  <c r="B78" i="255"/>
  <c r="B77" i="255"/>
  <c r="B76" i="255"/>
  <c r="B75" i="255"/>
  <c r="B74" i="255"/>
  <c r="B73" i="255"/>
  <c r="B72" i="255"/>
  <c r="B71" i="255"/>
  <c r="B70" i="255"/>
  <c r="B69" i="255"/>
  <c r="B68" i="255"/>
  <c r="B67" i="255"/>
  <c r="B66" i="255"/>
  <c r="B65" i="255"/>
  <c r="B64" i="255"/>
  <c r="B63" i="255"/>
  <c r="B62" i="255"/>
  <c r="B61" i="255"/>
  <c r="B60" i="255"/>
  <c r="B59" i="255"/>
  <c r="B58" i="255"/>
  <c r="B57" i="255"/>
  <c r="B56" i="255"/>
  <c r="B55" i="255"/>
  <c r="B54" i="255"/>
  <c r="B53" i="255"/>
  <c r="B52" i="255"/>
  <c r="B51" i="255"/>
  <c r="B50" i="255"/>
  <c r="B49" i="255"/>
  <c r="B48" i="255"/>
  <c r="B47" i="255"/>
  <c r="B46" i="255"/>
  <c r="B45" i="255"/>
  <c r="B44" i="255"/>
  <c r="B43" i="255"/>
  <c r="B42" i="255"/>
  <c r="B41" i="255"/>
  <c r="B40" i="255"/>
  <c r="B39" i="255"/>
  <c r="B38" i="255"/>
  <c r="B37" i="255"/>
  <c r="B36" i="255"/>
  <c r="B35" i="255"/>
  <c r="B34" i="255"/>
  <c r="B33" i="255"/>
  <c r="B32" i="255"/>
  <c r="B31" i="255"/>
  <c r="B30" i="255"/>
  <c r="B29" i="255"/>
  <c r="B28" i="255"/>
  <c r="B27" i="255"/>
  <c r="B26" i="255"/>
  <c r="B25" i="255"/>
  <c r="B24" i="255"/>
  <c r="B23" i="255"/>
  <c r="B22" i="255"/>
  <c r="B21" i="255"/>
  <c r="B20" i="255"/>
  <c r="B19" i="255"/>
  <c r="B18" i="255"/>
  <c r="B17" i="255"/>
  <c r="B16" i="255"/>
  <c r="B15" i="255"/>
  <c r="B14" i="255"/>
  <c r="B13" i="255"/>
  <c r="B12" i="255"/>
  <c r="B11" i="255"/>
  <c r="B10" i="255"/>
  <c r="B9" i="255"/>
  <c r="B8" i="255"/>
  <c r="B7" i="255"/>
  <c r="B6" i="255"/>
  <c r="N5" i="255"/>
  <c r="M5" i="255"/>
  <c r="L5" i="255"/>
  <c r="K5" i="255"/>
  <c r="J5" i="255"/>
  <c r="I5" i="255"/>
  <c r="H5" i="255"/>
  <c r="G5" i="255"/>
  <c r="F5" i="255"/>
  <c r="E5" i="255"/>
  <c r="D5" i="255"/>
  <c r="C5" i="255"/>
  <c r="E56" i="254"/>
  <c r="D56" i="254"/>
  <c r="C56" i="254"/>
  <c r="B56" i="254"/>
  <c r="E50" i="254"/>
  <c r="D50" i="254"/>
  <c r="C50" i="254"/>
  <c r="B50" i="254"/>
  <c r="E46" i="254"/>
  <c r="D46" i="254"/>
  <c r="C46" i="254"/>
  <c r="B46" i="254"/>
  <c r="E44" i="254"/>
  <c r="D44" i="254"/>
  <c r="C44" i="254"/>
  <c r="B44" i="254"/>
  <c r="E39" i="254"/>
  <c r="D39" i="254"/>
  <c r="C39" i="254"/>
  <c r="B39" i="254"/>
  <c r="E30" i="254"/>
  <c r="D30" i="254"/>
  <c r="C30" i="254"/>
  <c r="B30" i="254"/>
  <c r="E28" i="254"/>
  <c r="D28" i="254"/>
  <c r="C28" i="254"/>
  <c r="B28" i="254"/>
  <c r="E25" i="254"/>
  <c r="D25" i="254"/>
  <c r="C25" i="254"/>
  <c r="B25" i="254"/>
  <c r="E20" i="254"/>
  <c r="D20" i="254"/>
  <c r="C20" i="254"/>
  <c r="B20" i="254"/>
  <c r="E17" i="254"/>
  <c r="D17" i="254"/>
  <c r="C17" i="254"/>
  <c r="B17" i="254"/>
  <c r="E12" i="254"/>
  <c r="D12" i="254"/>
  <c r="C12" i="254"/>
  <c r="B12" i="254"/>
  <c r="E6" i="254"/>
  <c r="E5" i="254" s="1"/>
  <c r="D6" i="254"/>
  <c r="D5" i="254" s="1"/>
  <c r="C6" i="254"/>
  <c r="C5" i="254" s="1"/>
  <c r="B6" i="254"/>
  <c r="B5" i="254"/>
  <c r="AG57" i="253"/>
  <c r="AF57" i="253"/>
  <c r="AE57" i="253"/>
  <c r="AD57" i="253"/>
  <c r="AC57" i="253"/>
  <c r="AB57" i="253"/>
  <c r="AA57" i="253"/>
  <c r="Z57" i="253"/>
  <c r="Y57" i="253"/>
  <c r="X57" i="253"/>
  <c r="W57" i="253"/>
  <c r="V57" i="253"/>
  <c r="U57" i="253"/>
  <c r="T57" i="253"/>
  <c r="S57" i="253"/>
  <c r="R57" i="253"/>
  <c r="Q57" i="253"/>
  <c r="P57" i="253"/>
  <c r="O57" i="253"/>
  <c r="N57" i="253"/>
  <c r="M57" i="253"/>
  <c r="L57" i="253"/>
  <c r="K57" i="253"/>
  <c r="J57" i="253"/>
  <c r="I57" i="253"/>
  <c r="H57" i="253"/>
  <c r="G57" i="253"/>
  <c r="F57" i="253"/>
  <c r="E57" i="253"/>
  <c r="D57" i="253"/>
  <c r="C57" i="253"/>
  <c r="B57" i="253"/>
  <c r="AG51" i="253"/>
  <c r="AF51" i="253"/>
  <c r="AE51" i="253"/>
  <c r="AD51" i="253"/>
  <c r="AC51" i="253"/>
  <c r="AB51" i="253"/>
  <c r="AA51" i="253"/>
  <c r="Z51" i="253"/>
  <c r="Y51" i="253"/>
  <c r="X51" i="253"/>
  <c r="W51" i="253"/>
  <c r="V51" i="253"/>
  <c r="U51" i="253"/>
  <c r="T51" i="253"/>
  <c r="S51" i="253"/>
  <c r="R51" i="253"/>
  <c r="Q51" i="253"/>
  <c r="P51" i="253"/>
  <c r="O51" i="253"/>
  <c r="N51" i="253"/>
  <c r="M51" i="253"/>
  <c r="L51" i="253"/>
  <c r="K51" i="253"/>
  <c r="J51" i="253"/>
  <c r="I51" i="253"/>
  <c r="H51" i="253"/>
  <c r="G51" i="253"/>
  <c r="F51" i="253"/>
  <c r="E51" i="253"/>
  <c r="D51" i="253"/>
  <c r="C51" i="253"/>
  <c r="B51" i="253"/>
  <c r="AG47" i="253"/>
  <c r="AF47" i="253"/>
  <c r="AE47" i="253"/>
  <c r="AD47" i="253"/>
  <c r="AC47" i="253"/>
  <c r="AB47" i="253"/>
  <c r="AA47" i="253"/>
  <c r="Z47" i="253"/>
  <c r="Y47" i="253"/>
  <c r="X47" i="253"/>
  <c r="W47" i="253"/>
  <c r="V47" i="253"/>
  <c r="U47" i="253"/>
  <c r="T47" i="253"/>
  <c r="S47" i="253"/>
  <c r="R47" i="253"/>
  <c r="Q47" i="253"/>
  <c r="P47" i="253"/>
  <c r="O47" i="253"/>
  <c r="N47" i="253"/>
  <c r="M47" i="253"/>
  <c r="L47" i="253"/>
  <c r="K47" i="253"/>
  <c r="J47" i="253"/>
  <c r="I47" i="253"/>
  <c r="H47" i="253"/>
  <c r="G47" i="253"/>
  <c r="F47" i="253"/>
  <c r="E47" i="253"/>
  <c r="D47" i="253"/>
  <c r="C47" i="253"/>
  <c r="B47" i="253"/>
  <c r="AG45" i="253"/>
  <c r="AF45" i="253"/>
  <c r="AE45" i="253"/>
  <c r="AD45" i="253"/>
  <c r="AC45" i="253"/>
  <c r="AB45" i="253"/>
  <c r="AA45" i="253"/>
  <c r="Z45" i="253"/>
  <c r="Y45" i="253"/>
  <c r="X45" i="253"/>
  <c r="W45" i="253"/>
  <c r="V45" i="253"/>
  <c r="U45" i="253"/>
  <c r="T45" i="253"/>
  <c r="S45" i="253"/>
  <c r="R45" i="253"/>
  <c r="Q45" i="253"/>
  <c r="P45" i="253"/>
  <c r="O45" i="253"/>
  <c r="N45" i="253"/>
  <c r="M45" i="253"/>
  <c r="L45" i="253"/>
  <c r="K45" i="253"/>
  <c r="J45" i="253"/>
  <c r="I45" i="253"/>
  <c r="H45" i="253"/>
  <c r="G45" i="253"/>
  <c r="F45" i="253"/>
  <c r="E45" i="253"/>
  <c r="D45" i="253"/>
  <c r="C45" i="253"/>
  <c r="B45" i="253"/>
  <c r="AG40" i="253"/>
  <c r="AF40" i="253"/>
  <c r="AE40" i="253"/>
  <c r="AD40" i="253"/>
  <c r="AC40" i="253"/>
  <c r="AB40" i="253"/>
  <c r="AA40" i="253"/>
  <c r="Z40" i="253"/>
  <c r="Y40" i="253"/>
  <c r="X40" i="253"/>
  <c r="W40" i="253"/>
  <c r="V40" i="253"/>
  <c r="U40" i="253"/>
  <c r="T40" i="253"/>
  <c r="S40" i="253"/>
  <c r="R40" i="253"/>
  <c r="Q40" i="253"/>
  <c r="P40" i="253"/>
  <c r="O40" i="253"/>
  <c r="N40" i="253"/>
  <c r="M40" i="253"/>
  <c r="L40" i="253"/>
  <c r="K40" i="253"/>
  <c r="J40" i="253"/>
  <c r="I40" i="253"/>
  <c r="H40" i="253"/>
  <c r="G40" i="253"/>
  <c r="F40" i="253"/>
  <c r="E40" i="253"/>
  <c r="D40" i="253"/>
  <c r="C40" i="253"/>
  <c r="B40" i="253"/>
  <c r="AG31" i="253"/>
  <c r="AF31" i="253"/>
  <c r="AE31" i="253"/>
  <c r="AD31" i="253"/>
  <c r="AC31" i="253"/>
  <c r="AB31" i="253"/>
  <c r="AA31" i="253"/>
  <c r="Z31" i="253"/>
  <c r="Y31" i="253"/>
  <c r="X31" i="253"/>
  <c r="W31" i="253"/>
  <c r="V31" i="253"/>
  <c r="U31" i="253"/>
  <c r="T31" i="253"/>
  <c r="S31" i="253"/>
  <c r="R31" i="253"/>
  <c r="Q31" i="253"/>
  <c r="P31" i="253"/>
  <c r="O31" i="253"/>
  <c r="N31" i="253"/>
  <c r="M31" i="253"/>
  <c r="L31" i="253"/>
  <c r="K31" i="253"/>
  <c r="J31" i="253"/>
  <c r="I31" i="253"/>
  <c r="H31" i="253"/>
  <c r="G31" i="253"/>
  <c r="F31" i="253"/>
  <c r="E31" i="253"/>
  <c r="D31" i="253"/>
  <c r="C31" i="253"/>
  <c r="B31" i="253"/>
  <c r="AG29" i="253"/>
  <c r="AF29" i="253"/>
  <c r="AE29" i="253"/>
  <c r="AD29" i="253"/>
  <c r="AC29" i="253"/>
  <c r="AB29" i="253"/>
  <c r="AA29" i="253"/>
  <c r="Z29" i="253"/>
  <c r="Y29" i="253"/>
  <c r="X29" i="253"/>
  <c r="W29" i="253"/>
  <c r="V29" i="253"/>
  <c r="U29" i="253"/>
  <c r="T29" i="253"/>
  <c r="S29" i="253"/>
  <c r="R29" i="253"/>
  <c r="Q29" i="253"/>
  <c r="P29" i="253"/>
  <c r="O29" i="253"/>
  <c r="N29" i="253"/>
  <c r="M29" i="253"/>
  <c r="L29" i="253"/>
  <c r="K29" i="253"/>
  <c r="J29" i="253"/>
  <c r="I29" i="253"/>
  <c r="H29" i="253"/>
  <c r="G29" i="253"/>
  <c r="F29" i="253"/>
  <c r="E29" i="253"/>
  <c r="D29" i="253"/>
  <c r="C29" i="253"/>
  <c r="B29" i="253"/>
  <c r="AG26" i="253"/>
  <c r="AF26" i="253"/>
  <c r="AE26" i="253"/>
  <c r="AD26" i="253"/>
  <c r="AC26" i="253"/>
  <c r="AB26" i="253"/>
  <c r="AA26" i="253"/>
  <c r="Z26" i="253"/>
  <c r="Y26" i="253"/>
  <c r="X26" i="253"/>
  <c r="W26" i="253"/>
  <c r="V26" i="253"/>
  <c r="U26" i="253"/>
  <c r="T26" i="253"/>
  <c r="S26" i="253"/>
  <c r="R26" i="253"/>
  <c r="Q26" i="253"/>
  <c r="P26" i="253"/>
  <c r="O26" i="253"/>
  <c r="N26" i="253"/>
  <c r="M26" i="253"/>
  <c r="L26" i="253"/>
  <c r="K26" i="253"/>
  <c r="J26" i="253"/>
  <c r="I26" i="253"/>
  <c r="H26" i="253"/>
  <c r="G26" i="253"/>
  <c r="F26" i="253"/>
  <c r="E26" i="253"/>
  <c r="D26" i="253"/>
  <c r="C26" i="253"/>
  <c r="B26" i="253"/>
  <c r="AG21" i="253"/>
  <c r="AF21" i="253"/>
  <c r="AE21" i="253"/>
  <c r="AD21" i="253"/>
  <c r="AC21" i="253"/>
  <c r="AB21" i="253"/>
  <c r="AA21" i="253"/>
  <c r="Z21" i="253"/>
  <c r="Y21" i="253"/>
  <c r="X21" i="253"/>
  <c r="W21" i="253"/>
  <c r="V21" i="253"/>
  <c r="U21" i="253"/>
  <c r="T21" i="253"/>
  <c r="S21" i="253"/>
  <c r="R21" i="253"/>
  <c r="Q21" i="253"/>
  <c r="P21" i="253"/>
  <c r="O21" i="253"/>
  <c r="N21" i="253"/>
  <c r="M21" i="253"/>
  <c r="L21" i="253"/>
  <c r="K21" i="253"/>
  <c r="J21" i="253"/>
  <c r="I21" i="253"/>
  <c r="H21" i="253"/>
  <c r="G21" i="253"/>
  <c r="F21" i="253"/>
  <c r="E21" i="253"/>
  <c r="D21" i="253"/>
  <c r="C21" i="253"/>
  <c r="B21" i="253"/>
  <c r="AG18" i="253"/>
  <c r="AF18" i="253"/>
  <c r="AE18" i="253"/>
  <c r="AD18" i="253"/>
  <c r="AC18" i="253"/>
  <c r="AB18" i="253"/>
  <c r="AA18" i="253"/>
  <c r="Z18" i="253"/>
  <c r="Y18" i="253"/>
  <c r="X18" i="253"/>
  <c r="W18" i="253"/>
  <c r="V18" i="253"/>
  <c r="U18" i="253"/>
  <c r="T18" i="253"/>
  <c r="S18" i="253"/>
  <c r="R18" i="253"/>
  <c r="Q18" i="253"/>
  <c r="P18" i="253"/>
  <c r="O18" i="253"/>
  <c r="N18" i="253"/>
  <c r="M18" i="253"/>
  <c r="L18" i="253"/>
  <c r="K18" i="253"/>
  <c r="J18" i="253"/>
  <c r="I18" i="253"/>
  <c r="H18" i="253"/>
  <c r="G18" i="253"/>
  <c r="F18" i="253"/>
  <c r="E18" i="253"/>
  <c r="D18" i="253"/>
  <c r="C18" i="253"/>
  <c r="B18" i="253"/>
  <c r="AG13" i="253"/>
  <c r="AF13" i="253"/>
  <c r="AE13" i="253"/>
  <c r="AD13" i="253"/>
  <c r="AC13" i="253"/>
  <c r="AB13" i="253"/>
  <c r="AA13" i="253"/>
  <c r="Z13" i="253"/>
  <c r="Y13" i="253"/>
  <c r="X13" i="253"/>
  <c r="W13" i="253"/>
  <c r="V13" i="253"/>
  <c r="U13" i="253"/>
  <c r="T13" i="253"/>
  <c r="S13" i="253"/>
  <c r="R13" i="253"/>
  <c r="Q13" i="253"/>
  <c r="P13" i="253"/>
  <c r="O13" i="253"/>
  <c r="N13" i="253"/>
  <c r="M13" i="253"/>
  <c r="L13" i="253"/>
  <c r="K13" i="253"/>
  <c r="J13" i="253"/>
  <c r="I13" i="253"/>
  <c r="H13" i="253"/>
  <c r="G13" i="253"/>
  <c r="F13" i="253"/>
  <c r="E13" i="253"/>
  <c r="D13" i="253"/>
  <c r="C13" i="253"/>
  <c r="B13" i="253"/>
  <c r="AG7" i="253"/>
  <c r="AF7" i="253"/>
  <c r="AE7" i="253"/>
  <c r="AD7" i="253"/>
  <c r="AC7" i="253"/>
  <c r="AB7" i="253"/>
  <c r="AA7" i="253"/>
  <c r="Z7" i="253"/>
  <c r="Y7" i="253"/>
  <c r="X7" i="253"/>
  <c r="W7" i="253"/>
  <c r="V7" i="253"/>
  <c r="U7" i="253"/>
  <c r="T7" i="253"/>
  <c r="S7" i="253"/>
  <c r="R7" i="253"/>
  <c r="Q7" i="253"/>
  <c r="P7" i="253"/>
  <c r="O7" i="253"/>
  <c r="N7" i="253"/>
  <c r="M7" i="253"/>
  <c r="L7" i="253"/>
  <c r="K7" i="253"/>
  <c r="J7" i="253"/>
  <c r="I7" i="253"/>
  <c r="H7" i="253"/>
  <c r="G7" i="253"/>
  <c r="F7" i="253"/>
  <c r="E7" i="253"/>
  <c r="D7" i="253"/>
  <c r="C7" i="253"/>
  <c r="B7" i="253"/>
  <c r="AG6" i="253"/>
  <c r="AF6" i="253"/>
  <c r="AE6" i="253"/>
  <c r="AD6" i="253"/>
  <c r="AC6" i="253"/>
  <c r="AB6" i="253"/>
  <c r="AA6" i="253"/>
  <c r="Z6" i="253"/>
  <c r="Y6" i="253"/>
  <c r="X6" i="253"/>
  <c r="W6" i="253"/>
  <c r="V6" i="253"/>
  <c r="U6" i="253"/>
  <c r="T6" i="253"/>
  <c r="S6" i="253"/>
  <c r="R6" i="253"/>
  <c r="Q6" i="253"/>
  <c r="P6" i="253"/>
  <c r="O6" i="253"/>
  <c r="N6" i="253"/>
  <c r="M6" i="253"/>
  <c r="L6" i="253"/>
  <c r="K6" i="253"/>
  <c r="J6" i="253"/>
  <c r="I6" i="253"/>
  <c r="H6" i="253"/>
  <c r="G6" i="253"/>
  <c r="F6" i="253"/>
  <c r="E6" i="253"/>
  <c r="D6" i="253"/>
  <c r="C6" i="253"/>
  <c r="B6" i="253"/>
  <c r="D56" i="252"/>
  <c r="C56" i="252"/>
  <c r="B56" i="252"/>
  <c r="D50" i="252"/>
  <c r="C50" i="252"/>
  <c r="B50" i="252"/>
  <c r="D46" i="252"/>
  <c r="C46" i="252"/>
  <c r="B46" i="252"/>
  <c r="D44" i="252"/>
  <c r="C44" i="252"/>
  <c r="B44" i="252"/>
  <c r="D39" i="252"/>
  <c r="C39" i="252"/>
  <c r="B39" i="252"/>
  <c r="D30" i="252"/>
  <c r="C30" i="252"/>
  <c r="B30" i="252"/>
  <c r="D28" i="252"/>
  <c r="C28" i="252"/>
  <c r="B28" i="252"/>
  <c r="D25" i="252"/>
  <c r="C25" i="252"/>
  <c r="B25" i="252"/>
  <c r="D20" i="252"/>
  <c r="C20" i="252"/>
  <c r="B20" i="252"/>
  <c r="D17" i="252"/>
  <c r="C17" i="252"/>
  <c r="B17" i="252"/>
  <c r="D12" i="252"/>
  <c r="C12" i="252"/>
  <c r="B12" i="252"/>
  <c r="D6" i="252"/>
  <c r="C6" i="252"/>
  <c r="C5" i="252" s="1"/>
  <c r="B6" i="252"/>
  <c r="B63" i="251"/>
  <c r="B62" i="251"/>
  <c r="B61" i="251"/>
  <c r="B60" i="251"/>
  <c r="B59" i="251"/>
  <c r="E58" i="251"/>
  <c r="D58" i="251"/>
  <c r="C58" i="251"/>
  <c r="B57" i="251"/>
  <c r="B56" i="251"/>
  <c r="B55" i="251"/>
  <c r="B54" i="251"/>
  <c r="B53" i="251"/>
  <c r="E52" i="251"/>
  <c r="D52" i="251"/>
  <c r="C52" i="251"/>
  <c r="B51" i="251"/>
  <c r="B50" i="251"/>
  <c r="B48" i="251" s="1"/>
  <c r="B49" i="251"/>
  <c r="E48" i="251"/>
  <c r="D48" i="251"/>
  <c r="C48" i="251"/>
  <c r="B47" i="251"/>
  <c r="B46" i="251" s="1"/>
  <c r="E46" i="251"/>
  <c r="D46" i="251"/>
  <c r="C46" i="251"/>
  <c r="B45" i="251"/>
  <c r="B44" i="251"/>
  <c r="B43" i="251"/>
  <c r="B42" i="251"/>
  <c r="B41" i="251" s="1"/>
  <c r="E41" i="251"/>
  <c r="D41" i="251"/>
  <c r="C41" i="251"/>
  <c r="B40" i="251"/>
  <c r="B39" i="251"/>
  <c r="B37" i="251"/>
  <c r="B36" i="251"/>
  <c r="B35" i="251"/>
  <c r="B34" i="251"/>
  <c r="B33" i="251"/>
  <c r="E32" i="251"/>
  <c r="D32" i="251"/>
  <c r="C32" i="251"/>
  <c r="B31" i="251"/>
  <c r="B30" i="251" s="1"/>
  <c r="E30" i="251"/>
  <c r="D30" i="251"/>
  <c r="C30" i="251"/>
  <c r="B29" i="251"/>
  <c r="B28" i="251"/>
  <c r="E27" i="251"/>
  <c r="D27" i="251"/>
  <c r="C27" i="251"/>
  <c r="B26" i="251"/>
  <c r="B25" i="251"/>
  <c r="B24" i="251"/>
  <c r="B23" i="251"/>
  <c r="E22" i="251"/>
  <c r="D22" i="251"/>
  <c r="C22" i="251"/>
  <c r="B21" i="251"/>
  <c r="B20" i="251"/>
  <c r="B19" i="251" s="1"/>
  <c r="E19" i="251"/>
  <c r="D19" i="251"/>
  <c r="C19" i="251"/>
  <c r="B18" i="251"/>
  <c r="B17" i="251"/>
  <c r="B16" i="251"/>
  <c r="B15" i="251"/>
  <c r="B14" i="251" s="1"/>
  <c r="E14" i="251"/>
  <c r="D14" i="251"/>
  <c r="C14" i="251"/>
  <c r="B13" i="251"/>
  <c r="B12" i="251"/>
  <c r="B11" i="251"/>
  <c r="B10" i="251"/>
  <c r="B9" i="251"/>
  <c r="B8" i="251" s="1"/>
  <c r="E8" i="251"/>
  <c r="D8" i="251"/>
  <c r="C8" i="251"/>
  <c r="D6" i="250"/>
  <c r="E7" i="250" s="1"/>
  <c r="B6" i="250"/>
  <c r="E8" i="250" s="1"/>
  <c r="C12" i="249"/>
  <c r="C11" i="249"/>
  <c r="C10" i="249"/>
  <c r="C9" i="249"/>
  <c r="C8" i="249"/>
  <c r="C7" i="249"/>
  <c r="C6" i="249"/>
  <c r="C5" i="249"/>
  <c r="E5" i="248"/>
  <c r="D5" i="248"/>
  <c r="C5" i="248"/>
  <c r="B5" i="248"/>
  <c r="E5" i="247"/>
  <c r="D5" i="247"/>
  <c r="C5" i="247"/>
  <c r="B5" i="247"/>
  <c r="D5" i="252" l="1"/>
  <c r="C7" i="251"/>
  <c r="B58" i="251"/>
  <c r="B5" i="252"/>
  <c r="C7" i="250"/>
  <c r="D7" i="251"/>
  <c r="B52" i="251"/>
  <c r="B27" i="251"/>
  <c r="B22" i="251"/>
  <c r="B7" i="251" s="1"/>
  <c r="E7" i="251"/>
  <c r="B32" i="251"/>
  <c r="B5" i="255"/>
  <c r="C6" i="250"/>
  <c r="C8" i="250"/>
  <c r="B21" i="243" l="1"/>
  <c r="B20" i="243"/>
  <c r="B19" i="243"/>
  <c r="B18" i="243"/>
  <c r="B17" i="243"/>
  <c r="B16" i="243"/>
  <c r="B15" i="243"/>
  <c r="B14" i="243"/>
  <c r="B13" i="243"/>
  <c r="B12" i="243"/>
  <c r="B11" i="243"/>
  <c r="B10" i="243"/>
  <c r="B9" i="243"/>
  <c r="B8" i="243"/>
  <c r="H7" i="243"/>
  <c r="G7" i="243"/>
  <c r="F7" i="243"/>
  <c r="E7" i="243"/>
  <c r="D7" i="243"/>
  <c r="C7" i="243"/>
  <c r="I7" i="242"/>
  <c r="H7" i="242"/>
  <c r="G7" i="242"/>
  <c r="F7" i="242"/>
  <c r="E7" i="242"/>
  <c r="D7" i="242"/>
  <c r="C7" i="242"/>
  <c r="B7" i="242"/>
  <c r="B7" i="241"/>
  <c r="C5" i="240"/>
  <c r="B5" i="240"/>
  <c r="C21" i="239"/>
  <c r="C20" i="239"/>
  <c r="C19" i="239"/>
  <c r="C18" i="239"/>
  <c r="C17" i="239"/>
  <c r="C16" i="239"/>
  <c r="C15" i="239"/>
  <c r="C14" i="239"/>
  <c r="C13" i="239"/>
  <c r="C12" i="239"/>
  <c r="C11" i="239"/>
  <c r="C10" i="239"/>
  <c r="C9" i="239"/>
  <c r="C8" i="239"/>
  <c r="C7" i="239"/>
  <c r="E6" i="239"/>
  <c r="D6" i="239"/>
  <c r="B6" i="239"/>
  <c r="B22" i="237"/>
  <c r="B21" i="237"/>
  <c r="B20" i="237"/>
  <c r="B19" i="237"/>
  <c r="B18" i="237"/>
  <c r="B17" i="237"/>
  <c r="B16" i="237"/>
  <c r="B15" i="237"/>
  <c r="B14" i="237"/>
  <c r="B13" i="237"/>
  <c r="B12" i="237"/>
  <c r="B11" i="237"/>
  <c r="B10" i="237"/>
  <c r="B9" i="237"/>
  <c r="B8" i="237"/>
  <c r="D7" i="237"/>
  <c r="C7" i="237"/>
  <c r="B7" i="237" s="1"/>
  <c r="B21" i="236"/>
  <c r="B20" i="236"/>
  <c r="B19" i="236"/>
  <c r="B18" i="236"/>
  <c r="B17" i="236"/>
  <c r="B16" i="236"/>
  <c r="B15" i="236"/>
  <c r="B14" i="236"/>
  <c r="B13" i="236"/>
  <c r="B12" i="236"/>
  <c r="B11" i="236"/>
  <c r="B10" i="236"/>
  <c r="B9" i="236"/>
  <c r="B8" i="236"/>
  <c r="B7" i="236"/>
  <c r="D6" i="236"/>
  <c r="C6" i="236"/>
  <c r="K9" i="234"/>
  <c r="H9" i="234"/>
  <c r="H7" i="234" s="1"/>
  <c r="F9" i="234"/>
  <c r="K8" i="234"/>
  <c r="K7" i="234" s="1"/>
  <c r="H8" i="234"/>
  <c r="F8" i="234"/>
  <c r="L7" i="234"/>
  <c r="J7" i="234"/>
  <c r="D7" i="234"/>
  <c r="B7" i="234"/>
  <c r="C9" i="234" s="1"/>
  <c r="H10" i="233"/>
  <c r="F10" i="233"/>
  <c r="H9" i="233"/>
  <c r="F9" i="233"/>
  <c r="L8" i="233"/>
  <c r="J8" i="233"/>
  <c r="K10" i="233" s="1"/>
  <c r="H8" i="233"/>
  <c r="D8" i="233"/>
  <c r="B8" i="233"/>
  <c r="C10" i="233" s="1"/>
  <c r="D20" i="232"/>
  <c r="D19" i="232"/>
  <c r="D18" i="232"/>
  <c r="D17" i="232"/>
  <c r="D16" i="232"/>
  <c r="D15" i="232"/>
  <c r="D14" i="232"/>
  <c r="D13" i="232"/>
  <c r="D12" i="232"/>
  <c r="D11" i="232"/>
  <c r="D10" i="232"/>
  <c r="D9" i="232"/>
  <c r="D8" i="232"/>
  <c r="F7" i="232"/>
  <c r="B7" i="232"/>
  <c r="E12" i="231"/>
  <c r="E11" i="231"/>
  <c r="E10" i="231"/>
  <c r="E9" i="231"/>
  <c r="E8" i="231"/>
  <c r="E7" i="231"/>
  <c r="K9" i="230"/>
  <c r="H9" i="230"/>
  <c r="E9" i="230"/>
  <c r="B9" i="230"/>
  <c r="K8" i="230"/>
  <c r="H8" i="230"/>
  <c r="E8" i="230"/>
  <c r="B8" i="230"/>
  <c r="M7" i="230"/>
  <c r="L7" i="230"/>
  <c r="J7" i="230"/>
  <c r="I7" i="230"/>
  <c r="H7" i="230"/>
  <c r="G7" i="230"/>
  <c r="F7" i="230"/>
  <c r="E7" i="230" s="1"/>
  <c r="D7" i="230"/>
  <c r="C7" i="230"/>
  <c r="F17" i="229"/>
  <c r="E17" i="229"/>
  <c r="D17" i="229"/>
  <c r="F14" i="229"/>
  <c r="E14" i="229"/>
  <c r="D14" i="229"/>
  <c r="F11" i="229"/>
  <c r="F6" i="229" s="1"/>
  <c r="E11" i="229"/>
  <c r="E6" i="229" s="1"/>
  <c r="D10" i="229"/>
  <c r="D7" i="229" s="1"/>
  <c r="D6" i="229" s="1"/>
  <c r="F7" i="229"/>
  <c r="E7" i="229"/>
  <c r="C7" i="229"/>
  <c r="C6" i="229"/>
  <c r="M16" i="228"/>
  <c r="J16" i="228"/>
  <c r="I16" i="228"/>
  <c r="G16" i="228" s="1"/>
  <c r="D16" i="228"/>
  <c r="M15" i="228"/>
  <c r="J15" i="228"/>
  <c r="I15" i="228"/>
  <c r="G15" i="228" s="1"/>
  <c r="F15" i="228"/>
  <c r="D15" i="228" s="1"/>
  <c r="M14" i="228"/>
  <c r="J14" i="228"/>
  <c r="I14" i="228"/>
  <c r="G14" i="228" s="1"/>
  <c r="F14" i="228"/>
  <c r="D14" i="228" s="1"/>
  <c r="M13" i="228"/>
  <c r="J13" i="228"/>
  <c r="I13" i="228"/>
  <c r="G13" i="228" s="1"/>
  <c r="F13" i="228"/>
  <c r="D13" i="228" s="1"/>
  <c r="M12" i="228"/>
  <c r="J12" i="228"/>
  <c r="I12" i="228"/>
  <c r="G12" i="228" s="1"/>
  <c r="F12" i="228"/>
  <c r="D12" i="228" s="1"/>
  <c r="M11" i="228"/>
  <c r="J11" i="228"/>
  <c r="I11" i="228"/>
  <c r="G11" i="228" s="1"/>
  <c r="F11" i="228"/>
  <c r="D11" i="228" s="1"/>
  <c r="M10" i="228"/>
  <c r="J10" i="228"/>
  <c r="I10" i="228"/>
  <c r="G10" i="228" s="1"/>
  <c r="F10" i="228"/>
  <c r="D10" i="228" s="1"/>
  <c r="M9" i="228"/>
  <c r="J9" i="228"/>
  <c r="I9" i="228"/>
  <c r="G9" i="228" s="1"/>
  <c r="F9" i="228"/>
  <c r="D9" i="228" s="1"/>
  <c r="M8" i="228"/>
  <c r="J8" i="228"/>
  <c r="I8" i="228"/>
  <c r="G8" i="228" s="1"/>
  <c r="F8" i="228"/>
  <c r="D8" i="228" s="1"/>
  <c r="M7" i="228"/>
  <c r="J7" i="228"/>
  <c r="I7" i="228"/>
  <c r="G7" i="228" s="1"/>
  <c r="F7" i="228"/>
  <c r="D7" i="228" s="1"/>
  <c r="O6" i="228"/>
  <c r="N6" i="228"/>
  <c r="L6" i="228"/>
  <c r="K6" i="228"/>
  <c r="J6" i="228"/>
  <c r="H6" i="228"/>
  <c r="E6" i="228"/>
  <c r="C6" i="228"/>
  <c r="B6" i="228"/>
  <c r="H11" i="227"/>
  <c r="G11" i="227"/>
  <c r="H10" i="227"/>
  <c r="H9" i="227" s="1"/>
  <c r="I11" i="227" s="1"/>
  <c r="J9" i="227"/>
  <c r="K11" i="227" s="1"/>
  <c r="F9" i="227"/>
  <c r="G10" i="227" s="1"/>
  <c r="D9" i="227"/>
  <c r="B9" i="227"/>
  <c r="C11" i="227" s="1"/>
  <c r="H8" i="227"/>
  <c r="H6" i="227" s="1"/>
  <c r="I7" i="227" s="1"/>
  <c r="H7" i="227"/>
  <c r="J6" i="227"/>
  <c r="F6" i="227"/>
  <c r="G8" i="227" s="1"/>
  <c r="D6" i="227"/>
  <c r="E7" i="227" s="1"/>
  <c r="B6" i="227"/>
  <c r="C7" i="227" s="1"/>
  <c r="H10" i="226"/>
  <c r="F10" i="226"/>
  <c r="H9" i="226"/>
  <c r="F9" i="226"/>
  <c r="L8" i="226"/>
  <c r="M10" i="226" s="1"/>
  <c r="J8" i="226"/>
  <c r="F8" i="226"/>
  <c r="D8" i="226"/>
  <c r="E10" i="226" s="1"/>
  <c r="B8" i="226"/>
  <c r="C9" i="226" s="1"/>
  <c r="P20" i="225"/>
  <c r="N20" i="225"/>
  <c r="P19" i="225"/>
  <c r="N19" i="225"/>
  <c r="P18" i="225"/>
  <c r="N18" i="225"/>
  <c r="K18" i="225"/>
  <c r="P17" i="225"/>
  <c r="N17" i="225"/>
  <c r="P16" i="225"/>
  <c r="N16" i="225"/>
  <c r="P15" i="225"/>
  <c r="N15" i="225"/>
  <c r="P14" i="225"/>
  <c r="N14" i="225"/>
  <c r="P13" i="225"/>
  <c r="N13" i="225"/>
  <c r="P12" i="225"/>
  <c r="N12" i="225"/>
  <c r="P11" i="225"/>
  <c r="N11" i="225"/>
  <c r="P10" i="225"/>
  <c r="N10" i="225"/>
  <c r="P9" i="225"/>
  <c r="N9" i="225"/>
  <c r="P8" i="225"/>
  <c r="N8" i="225"/>
  <c r="T7" i="225"/>
  <c r="R7" i="225"/>
  <c r="S12" i="225" s="1"/>
  <c r="P7" i="225"/>
  <c r="Q8" i="225" s="1"/>
  <c r="L7" i="225"/>
  <c r="J7" i="225"/>
  <c r="K11" i="225" s="1"/>
  <c r="H7" i="225"/>
  <c r="F7" i="225"/>
  <c r="G14" i="225" s="1"/>
  <c r="D7" i="225"/>
  <c r="E10" i="225" s="1"/>
  <c r="B7" i="225"/>
  <c r="C19" i="225" s="1"/>
  <c r="O20" i="224"/>
  <c r="G20" i="224"/>
  <c r="C12" i="224"/>
  <c r="O11" i="224"/>
  <c r="T7" i="224"/>
  <c r="R7" i="224"/>
  <c r="S15" i="224" s="1"/>
  <c r="P7" i="224"/>
  <c r="N7" i="224"/>
  <c r="O18" i="224" s="1"/>
  <c r="L7" i="224"/>
  <c r="J7" i="224"/>
  <c r="H7" i="224"/>
  <c r="F7" i="224"/>
  <c r="G9" i="224" s="1"/>
  <c r="D7" i="224"/>
  <c r="B7" i="224"/>
  <c r="C17" i="224" s="1"/>
  <c r="M8" i="223"/>
  <c r="M7" i="223" s="1"/>
  <c r="E8" i="223"/>
  <c r="E7" i="223" s="1"/>
  <c r="T7" i="223"/>
  <c r="U9" i="223" s="1"/>
  <c r="R7" i="223"/>
  <c r="S9" i="223" s="1"/>
  <c r="P7" i="223"/>
  <c r="Q8" i="223" s="1"/>
  <c r="N7" i="223"/>
  <c r="O9" i="223" s="1"/>
  <c r="L7" i="223"/>
  <c r="M9" i="223" s="1"/>
  <c r="J7" i="223"/>
  <c r="K9" i="223" s="1"/>
  <c r="H7" i="223"/>
  <c r="I8" i="223" s="1"/>
  <c r="F7" i="223"/>
  <c r="G8" i="223" s="1"/>
  <c r="D7" i="223"/>
  <c r="E9" i="223" s="1"/>
  <c r="B7" i="223"/>
  <c r="C8" i="223" s="1"/>
  <c r="O19" i="222"/>
  <c r="E19" i="222"/>
  <c r="U15" i="222"/>
  <c r="M15" i="222"/>
  <c r="I12" i="222"/>
  <c r="U11" i="222"/>
  <c r="E9" i="222"/>
  <c r="U8" i="222"/>
  <c r="T7" i="222"/>
  <c r="U13" i="222" s="1"/>
  <c r="R7" i="222"/>
  <c r="S18" i="222" s="1"/>
  <c r="P7" i="222"/>
  <c r="Q14" i="222" s="1"/>
  <c r="N7" i="222"/>
  <c r="O17" i="222" s="1"/>
  <c r="L7" i="222"/>
  <c r="M11" i="222" s="1"/>
  <c r="J7" i="222"/>
  <c r="K20" i="222" s="1"/>
  <c r="H7" i="222"/>
  <c r="I14" i="222" s="1"/>
  <c r="F7" i="222"/>
  <c r="G21" i="222" s="1"/>
  <c r="D7" i="222"/>
  <c r="B7" i="222"/>
  <c r="G10" i="221"/>
  <c r="E10" i="221"/>
  <c r="J7" i="221"/>
  <c r="K10" i="221" s="1"/>
  <c r="H7" i="221"/>
  <c r="I10" i="221" s="1"/>
  <c r="F7" i="221"/>
  <c r="G11" i="221" s="1"/>
  <c r="D7" i="221"/>
  <c r="E8" i="221" s="1"/>
  <c r="B7" i="221"/>
  <c r="C10" i="221" s="1"/>
  <c r="K6" i="220"/>
  <c r="J6" i="220"/>
  <c r="I6" i="220"/>
  <c r="H6" i="220"/>
  <c r="G6" i="220"/>
  <c r="F6" i="220"/>
  <c r="E6" i="220"/>
  <c r="D6" i="220"/>
  <c r="C6" i="220"/>
  <c r="B6" i="220"/>
  <c r="B24" i="215"/>
  <c r="B23" i="215"/>
  <c r="B22" i="215"/>
  <c r="B21" i="215"/>
  <c r="B20" i="215"/>
  <c r="D19" i="215"/>
  <c r="C19" i="215"/>
  <c r="B18" i="215"/>
  <c r="B12" i="215" s="1"/>
  <c r="B17" i="215"/>
  <c r="B16" i="215"/>
  <c r="B10" i="215" s="1"/>
  <c r="B15" i="215"/>
  <c r="B9" i="215" s="1"/>
  <c r="B14" i="215"/>
  <c r="B8" i="215" s="1"/>
  <c r="D13" i="215"/>
  <c r="C13" i="215"/>
  <c r="D12" i="215"/>
  <c r="C12" i="215"/>
  <c r="D11" i="215"/>
  <c r="C11" i="215"/>
  <c r="B11" i="215"/>
  <c r="D10" i="215"/>
  <c r="C10" i="215"/>
  <c r="D9" i="215"/>
  <c r="C9" i="215"/>
  <c r="D8" i="215"/>
  <c r="D7" i="215" s="1"/>
  <c r="C8" i="215"/>
  <c r="C7" i="215" s="1"/>
  <c r="B6" i="214"/>
  <c r="C17" i="214" s="1"/>
  <c r="B14" i="213"/>
  <c r="B13" i="213"/>
  <c r="B12" i="213"/>
  <c r="B11" i="213"/>
  <c r="B10" i="213"/>
  <c r="B9" i="213"/>
  <c r="B8" i="213"/>
  <c r="E7" i="213"/>
  <c r="D7" i="213"/>
  <c r="C7" i="213"/>
  <c r="B18" i="212"/>
  <c r="B17" i="212"/>
  <c r="B16" i="212"/>
  <c r="B15" i="212"/>
  <c r="B14" i="212"/>
  <c r="B13" i="212"/>
  <c r="B12" i="212"/>
  <c r="B11" i="212"/>
  <c r="B10" i="212"/>
  <c r="B9" i="212"/>
  <c r="B8" i="212"/>
  <c r="B7" i="212" s="1"/>
  <c r="E7" i="212"/>
  <c r="D7" i="212"/>
  <c r="C7" i="212"/>
  <c r="B22" i="211"/>
  <c r="B21" i="211"/>
  <c r="B20" i="211"/>
  <c r="B18" i="211"/>
  <c r="B17" i="211"/>
  <c r="B16" i="211"/>
  <c r="B14" i="211"/>
  <c r="B13" i="211"/>
  <c r="B12" i="211"/>
  <c r="B10" i="211"/>
  <c r="B9" i="211"/>
  <c r="B8" i="211"/>
  <c r="B22" i="210"/>
  <c r="B21" i="210"/>
  <c r="B20" i="210"/>
  <c r="B18" i="210"/>
  <c r="B17" i="210"/>
  <c r="B16" i="210"/>
  <c r="B14" i="210"/>
  <c r="B13" i="210"/>
  <c r="B12" i="210"/>
  <c r="G10" i="210"/>
  <c r="F10" i="210"/>
  <c r="E10" i="210"/>
  <c r="D10" i="210"/>
  <c r="C10" i="210"/>
  <c r="G9" i="210"/>
  <c r="F9" i="210"/>
  <c r="E9" i="210"/>
  <c r="D9" i="210"/>
  <c r="C9" i="210"/>
  <c r="B9" i="210" s="1"/>
  <c r="G8" i="210"/>
  <c r="F8" i="210"/>
  <c r="E8" i="210"/>
  <c r="B8" i="210" s="1"/>
  <c r="D8" i="210"/>
  <c r="C8" i="210"/>
  <c r="B54" i="209"/>
  <c r="B53" i="209"/>
  <c r="B52" i="209"/>
  <c r="B51" i="209"/>
  <c r="B50" i="209"/>
  <c r="B49" i="209"/>
  <c r="B48" i="209"/>
  <c r="B47" i="209"/>
  <c r="B46" i="209"/>
  <c r="B45" i="209"/>
  <c r="B44" i="209"/>
  <c r="B39" i="209" s="1"/>
  <c r="B43" i="209"/>
  <c r="B42" i="209"/>
  <c r="B41" i="209"/>
  <c r="B40" i="209"/>
  <c r="G39" i="209"/>
  <c r="F39" i="209"/>
  <c r="E39" i="209"/>
  <c r="D39" i="209"/>
  <c r="C39" i="209"/>
  <c r="B38" i="209"/>
  <c r="B37" i="209"/>
  <c r="B36" i="209"/>
  <c r="B35" i="209"/>
  <c r="B34" i="209"/>
  <c r="B33" i="209"/>
  <c r="B32" i="209"/>
  <c r="B31" i="209"/>
  <c r="B30" i="209"/>
  <c r="B29" i="209"/>
  <c r="B28" i="209"/>
  <c r="B27" i="209"/>
  <c r="B26" i="209"/>
  <c r="B25" i="209"/>
  <c r="B24" i="209"/>
  <c r="G23" i="209"/>
  <c r="F23" i="209"/>
  <c r="E23" i="209"/>
  <c r="D23" i="209"/>
  <c r="C23" i="209"/>
  <c r="B22" i="209"/>
  <c r="B21" i="209"/>
  <c r="B20" i="209"/>
  <c r="B19" i="209"/>
  <c r="B18" i="209"/>
  <c r="B17" i="209"/>
  <c r="B16" i="209"/>
  <c r="B15" i="209"/>
  <c r="B14" i="209"/>
  <c r="B13" i="209"/>
  <c r="B12" i="209"/>
  <c r="B11" i="209"/>
  <c r="B10" i="209"/>
  <c r="B9" i="209"/>
  <c r="B8" i="209"/>
  <c r="G7" i="209"/>
  <c r="F7" i="209"/>
  <c r="E7" i="209"/>
  <c r="D7" i="209"/>
  <c r="C7" i="209"/>
  <c r="B70" i="208"/>
  <c r="B69" i="208"/>
  <c r="B68" i="208"/>
  <c r="B67" i="208"/>
  <c r="B66" i="208"/>
  <c r="B65" i="208"/>
  <c r="B64" i="208"/>
  <c r="B63" i="208"/>
  <c r="B62" i="208"/>
  <c r="B61" i="208"/>
  <c r="B60" i="208"/>
  <c r="B59" i="208"/>
  <c r="B58" i="208"/>
  <c r="B57" i="208"/>
  <c r="B55" i="208" s="1"/>
  <c r="B56" i="208"/>
  <c r="I55" i="208"/>
  <c r="H55" i="208"/>
  <c r="G55" i="208"/>
  <c r="F55" i="208"/>
  <c r="E55" i="208"/>
  <c r="D55" i="208"/>
  <c r="C55" i="208"/>
  <c r="B54" i="208"/>
  <c r="B53" i="208"/>
  <c r="B52" i="208"/>
  <c r="B51" i="208"/>
  <c r="B50" i="208"/>
  <c r="B49" i="208"/>
  <c r="B48" i="208"/>
  <c r="B47" i="208"/>
  <c r="B39" i="208" s="1"/>
  <c r="B46" i="208"/>
  <c r="B45" i="208"/>
  <c r="B44" i="208"/>
  <c r="B43" i="208"/>
  <c r="B42" i="208"/>
  <c r="B41" i="208"/>
  <c r="B40" i="208"/>
  <c r="I39" i="208"/>
  <c r="H39" i="208"/>
  <c r="G39" i="208"/>
  <c r="F39" i="208"/>
  <c r="E39" i="208"/>
  <c r="D39" i="208"/>
  <c r="C39" i="208"/>
  <c r="B38" i="208"/>
  <c r="B37" i="208"/>
  <c r="B36" i="208"/>
  <c r="B35" i="208"/>
  <c r="B34" i="208"/>
  <c r="B33" i="208"/>
  <c r="B32" i="208"/>
  <c r="B31" i="208"/>
  <c r="B30" i="208"/>
  <c r="B29" i="208"/>
  <c r="B28" i="208"/>
  <c r="B27" i="208"/>
  <c r="B26" i="208"/>
  <c r="B25" i="208"/>
  <c r="B24" i="208"/>
  <c r="I23" i="208"/>
  <c r="H23" i="208"/>
  <c r="G23" i="208"/>
  <c r="F23" i="208"/>
  <c r="E23" i="208"/>
  <c r="D23" i="208"/>
  <c r="C23" i="208"/>
  <c r="I22" i="208"/>
  <c r="H22" i="208"/>
  <c r="G22" i="208"/>
  <c r="F22" i="208"/>
  <c r="E22" i="208"/>
  <c r="D22" i="208"/>
  <c r="C22" i="208"/>
  <c r="I21" i="208"/>
  <c r="H21" i="208"/>
  <c r="G21" i="208"/>
  <c r="F21" i="208"/>
  <c r="E21" i="208"/>
  <c r="D21" i="208"/>
  <c r="C21" i="208"/>
  <c r="I20" i="208"/>
  <c r="H20" i="208"/>
  <c r="G20" i="208"/>
  <c r="F20" i="208"/>
  <c r="E20" i="208"/>
  <c r="D20" i="208"/>
  <c r="C20" i="208"/>
  <c r="I19" i="208"/>
  <c r="H19" i="208"/>
  <c r="G19" i="208"/>
  <c r="F19" i="208"/>
  <c r="E19" i="208"/>
  <c r="D19" i="208"/>
  <c r="C19" i="208"/>
  <c r="I18" i="208"/>
  <c r="H18" i="208"/>
  <c r="G18" i="208"/>
  <c r="F18" i="208"/>
  <c r="E18" i="208"/>
  <c r="D18" i="208"/>
  <c r="C18" i="208"/>
  <c r="B18" i="208" s="1"/>
  <c r="I17" i="208"/>
  <c r="H17" i="208"/>
  <c r="G17" i="208"/>
  <c r="F17" i="208"/>
  <c r="E17" i="208"/>
  <c r="D17" i="208"/>
  <c r="C17" i="208"/>
  <c r="B17" i="208" s="1"/>
  <c r="I16" i="208"/>
  <c r="H16" i="208"/>
  <c r="G16" i="208"/>
  <c r="F16" i="208"/>
  <c r="E16" i="208"/>
  <c r="D16" i="208"/>
  <c r="C16" i="208"/>
  <c r="I15" i="208"/>
  <c r="H15" i="208"/>
  <c r="G15" i="208"/>
  <c r="F15" i="208"/>
  <c r="E15" i="208"/>
  <c r="D15" i="208"/>
  <c r="C15" i="208"/>
  <c r="I14" i="208"/>
  <c r="H14" i="208"/>
  <c r="G14" i="208"/>
  <c r="F14" i="208"/>
  <c r="E14" i="208"/>
  <c r="D14" i="208"/>
  <c r="C14" i="208"/>
  <c r="I13" i="208"/>
  <c r="H13" i="208"/>
  <c r="G13" i="208"/>
  <c r="F13" i="208"/>
  <c r="E13" i="208"/>
  <c r="D13" i="208"/>
  <c r="C13" i="208"/>
  <c r="I12" i="208"/>
  <c r="H12" i="208"/>
  <c r="G12" i="208"/>
  <c r="F12" i="208"/>
  <c r="F7" i="208" s="1"/>
  <c r="E12" i="208"/>
  <c r="D12" i="208"/>
  <c r="C12" i="208"/>
  <c r="I11" i="208"/>
  <c r="H11" i="208"/>
  <c r="G11" i="208"/>
  <c r="F11" i="208"/>
  <c r="E11" i="208"/>
  <c r="D11" i="208"/>
  <c r="C11" i="208"/>
  <c r="I10" i="208"/>
  <c r="H10" i="208"/>
  <c r="G10" i="208"/>
  <c r="F10" i="208"/>
  <c r="E10" i="208"/>
  <c r="D10" i="208"/>
  <c r="D7" i="208" s="1"/>
  <c r="C10" i="208"/>
  <c r="B10" i="208" s="1"/>
  <c r="I9" i="208"/>
  <c r="H9" i="208"/>
  <c r="G9" i="208"/>
  <c r="F9" i="208"/>
  <c r="E9" i="208"/>
  <c r="D9" i="208"/>
  <c r="C9" i="208"/>
  <c r="B9" i="208" s="1"/>
  <c r="I8" i="208"/>
  <c r="I7" i="208" s="1"/>
  <c r="H8" i="208"/>
  <c r="G8" i="208"/>
  <c r="G7" i="208" s="1"/>
  <c r="F8" i="208"/>
  <c r="E8" i="208"/>
  <c r="E7" i="208" s="1"/>
  <c r="D8" i="208"/>
  <c r="C8" i="208"/>
  <c r="H7" i="208"/>
  <c r="B6" i="207"/>
  <c r="C7" i="207" s="1"/>
  <c r="N22" i="206"/>
  <c r="J22" i="206"/>
  <c r="F22" i="206"/>
  <c r="E22" i="206"/>
  <c r="D22" i="206"/>
  <c r="C22" i="206"/>
  <c r="B22" i="206" s="1"/>
  <c r="N21" i="206"/>
  <c r="J21" i="206"/>
  <c r="F21" i="206"/>
  <c r="E21" i="206"/>
  <c r="D21" i="206"/>
  <c r="C21" i="206"/>
  <c r="N20" i="206"/>
  <c r="J20" i="206"/>
  <c r="F20" i="206"/>
  <c r="E20" i="206"/>
  <c r="D20" i="206"/>
  <c r="C20" i="206"/>
  <c r="B20" i="206" s="1"/>
  <c r="N19" i="206"/>
  <c r="J19" i="206"/>
  <c r="F19" i="206"/>
  <c r="E19" i="206"/>
  <c r="D19" i="206"/>
  <c r="C19" i="206"/>
  <c r="B19" i="206"/>
  <c r="N18" i="206"/>
  <c r="J18" i="206"/>
  <c r="F18" i="206"/>
  <c r="E18" i="206"/>
  <c r="D18" i="206"/>
  <c r="C18" i="206"/>
  <c r="B18" i="206" s="1"/>
  <c r="N17" i="206"/>
  <c r="J17" i="206"/>
  <c r="F17" i="206"/>
  <c r="E17" i="206"/>
  <c r="D17" i="206"/>
  <c r="B17" i="206" s="1"/>
  <c r="C17" i="206"/>
  <c r="N16" i="206"/>
  <c r="J16" i="206"/>
  <c r="F16" i="206"/>
  <c r="E16" i="206"/>
  <c r="D16" i="206"/>
  <c r="C16" i="206"/>
  <c r="N15" i="206"/>
  <c r="J15" i="206"/>
  <c r="F15" i="206"/>
  <c r="E15" i="206"/>
  <c r="D15" i="206"/>
  <c r="C15" i="206"/>
  <c r="B15" i="206"/>
  <c r="N14" i="206"/>
  <c r="J14" i="206"/>
  <c r="F14" i="206"/>
  <c r="E14" i="206"/>
  <c r="D14" i="206"/>
  <c r="C14" i="206"/>
  <c r="N13" i="206"/>
  <c r="J13" i="206"/>
  <c r="F13" i="206"/>
  <c r="E13" i="206"/>
  <c r="D13" i="206"/>
  <c r="C13" i="206"/>
  <c r="N12" i="206"/>
  <c r="J12" i="206"/>
  <c r="F12" i="206"/>
  <c r="E12" i="206"/>
  <c r="D12" i="206"/>
  <c r="C12" i="206"/>
  <c r="N11" i="206"/>
  <c r="J11" i="206"/>
  <c r="F11" i="206"/>
  <c r="E11" i="206"/>
  <c r="D11" i="206"/>
  <c r="C11" i="206"/>
  <c r="B11" i="206" s="1"/>
  <c r="N10" i="206"/>
  <c r="J10" i="206"/>
  <c r="F10" i="206"/>
  <c r="E10" i="206"/>
  <c r="D10" i="206"/>
  <c r="C10" i="206"/>
  <c r="B10" i="206" s="1"/>
  <c r="N9" i="206"/>
  <c r="J9" i="206"/>
  <c r="F9" i="206"/>
  <c r="E9" i="206"/>
  <c r="D9" i="206"/>
  <c r="C9" i="206"/>
  <c r="N8" i="206"/>
  <c r="J8" i="206"/>
  <c r="F8" i="206"/>
  <c r="E8" i="206"/>
  <c r="D8" i="206"/>
  <c r="C8" i="206"/>
  <c r="B8" i="206" s="1"/>
  <c r="Q7" i="206"/>
  <c r="P7" i="206"/>
  <c r="O7" i="206"/>
  <c r="M7" i="206"/>
  <c r="L7" i="206"/>
  <c r="K7" i="206"/>
  <c r="I7" i="206"/>
  <c r="H7" i="206"/>
  <c r="G7" i="206"/>
  <c r="R21" i="204"/>
  <c r="N21" i="204"/>
  <c r="J21" i="204"/>
  <c r="F21" i="204"/>
  <c r="B21" i="204"/>
  <c r="R20" i="204"/>
  <c r="N20" i="204"/>
  <c r="J20" i="204"/>
  <c r="F20" i="204"/>
  <c r="B20" i="204"/>
  <c r="R19" i="204"/>
  <c r="N19" i="204"/>
  <c r="J19" i="204"/>
  <c r="F19" i="204"/>
  <c r="B19" i="204"/>
  <c r="R18" i="204"/>
  <c r="N18" i="204"/>
  <c r="J18" i="204"/>
  <c r="F18" i="204"/>
  <c r="B18" i="204"/>
  <c r="R17" i="204"/>
  <c r="N17" i="204"/>
  <c r="J17" i="204"/>
  <c r="F17" i="204"/>
  <c r="B17" i="204"/>
  <c r="R16" i="204"/>
  <c r="N16" i="204"/>
  <c r="J16" i="204"/>
  <c r="F16" i="204"/>
  <c r="B16" i="204"/>
  <c r="R15" i="204"/>
  <c r="N15" i="204"/>
  <c r="J15" i="204"/>
  <c r="F15" i="204"/>
  <c r="B15" i="204"/>
  <c r="R14" i="204"/>
  <c r="N14" i="204"/>
  <c r="J14" i="204"/>
  <c r="F14" i="204"/>
  <c r="B14" i="204"/>
  <c r="R13" i="204"/>
  <c r="N13" i="204"/>
  <c r="J13" i="204"/>
  <c r="F13" i="204"/>
  <c r="B13" i="204"/>
  <c r="R12" i="204"/>
  <c r="N12" i="204"/>
  <c r="J12" i="204"/>
  <c r="F12" i="204"/>
  <c r="B12" i="204"/>
  <c r="R11" i="204"/>
  <c r="N11" i="204"/>
  <c r="J11" i="204"/>
  <c r="F11" i="204"/>
  <c r="B11" i="204"/>
  <c r="R10" i="204"/>
  <c r="N10" i="204"/>
  <c r="J10" i="204"/>
  <c r="F10" i="204"/>
  <c r="B10" i="204"/>
  <c r="R9" i="204"/>
  <c r="N9" i="204"/>
  <c r="J9" i="204"/>
  <c r="F9" i="204"/>
  <c r="B9" i="204"/>
  <c r="R8" i="204"/>
  <c r="N8" i="204"/>
  <c r="N6" i="204" s="1"/>
  <c r="J8" i="204"/>
  <c r="F8" i="204"/>
  <c r="B8" i="204"/>
  <c r="R7" i="204"/>
  <c r="N7" i="204"/>
  <c r="J7" i="204"/>
  <c r="F7" i="204"/>
  <c r="B7" i="204"/>
  <c r="B6" i="204" s="1"/>
  <c r="V6" i="204"/>
  <c r="U6" i="204"/>
  <c r="T6" i="204"/>
  <c r="S6" i="204"/>
  <c r="Q6" i="204"/>
  <c r="P6" i="204"/>
  <c r="O6" i="204"/>
  <c r="M6" i="204"/>
  <c r="L6" i="204"/>
  <c r="K6" i="204"/>
  <c r="I6" i="204"/>
  <c r="H6" i="204"/>
  <c r="G6" i="204"/>
  <c r="E6" i="204"/>
  <c r="D6" i="204"/>
  <c r="C6" i="204"/>
  <c r="C22" i="203"/>
  <c r="B22" i="203"/>
  <c r="C21" i="203"/>
  <c r="B21" i="203"/>
  <c r="C20" i="203"/>
  <c r="B20" i="203"/>
  <c r="C19" i="203"/>
  <c r="B19" i="203"/>
  <c r="C18" i="203"/>
  <c r="B18" i="203"/>
  <c r="C17" i="203"/>
  <c r="B17" i="203"/>
  <c r="C16" i="203"/>
  <c r="B16" i="203"/>
  <c r="C15" i="203"/>
  <c r="B15" i="203"/>
  <c r="C14" i="203"/>
  <c r="B14" i="203"/>
  <c r="C13" i="203"/>
  <c r="B13" i="203"/>
  <c r="C12" i="203"/>
  <c r="B12" i="203"/>
  <c r="C11" i="203"/>
  <c r="B11" i="203"/>
  <c r="C10" i="203"/>
  <c r="B10" i="203"/>
  <c r="C9" i="203"/>
  <c r="B9" i="203"/>
  <c r="C8" i="203"/>
  <c r="B8" i="203"/>
  <c r="B6" i="203" s="1"/>
  <c r="C7" i="203"/>
  <c r="C6" i="203" s="1"/>
  <c r="B7" i="203"/>
  <c r="U6" i="203"/>
  <c r="T6" i="203"/>
  <c r="S6" i="203"/>
  <c r="R6" i="203"/>
  <c r="Q6" i="203"/>
  <c r="P6" i="203"/>
  <c r="O6" i="203"/>
  <c r="N6" i="203"/>
  <c r="M6" i="203"/>
  <c r="L6" i="203"/>
  <c r="K6" i="203"/>
  <c r="J6" i="203"/>
  <c r="I6" i="203"/>
  <c r="H6" i="203"/>
  <c r="G6" i="203"/>
  <c r="F6" i="203"/>
  <c r="E6" i="203"/>
  <c r="D6" i="203"/>
  <c r="B7" i="243" l="1"/>
  <c r="M6" i="228"/>
  <c r="I6" i="228"/>
  <c r="I6" i="227"/>
  <c r="E10" i="232"/>
  <c r="E18" i="232"/>
  <c r="C7" i="214"/>
  <c r="D7" i="232"/>
  <c r="J6" i="204"/>
  <c r="N7" i="206"/>
  <c r="B14" i="206"/>
  <c r="B8" i="208"/>
  <c r="B16" i="208"/>
  <c r="B7" i="213"/>
  <c r="C8" i="214"/>
  <c r="C8" i="221"/>
  <c r="C11" i="221"/>
  <c r="M9" i="222"/>
  <c r="Q12" i="222"/>
  <c r="I16" i="222"/>
  <c r="G20" i="222"/>
  <c r="O8" i="223"/>
  <c r="O7" i="223" s="1"/>
  <c r="G13" i="224"/>
  <c r="G13" i="225"/>
  <c r="K16" i="225"/>
  <c r="E8" i="232"/>
  <c r="C7" i="206"/>
  <c r="E7" i="206"/>
  <c r="C7" i="208"/>
  <c r="B15" i="208"/>
  <c r="B7" i="209"/>
  <c r="C11" i="214"/>
  <c r="I8" i="221"/>
  <c r="K11" i="221"/>
  <c r="U9" i="222"/>
  <c r="E13" i="222"/>
  <c r="Q16" i="222"/>
  <c r="Q20" i="222"/>
  <c r="C9" i="223"/>
  <c r="C7" i="223" s="1"/>
  <c r="O13" i="224"/>
  <c r="K8" i="225"/>
  <c r="C11" i="225"/>
  <c r="K19" i="225"/>
  <c r="C6" i="239"/>
  <c r="I8" i="227"/>
  <c r="R6" i="204"/>
  <c r="B9" i="206"/>
  <c r="B7" i="206" s="1"/>
  <c r="B14" i="208"/>
  <c r="B22" i="208"/>
  <c r="C12" i="214"/>
  <c r="K8" i="221"/>
  <c r="K7" i="221" s="1"/>
  <c r="I10" i="222"/>
  <c r="M13" i="222"/>
  <c r="E17" i="222"/>
  <c r="G22" i="222"/>
  <c r="O16" i="224"/>
  <c r="G9" i="227"/>
  <c r="K9" i="233"/>
  <c r="K8" i="233" s="1"/>
  <c r="B13" i="206"/>
  <c r="B13" i="208"/>
  <c r="B21" i="208"/>
  <c r="B23" i="208"/>
  <c r="C15" i="214"/>
  <c r="C7" i="221"/>
  <c r="C9" i="221"/>
  <c r="Q10" i="222"/>
  <c r="M17" i="222"/>
  <c r="K17" i="225"/>
  <c r="G9" i="226"/>
  <c r="F7" i="206"/>
  <c r="B12" i="206"/>
  <c r="B12" i="208"/>
  <c r="B7" i="208" s="1"/>
  <c r="B20" i="208"/>
  <c r="C16" i="214"/>
  <c r="B19" i="215"/>
  <c r="G9" i="221"/>
  <c r="I8" i="222"/>
  <c r="E11" i="222"/>
  <c r="C18" i="222"/>
  <c r="G18" i="224"/>
  <c r="G9" i="225"/>
  <c r="S11" i="225"/>
  <c r="F6" i="228"/>
  <c r="D6" i="228" s="1"/>
  <c r="J7" i="206"/>
  <c r="B16" i="206"/>
  <c r="B21" i="206"/>
  <c r="B11" i="208"/>
  <c r="B19" i="208"/>
  <c r="B23" i="209"/>
  <c r="B10" i="210"/>
  <c r="B7" i="215"/>
  <c r="K9" i="221"/>
  <c r="Q8" i="222"/>
  <c r="O18" i="222"/>
  <c r="K12" i="225"/>
  <c r="G15" i="225"/>
  <c r="C8" i="227"/>
  <c r="C10" i="227"/>
  <c r="C9" i="227" s="1"/>
  <c r="G6" i="228"/>
  <c r="K7" i="230"/>
  <c r="C9" i="207"/>
  <c r="K20" i="224"/>
  <c r="K18" i="224"/>
  <c r="K16" i="224"/>
  <c r="K13" i="224"/>
  <c r="K11" i="224"/>
  <c r="K9" i="224"/>
  <c r="S8" i="224"/>
  <c r="K15" i="224"/>
  <c r="M19" i="225"/>
  <c r="M18" i="225"/>
  <c r="M17" i="225"/>
  <c r="M16" i="225"/>
  <c r="M15" i="225"/>
  <c r="M14" i="225"/>
  <c r="M10" i="225"/>
  <c r="M13" i="225"/>
  <c r="M9" i="225"/>
  <c r="M12" i="225"/>
  <c r="M8" i="225"/>
  <c r="N7" i="225"/>
  <c r="O15" i="225" s="1"/>
  <c r="C8" i="207"/>
  <c r="C6" i="207" s="1"/>
  <c r="C10" i="214"/>
  <c r="C14" i="214"/>
  <c r="G8" i="221"/>
  <c r="E9" i="221"/>
  <c r="E7" i="221" s="1"/>
  <c r="I11" i="221"/>
  <c r="I22" i="222"/>
  <c r="E20" i="222"/>
  <c r="I19" i="222"/>
  <c r="E18" i="222"/>
  <c r="M20" i="222"/>
  <c r="M18" i="222"/>
  <c r="Q19" i="222"/>
  <c r="Q17" i="222"/>
  <c r="U20" i="222"/>
  <c r="U18" i="222"/>
  <c r="G8" i="222"/>
  <c r="O8" i="222"/>
  <c r="C9" i="222"/>
  <c r="K9" i="222"/>
  <c r="S9" i="222"/>
  <c r="G10" i="222"/>
  <c r="O10" i="222"/>
  <c r="C11" i="222"/>
  <c r="K11" i="222"/>
  <c r="S11" i="222"/>
  <c r="G12" i="222"/>
  <c r="O12" i="222"/>
  <c r="C13" i="222"/>
  <c r="K13" i="222"/>
  <c r="S13" i="222"/>
  <c r="G14" i="222"/>
  <c r="O14" i="222"/>
  <c r="K15" i="222"/>
  <c r="S15" i="222"/>
  <c r="G16" i="222"/>
  <c r="O16" i="222"/>
  <c r="C17" i="222"/>
  <c r="K17" i="222"/>
  <c r="U17" i="222"/>
  <c r="K18" i="222"/>
  <c r="C19" i="222"/>
  <c r="M19" i="222"/>
  <c r="C20" i="222"/>
  <c r="O20" i="222"/>
  <c r="I21" i="222"/>
  <c r="K8" i="223"/>
  <c r="K7" i="223" s="1"/>
  <c r="U8" i="223"/>
  <c r="U7" i="223" s="1"/>
  <c r="C20" i="224"/>
  <c r="C18" i="224"/>
  <c r="C16" i="224"/>
  <c r="C13" i="224"/>
  <c r="C11" i="224"/>
  <c r="C9" i="224"/>
  <c r="I19" i="224"/>
  <c r="I17" i="224"/>
  <c r="I15" i="224"/>
  <c r="I14" i="224"/>
  <c r="I12" i="224"/>
  <c r="I10" i="224"/>
  <c r="I8" i="224"/>
  <c r="I21" i="224"/>
  <c r="I20" i="224"/>
  <c r="I18" i="224"/>
  <c r="I16" i="224"/>
  <c r="I13" i="224"/>
  <c r="I11" i="224"/>
  <c r="I9" i="224"/>
  <c r="Q19" i="224"/>
  <c r="Q17" i="224"/>
  <c r="Q15" i="224"/>
  <c r="Q14" i="224"/>
  <c r="Q12" i="224"/>
  <c r="Q10" i="224"/>
  <c r="Q8" i="224"/>
  <c r="Q20" i="224"/>
  <c r="Q18" i="224"/>
  <c r="Q16" i="224"/>
  <c r="Q13" i="224"/>
  <c r="Q11" i="224"/>
  <c r="Q9" i="224"/>
  <c r="K8" i="224"/>
  <c r="C10" i="224"/>
  <c r="S14" i="224"/>
  <c r="S19" i="224"/>
  <c r="U19" i="225"/>
  <c r="U18" i="225"/>
  <c r="U17" i="225"/>
  <c r="U16" i="225"/>
  <c r="U15" i="225"/>
  <c r="U14" i="225"/>
  <c r="U13" i="225"/>
  <c r="U12" i="225"/>
  <c r="U11" i="225"/>
  <c r="U10" i="225"/>
  <c r="U9" i="225"/>
  <c r="U8" i="225"/>
  <c r="M11" i="225"/>
  <c r="M9" i="234"/>
  <c r="M8" i="234"/>
  <c r="M7" i="234" s="1"/>
  <c r="K10" i="224"/>
  <c r="E19" i="225"/>
  <c r="E18" i="225"/>
  <c r="E17" i="225"/>
  <c r="E16" i="225"/>
  <c r="E13" i="225"/>
  <c r="E9" i="225"/>
  <c r="E12" i="225"/>
  <c r="E8" i="225"/>
  <c r="E11" i="225"/>
  <c r="D7" i="206"/>
  <c r="B13" i="215"/>
  <c r="I9" i="221"/>
  <c r="E11" i="221"/>
  <c r="C8" i="222"/>
  <c r="K8" i="222"/>
  <c r="S8" i="222"/>
  <c r="G9" i="222"/>
  <c r="O9" i="222"/>
  <c r="C10" i="222"/>
  <c r="K10" i="222"/>
  <c r="S10" i="222"/>
  <c r="G11" i="222"/>
  <c r="O11" i="222"/>
  <c r="C12" i="222"/>
  <c r="K12" i="222"/>
  <c r="S12" i="222"/>
  <c r="G13" i="222"/>
  <c r="O13" i="222"/>
  <c r="C14" i="222"/>
  <c r="K14" i="222"/>
  <c r="S14" i="222"/>
  <c r="O15" i="222"/>
  <c r="C16" i="222"/>
  <c r="K16" i="222"/>
  <c r="S16" i="222"/>
  <c r="G17" i="222"/>
  <c r="G18" i="222"/>
  <c r="Q18" i="222"/>
  <c r="G19" i="222"/>
  <c r="S19" i="222"/>
  <c r="I20" i="222"/>
  <c r="S20" i="222"/>
  <c r="G9" i="223"/>
  <c r="G7" i="223" s="1"/>
  <c r="Q9" i="223"/>
  <c r="Q7" i="223" s="1"/>
  <c r="E20" i="224"/>
  <c r="E18" i="224"/>
  <c r="E16" i="224"/>
  <c r="E13" i="224"/>
  <c r="E11" i="224"/>
  <c r="E9" i="224"/>
  <c r="E19" i="224"/>
  <c r="E17" i="224"/>
  <c r="E14" i="224"/>
  <c r="E12" i="224"/>
  <c r="E10" i="224"/>
  <c r="E8" i="224"/>
  <c r="M20" i="224"/>
  <c r="M18" i="224"/>
  <c r="M16" i="224"/>
  <c r="M13" i="224"/>
  <c r="M11" i="224"/>
  <c r="M9" i="224"/>
  <c r="M19" i="224"/>
  <c r="M17" i="224"/>
  <c r="M15" i="224"/>
  <c r="M14" i="224"/>
  <c r="M12" i="224"/>
  <c r="M10" i="224"/>
  <c r="M8" i="224"/>
  <c r="U20" i="224"/>
  <c r="U18" i="224"/>
  <c r="U16" i="224"/>
  <c r="U13" i="224"/>
  <c r="U11" i="224"/>
  <c r="U9" i="224"/>
  <c r="U19" i="224"/>
  <c r="U17" i="224"/>
  <c r="U15" i="224"/>
  <c r="U14" i="224"/>
  <c r="U12" i="224"/>
  <c r="U10" i="224"/>
  <c r="U8" i="224"/>
  <c r="S10" i="224"/>
  <c r="K12" i="224"/>
  <c r="C14" i="224"/>
  <c r="K17" i="224"/>
  <c r="C19" i="224"/>
  <c r="Q14" i="225"/>
  <c r="Q10" i="225"/>
  <c r="Q11" i="225"/>
  <c r="Q13" i="225"/>
  <c r="S20" i="224"/>
  <c r="S18" i="224"/>
  <c r="S16" i="224"/>
  <c r="S13" i="224"/>
  <c r="S11" i="224"/>
  <c r="S9" i="224"/>
  <c r="C9" i="214"/>
  <c r="C13" i="214"/>
  <c r="E8" i="222"/>
  <c r="M8" i="222"/>
  <c r="I9" i="222"/>
  <c r="Q9" i="222"/>
  <c r="E10" i="222"/>
  <c r="M10" i="222"/>
  <c r="U10" i="222"/>
  <c r="I11" i="222"/>
  <c r="Q11" i="222"/>
  <c r="E12" i="222"/>
  <c r="M12" i="222"/>
  <c r="U12" i="222"/>
  <c r="I13" i="222"/>
  <c r="Q13" i="222"/>
  <c r="E14" i="222"/>
  <c r="M14" i="222"/>
  <c r="U14" i="222"/>
  <c r="Q15" i="222"/>
  <c r="E16" i="222"/>
  <c r="M16" i="222"/>
  <c r="U16" i="222"/>
  <c r="I17" i="222"/>
  <c r="S17" i="222"/>
  <c r="I18" i="222"/>
  <c r="K19" i="222"/>
  <c r="U19" i="222"/>
  <c r="I7" i="223"/>
  <c r="S8" i="223"/>
  <c r="S7" i="223" s="1"/>
  <c r="I9" i="223"/>
  <c r="G19" i="224"/>
  <c r="G17" i="224"/>
  <c r="G15" i="224"/>
  <c r="G14" i="224"/>
  <c r="G12" i="224"/>
  <c r="G10" i="224"/>
  <c r="G8" i="224"/>
  <c r="O19" i="224"/>
  <c r="O17" i="224"/>
  <c r="O15" i="224"/>
  <c r="O14" i="224"/>
  <c r="O12" i="224"/>
  <c r="O10" i="224"/>
  <c r="O8" i="224"/>
  <c r="C8" i="224"/>
  <c r="O9" i="224"/>
  <c r="G11" i="224"/>
  <c r="S12" i="224"/>
  <c r="K14" i="224"/>
  <c r="G16" i="224"/>
  <c r="S17" i="224"/>
  <c r="K19" i="224"/>
  <c r="G21" i="224"/>
  <c r="I19" i="225"/>
  <c r="I18" i="225"/>
  <c r="I17" i="225"/>
  <c r="I16" i="225"/>
  <c r="I20" i="225"/>
  <c r="I14" i="225"/>
  <c r="I13" i="225"/>
  <c r="I12" i="225"/>
  <c r="I11" i="225"/>
  <c r="I10" i="225"/>
  <c r="I9" i="225"/>
  <c r="I8" i="225"/>
  <c r="I15" i="225"/>
  <c r="Q9" i="225"/>
  <c r="Q12" i="225"/>
  <c r="E14" i="225"/>
  <c r="E11" i="227"/>
  <c r="E10" i="227"/>
  <c r="E9" i="227" s="1"/>
  <c r="C8" i="225"/>
  <c r="S8" i="225"/>
  <c r="K9" i="225"/>
  <c r="G10" i="225"/>
  <c r="O11" i="225"/>
  <c r="C12" i="225"/>
  <c r="K13" i="225"/>
  <c r="Q15" i="225"/>
  <c r="O16" i="225"/>
  <c r="O17" i="225"/>
  <c r="O18" i="225"/>
  <c r="O19" i="225"/>
  <c r="K10" i="226"/>
  <c r="K9" i="226"/>
  <c r="H8" i="226"/>
  <c r="I10" i="226" s="1"/>
  <c r="C6" i="227"/>
  <c r="K7" i="227"/>
  <c r="K8" i="227"/>
  <c r="C20" i="232"/>
  <c r="C19" i="232"/>
  <c r="C18" i="232"/>
  <c r="C17" i="232"/>
  <c r="C16" i="232"/>
  <c r="C15" i="232"/>
  <c r="C14" i="232"/>
  <c r="C13" i="232"/>
  <c r="C12" i="232"/>
  <c r="C11" i="232"/>
  <c r="C10" i="232"/>
  <c r="C9" i="232"/>
  <c r="C8" i="232"/>
  <c r="M10" i="233"/>
  <c r="M9" i="233"/>
  <c r="E9" i="234"/>
  <c r="E8" i="234"/>
  <c r="E7" i="234" s="1"/>
  <c r="F7" i="234"/>
  <c r="G9" i="234" s="1"/>
  <c r="G8" i="234"/>
  <c r="G19" i="225"/>
  <c r="G18" i="225"/>
  <c r="G17" i="225"/>
  <c r="G16" i="225"/>
  <c r="S19" i="225"/>
  <c r="S18" i="225"/>
  <c r="S17" i="225"/>
  <c r="S16" i="225"/>
  <c r="O8" i="225"/>
  <c r="C9" i="225"/>
  <c r="S9" i="225"/>
  <c r="K10" i="225"/>
  <c r="G11" i="225"/>
  <c r="O12" i="225"/>
  <c r="C13" i="225"/>
  <c r="S13" i="225"/>
  <c r="K14" i="225"/>
  <c r="K15" i="225"/>
  <c r="S15" i="225"/>
  <c r="Q16" i="225"/>
  <c r="Q17" i="225"/>
  <c r="Q18" i="225"/>
  <c r="Q19" i="225"/>
  <c r="C10" i="226"/>
  <c r="C8" i="226" s="1"/>
  <c r="E6" i="227"/>
  <c r="G7" i="227"/>
  <c r="G6" i="227" s="1"/>
  <c r="I10" i="227"/>
  <c r="I9" i="227" s="1"/>
  <c r="B7" i="230"/>
  <c r="G20" i="232"/>
  <c r="G19" i="232"/>
  <c r="G18" i="232"/>
  <c r="G17" i="232"/>
  <c r="G16" i="232"/>
  <c r="G15" i="232"/>
  <c r="G14" i="232"/>
  <c r="G13" i="232"/>
  <c r="G12" i="232"/>
  <c r="G11" i="232"/>
  <c r="G10" i="232"/>
  <c r="G9" i="232"/>
  <c r="G8" i="232"/>
  <c r="E9" i="232"/>
  <c r="E11" i="232"/>
  <c r="E13" i="232"/>
  <c r="E15" i="232"/>
  <c r="E17" i="232"/>
  <c r="E10" i="233"/>
  <c r="E9" i="233"/>
  <c r="E8" i="233" s="1"/>
  <c r="F8" i="233"/>
  <c r="G10" i="233" s="1"/>
  <c r="I9" i="234"/>
  <c r="I8" i="234"/>
  <c r="I7" i="234" s="1"/>
  <c r="G8" i="225"/>
  <c r="O9" i="225"/>
  <c r="C10" i="225"/>
  <c r="S10" i="225"/>
  <c r="G12" i="225"/>
  <c r="C14" i="225"/>
  <c r="S14" i="225"/>
  <c r="C16" i="225"/>
  <c r="C17" i="225"/>
  <c r="C18" i="225"/>
  <c r="G20" i="225"/>
  <c r="G10" i="226"/>
  <c r="G8" i="226" s="1"/>
  <c r="I10" i="233"/>
  <c r="I9" i="233"/>
  <c r="I8" i="233" s="1"/>
  <c r="B6" i="236"/>
  <c r="E9" i="226"/>
  <c r="E8" i="226" s="1"/>
  <c r="E8" i="227"/>
  <c r="K10" i="227"/>
  <c r="K9" i="227" s="1"/>
  <c r="C9" i="233"/>
  <c r="C8" i="233" s="1"/>
  <c r="C8" i="234"/>
  <c r="C7" i="234" s="1"/>
  <c r="M9" i="226"/>
  <c r="M8" i="226" s="1"/>
  <c r="O7" i="224" l="1"/>
  <c r="I7" i="222"/>
  <c r="G7" i="221"/>
  <c r="Q7" i="225"/>
  <c r="O14" i="225"/>
  <c r="Q7" i="224"/>
  <c r="E19" i="232"/>
  <c r="E12" i="232"/>
  <c r="E16" i="232"/>
  <c r="E20" i="232"/>
  <c r="E7" i="232" s="1"/>
  <c r="K7" i="225"/>
  <c r="I7" i="221"/>
  <c r="C6" i="214"/>
  <c r="O10" i="225"/>
  <c r="U7" i="222"/>
  <c r="O13" i="225"/>
  <c r="G9" i="233"/>
  <c r="G8" i="233" s="1"/>
  <c r="E7" i="224"/>
  <c r="E14" i="232"/>
  <c r="G7" i="232"/>
  <c r="O7" i="225"/>
  <c r="C7" i="232"/>
  <c r="I9" i="226"/>
  <c r="I8" i="226" s="1"/>
  <c r="M7" i="222"/>
  <c r="K7" i="222"/>
  <c r="E7" i="225"/>
  <c r="K7" i="224"/>
  <c r="O7" i="222"/>
  <c r="M7" i="225"/>
  <c r="S7" i="224"/>
  <c r="C7" i="225"/>
  <c r="G7" i="234"/>
  <c r="E7" i="222"/>
  <c r="U7" i="224"/>
  <c r="C7" i="222"/>
  <c r="U7" i="225"/>
  <c r="I7" i="224"/>
  <c r="G7" i="222"/>
  <c r="S7" i="222"/>
  <c r="G7" i="225"/>
  <c r="M8" i="233"/>
  <c r="K6" i="227"/>
  <c r="K8" i="226"/>
  <c r="S7" i="225"/>
  <c r="I7" i="225"/>
  <c r="C7" i="224"/>
  <c r="G7" i="224"/>
  <c r="Q7" i="222"/>
  <c r="M7" i="224"/>
  <c r="Z18" i="198" l="1"/>
  <c r="Y18" i="198"/>
  <c r="X18" i="198"/>
  <c r="W18" i="198"/>
  <c r="V18" i="198"/>
  <c r="U18" i="198"/>
  <c r="T18" i="198"/>
  <c r="S18" i="198"/>
  <c r="R18" i="198"/>
  <c r="Q18" i="198"/>
  <c r="P18" i="198"/>
  <c r="O18" i="198"/>
  <c r="N18" i="198"/>
  <c r="M18" i="198"/>
  <c r="L18" i="198"/>
  <c r="K18" i="198"/>
  <c r="J18" i="198"/>
  <c r="I18" i="198"/>
  <c r="H18" i="198"/>
  <c r="G18" i="198"/>
  <c r="F18" i="198"/>
  <c r="E18" i="198"/>
  <c r="D18" i="198"/>
  <c r="C18" i="198"/>
  <c r="B18" i="198"/>
  <c r="Z10" i="198"/>
  <c r="Y10" i="198"/>
  <c r="X10" i="198"/>
  <c r="W10" i="198"/>
  <c r="W6" i="198" s="1"/>
  <c r="V10" i="198"/>
  <c r="U10" i="198"/>
  <c r="T10" i="198"/>
  <c r="S10" i="198"/>
  <c r="R10" i="198"/>
  <c r="Q10" i="198"/>
  <c r="P10" i="198"/>
  <c r="O10" i="198"/>
  <c r="N10" i="198"/>
  <c r="M10" i="198"/>
  <c r="L10" i="198"/>
  <c r="K10" i="198"/>
  <c r="J10" i="198"/>
  <c r="I10" i="198"/>
  <c r="H10" i="198"/>
  <c r="G10" i="198"/>
  <c r="F10" i="198"/>
  <c r="E10" i="198"/>
  <c r="D10" i="198"/>
  <c r="C10" i="198"/>
  <c r="B10" i="198"/>
  <c r="Z7" i="198"/>
  <c r="Y7" i="198"/>
  <c r="X7" i="198"/>
  <c r="X6" i="198" s="1"/>
  <c r="W7" i="198"/>
  <c r="V7" i="198"/>
  <c r="U7" i="198"/>
  <c r="T7" i="198"/>
  <c r="S7" i="198"/>
  <c r="R7" i="198"/>
  <c r="Q7" i="198"/>
  <c r="P7" i="198"/>
  <c r="P6" i="198" s="1"/>
  <c r="O7" i="198"/>
  <c r="N7" i="198"/>
  <c r="M7" i="198"/>
  <c r="L7" i="198"/>
  <c r="L6" i="198" s="1"/>
  <c r="K7" i="198"/>
  <c r="J7" i="198"/>
  <c r="I7" i="198"/>
  <c r="H7" i="198"/>
  <c r="H6" i="198" s="1"/>
  <c r="G7" i="198"/>
  <c r="G6" i="198" s="1"/>
  <c r="F7" i="198"/>
  <c r="E7" i="198"/>
  <c r="D7" i="198"/>
  <c r="C7" i="198"/>
  <c r="B7" i="198"/>
  <c r="Q6" i="198"/>
  <c r="F17" i="197"/>
  <c r="E17" i="197"/>
  <c r="D17" i="197"/>
  <c r="C17" i="197"/>
  <c r="B17" i="197"/>
  <c r="F9" i="197"/>
  <c r="F5" i="197" s="1"/>
  <c r="E9" i="197"/>
  <c r="D9" i="197"/>
  <c r="C9" i="197"/>
  <c r="B9" i="197"/>
  <c r="D6" i="197"/>
  <c r="D5" i="197" s="1"/>
  <c r="F6" i="197"/>
  <c r="E6" i="197"/>
  <c r="C6" i="197"/>
  <c r="B6" i="197"/>
  <c r="G25" i="195"/>
  <c r="F25" i="195"/>
  <c r="E25" i="195"/>
  <c r="D25" i="195"/>
  <c r="C25" i="195"/>
  <c r="B25" i="195"/>
  <c r="G22" i="195"/>
  <c r="F22" i="195"/>
  <c r="E22" i="195"/>
  <c r="D22" i="195"/>
  <c r="C22" i="195"/>
  <c r="B22" i="195"/>
  <c r="G6" i="195"/>
  <c r="F6" i="195"/>
  <c r="E6" i="195"/>
  <c r="D6" i="195"/>
  <c r="C6" i="195"/>
  <c r="B6" i="195"/>
  <c r="C6" i="194"/>
  <c r="B6" i="194"/>
  <c r="B21" i="193"/>
  <c r="B20" i="193"/>
  <c r="B19" i="193"/>
  <c r="B18" i="193"/>
  <c r="B17" i="193"/>
  <c r="B16" i="193"/>
  <c r="B15" i="193"/>
  <c r="B14" i="193"/>
  <c r="B13" i="193"/>
  <c r="B12" i="193"/>
  <c r="B11" i="193"/>
  <c r="B10" i="193"/>
  <c r="B9" i="193"/>
  <c r="B6" i="193" s="1"/>
  <c r="B8" i="193"/>
  <c r="B7" i="193"/>
  <c r="N6" i="193"/>
  <c r="M6" i="193"/>
  <c r="L6" i="193"/>
  <c r="K6" i="193"/>
  <c r="J6" i="193"/>
  <c r="I6" i="193"/>
  <c r="H6" i="193"/>
  <c r="G6" i="193"/>
  <c r="F6" i="193"/>
  <c r="E6" i="193"/>
  <c r="D6" i="193"/>
  <c r="C6" i="193"/>
  <c r="E7" i="192"/>
  <c r="D7" i="192"/>
  <c r="C7" i="192"/>
  <c r="B7" i="192"/>
  <c r="C11" i="191"/>
  <c r="C10" i="191"/>
  <c r="C9" i="191"/>
  <c r="C8" i="191"/>
  <c r="C7" i="191"/>
  <c r="F6" i="189"/>
  <c r="E6" i="189"/>
  <c r="D6" i="189"/>
  <c r="C6" i="189"/>
  <c r="B6" i="189"/>
  <c r="F6" i="188"/>
  <c r="E6" i="188"/>
  <c r="D6" i="188"/>
  <c r="C6" i="188"/>
  <c r="B6" i="188"/>
  <c r="B21" i="186"/>
  <c r="B20" i="186"/>
  <c r="B19" i="186"/>
  <c r="B18" i="186"/>
  <c r="B17" i="186"/>
  <c r="B16" i="186"/>
  <c r="B15" i="186"/>
  <c r="B14" i="186"/>
  <c r="B13" i="186"/>
  <c r="B12" i="186"/>
  <c r="B11" i="186"/>
  <c r="B10" i="186"/>
  <c r="B9" i="186"/>
  <c r="B8" i="186"/>
  <c r="B7" i="186"/>
  <c r="B6" i="186"/>
  <c r="G5" i="186"/>
  <c r="F5" i="186"/>
  <c r="E5" i="186"/>
  <c r="D5" i="186"/>
  <c r="C5" i="186"/>
  <c r="B21" i="185"/>
  <c r="B20" i="185"/>
  <c r="B19" i="185"/>
  <c r="B18" i="185"/>
  <c r="B17" i="185"/>
  <c r="B16" i="185"/>
  <c r="B15" i="185"/>
  <c r="B14" i="185"/>
  <c r="B13" i="185"/>
  <c r="B12" i="185"/>
  <c r="B11" i="185"/>
  <c r="B10" i="185"/>
  <c r="B9" i="185"/>
  <c r="B8" i="185"/>
  <c r="B7" i="185"/>
  <c r="B6" i="185"/>
  <c r="G5" i="185"/>
  <c r="F5" i="185"/>
  <c r="E5" i="185"/>
  <c r="D5" i="185"/>
  <c r="C5" i="185"/>
  <c r="F8" i="180"/>
  <c r="E8" i="180"/>
  <c r="D8" i="180"/>
  <c r="C8" i="180"/>
  <c r="B7" i="180"/>
  <c r="C7" i="180" s="1"/>
  <c r="D7" i="180" s="1"/>
  <c r="E7" i="180" s="1"/>
  <c r="F7" i="180" s="1"/>
  <c r="F6" i="177"/>
  <c r="E6" i="177"/>
  <c r="D6" i="177"/>
  <c r="C6" i="177"/>
  <c r="B6" i="177"/>
  <c r="F6" i="174"/>
  <c r="E6" i="174"/>
  <c r="D6" i="174"/>
  <c r="C6" i="174"/>
  <c r="B6" i="174"/>
  <c r="B20" i="173"/>
  <c r="B19" i="173"/>
  <c r="B18" i="173"/>
  <c r="B17" i="173"/>
  <c r="B16" i="173"/>
  <c r="B15" i="173"/>
  <c r="B14" i="173"/>
  <c r="B13" i="173"/>
  <c r="B12" i="173"/>
  <c r="B11" i="173"/>
  <c r="B10" i="173"/>
  <c r="B9" i="173"/>
  <c r="B8" i="173"/>
  <c r="B7" i="173"/>
  <c r="B6" i="173"/>
  <c r="D5" i="173"/>
  <c r="B5" i="173" s="1"/>
  <c r="C5" i="173"/>
  <c r="J6" i="171"/>
  <c r="H6" i="171"/>
  <c r="F6" i="171"/>
  <c r="D6" i="171"/>
  <c r="B6" i="171"/>
  <c r="K18" i="170"/>
  <c r="G18" i="170"/>
  <c r="K17" i="170"/>
  <c r="K16" i="170"/>
  <c r="G16" i="170"/>
  <c r="K15" i="170"/>
  <c r="K14" i="170"/>
  <c r="K13" i="170"/>
  <c r="K12" i="170"/>
  <c r="G12" i="170"/>
  <c r="K11" i="170"/>
  <c r="K10" i="170"/>
  <c r="K9" i="170"/>
  <c r="G9" i="170"/>
  <c r="K8" i="170"/>
  <c r="K7" i="170"/>
  <c r="H6" i="170"/>
  <c r="F6" i="170"/>
  <c r="G10" i="170" s="1"/>
  <c r="D6" i="170"/>
  <c r="B6" i="170"/>
  <c r="C18" i="170" s="1"/>
  <c r="G21" i="169"/>
  <c r="G20" i="169"/>
  <c r="C18" i="169"/>
  <c r="G17" i="169"/>
  <c r="K14" i="169"/>
  <c r="G14" i="169"/>
  <c r="C12" i="169"/>
  <c r="G10" i="169"/>
  <c r="G9" i="169"/>
  <c r="C7" i="169"/>
  <c r="J6" i="169"/>
  <c r="K21" i="169" s="1"/>
  <c r="H6" i="169"/>
  <c r="I21" i="169" s="1"/>
  <c r="F6" i="169"/>
  <c r="G19" i="169" s="1"/>
  <c r="D6" i="169"/>
  <c r="E15" i="169" s="1"/>
  <c r="B6" i="169"/>
  <c r="C21" i="169" s="1"/>
  <c r="F53" i="168"/>
  <c r="F41" i="168"/>
  <c r="J24" i="168"/>
  <c r="D23" i="168"/>
  <c r="J17" i="168"/>
  <c r="J13" i="168"/>
  <c r="D11" i="168"/>
  <c r="L6" i="168"/>
  <c r="K6" i="168"/>
  <c r="I6" i="168"/>
  <c r="J50" i="168" s="1"/>
  <c r="G6" i="168"/>
  <c r="H50" i="168" s="1"/>
  <c r="E6" i="168"/>
  <c r="F40" i="168" s="1"/>
  <c r="C6" i="168"/>
  <c r="D27" i="168" s="1"/>
  <c r="C17" i="167"/>
  <c r="C16" i="167"/>
  <c r="G15" i="167"/>
  <c r="E13" i="167"/>
  <c r="I11" i="167"/>
  <c r="E11" i="167"/>
  <c r="E9" i="167"/>
  <c r="C8" i="167"/>
  <c r="K7" i="167"/>
  <c r="J6" i="167"/>
  <c r="K14" i="167" s="1"/>
  <c r="H6" i="167"/>
  <c r="I10" i="167" s="1"/>
  <c r="F6" i="167"/>
  <c r="G7" i="167" s="1"/>
  <c r="D6" i="167"/>
  <c r="E12" i="167" s="1"/>
  <c r="B6" i="167"/>
  <c r="C10" i="167" s="1"/>
  <c r="K13" i="165"/>
  <c r="C7" i="165"/>
  <c r="J6" i="165"/>
  <c r="K12" i="165" s="1"/>
  <c r="H6" i="165"/>
  <c r="I13" i="165" s="1"/>
  <c r="F6" i="165"/>
  <c r="G8" i="165" s="1"/>
  <c r="D6" i="165"/>
  <c r="E9" i="165" s="1"/>
  <c r="B6" i="165"/>
  <c r="C10" i="165" s="1"/>
  <c r="G10" i="164"/>
  <c r="C10" i="164"/>
  <c r="G8" i="164"/>
  <c r="I7" i="164"/>
  <c r="J6" i="164"/>
  <c r="K7" i="164" s="1"/>
  <c r="H6" i="164"/>
  <c r="I8" i="164" s="1"/>
  <c r="F6" i="164"/>
  <c r="G9" i="164" s="1"/>
  <c r="D6" i="164"/>
  <c r="E10" i="164" s="1"/>
  <c r="B6" i="164"/>
  <c r="C7" i="164" s="1"/>
  <c r="I18" i="163"/>
  <c r="J6" i="163"/>
  <c r="K20" i="163" s="1"/>
  <c r="H6" i="163"/>
  <c r="I21" i="163" s="1"/>
  <c r="F6" i="163"/>
  <c r="G18" i="163" s="1"/>
  <c r="D6" i="163"/>
  <c r="E19" i="163" s="1"/>
  <c r="B6" i="163"/>
  <c r="C20" i="163" s="1"/>
  <c r="C8" i="162"/>
  <c r="J6" i="162"/>
  <c r="K9" i="162" s="1"/>
  <c r="H6" i="162"/>
  <c r="I8" i="162" s="1"/>
  <c r="F6" i="162"/>
  <c r="G7" i="162" s="1"/>
  <c r="D6" i="162"/>
  <c r="E8" i="162" s="1"/>
  <c r="B6" i="162"/>
  <c r="C9" i="162" s="1"/>
  <c r="F7" i="161"/>
  <c r="F6" i="161" s="1"/>
  <c r="E7" i="161"/>
  <c r="D7" i="161"/>
  <c r="D6" i="161" s="1"/>
  <c r="C7" i="161"/>
  <c r="B7" i="161"/>
  <c r="B6" i="161" s="1"/>
  <c r="E6" i="161"/>
  <c r="C6" i="161"/>
  <c r="F7" i="160"/>
  <c r="F6" i="160" s="1"/>
  <c r="E7" i="160"/>
  <c r="D7" i="160"/>
  <c r="D6" i="160" s="1"/>
  <c r="C7" i="160"/>
  <c r="B7" i="160"/>
  <c r="B6" i="160" s="1"/>
  <c r="E6" i="160"/>
  <c r="C6" i="160"/>
  <c r="C22" i="159"/>
  <c r="B22" i="159"/>
  <c r="C21" i="159"/>
  <c r="B21" i="159"/>
  <c r="C20" i="159"/>
  <c r="B20" i="159"/>
  <c r="C19" i="159"/>
  <c r="B19" i="159"/>
  <c r="C18" i="159"/>
  <c r="B18" i="159"/>
  <c r="C17" i="159"/>
  <c r="B17" i="159"/>
  <c r="C16" i="159"/>
  <c r="B16" i="159"/>
  <c r="C15" i="159"/>
  <c r="B15" i="159"/>
  <c r="C14" i="159"/>
  <c r="B14" i="159"/>
  <c r="C13" i="159"/>
  <c r="B13" i="159"/>
  <c r="C12" i="159"/>
  <c r="B12" i="159"/>
  <c r="C11" i="159"/>
  <c r="B11" i="159"/>
  <c r="C10" i="159"/>
  <c r="C6" i="159" s="1"/>
  <c r="B10" i="159"/>
  <c r="C9" i="159"/>
  <c r="B9" i="159"/>
  <c r="C8" i="159"/>
  <c r="B8" i="159"/>
  <c r="B6" i="159" s="1"/>
  <c r="C7" i="159"/>
  <c r="B7" i="159"/>
  <c r="Q6" i="159"/>
  <c r="P6" i="159"/>
  <c r="O6" i="159"/>
  <c r="N6" i="159"/>
  <c r="M6" i="159"/>
  <c r="L6" i="159"/>
  <c r="K6" i="159"/>
  <c r="J6" i="159"/>
  <c r="I6" i="159"/>
  <c r="H6" i="159"/>
  <c r="G6" i="159"/>
  <c r="F6" i="159"/>
  <c r="E6" i="159"/>
  <c r="D6" i="159"/>
  <c r="C19" i="158"/>
  <c r="E8" i="158"/>
  <c r="J6" i="158"/>
  <c r="K15" i="158" s="1"/>
  <c r="H6" i="158"/>
  <c r="I8" i="158" s="1"/>
  <c r="F6" i="158"/>
  <c r="G21" i="158" s="1"/>
  <c r="D6" i="158"/>
  <c r="E14" i="158" s="1"/>
  <c r="B6" i="158"/>
  <c r="C9" i="158" s="1"/>
  <c r="B10" i="157"/>
  <c r="B9" i="157"/>
  <c r="B8" i="157"/>
  <c r="B7" i="157"/>
  <c r="B6" i="157"/>
  <c r="D5" i="157"/>
  <c r="C5" i="157"/>
  <c r="C21" i="156"/>
  <c r="B21" i="156"/>
  <c r="C20" i="156"/>
  <c r="B20" i="156"/>
  <c r="C19" i="156"/>
  <c r="B19" i="156"/>
  <c r="C18" i="156"/>
  <c r="B18" i="156"/>
  <c r="C17" i="156"/>
  <c r="B17" i="156"/>
  <c r="C16" i="156"/>
  <c r="B16" i="156"/>
  <c r="C15" i="156"/>
  <c r="B15" i="156"/>
  <c r="C14" i="156"/>
  <c r="B14" i="156"/>
  <c r="C13" i="156"/>
  <c r="B13" i="156"/>
  <c r="C12" i="156"/>
  <c r="B12" i="156"/>
  <c r="C11" i="156"/>
  <c r="B11" i="156"/>
  <c r="C10" i="156"/>
  <c r="B10" i="156"/>
  <c r="C9" i="156"/>
  <c r="B9" i="156"/>
  <c r="C8" i="156"/>
  <c r="B8" i="156"/>
  <c r="B6" i="156" s="1"/>
  <c r="C7" i="156"/>
  <c r="B7" i="156"/>
  <c r="I6" i="156"/>
  <c r="H6" i="156"/>
  <c r="G6" i="156"/>
  <c r="F6" i="156"/>
  <c r="E6" i="156"/>
  <c r="D6" i="156"/>
  <c r="C6" i="156"/>
  <c r="C6" i="155"/>
  <c r="B6" i="155"/>
  <c r="B21" i="154"/>
  <c r="B20" i="154"/>
  <c r="B19" i="154"/>
  <c r="B18" i="154"/>
  <c r="B17" i="154"/>
  <c r="B16" i="154"/>
  <c r="B15" i="154"/>
  <c r="B14" i="154"/>
  <c r="B13" i="154"/>
  <c r="B12" i="154"/>
  <c r="B11" i="154"/>
  <c r="B10" i="154"/>
  <c r="B9" i="154"/>
  <c r="B8" i="154"/>
  <c r="B7" i="154"/>
  <c r="B6" i="154" s="1"/>
  <c r="D6" i="154"/>
  <c r="C6" i="154"/>
  <c r="B5" i="186" l="1"/>
  <c r="H33" i="168"/>
  <c r="B5" i="157"/>
  <c r="I20" i="158"/>
  <c r="G8" i="162"/>
  <c r="E20" i="163"/>
  <c r="C8" i="164"/>
  <c r="I10" i="164"/>
  <c r="K7" i="165"/>
  <c r="G8" i="167"/>
  <c r="G16" i="167"/>
  <c r="F11" i="168"/>
  <c r="F18" i="168"/>
  <c r="J26" i="168"/>
  <c r="H34" i="168"/>
  <c r="H42" i="168"/>
  <c r="H54" i="168"/>
  <c r="E7" i="169"/>
  <c r="I9" i="169"/>
  <c r="G12" i="169"/>
  <c r="C15" i="169"/>
  <c r="E18" i="169"/>
  <c r="K20" i="169"/>
  <c r="G8" i="170"/>
  <c r="G17" i="170"/>
  <c r="B5" i="185"/>
  <c r="I10" i="158"/>
  <c r="K8" i="162"/>
  <c r="E8" i="164"/>
  <c r="K10" i="164"/>
  <c r="C8" i="165"/>
  <c r="K8" i="167"/>
  <c r="K12" i="167"/>
  <c r="K16" i="167"/>
  <c r="F12" i="168"/>
  <c r="D19" i="168"/>
  <c r="H27" i="168"/>
  <c r="H35" i="168"/>
  <c r="F45" i="168"/>
  <c r="J55" i="168"/>
  <c r="I7" i="169"/>
  <c r="C10" i="169"/>
  <c r="I12" i="169"/>
  <c r="K15" i="169"/>
  <c r="G18" i="169"/>
  <c r="E21" i="169"/>
  <c r="K6" i="170"/>
  <c r="G13" i="170"/>
  <c r="E6" i="198"/>
  <c r="M6" i="198"/>
  <c r="U6" i="198"/>
  <c r="E12" i="158"/>
  <c r="E9" i="162"/>
  <c r="E8" i="163"/>
  <c r="C9" i="165"/>
  <c r="F19" i="168"/>
  <c r="H28" i="168"/>
  <c r="F36" i="168"/>
  <c r="H46" i="168"/>
  <c r="K7" i="169"/>
  <c r="K12" i="169"/>
  <c r="C16" i="169"/>
  <c r="K18" i="169"/>
  <c r="K13" i="158"/>
  <c r="C7" i="162"/>
  <c r="G9" i="162"/>
  <c r="G6" i="162" s="1"/>
  <c r="I10" i="163"/>
  <c r="K8" i="164"/>
  <c r="G9" i="165"/>
  <c r="I9" i="167"/>
  <c r="K13" i="167"/>
  <c r="I17" i="167"/>
  <c r="H7" i="168"/>
  <c r="F14" i="168"/>
  <c r="F20" i="168"/>
  <c r="F30" i="168"/>
  <c r="F37" i="168"/>
  <c r="J47" i="168"/>
  <c r="C8" i="169"/>
  <c r="K10" i="169"/>
  <c r="G13" i="169"/>
  <c r="G16" i="169"/>
  <c r="C19" i="169"/>
  <c r="G14" i="170"/>
  <c r="E5" i="197"/>
  <c r="B5" i="197"/>
  <c r="E7" i="162"/>
  <c r="E6" i="162" s="1"/>
  <c r="I9" i="162"/>
  <c r="E12" i="163"/>
  <c r="I6" i="164"/>
  <c r="E9" i="164"/>
  <c r="C11" i="165"/>
  <c r="G14" i="167"/>
  <c r="K17" i="167"/>
  <c r="F8" i="168"/>
  <c r="D15" i="168"/>
  <c r="J21" i="168"/>
  <c r="J30" i="168"/>
  <c r="F38" i="168"/>
  <c r="F48" i="168"/>
  <c r="G8" i="169"/>
  <c r="C11" i="169"/>
  <c r="I13" i="169"/>
  <c r="K16" i="169"/>
  <c r="E19" i="169"/>
  <c r="I14" i="158"/>
  <c r="I7" i="162"/>
  <c r="I14" i="163"/>
  <c r="I9" i="164"/>
  <c r="K11" i="165"/>
  <c r="I7" i="167"/>
  <c r="J9" i="168"/>
  <c r="F15" i="168"/>
  <c r="F22" i="168"/>
  <c r="J32" i="168"/>
  <c r="J39" i="168"/>
  <c r="F49" i="168"/>
  <c r="I8" i="169"/>
  <c r="I11" i="169"/>
  <c r="C14" i="169"/>
  <c r="E17" i="169"/>
  <c r="K19" i="169"/>
  <c r="C6" i="198"/>
  <c r="I6" i="198"/>
  <c r="Y6" i="198"/>
  <c r="C6" i="162"/>
  <c r="K7" i="162"/>
  <c r="K6" i="162" s="1"/>
  <c r="E16" i="163"/>
  <c r="E7" i="164"/>
  <c r="E6" i="164" s="1"/>
  <c r="C13" i="165"/>
  <c r="F10" i="168"/>
  <c r="F16" i="168"/>
  <c r="F33" i="168"/>
  <c r="K8" i="169"/>
  <c r="K11" i="169"/>
  <c r="C20" i="169"/>
  <c r="D6" i="198"/>
  <c r="T6" i="198"/>
  <c r="S6" i="198"/>
  <c r="G7" i="158"/>
  <c r="I6" i="162"/>
  <c r="C18" i="158"/>
  <c r="C14" i="158"/>
  <c r="C10" i="158"/>
  <c r="C21" i="158"/>
  <c r="C17" i="158"/>
  <c r="C20" i="158"/>
  <c r="C16" i="158"/>
  <c r="C12" i="158"/>
  <c r="C8" i="158"/>
  <c r="K18" i="158"/>
  <c r="K14" i="158"/>
  <c r="K10" i="158"/>
  <c r="K21" i="158"/>
  <c r="K17" i="158"/>
  <c r="K20" i="158"/>
  <c r="K16" i="158"/>
  <c r="K12" i="158"/>
  <c r="K8" i="158"/>
  <c r="K9" i="158"/>
  <c r="G11" i="158"/>
  <c r="C13" i="158"/>
  <c r="G17" i="158"/>
  <c r="E21" i="158"/>
  <c r="E17" i="158"/>
  <c r="E13" i="158"/>
  <c r="E9" i="158"/>
  <c r="E20" i="158"/>
  <c r="E16" i="158"/>
  <c r="E19" i="158"/>
  <c r="E15" i="158"/>
  <c r="E11" i="158"/>
  <c r="E7" i="158"/>
  <c r="C7" i="158"/>
  <c r="E10" i="158"/>
  <c r="K11" i="158"/>
  <c r="G13" i="158"/>
  <c r="C15" i="158"/>
  <c r="E18" i="158"/>
  <c r="G20" i="158"/>
  <c r="G16" i="158"/>
  <c r="G12" i="158"/>
  <c r="G8" i="158"/>
  <c r="G19" i="158"/>
  <c r="G15" i="158"/>
  <c r="G18" i="158"/>
  <c r="G14" i="158"/>
  <c r="G10" i="158"/>
  <c r="I19" i="158"/>
  <c r="I15" i="158"/>
  <c r="I11" i="158"/>
  <c r="I7" i="158"/>
  <c r="I18" i="158"/>
  <c r="I21" i="158"/>
  <c r="I17" i="158"/>
  <c r="I13" i="158"/>
  <c r="I9" i="158"/>
  <c r="K7" i="158"/>
  <c r="G9" i="158"/>
  <c r="C11" i="158"/>
  <c r="I12" i="158"/>
  <c r="I16" i="158"/>
  <c r="K19" i="158"/>
  <c r="G7" i="163"/>
  <c r="C9" i="163"/>
  <c r="K9" i="163"/>
  <c r="G11" i="163"/>
  <c r="C13" i="163"/>
  <c r="K13" i="163"/>
  <c r="G15" i="163"/>
  <c r="C17" i="163"/>
  <c r="K17" i="163"/>
  <c r="G19" i="163"/>
  <c r="C21" i="163"/>
  <c r="K21" i="163"/>
  <c r="I8" i="165"/>
  <c r="E10" i="165"/>
  <c r="I18" i="170"/>
  <c r="I14" i="170"/>
  <c r="I10" i="170"/>
  <c r="I9" i="170"/>
  <c r="I11" i="170"/>
  <c r="I17" i="170"/>
  <c r="I7" i="163"/>
  <c r="G8" i="163"/>
  <c r="E9" i="163"/>
  <c r="C10" i="163"/>
  <c r="K10" i="163"/>
  <c r="I11" i="163"/>
  <c r="G12" i="163"/>
  <c r="E13" i="163"/>
  <c r="C14" i="163"/>
  <c r="K14" i="163"/>
  <c r="I15" i="163"/>
  <c r="G16" i="163"/>
  <c r="E17" i="163"/>
  <c r="C18" i="163"/>
  <c r="K18" i="163"/>
  <c r="I19" i="163"/>
  <c r="G20" i="163"/>
  <c r="E21" i="163"/>
  <c r="G7" i="164"/>
  <c r="G6" i="164" s="1"/>
  <c r="C9" i="164"/>
  <c r="C6" i="164" s="1"/>
  <c r="K9" i="164"/>
  <c r="K6" i="164" s="1"/>
  <c r="E7" i="165"/>
  <c r="K8" i="165"/>
  <c r="I9" i="165"/>
  <c r="G10" i="165"/>
  <c r="E11" i="165"/>
  <c r="G12" i="165"/>
  <c r="E13" i="165"/>
  <c r="C15" i="167"/>
  <c r="C11" i="167"/>
  <c r="G17" i="167"/>
  <c r="I16" i="167"/>
  <c r="G13" i="167"/>
  <c r="I12" i="167"/>
  <c r="C7" i="167"/>
  <c r="I8" i="167"/>
  <c r="G9" i="167"/>
  <c r="G10" i="167"/>
  <c r="G11" i="167"/>
  <c r="G12" i="167"/>
  <c r="I13" i="167"/>
  <c r="I14" i="167"/>
  <c r="I15" i="167"/>
  <c r="H55" i="168"/>
  <c r="H51" i="168"/>
  <c r="H47" i="168"/>
  <c r="H43" i="168"/>
  <c r="H52" i="168"/>
  <c r="H48" i="168"/>
  <c r="H44" i="168"/>
  <c r="H40" i="168"/>
  <c r="H36" i="168"/>
  <c r="H32" i="168"/>
  <c r="H26" i="168"/>
  <c r="H22" i="168"/>
  <c r="H21" i="168"/>
  <c r="H20" i="168"/>
  <c r="H19" i="168"/>
  <c r="H18" i="168"/>
  <c r="H17" i="168"/>
  <c r="H16" i="168"/>
  <c r="H15" i="168"/>
  <c r="H14" i="168"/>
  <c r="H13" i="168"/>
  <c r="H12" i="168"/>
  <c r="H11" i="168"/>
  <c r="H10" i="168"/>
  <c r="D8" i="168"/>
  <c r="D10" i="168"/>
  <c r="J12" i="168"/>
  <c r="D14" i="168"/>
  <c r="J16" i="168"/>
  <c r="D18" i="168"/>
  <c r="J20" i="168"/>
  <c r="D22" i="168"/>
  <c r="H23" i="168"/>
  <c r="H25" i="168"/>
  <c r="J28" i="168"/>
  <c r="H31" i="168"/>
  <c r="J34" i="168"/>
  <c r="J36" i="168"/>
  <c r="H38" i="168"/>
  <c r="J42" i="168"/>
  <c r="H45" i="168"/>
  <c r="H53" i="168"/>
  <c r="I8" i="170"/>
  <c r="I16" i="170"/>
  <c r="K6" i="198"/>
  <c r="O6" i="198"/>
  <c r="C7" i="163"/>
  <c r="K7" i="163"/>
  <c r="I8" i="163"/>
  <c r="G9" i="163"/>
  <c r="E10" i="163"/>
  <c r="C11" i="163"/>
  <c r="K11" i="163"/>
  <c r="I12" i="163"/>
  <c r="G13" i="163"/>
  <c r="E14" i="163"/>
  <c r="C15" i="163"/>
  <c r="K15" i="163"/>
  <c r="I16" i="163"/>
  <c r="G17" i="163"/>
  <c r="E18" i="163"/>
  <c r="C19" i="163"/>
  <c r="K19" i="163"/>
  <c r="I20" i="163"/>
  <c r="G21" i="163"/>
  <c r="G7" i="165"/>
  <c r="E8" i="165"/>
  <c r="K9" i="165"/>
  <c r="I10" i="165"/>
  <c r="G11" i="165"/>
  <c r="I12" i="165"/>
  <c r="G13" i="165"/>
  <c r="E14" i="167"/>
  <c r="E10" i="167"/>
  <c r="E7" i="167"/>
  <c r="D55" i="168"/>
  <c r="D54" i="168"/>
  <c r="D53" i="168"/>
  <c r="D52" i="168"/>
  <c r="D51" i="168"/>
  <c r="D50" i="168"/>
  <c r="D49" i="168"/>
  <c r="D48" i="168"/>
  <c r="D47" i="168"/>
  <c r="D46" i="168"/>
  <c r="D45" i="168"/>
  <c r="D44" i="168"/>
  <c r="D43" i="168"/>
  <c r="D42" i="168"/>
  <c r="D41" i="168"/>
  <c r="D40" i="168"/>
  <c r="D39" i="168"/>
  <c r="D38" i="168"/>
  <c r="D37" i="168"/>
  <c r="D36" i="168"/>
  <c r="D35" i="168"/>
  <c r="D34" i="168"/>
  <c r="D33" i="168"/>
  <c r="D32" i="168"/>
  <c r="D31" i="168"/>
  <c r="D30" i="168"/>
  <c r="D25" i="168"/>
  <c r="J52" i="168"/>
  <c r="J48" i="168"/>
  <c r="J44" i="168"/>
  <c r="J40" i="168"/>
  <c r="J53" i="168"/>
  <c r="J49" i="168"/>
  <c r="J45" i="168"/>
  <c r="J41" i="168"/>
  <c r="J37" i="168"/>
  <c r="J33" i="168"/>
  <c r="J29" i="168"/>
  <c r="J27" i="168"/>
  <c r="J23" i="168"/>
  <c r="J8" i="168"/>
  <c r="J7" i="168"/>
  <c r="D7" i="168"/>
  <c r="J11" i="168"/>
  <c r="D13" i="168"/>
  <c r="J15" i="168"/>
  <c r="D17" i="168"/>
  <c r="J19" i="168"/>
  <c r="D21" i="168"/>
  <c r="D24" i="168"/>
  <c r="J25" i="168"/>
  <c r="J31" i="168"/>
  <c r="J38" i="168"/>
  <c r="J43" i="168"/>
  <c r="J51" i="168"/>
  <c r="E16" i="170"/>
  <c r="E12" i="170"/>
  <c r="E8" i="170"/>
  <c r="E18" i="170"/>
  <c r="E15" i="170"/>
  <c r="E14" i="170"/>
  <c r="E11" i="170"/>
  <c r="E10" i="170"/>
  <c r="E7" i="170"/>
  <c r="E6" i="170" s="1"/>
  <c r="E17" i="170"/>
  <c r="E13" i="170"/>
  <c r="E9" i="170"/>
  <c r="I7" i="170"/>
  <c r="I13" i="170"/>
  <c r="I15" i="170"/>
  <c r="E7" i="163"/>
  <c r="C8" i="163"/>
  <c r="K8" i="163"/>
  <c r="I9" i="163"/>
  <c r="G10" i="163"/>
  <c r="E11" i="163"/>
  <c r="C12" i="163"/>
  <c r="K12" i="163"/>
  <c r="I13" i="163"/>
  <c r="G14" i="163"/>
  <c r="E15" i="163"/>
  <c r="C16" i="163"/>
  <c r="K16" i="163"/>
  <c r="I17" i="163"/>
  <c r="I7" i="165"/>
  <c r="K10" i="165"/>
  <c r="I11" i="165"/>
  <c r="K15" i="167"/>
  <c r="K11" i="167"/>
  <c r="E8" i="167"/>
  <c r="C9" i="167"/>
  <c r="K9" i="167"/>
  <c r="K10" i="167"/>
  <c r="C12" i="167"/>
  <c r="C13" i="167"/>
  <c r="C14" i="167"/>
  <c r="E15" i="167"/>
  <c r="E16" i="167"/>
  <c r="E17" i="167"/>
  <c r="F28" i="168"/>
  <c r="F27" i="168"/>
  <c r="F26" i="168"/>
  <c r="F25" i="168"/>
  <c r="F24" i="168"/>
  <c r="F23" i="168"/>
  <c r="F54" i="168"/>
  <c r="F50" i="168"/>
  <c r="F46" i="168"/>
  <c r="F42" i="168"/>
  <c r="F55" i="168"/>
  <c r="F51" i="168"/>
  <c r="F47" i="168"/>
  <c r="F43" i="168"/>
  <c r="F39" i="168"/>
  <c r="F35" i="168"/>
  <c r="F31" i="168"/>
  <c r="F7" i="168"/>
  <c r="H8" i="168"/>
  <c r="J10" i="168"/>
  <c r="D12" i="168"/>
  <c r="F13" i="168"/>
  <c r="J14" i="168"/>
  <c r="D16" i="168"/>
  <c r="F17" i="168"/>
  <c r="J18" i="168"/>
  <c r="D20" i="168"/>
  <c r="F21" i="168"/>
  <c r="J22" i="168"/>
  <c r="H24" i="168"/>
  <c r="D26" i="168"/>
  <c r="D28" i="168"/>
  <c r="H30" i="168"/>
  <c r="F32" i="168"/>
  <c r="F34" i="168"/>
  <c r="J35" i="168"/>
  <c r="H37" i="168"/>
  <c r="H39" i="168"/>
  <c r="H41" i="168"/>
  <c r="F44" i="168"/>
  <c r="J46" i="168"/>
  <c r="H49" i="168"/>
  <c r="F52" i="168"/>
  <c r="J54" i="168"/>
  <c r="I12" i="170"/>
  <c r="E13" i="169"/>
  <c r="E14" i="169"/>
  <c r="I19" i="169"/>
  <c r="I20" i="169"/>
  <c r="G15" i="170"/>
  <c r="G11" i="170"/>
  <c r="G7" i="170"/>
  <c r="C7" i="170"/>
  <c r="C8" i="170"/>
  <c r="C10" i="170"/>
  <c r="C11" i="170"/>
  <c r="C12" i="170"/>
  <c r="C14" i="170"/>
  <c r="C15" i="170"/>
  <c r="C16" i="170"/>
  <c r="C5" i="197"/>
  <c r="E20" i="169"/>
  <c r="E16" i="169"/>
  <c r="E12" i="169"/>
  <c r="E8" i="169"/>
  <c r="I18" i="169"/>
  <c r="I14" i="169"/>
  <c r="I10" i="169"/>
  <c r="E9" i="169"/>
  <c r="E10" i="169"/>
  <c r="E11" i="169"/>
  <c r="I15" i="169"/>
  <c r="I16" i="169"/>
  <c r="I17" i="169"/>
  <c r="C17" i="170"/>
  <c r="C13" i="170"/>
  <c r="C9" i="170"/>
  <c r="B6" i="198"/>
  <c r="F6" i="198"/>
  <c r="J6" i="198"/>
  <c r="N6" i="198"/>
  <c r="R6" i="198"/>
  <c r="V6" i="198"/>
  <c r="Z6" i="198"/>
  <c r="G7" i="169"/>
  <c r="C9" i="169"/>
  <c r="K9" i="169"/>
  <c r="G11" i="169"/>
  <c r="C13" i="169"/>
  <c r="K13" i="169"/>
  <c r="G15" i="169"/>
  <c r="C17" i="169"/>
  <c r="K17" i="169"/>
  <c r="H6" i="168" l="1"/>
  <c r="K6" i="165"/>
  <c r="I6" i="167"/>
  <c r="G6" i="167"/>
  <c r="E6" i="169"/>
  <c r="K6" i="167"/>
  <c r="C6" i="169"/>
  <c r="I6" i="170"/>
  <c r="C6" i="163"/>
  <c r="G6" i="158"/>
  <c r="K6" i="169"/>
  <c r="E6" i="163"/>
  <c r="D6" i="168"/>
  <c r="G6" i="165"/>
  <c r="K6" i="158"/>
  <c r="I6" i="169"/>
  <c r="C6" i="170"/>
  <c r="J6" i="168"/>
  <c r="E6" i="165"/>
  <c r="G6" i="163"/>
  <c r="C6" i="158"/>
  <c r="G6" i="169"/>
  <c r="G6" i="170"/>
  <c r="F6" i="168"/>
  <c r="I6" i="165"/>
  <c r="K6" i="163"/>
  <c r="I6" i="163"/>
  <c r="I6" i="158"/>
  <c r="E6" i="158"/>
  <c r="B37" i="149" l="1"/>
  <c r="B36" i="149"/>
  <c r="B35" i="149"/>
  <c r="B34" i="149"/>
  <c r="B33" i="149"/>
  <c r="B32" i="149"/>
  <c r="B31" i="149"/>
  <c r="B30" i="149"/>
  <c r="B29" i="149"/>
  <c r="B28" i="149"/>
  <c r="B27" i="149"/>
  <c r="B26" i="149"/>
  <c r="B25" i="149"/>
  <c r="B24" i="149"/>
  <c r="B23" i="149"/>
  <c r="B22" i="149"/>
  <c r="B21" i="149"/>
  <c r="B20" i="149"/>
  <c r="B19" i="149"/>
  <c r="B18" i="149"/>
  <c r="B17" i="149"/>
  <c r="B16" i="149"/>
  <c r="B15" i="149"/>
  <c r="B14" i="149"/>
  <c r="B13" i="149"/>
  <c r="B12" i="149"/>
  <c r="B11" i="149"/>
  <c r="B10" i="149"/>
  <c r="B9" i="149"/>
  <c r="B8" i="149"/>
  <c r="B7" i="149"/>
  <c r="B6" i="149"/>
  <c r="D5" i="149"/>
  <c r="B5" i="149" s="1"/>
  <c r="C5" i="149"/>
  <c r="B6" i="148"/>
  <c r="F5" i="147"/>
  <c r="E5" i="147"/>
  <c r="D5" i="147"/>
  <c r="C5" i="147"/>
  <c r="B5" i="147"/>
  <c r="F6" i="146"/>
  <c r="E6" i="146"/>
  <c r="D6" i="146"/>
  <c r="C6" i="146"/>
  <c r="B6" i="146"/>
  <c r="B21" i="144"/>
  <c r="B20" i="144"/>
  <c r="B19" i="144"/>
  <c r="B18" i="144"/>
  <c r="B17" i="144"/>
  <c r="B16" i="144"/>
  <c r="B15" i="144"/>
  <c r="B14" i="144"/>
  <c r="B13" i="144"/>
  <c r="B12" i="144"/>
  <c r="B11" i="144"/>
  <c r="B10" i="144"/>
  <c r="B9" i="144"/>
  <c r="B8" i="144"/>
  <c r="B7" i="144"/>
  <c r="N6" i="144"/>
  <c r="M6" i="144"/>
  <c r="L6" i="144"/>
  <c r="K6" i="144"/>
  <c r="J6" i="144"/>
  <c r="I6" i="144"/>
  <c r="H6" i="144"/>
  <c r="G6" i="144"/>
  <c r="F6" i="144"/>
  <c r="E6" i="144"/>
  <c r="D6" i="144"/>
  <c r="C6" i="144"/>
  <c r="B11" i="143"/>
  <c r="B10" i="143"/>
  <c r="B9" i="143"/>
  <c r="B8" i="143"/>
  <c r="B7" i="143"/>
  <c r="B11" i="142"/>
  <c r="B10" i="142"/>
  <c r="B9" i="142"/>
  <c r="B8" i="142"/>
  <c r="B7" i="142"/>
  <c r="B11" i="141"/>
  <c r="B10" i="141"/>
  <c r="B9" i="141"/>
  <c r="B8" i="141"/>
  <c r="B7" i="141"/>
  <c r="B22" i="140"/>
  <c r="B21" i="140"/>
  <c r="B20" i="140"/>
  <c r="B19" i="140"/>
  <c r="B18" i="140"/>
  <c r="B17" i="140"/>
  <c r="B16" i="140"/>
  <c r="B15" i="140"/>
  <c r="B14" i="140"/>
  <c r="B13" i="140"/>
  <c r="B12" i="140"/>
  <c r="B11" i="140"/>
  <c r="B10" i="140"/>
  <c r="B9" i="140"/>
  <c r="B8" i="140"/>
  <c r="D7" i="140"/>
  <c r="C7" i="140"/>
  <c r="B22" i="139"/>
  <c r="B21" i="139"/>
  <c r="B20" i="139"/>
  <c r="B19" i="139"/>
  <c r="B18" i="139"/>
  <c r="B17" i="139"/>
  <c r="B16" i="139"/>
  <c r="B15" i="139"/>
  <c r="B14" i="139"/>
  <c r="B13" i="139"/>
  <c r="B12" i="139"/>
  <c r="B7" i="139" s="1"/>
  <c r="B11" i="139"/>
  <c r="B10" i="139"/>
  <c r="B9" i="139"/>
  <c r="B8" i="139"/>
  <c r="D7" i="139"/>
  <c r="C7" i="139"/>
  <c r="B22" i="138"/>
  <c r="B21" i="138"/>
  <c r="B20" i="138"/>
  <c r="B19" i="138"/>
  <c r="B18" i="138"/>
  <c r="B17" i="138"/>
  <c r="B16" i="138"/>
  <c r="B15" i="138"/>
  <c r="B14" i="138"/>
  <c r="B13" i="138"/>
  <c r="B12" i="138"/>
  <c r="B11" i="138"/>
  <c r="B10" i="138"/>
  <c r="B9" i="138"/>
  <c r="B8" i="138"/>
  <c r="D7" i="138"/>
  <c r="C7" i="138"/>
  <c r="E6" i="137"/>
  <c r="D6" i="137"/>
  <c r="C6" i="137"/>
  <c r="B6" i="137"/>
  <c r="B22" i="136"/>
  <c r="B21" i="136"/>
  <c r="B20" i="136"/>
  <c r="B19" i="136"/>
  <c r="B18" i="136"/>
  <c r="B17" i="136"/>
  <c r="B16" i="136"/>
  <c r="B15" i="136"/>
  <c r="B14" i="136"/>
  <c r="B13" i="136"/>
  <c r="B12" i="136"/>
  <c r="B11" i="136"/>
  <c r="B10" i="136"/>
  <c r="B9" i="136"/>
  <c r="B8" i="136"/>
  <c r="B7" i="136" s="1"/>
  <c r="D7" i="136"/>
  <c r="C7" i="136"/>
  <c r="B11" i="135"/>
  <c r="B10" i="135"/>
  <c r="B9" i="135"/>
  <c r="B8" i="135"/>
  <c r="B7" i="135"/>
  <c r="E6" i="134"/>
  <c r="D6" i="134"/>
  <c r="C6" i="134"/>
  <c r="B6" i="134"/>
  <c r="K6" i="133"/>
  <c r="J6" i="133"/>
  <c r="I6" i="133"/>
  <c r="H6" i="133"/>
  <c r="G6" i="133"/>
  <c r="F6" i="133"/>
  <c r="E6" i="133"/>
  <c r="D6" i="133"/>
  <c r="C6" i="133"/>
  <c r="B6" i="133"/>
  <c r="K6" i="132"/>
  <c r="J6" i="132"/>
  <c r="I6" i="132"/>
  <c r="H6" i="132"/>
  <c r="G6" i="132"/>
  <c r="F6" i="132"/>
  <c r="E6" i="132"/>
  <c r="D6" i="132"/>
  <c r="C6" i="132"/>
  <c r="B6" i="132"/>
  <c r="E15" i="131"/>
  <c r="D15" i="131"/>
  <c r="C15" i="131"/>
  <c r="B15" i="131"/>
  <c r="E6" i="131"/>
  <c r="D6" i="131"/>
  <c r="C6" i="131"/>
  <c r="B6" i="131"/>
  <c r="E15" i="130"/>
  <c r="D15" i="130"/>
  <c r="C15" i="130"/>
  <c r="B15" i="130"/>
  <c r="E6" i="130"/>
  <c r="D6" i="130"/>
  <c r="C6" i="130"/>
  <c r="B6" i="130"/>
  <c r="F6" i="129"/>
  <c r="E6" i="129"/>
  <c r="D6" i="129"/>
  <c r="C6" i="129"/>
  <c r="B6" i="129"/>
  <c r="F6" i="128"/>
  <c r="E6" i="128"/>
  <c r="D6" i="128"/>
  <c r="C6" i="128"/>
  <c r="B6" i="128"/>
  <c r="F7" i="127"/>
  <c r="E7" i="127"/>
  <c r="D7" i="127"/>
  <c r="C7" i="127"/>
  <c r="B7" i="127"/>
  <c r="F6" i="126"/>
  <c r="E6" i="126"/>
  <c r="D6" i="126"/>
  <c r="C6" i="126"/>
  <c r="B6" i="126"/>
  <c r="F6" i="125"/>
  <c r="E6" i="125"/>
  <c r="D6" i="125"/>
  <c r="C6" i="125"/>
  <c r="B6" i="125"/>
  <c r="C22" i="123"/>
  <c r="B22" i="123"/>
  <c r="C21" i="123"/>
  <c r="B21" i="123"/>
  <c r="C20" i="123"/>
  <c r="B20" i="123"/>
  <c r="C19" i="123"/>
  <c r="B19" i="123"/>
  <c r="C18" i="123"/>
  <c r="B18" i="123"/>
  <c r="C17" i="123"/>
  <c r="B17" i="123"/>
  <c r="C16" i="123"/>
  <c r="B16" i="123"/>
  <c r="C15" i="123"/>
  <c r="B15" i="123"/>
  <c r="C14" i="123"/>
  <c r="B14" i="123"/>
  <c r="C13" i="123"/>
  <c r="B13" i="123"/>
  <c r="C12" i="123"/>
  <c r="B12" i="123"/>
  <c r="C11" i="123"/>
  <c r="B11" i="123"/>
  <c r="C10" i="123"/>
  <c r="B10" i="123"/>
  <c r="C9" i="123"/>
  <c r="B9" i="123"/>
  <c r="C8" i="123"/>
  <c r="B8" i="123"/>
  <c r="C7" i="123"/>
  <c r="B7" i="123"/>
  <c r="S6" i="123"/>
  <c r="R6" i="123"/>
  <c r="Q6" i="123"/>
  <c r="P6" i="123"/>
  <c r="O6" i="123"/>
  <c r="N6" i="123"/>
  <c r="M6" i="123"/>
  <c r="L6" i="123"/>
  <c r="K6" i="123"/>
  <c r="J6" i="123"/>
  <c r="I6" i="123"/>
  <c r="H6" i="123"/>
  <c r="G6" i="123"/>
  <c r="F6" i="123"/>
  <c r="E6" i="123"/>
  <c r="D6" i="123"/>
  <c r="C6" i="123"/>
  <c r="B6" i="123"/>
  <c r="D45" i="122"/>
  <c r="E48" i="122" s="1"/>
  <c r="B45" i="122"/>
  <c r="C48" i="122" s="1"/>
  <c r="F38" i="122"/>
  <c r="G42" i="122" s="1"/>
  <c r="D38" i="122"/>
  <c r="E41" i="122" s="1"/>
  <c r="B38" i="122"/>
  <c r="C44" i="122" s="1"/>
  <c r="F35" i="122"/>
  <c r="G36" i="122" s="1"/>
  <c r="D35" i="122"/>
  <c r="E36" i="122" s="1"/>
  <c r="B35" i="122"/>
  <c r="C37" i="122" s="1"/>
  <c r="C32" i="122"/>
  <c r="G30" i="122"/>
  <c r="D30" i="122"/>
  <c r="E33" i="122" s="1"/>
  <c r="B30" i="122"/>
  <c r="C31" i="122" s="1"/>
  <c r="E28" i="122"/>
  <c r="E20" i="122"/>
  <c r="D17" i="122"/>
  <c r="E27" i="122" s="1"/>
  <c r="B17" i="122"/>
  <c r="C29" i="122" s="1"/>
  <c r="E15" i="122"/>
  <c r="F14" i="122"/>
  <c r="G15" i="122" s="1"/>
  <c r="D14" i="122"/>
  <c r="E16" i="122" s="1"/>
  <c r="B14" i="122"/>
  <c r="C15" i="122" s="1"/>
  <c r="G13" i="122"/>
  <c r="F10" i="122"/>
  <c r="G11" i="122" s="1"/>
  <c r="D10" i="122"/>
  <c r="E13" i="122" s="1"/>
  <c r="B10" i="122"/>
  <c r="C12" i="122" s="1"/>
  <c r="C8" i="122"/>
  <c r="F6" i="122"/>
  <c r="G7" i="122" s="1"/>
  <c r="D6" i="122"/>
  <c r="E8" i="122" s="1"/>
  <c r="B6" i="122"/>
  <c r="C9" i="122" s="1"/>
  <c r="C5" i="119"/>
  <c r="B5" i="119"/>
  <c r="J8" i="118"/>
  <c r="F8" i="118"/>
  <c r="B8" i="118"/>
  <c r="J7" i="118"/>
  <c r="F7" i="118"/>
  <c r="B7" i="118"/>
  <c r="J6" i="116"/>
  <c r="K8" i="116" s="1"/>
  <c r="H6" i="116"/>
  <c r="I7" i="116" s="1"/>
  <c r="F6" i="116"/>
  <c r="E6" i="116"/>
  <c r="C6" i="116"/>
  <c r="F5" i="115"/>
  <c r="G18" i="115" s="1"/>
  <c r="D5" i="115"/>
  <c r="E16" i="115" s="1"/>
  <c r="B5" i="115"/>
  <c r="G15" i="114"/>
  <c r="K9" i="114"/>
  <c r="J6" i="114"/>
  <c r="K14" i="114" s="1"/>
  <c r="H6" i="114"/>
  <c r="I23" i="114" s="1"/>
  <c r="F6" i="114"/>
  <c r="G9" i="114" s="1"/>
  <c r="D6" i="114"/>
  <c r="C6" i="114"/>
  <c r="G7" i="115" l="1"/>
  <c r="K10" i="114"/>
  <c r="K15" i="114"/>
  <c r="E10" i="115"/>
  <c r="C16" i="122"/>
  <c r="E21" i="122"/>
  <c r="E29" i="122"/>
  <c r="C33" i="122"/>
  <c r="G11" i="114"/>
  <c r="K16" i="114"/>
  <c r="G16" i="122"/>
  <c r="E22" i="122"/>
  <c r="C34" i="122"/>
  <c r="C39" i="122"/>
  <c r="B7" i="138"/>
  <c r="K11" i="114"/>
  <c r="G17" i="114"/>
  <c r="E21" i="115"/>
  <c r="C11" i="122"/>
  <c r="E23" i="122"/>
  <c r="C30" i="122"/>
  <c r="G41" i="122"/>
  <c r="K12" i="114"/>
  <c r="K17" i="114"/>
  <c r="E7" i="122"/>
  <c r="E6" i="122" s="1"/>
  <c r="E24" i="122"/>
  <c r="B6" i="144"/>
  <c r="G13" i="114"/>
  <c r="C14" i="122"/>
  <c r="E25" i="122"/>
  <c r="E30" i="122"/>
  <c r="B7" i="140"/>
  <c r="K8" i="114"/>
  <c r="K13" i="114"/>
  <c r="G8" i="122"/>
  <c r="E14" i="122"/>
  <c r="E18" i="122"/>
  <c r="E17" i="122" s="1"/>
  <c r="E26" i="122"/>
  <c r="C36" i="122"/>
  <c r="C47" i="122"/>
  <c r="E9" i="122"/>
  <c r="G14" i="122"/>
  <c r="E19" i="122"/>
  <c r="C21" i="115"/>
  <c r="C16" i="115"/>
  <c r="C12" i="115"/>
  <c r="C8" i="115"/>
  <c r="C18" i="115"/>
  <c r="C19" i="115"/>
  <c r="C14" i="115"/>
  <c r="C10" i="115"/>
  <c r="E18" i="114"/>
  <c r="E17" i="114"/>
  <c r="E16" i="114"/>
  <c r="E15" i="114"/>
  <c r="E14" i="114"/>
  <c r="E13" i="114"/>
  <c r="E12" i="114"/>
  <c r="E11" i="114"/>
  <c r="E10" i="114"/>
  <c r="E9" i="114"/>
  <c r="E8" i="114"/>
  <c r="E6" i="114"/>
  <c r="E7" i="114"/>
  <c r="I20" i="114"/>
  <c r="E23" i="114"/>
  <c r="G19" i="115"/>
  <c r="G14" i="115"/>
  <c r="G10" i="115"/>
  <c r="G20" i="115"/>
  <c r="G15" i="115"/>
  <c r="G21" i="115"/>
  <c r="G16" i="115"/>
  <c r="G12" i="115"/>
  <c r="G8" i="115"/>
  <c r="C9" i="115"/>
  <c r="G11" i="115"/>
  <c r="C15" i="115"/>
  <c r="G23" i="114"/>
  <c r="G22" i="114"/>
  <c r="G21" i="114"/>
  <c r="G20" i="114"/>
  <c r="G19" i="114"/>
  <c r="G6" i="114"/>
  <c r="G8" i="114"/>
  <c r="G10" i="114"/>
  <c r="G12" i="114"/>
  <c r="G14" i="114"/>
  <c r="G16" i="114"/>
  <c r="E19" i="114"/>
  <c r="E21" i="114"/>
  <c r="C7" i="115"/>
  <c r="G9" i="115"/>
  <c r="E12" i="115"/>
  <c r="E35" i="122"/>
  <c r="I6" i="114"/>
  <c r="I17" i="114"/>
  <c r="I16" i="114"/>
  <c r="I15" i="114"/>
  <c r="I14" i="114"/>
  <c r="I13" i="114"/>
  <c r="I12" i="114"/>
  <c r="I11" i="114"/>
  <c r="I10" i="114"/>
  <c r="I9" i="114"/>
  <c r="I8" i="114"/>
  <c r="I19" i="114"/>
  <c r="I21" i="114"/>
  <c r="C13" i="115"/>
  <c r="K21" i="114"/>
  <c r="K20" i="114"/>
  <c r="K19" i="114"/>
  <c r="K23" i="114"/>
  <c r="K6" i="114"/>
  <c r="E20" i="114"/>
  <c r="E22" i="114"/>
  <c r="E18" i="115"/>
  <c r="E13" i="115"/>
  <c r="E9" i="115"/>
  <c r="E19" i="115"/>
  <c r="E14" i="115"/>
  <c r="E20" i="115"/>
  <c r="E15" i="115"/>
  <c r="E11" i="115"/>
  <c r="E7" i="115"/>
  <c r="E8" i="115"/>
  <c r="C11" i="115"/>
  <c r="G13" i="115"/>
  <c r="C20" i="115"/>
  <c r="G7" i="116"/>
  <c r="G8" i="116"/>
  <c r="G9" i="116"/>
  <c r="C35" i="122"/>
  <c r="K7" i="116"/>
  <c r="E12" i="122"/>
  <c r="E37" i="122"/>
  <c r="E40" i="122"/>
  <c r="C43" i="122"/>
  <c r="E44" i="122"/>
  <c r="I9" i="116"/>
  <c r="C7" i="122"/>
  <c r="C6" i="122" s="1"/>
  <c r="G9" i="122"/>
  <c r="G6" i="122" s="1"/>
  <c r="E11" i="122"/>
  <c r="E10" i="122" s="1"/>
  <c r="G12" i="122"/>
  <c r="G10" i="122" s="1"/>
  <c r="C18" i="122"/>
  <c r="C20" i="122"/>
  <c r="C22" i="122"/>
  <c r="C24" i="122"/>
  <c r="C26" i="122"/>
  <c r="C28" i="122"/>
  <c r="E32" i="122"/>
  <c r="E34" i="122"/>
  <c r="G37" i="122"/>
  <c r="G35" i="122" s="1"/>
  <c r="E39" i="122"/>
  <c r="G40" i="122"/>
  <c r="C42" i="122"/>
  <c r="E43" i="122"/>
  <c r="G44" i="122"/>
  <c r="E45" i="122"/>
  <c r="E47" i="122"/>
  <c r="I8" i="116"/>
  <c r="K9" i="116"/>
  <c r="C13" i="122"/>
  <c r="C10" i="122" s="1"/>
  <c r="G39" i="122"/>
  <c r="C41" i="122"/>
  <c r="E42" i="122"/>
  <c r="G43" i="122"/>
  <c r="C46" i="122"/>
  <c r="C45" i="122" s="1"/>
  <c r="C19" i="122"/>
  <c r="C21" i="122"/>
  <c r="C23" i="122"/>
  <c r="C25" i="122"/>
  <c r="C27" i="122"/>
  <c r="E31" i="122"/>
  <c r="C40" i="122"/>
  <c r="E46" i="122"/>
  <c r="I6" i="116" l="1"/>
  <c r="G5" i="115"/>
  <c r="C38" i="122"/>
  <c r="C17" i="122"/>
  <c r="G38" i="122"/>
  <c r="G6" i="116"/>
  <c r="C5" i="115"/>
  <c r="E5" i="115"/>
  <c r="E38" i="122"/>
  <c r="K6" i="116"/>
  <c r="B21" i="113" l="1"/>
  <c r="B20" i="113"/>
  <c r="B19" i="113"/>
  <c r="B18" i="113"/>
  <c r="B17" i="113"/>
  <c r="B16" i="113"/>
  <c r="B15" i="113"/>
  <c r="B14" i="113"/>
  <c r="B13" i="113"/>
  <c r="B12" i="113"/>
  <c r="B11" i="113"/>
  <c r="B10" i="113"/>
  <c r="B9" i="113"/>
  <c r="B8" i="113"/>
  <c r="B7" i="113"/>
  <c r="N6" i="113"/>
  <c r="M6" i="113"/>
  <c r="L6" i="113"/>
  <c r="K6" i="113"/>
  <c r="J6" i="113"/>
  <c r="I6" i="113"/>
  <c r="H6" i="113"/>
  <c r="G6" i="113"/>
  <c r="F6" i="113"/>
  <c r="E6" i="113"/>
  <c r="D6" i="113"/>
  <c r="C6" i="113"/>
  <c r="B11" i="112"/>
  <c r="B10" i="112"/>
  <c r="B9" i="112"/>
  <c r="B8" i="112"/>
  <c r="B7" i="112"/>
  <c r="B11" i="111"/>
  <c r="B10" i="111"/>
  <c r="B9" i="111"/>
  <c r="B8" i="111"/>
  <c r="B7" i="111"/>
  <c r="B11" i="110"/>
  <c r="B10" i="110"/>
  <c r="B9" i="110"/>
  <c r="B8" i="110"/>
  <c r="B7" i="110"/>
  <c r="B22" i="109"/>
  <c r="B21" i="109"/>
  <c r="B20" i="109"/>
  <c r="B19" i="109"/>
  <c r="B18" i="109"/>
  <c r="B17" i="109"/>
  <c r="B16" i="109"/>
  <c r="B15" i="109"/>
  <c r="B14" i="109"/>
  <c r="B13" i="109"/>
  <c r="B12" i="109"/>
  <c r="B11" i="109"/>
  <c r="B10" i="109"/>
  <c r="B9" i="109"/>
  <c r="B8" i="109"/>
  <c r="I7" i="109"/>
  <c r="H7" i="109"/>
  <c r="G7" i="109"/>
  <c r="F7" i="109"/>
  <c r="E7" i="109"/>
  <c r="D7" i="109"/>
  <c r="C7" i="109"/>
  <c r="B22" i="108"/>
  <c r="B21" i="108"/>
  <c r="B20" i="108"/>
  <c r="B19" i="108"/>
  <c r="B18" i="108"/>
  <c r="B17" i="108"/>
  <c r="B16" i="108"/>
  <c r="B15" i="108"/>
  <c r="B14" i="108"/>
  <c r="B13" i="108"/>
  <c r="B12" i="108"/>
  <c r="B11" i="108"/>
  <c r="B10" i="108"/>
  <c r="B7" i="108" s="1"/>
  <c r="B9" i="108"/>
  <c r="B8" i="108"/>
  <c r="I7" i="108"/>
  <c r="H7" i="108"/>
  <c r="G7" i="108"/>
  <c r="F7" i="108"/>
  <c r="E7" i="108"/>
  <c r="D7" i="108"/>
  <c r="C7" i="108"/>
  <c r="B22" i="107"/>
  <c r="B21" i="107"/>
  <c r="B20" i="107"/>
  <c r="B19" i="107"/>
  <c r="B18" i="107"/>
  <c r="B17" i="107"/>
  <c r="B16" i="107"/>
  <c r="B15" i="107"/>
  <c r="B14" i="107"/>
  <c r="B13" i="107"/>
  <c r="B12" i="107"/>
  <c r="B11" i="107"/>
  <c r="B10" i="107"/>
  <c r="B9" i="107"/>
  <c r="B8" i="107"/>
  <c r="I7" i="107"/>
  <c r="H7" i="107"/>
  <c r="G7" i="107"/>
  <c r="F7" i="107"/>
  <c r="E7" i="107"/>
  <c r="D7" i="107"/>
  <c r="C7" i="107"/>
  <c r="B22" i="106"/>
  <c r="B21" i="106"/>
  <c r="B20" i="106"/>
  <c r="B19" i="106"/>
  <c r="B18" i="106"/>
  <c r="B17" i="106"/>
  <c r="B16" i="106"/>
  <c r="B15" i="106"/>
  <c r="B14" i="106"/>
  <c r="B13" i="106"/>
  <c r="B12" i="106"/>
  <c r="B11" i="106"/>
  <c r="B10" i="106"/>
  <c r="B9" i="106"/>
  <c r="B8" i="106"/>
  <c r="I7" i="106"/>
  <c r="H7" i="106"/>
  <c r="G7" i="106"/>
  <c r="F7" i="106"/>
  <c r="E7" i="106"/>
  <c r="D7" i="106"/>
  <c r="C7" i="106"/>
  <c r="B11" i="105"/>
  <c r="B10" i="105"/>
  <c r="B9" i="105"/>
  <c r="B8" i="105"/>
  <c r="B7" i="105"/>
  <c r="F6" i="104"/>
  <c r="E6" i="104"/>
  <c r="D6" i="104"/>
  <c r="C6" i="104"/>
  <c r="B6" i="104"/>
  <c r="F6" i="103"/>
  <c r="E6" i="103"/>
  <c r="D6" i="103"/>
  <c r="C6" i="103"/>
  <c r="B6" i="103"/>
  <c r="F7" i="102"/>
  <c r="F6" i="102" s="1"/>
  <c r="E7" i="102"/>
  <c r="E6" i="102" s="1"/>
  <c r="D7" i="102"/>
  <c r="C7" i="102"/>
  <c r="B7" i="102"/>
  <c r="D6" i="102"/>
  <c r="C6" i="102"/>
  <c r="B6" i="102"/>
  <c r="F6" i="101"/>
  <c r="E6" i="101"/>
  <c r="D6" i="101"/>
  <c r="C6" i="101"/>
  <c r="B6" i="101"/>
  <c r="B11" i="97"/>
  <c r="B10" i="97"/>
  <c r="B9" i="97"/>
  <c r="B8" i="97"/>
  <c r="B7" i="97"/>
  <c r="B10" i="96"/>
  <c r="B9" i="96"/>
  <c r="B8" i="96"/>
  <c r="B7" i="96"/>
  <c r="B6" i="96"/>
  <c r="B7" i="109" l="1"/>
  <c r="B7" i="107"/>
  <c r="B7" i="106"/>
  <c r="B6" i="113"/>
  <c r="O6" i="92"/>
  <c r="N6" i="92"/>
  <c r="M6" i="92"/>
  <c r="L6" i="92"/>
  <c r="K6" i="92"/>
  <c r="J6" i="92"/>
  <c r="I6" i="92"/>
  <c r="H6" i="92"/>
  <c r="G6" i="92"/>
  <c r="F6" i="92"/>
  <c r="E6" i="92"/>
  <c r="D6" i="92"/>
  <c r="C6" i="92"/>
  <c r="B6" i="92"/>
  <c r="T24" i="91"/>
  <c r="O24" i="91"/>
  <c r="N24" i="91" s="1"/>
  <c r="I24" i="91"/>
  <c r="D24" i="91"/>
  <c r="T23" i="91"/>
  <c r="O23" i="91"/>
  <c r="I23" i="91"/>
  <c r="D23" i="91"/>
  <c r="T22" i="91"/>
  <c r="O22" i="91"/>
  <c r="I22" i="91"/>
  <c r="D22" i="91"/>
  <c r="T21" i="91"/>
  <c r="O21" i="91"/>
  <c r="I21" i="91"/>
  <c r="D21" i="91"/>
  <c r="T20" i="91"/>
  <c r="O20" i="91"/>
  <c r="N20" i="91" s="1"/>
  <c r="I20" i="91"/>
  <c r="D20" i="91"/>
  <c r="C20" i="91" s="1"/>
  <c r="T19" i="91"/>
  <c r="O19" i="91"/>
  <c r="I19" i="91"/>
  <c r="D19" i="91"/>
  <c r="T18" i="91"/>
  <c r="O18" i="91"/>
  <c r="I18" i="91"/>
  <c r="D18" i="91"/>
  <c r="C18" i="91" s="1"/>
  <c r="T17" i="91"/>
  <c r="O17" i="91"/>
  <c r="I17" i="91"/>
  <c r="D17" i="91"/>
  <c r="C17" i="91" s="1"/>
  <c r="T16" i="91"/>
  <c r="N16" i="91" s="1"/>
  <c r="O16" i="91"/>
  <c r="I16" i="91"/>
  <c r="D16" i="91"/>
  <c r="T15" i="91"/>
  <c r="O15" i="91"/>
  <c r="N15" i="91" s="1"/>
  <c r="I15" i="91"/>
  <c r="C15" i="91" s="1"/>
  <c r="B15" i="91" s="1"/>
  <c r="D15" i="91"/>
  <c r="T14" i="91"/>
  <c r="O14" i="91"/>
  <c r="I14" i="91"/>
  <c r="D14" i="91"/>
  <c r="T13" i="91"/>
  <c r="O13" i="91"/>
  <c r="N13" i="91" s="1"/>
  <c r="I13" i="91"/>
  <c r="C13" i="91" s="1"/>
  <c r="B13" i="91" s="1"/>
  <c r="D13" i="91"/>
  <c r="T12" i="91"/>
  <c r="O12" i="91"/>
  <c r="N12" i="91" s="1"/>
  <c r="I12" i="91"/>
  <c r="D12" i="91"/>
  <c r="T11" i="91"/>
  <c r="O11" i="91"/>
  <c r="I11" i="91"/>
  <c r="D11" i="91"/>
  <c r="T10" i="91"/>
  <c r="O10" i="91"/>
  <c r="I10" i="91"/>
  <c r="D10" i="91"/>
  <c r="T9" i="91"/>
  <c r="O9" i="91"/>
  <c r="I9" i="91"/>
  <c r="D9" i="91"/>
  <c r="D8" i="91" s="1"/>
  <c r="X8" i="91"/>
  <c r="W8" i="91"/>
  <c r="V8" i="91"/>
  <c r="U8" i="91"/>
  <c r="S8" i="91"/>
  <c r="R8" i="91"/>
  <c r="Q8" i="91"/>
  <c r="P8" i="91"/>
  <c r="M8" i="91"/>
  <c r="L8" i="91"/>
  <c r="K8" i="91"/>
  <c r="J8" i="91"/>
  <c r="H8" i="91"/>
  <c r="G8" i="91"/>
  <c r="F8" i="91"/>
  <c r="E8" i="91"/>
  <c r="F6" i="90"/>
  <c r="E6" i="90"/>
  <c r="D6" i="90"/>
  <c r="C6" i="90"/>
  <c r="B6" i="90"/>
  <c r="F6" i="89"/>
  <c r="E6" i="89"/>
  <c r="D6" i="89"/>
  <c r="C6" i="89"/>
  <c r="B6" i="89"/>
  <c r="F6" i="88"/>
  <c r="E6" i="88"/>
  <c r="D6" i="88"/>
  <c r="C6" i="88"/>
  <c r="B6" i="88"/>
  <c r="F6" i="87"/>
  <c r="E6" i="87"/>
  <c r="D6" i="87"/>
  <c r="C6" i="87"/>
  <c r="B6" i="87"/>
  <c r="B22" i="86"/>
  <c r="B21" i="86"/>
  <c r="B20" i="86"/>
  <c r="B19" i="86"/>
  <c r="B18" i="86"/>
  <c r="B17" i="86"/>
  <c r="B16" i="86"/>
  <c r="B15" i="86"/>
  <c r="B14" i="86"/>
  <c r="B13" i="86"/>
  <c r="B12" i="86"/>
  <c r="B11" i="86"/>
  <c r="B10" i="86"/>
  <c r="B9" i="86"/>
  <c r="B8" i="86"/>
  <c r="D7" i="86"/>
  <c r="C7" i="86"/>
  <c r="B22" i="85"/>
  <c r="B21" i="85"/>
  <c r="B20" i="85"/>
  <c r="B19" i="85"/>
  <c r="B18" i="85"/>
  <c r="B17" i="85"/>
  <c r="B16" i="85"/>
  <c r="B15" i="85"/>
  <c r="B14" i="85"/>
  <c r="B13" i="85"/>
  <c r="B12" i="85"/>
  <c r="B11" i="85"/>
  <c r="B10" i="85"/>
  <c r="B9" i="85"/>
  <c r="B8" i="85"/>
  <c r="D7" i="85"/>
  <c r="C7" i="85"/>
  <c r="B7" i="85"/>
  <c r="C9" i="91" l="1"/>
  <c r="N10" i="91"/>
  <c r="N18" i="91"/>
  <c r="C21" i="91"/>
  <c r="C23" i="91"/>
  <c r="B23" i="91" s="1"/>
  <c r="C10" i="91"/>
  <c r="B10" i="91" s="1"/>
  <c r="C12" i="91"/>
  <c r="N21" i="91"/>
  <c r="N23" i="91"/>
  <c r="B20" i="91"/>
  <c r="I8" i="91"/>
  <c r="C8" i="91" s="1"/>
  <c r="C11" i="91"/>
  <c r="B18" i="91"/>
  <c r="N14" i="91"/>
  <c r="B7" i="86"/>
  <c r="N9" i="91"/>
  <c r="B9" i="91" s="1"/>
  <c r="N11" i="91"/>
  <c r="C22" i="91"/>
  <c r="C24" i="91"/>
  <c r="B24" i="91" s="1"/>
  <c r="C19" i="91"/>
  <c r="N22" i="91"/>
  <c r="B12" i="91"/>
  <c r="C14" i="91"/>
  <c r="B14" i="91" s="1"/>
  <c r="C16" i="91"/>
  <c r="B16" i="91" s="1"/>
  <c r="N17" i="91"/>
  <c r="N19" i="91"/>
  <c r="B17" i="91"/>
  <c r="O8" i="91"/>
  <c r="T8" i="91"/>
  <c r="B21" i="91" l="1"/>
  <c r="B22" i="91"/>
  <c r="N8" i="91"/>
  <c r="B8" i="91" s="1"/>
  <c r="B19" i="91"/>
  <c r="B11" i="91"/>
  <c r="J6" i="83"/>
  <c r="I6" i="83"/>
  <c r="H6" i="83"/>
  <c r="G6" i="83"/>
  <c r="F6" i="83"/>
  <c r="E6" i="83"/>
  <c r="D6" i="83"/>
  <c r="C6" i="83"/>
  <c r="B6" i="83"/>
  <c r="B21" i="82"/>
  <c r="B20" i="82"/>
  <c r="B19" i="82"/>
  <c r="B18" i="82"/>
  <c r="B17" i="82"/>
  <c r="B16" i="82"/>
  <c r="B15" i="82"/>
  <c r="B14" i="82"/>
  <c r="B13" i="82"/>
  <c r="B12" i="82"/>
  <c r="B11" i="82"/>
  <c r="B10" i="82"/>
  <c r="B9" i="82"/>
  <c r="B8" i="82"/>
  <c r="B7" i="82"/>
  <c r="Q6" i="82"/>
  <c r="P6" i="82"/>
  <c r="O6" i="82"/>
  <c r="N6" i="82"/>
  <c r="M6" i="82"/>
  <c r="L6" i="82"/>
  <c r="K6" i="82"/>
  <c r="J6" i="82"/>
  <c r="I6" i="82"/>
  <c r="H6" i="82"/>
  <c r="G6" i="82"/>
  <c r="F6" i="82"/>
  <c r="E6" i="82"/>
  <c r="D6" i="82"/>
  <c r="C6" i="82"/>
  <c r="B21" i="81"/>
  <c r="B20" i="81"/>
  <c r="B19" i="81"/>
  <c r="B18" i="81"/>
  <c r="B17" i="81"/>
  <c r="B16" i="81"/>
  <c r="B15" i="81"/>
  <c r="B14" i="81"/>
  <c r="B13" i="81"/>
  <c r="B12" i="81"/>
  <c r="B11" i="81"/>
  <c r="B10" i="81"/>
  <c r="B9" i="81"/>
  <c r="B8" i="81"/>
  <c r="B7" i="81"/>
  <c r="L6" i="81"/>
  <c r="K6" i="81"/>
  <c r="J6" i="81"/>
  <c r="I6" i="81"/>
  <c r="H6" i="81"/>
  <c r="G6" i="81"/>
  <c r="F6" i="81"/>
  <c r="E6" i="81"/>
  <c r="D6" i="81"/>
  <c r="C6" i="81"/>
  <c r="B23" i="80"/>
  <c r="B22" i="80"/>
  <c r="B21" i="80"/>
  <c r="B20" i="80"/>
  <c r="B19" i="80"/>
  <c r="B18" i="80"/>
  <c r="B17" i="80"/>
  <c r="B16" i="80"/>
  <c r="B15" i="80"/>
  <c r="B14" i="80"/>
  <c r="B13" i="80"/>
  <c r="B12" i="80"/>
  <c r="B11" i="80"/>
  <c r="B10" i="80"/>
  <c r="B9" i="80"/>
  <c r="B8" i="80" s="1"/>
  <c r="E8" i="80"/>
  <c r="D8" i="80"/>
  <c r="C8" i="80"/>
  <c r="B6" i="82" l="1"/>
  <c r="B6" i="81"/>
  <c r="F6" i="79"/>
  <c r="E6" i="79"/>
  <c r="D6" i="79"/>
  <c r="C6" i="79"/>
  <c r="B6" i="79"/>
  <c r="F5" i="78"/>
  <c r="E5" i="78"/>
  <c r="D5" i="78"/>
  <c r="C5" i="78"/>
  <c r="B5" i="78"/>
  <c r="F5" i="77"/>
  <c r="E5" i="77"/>
  <c r="D5" i="77"/>
  <c r="C5" i="77"/>
  <c r="B5" i="77"/>
  <c r="C6" i="75"/>
  <c r="B6" i="75"/>
  <c r="D5" i="74"/>
  <c r="C5" i="74"/>
  <c r="B5" i="74" s="1"/>
  <c r="B19" i="73"/>
  <c r="B17" i="73"/>
  <c r="B15" i="73"/>
  <c r="B11" i="73"/>
  <c r="B9" i="73"/>
  <c r="B6" i="73"/>
  <c r="E22" i="72"/>
  <c r="C22" i="72"/>
  <c r="E16" i="72"/>
  <c r="C16" i="72"/>
  <c r="E12" i="72"/>
  <c r="C12" i="72"/>
  <c r="E5" i="72"/>
  <c r="C5" i="72"/>
  <c r="B15" i="71"/>
  <c r="B13" i="71"/>
  <c r="B9" i="71"/>
  <c r="B6" i="71"/>
  <c r="B5" i="71" s="1"/>
  <c r="D6" i="70"/>
  <c r="C6" i="70"/>
  <c r="B6" i="70"/>
  <c r="B183" i="69"/>
  <c r="B181" i="69"/>
  <c r="B173" i="69"/>
  <c r="B167" i="69"/>
  <c r="B155" i="69"/>
  <c r="B142" i="69"/>
  <c r="B128" i="69"/>
  <c r="B118" i="69"/>
  <c r="B65" i="69"/>
  <c r="B38" i="69"/>
  <c r="B29" i="69"/>
  <c r="B23" i="69"/>
  <c r="B20" i="69"/>
  <c r="B14" i="69"/>
  <c r="B5" i="69"/>
  <c r="B21" i="68"/>
  <c r="B20" i="68"/>
  <c r="B19" i="68"/>
  <c r="B18" i="68"/>
  <c r="B17" i="68"/>
  <c r="B16" i="68"/>
  <c r="B15" i="68"/>
  <c r="B14" i="68"/>
  <c r="B13" i="68"/>
  <c r="B12" i="68"/>
  <c r="B11" i="68"/>
  <c r="B10" i="68"/>
  <c r="B9" i="68"/>
  <c r="B6" i="68" s="1"/>
  <c r="B8" i="68"/>
  <c r="B7" i="68"/>
  <c r="D6" i="68"/>
  <c r="C6" i="68"/>
  <c r="B21" i="67"/>
  <c r="B20" i="67"/>
  <c r="B19" i="67"/>
  <c r="B18" i="67"/>
  <c r="B17" i="67"/>
  <c r="B16" i="67"/>
  <c r="B15" i="67"/>
  <c r="B14" i="67"/>
  <c r="B13" i="67"/>
  <c r="B12" i="67"/>
  <c r="B11" i="67"/>
  <c r="B10" i="67"/>
  <c r="B9" i="67"/>
  <c r="B8" i="67"/>
  <c r="B7" i="67"/>
  <c r="I6" i="67"/>
  <c r="H6" i="67"/>
  <c r="G6" i="67"/>
  <c r="F6" i="67"/>
  <c r="E6" i="67"/>
  <c r="D6" i="67"/>
  <c r="C6" i="67"/>
  <c r="B5" i="66"/>
  <c r="B44" i="63"/>
  <c r="B40" i="63"/>
  <c r="B27" i="63"/>
  <c r="B21" i="63"/>
  <c r="B19" i="63"/>
  <c r="B15" i="63"/>
  <c r="B12" i="63"/>
  <c r="B9" i="63"/>
  <c r="B6" i="63"/>
  <c r="B4" i="62"/>
  <c r="B4" i="61"/>
  <c r="G22" i="60"/>
  <c r="C22" i="60"/>
  <c r="B22" i="60" s="1"/>
  <c r="G21" i="60"/>
  <c r="C21" i="60"/>
  <c r="G20" i="60"/>
  <c r="C20" i="60"/>
  <c r="B20" i="60" s="1"/>
  <c r="G19" i="60"/>
  <c r="C19" i="60"/>
  <c r="B19" i="60" s="1"/>
  <c r="G18" i="60"/>
  <c r="C18" i="60"/>
  <c r="B18" i="60"/>
  <c r="G17" i="60"/>
  <c r="B17" i="60" s="1"/>
  <c r="C17" i="60"/>
  <c r="G16" i="60"/>
  <c r="C16" i="60"/>
  <c r="B16" i="60" s="1"/>
  <c r="G15" i="60"/>
  <c r="C15" i="60"/>
  <c r="G14" i="60"/>
  <c r="C14" i="60"/>
  <c r="B14" i="60"/>
  <c r="G13" i="60"/>
  <c r="C13" i="60"/>
  <c r="G12" i="60"/>
  <c r="C12" i="60"/>
  <c r="B12" i="60" s="1"/>
  <c r="G11" i="60"/>
  <c r="C11" i="60"/>
  <c r="B11" i="60" s="1"/>
  <c r="G10" i="60"/>
  <c r="C10" i="60"/>
  <c r="B10" i="60" s="1"/>
  <c r="G9" i="60"/>
  <c r="C9" i="60"/>
  <c r="G8" i="60"/>
  <c r="C8" i="60"/>
  <c r="J7" i="60"/>
  <c r="I7" i="60"/>
  <c r="H7" i="60"/>
  <c r="F7" i="60"/>
  <c r="E7" i="60"/>
  <c r="D7" i="60"/>
  <c r="B21" i="59"/>
  <c r="B20" i="59"/>
  <c r="B19" i="59"/>
  <c r="B18" i="59"/>
  <c r="B17" i="59"/>
  <c r="B16" i="59"/>
  <c r="B15" i="59"/>
  <c r="B14" i="59"/>
  <c r="B13" i="59"/>
  <c r="B12" i="59"/>
  <c r="B11" i="59"/>
  <c r="B10" i="59"/>
  <c r="B9" i="59"/>
  <c r="B8" i="59"/>
  <c r="B7" i="59"/>
  <c r="E6" i="59"/>
  <c r="D6" i="59"/>
  <c r="C6" i="59"/>
  <c r="F113" i="58"/>
  <c r="E113" i="58"/>
  <c r="D113" i="58"/>
  <c r="C113" i="58"/>
  <c r="B113" i="58"/>
  <c r="F93" i="58"/>
  <c r="E93" i="58"/>
  <c r="D93" i="58"/>
  <c r="C93" i="58"/>
  <c r="B93" i="58"/>
  <c r="F81" i="58"/>
  <c r="E81" i="58"/>
  <c r="D81" i="58"/>
  <c r="C81" i="58"/>
  <c r="B81" i="58"/>
  <c r="F78" i="58"/>
  <c r="E78" i="58"/>
  <c r="D78" i="58"/>
  <c r="C78" i="58"/>
  <c r="B78" i="58"/>
  <c r="F64" i="58"/>
  <c r="E64" i="58"/>
  <c r="D64" i="58"/>
  <c r="C64" i="58"/>
  <c r="B64" i="58"/>
  <c r="F56" i="58"/>
  <c r="E56" i="58"/>
  <c r="D56" i="58"/>
  <c r="C56" i="58"/>
  <c r="B56" i="58"/>
  <c r="F47" i="58"/>
  <c r="E47" i="58"/>
  <c r="D47" i="58"/>
  <c r="C47" i="58"/>
  <c r="B47" i="58"/>
  <c r="F43" i="58"/>
  <c r="E43" i="58"/>
  <c r="D43" i="58"/>
  <c r="C43" i="58"/>
  <c r="B43" i="58"/>
  <c r="F40" i="58"/>
  <c r="E40" i="58"/>
  <c r="D40" i="58"/>
  <c r="C40" i="58"/>
  <c r="B40" i="58"/>
  <c r="F31" i="58"/>
  <c r="E31" i="58"/>
  <c r="D31" i="58"/>
  <c r="C31" i="58"/>
  <c r="B31" i="58"/>
  <c r="E26" i="58"/>
  <c r="D26" i="58"/>
  <c r="C26" i="58"/>
  <c r="B26" i="58"/>
  <c r="F22" i="58"/>
  <c r="E22" i="58"/>
  <c r="D22" i="58"/>
  <c r="C22" i="58"/>
  <c r="B22" i="58"/>
  <c r="F16" i="58"/>
  <c r="E16" i="58"/>
  <c r="D16" i="58"/>
  <c r="C16" i="58"/>
  <c r="C6" i="58" s="1"/>
  <c r="B16" i="58"/>
  <c r="F12" i="58"/>
  <c r="E12" i="58"/>
  <c r="D12" i="58"/>
  <c r="C12" i="58"/>
  <c r="B12" i="58"/>
  <c r="F7" i="58"/>
  <c r="E7" i="58"/>
  <c r="D7" i="58"/>
  <c r="C7" i="58"/>
  <c r="B7" i="58"/>
  <c r="R124" i="57"/>
  <c r="N124" i="57"/>
  <c r="J124" i="57"/>
  <c r="F124" i="57"/>
  <c r="B124" i="57"/>
  <c r="R123" i="57"/>
  <c r="N123" i="57"/>
  <c r="J123" i="57"/>
  <c r="F123" i="57"/>
  <c r="B123" i="57"/>
  <c r="R122" i="57"/>
  <c r="N122" i="57"/>
  <c r="J122" i="57"/>
  <c r="F122" i="57"/>
  <c r="B122" i="57"/>
  <c r="R121" i="57"/>
  <c r="N121" i="57"/>
  <c r="J121" i="57"/>
  <c r="F121" i="57"/>
  <c r="B121" i="57"/>
  <c r="R120" i="57"/>
  <c r="N120" i="57"/>
  <c r="J120" i="57"/>
  <c r="F120" i="57"/>
  <c r="B120" i="57"/>
  <c r="R119" i="57"/>
  <c r="N119" i="57"/>
  <c r="J119" i="57"/>
  <c r="F119" i="57"/>
  <c r="B119" i="57"/>
  <c r="R118" i="57"/>
  <c r="N118" i="57"/>
  <c r="J118" i="57"/>
  <c r="F118" i="57"/>
  <c r="B118" i="57"/>
  <c r="R117" i="57"/>
  <c r="R113" i="57" s="1"/>
  <c r="N117" i="57"/>
  <c r="J117" i="57"/>
  <c r="F117" i="57"/>
  <c r="B117" i="57"/>
  <c r="R116" i="57"/>
  <c r="N116" i="57"/>
  <c r="J116" i="57"/>
  <c r="F116" i="57"/>
  <c r="B116" i="57"/>
  <c r="R115" i="57"/>
  <c r="N115" i="57"/>
  <c r="J115" i="57"/>
  <c r="F115" i="57"/>
  <c r="B115" i="57"/>
  <c r="R114" i="57"/>
  <c r="N114" i="57"/>
  <c r="J114" i="57"/>
  <c r="F114" i="57"/>
  <c r="B114" i="57"/>
  <c r="U113" i="57"/>
  <c r="T113" i="57"/>
  <c r="S113" i="57"/>
  <c r="Q113" i="57"/>
  <c r="N113" i="57" s="1"/>
  <c r="P113" i="57"/>
  <c r="O113" i="57"/>
  <c r="M113" i="57"/>
  <c r="L113" i="57"/>
  <c r="K113" i="57"/>
  <c r="J113" i="57"/>
  <c r="I113" i="57"/>
  <c r="F113" i="57" s="1"/>
  <c r="H113" i="57"/>
  <c r="G113" i="57"/>
  <c r="E113" i="57"/>
  <c r="D113" i="57"/>
  <c r="C113" i="57"/>
  <c r="B113" i="57"/>
  <c r="R112" i="57"/>
  <c r="N112" i="57"/>
  <c r="J112" i="57"/>
  <c r="F112" i="57"/>
  <c r="B112" i="57"/>
  <c r="R111" i="57"/>
  <c r="N111" i="57"/>
  <c r="J111" i="57"/>
  <c r="F111" i="57"/>
  <c r="B111" i="57"/>
  <c r="R110" i="57"/>
  <c r="N110" i="57"/>
  <c r="J110" i="57"/>
  <c r="F110" i="57"/>
  <c r="B110" i="57"/>
  <c r="R109" i="57"/>
  <c r="N109" i="57"/>
  <c r="J109" i="57"/>
  <c r="F109" i="57"/>
  <c r="B109" i="57"/>
  <c r="R108" i="57"/>
  <c r="N108" i="57"/>
  <c r="J108" i="57"/>
  <c r="F108" i="57"/>
  <c r="B108" i="57"/>
  <c r="R107" i="57"/>
  <c r="N107" i="57"/>
  <c r="J107" i="57"/>
  <c r="F107" i="57"/>
  <c r="B107" i="57"/>
  <c r="R106" i="57"/>
  <c r="N106" i="57"/>
  <c r="J106" i="57"/>
  <c r="F106" i="57"/>
  <c r="B106" i="57"/>
  <c r="R105" i="57"/>
  <c r="N105" i="57"/>
  <c r="J105" i="57"/>
  <c r="F105" i="57"/>
  <c r="B105" i="57"/>
  <c r="R104" i="57"/>
  <c r="N104" i="57"/>
  <c r="J104" i="57"/>
  <c r="F104" i="57"/>
  <c r="B104" i="57"/>
  <c r="R103" i="57"/>
  <c r="N103" i="57"/>
  <c r="J103" i="57"/>
  <c r="F103" i="57"/>
  <c r="B103" i="57"/>
  <c r="R102" i="57"/>
  <c r="N102" i="57"/>
  <c r="J102" i="57"/>
  <c r="F102" i="57"/>
  <c r="B102" i="57"/>
  <c r="R101" i="57"/>
  <c r="N101" i="57"/>
  <c r="J101" i="57"/>
  <c r="F101" i="57"/>
  <c r="B101" i="57"/>
  <c r="R100" i="57"/>
  <c r="N100" i="57"/>
  <c r="J100" i="57"/>
  <c r="F100" i="57"/>
  <c r="B100" i="57"/>
  <c r="R99" i="57"/>
  <c r="N99" i="57"/>
  <c r="J99" i="57"/>
  <c r="F99" i="57"/>
  <c r="B99" i="57"/>
  <c r="R98" i="57"/>
  <c r="N98" i="57"/>
  <c r="J98" i="57"/>
  <c r="F98" i="57"/>
  <c r="B98" i="57"/>
  <c r="R97" i="57"/>
  <c r="N97" i="57"/>
  <c r="J97" i="57"/>
  <c r="F97" i="57"/>
  <c r="B97" i="57"/>
  <c r="R96" i="57"/>
  <c r="N96" i="57"/>
  <c r="J96" i="57"/>
  <c r="F96" i="57"/>
  <c r="B96" i="57"/>
  <c r="R95" i="57"/>
  <c r="N95" i="57"/>
  <c r="J95" i="57"/>
  <c r="F95" i="57"/>
  <c r="B95" i="57"/>
  <c r="R94" i="57"/>
  <c r="N94" i="57"/>
  <c r="J94" i="57"/>
  <c r="F94" i="57"/>
  <c r="B94" i="57"/>
  <c r="U93" i="57"/>
  <c r="T93" i="57"/>
  <c r="S93" i="57"/>
  <c r="Q93" i="57"/>
  <c r="P93" i="57"/>
  <c r="O93" i="57"/>
  <c r="M93" i="57"/>
  <c r="L93" i="57"/>
  <c r="K93" i="57"/>
  <c r="I93" i="57"/>
  <c r="H93" i="57"/>
  <c r="G93" i="57"/>
  <c r="E93" i="57"/>
  <c r="D93" i="57"/>
  <c r="C93" i="57"/>
  <c r="R92" i="57"/>
  <c r="N92" i="57"/>
  <c r="J92" i="57"/>
  <c r="F92" i="57"/>
  <c r="B92" i="57"/>
  <c r="R91" i="57"/>
  <c r="N91" i="57"/>
  <c r="J91" i="57"/>
  <c r="F91" i="57"/>
  <c r="B91" i="57"/>
  <c r="R90" i="57"/>
  <c r="N90" i="57"/>
  <c r="J90" i="57"/>
  <c r="F90" i="57"/>
  <c r="B90" i="57"/>
  <c r="R89" i="57"/>
  <c r="N89" i="57"/>
  <c r="J89" i="57"/>
  <c r="F89" i="57"/>
  <c r="B89" i="57"/>
  <c r="R88" i="57"/>
  <c r="N88" i="57"/>
  <c r="J88" i="57"/>
  <c r="F88" i="57"/>
  <c r="B88" i="57"/>
  <c r="R87" i="57"/>
  <c r="N87" i="57"/>
  <c r="J87" i="57"/>
  <c r="F87" i="57"/>
  <c r="B87" i="57"/>
  <c r="R86" i="57"/>
  <c r="N86" i="57"/>
  <c r="J86" i="57"/>
  <c r="F86" i="57"/>
  <c r="B86" i="57"/>
  <c r="R85" i="57"/>
  <c r="N85" i="57"/>
  <c r="J85" i="57"/>
  <c r="F85" i="57"/>
  <c r="B85" i="57"/>
  <c r="R84" i="57"/>
  <c r="N84" i="57"/>
  <c r="J84" i="57"/>
  <c r="F84" i="57"/>
  <c r="B84" i="57"/>
  <c r="R83" i="57"/>
  <c r="N83" i="57"/>
  <c r="J83" i="57"/>
  <c r="F83" i="57"/>
  <c r="B83" i="57"/>
  <c r="R82" i="57"/>
  <c r="N82" i="57"/>
  <c r="J82" i="57"/>
  <c r="F82" i="57"/>
  <c r="B82" i="57"/>
  <c r="U81" i="57"/>
  <c r="T81" i="57"/>
  <c r="S81" i="57"/>
  <c r="Q81" i="57"/>
  <c r="P81" i="57"/>
  <c r="O81" i="57"/>
  <c r="M81" i="57"/>
  <c r="L81" i="57"/>
  <c r="K81" i="57"/>
  <c r="I81" i="57"/>
  <c r="H81" i="57"/>
  <c r="G81" i="57"/>
  <c r="E81" i="57"/>
  <c r="D81" i="57"/>
  <c r="C81" i="57"/>
  <c r="B81" i="57" s="1"/>
  <c r="R80" i="57"/>
  <c r="R78" i="57" s="1"/>
  <c r="N80" i="57"/>
  <c r="J80" i="57"/>
  <c r="F80" i="57"/>
  <c r="B80" i="57"/>
  <c r="R79" i="57"/>
  <c r="N79" i="57"/>
  <c r="J79" i="57"/>
  <c r="F79" i="57"/>
  <c r="B79" i="57"/>
  <c r="U78" i="57"/>
  <c r="T78" i="57"/>
  <c r="S78" i="57"/>
  <c r="Q78" i="57"/>
  <c r="P78" i="57"/>
  <c r="O78" i="57"/>
  <c r="N78" i="57" s="1"/>
  <c r="M78" i="57"/>
  <c r="L78" i="57"/>
  <c r="K78" i="57"/>
  <c r="J78" i="57" s="1"/>
  <c r="I78" i="57"/>
  <c r="H78" i="57"/>
  <c r="G78" i="57"/>
  <c r="F78" i="57" s="1"/>
  <c r="E78" i="57"/>
  <c r="D78" i="57"/>
  <c r="C78" i="57"/>
  <c r="B78" i="57" s="1"/>
  <c r="R77" i="57"/>
  <c r="N77" i="57"/>
  <c r="J77" i="57"/>
  <c r="F77" i="57"/>
  <c r="B77" i="57"/>
  <c r="R76" i="57"/>
  <c r="N76" i="57"/>
  <c r="J76" i="57"/>
  <c r="F76" i="57"/>
  <c r="B76" i="57"/>
  <c r="R75" i="57"/>
  <c r="N75" i="57"/>
  <c r="J75" i="57"/>
  <c r="F75" i="57"/>
  <c r="B75" i="57"/>
  <c r="R74" i="57"/>
  <c r="N74" i="57"/>
  <c r="J74" i="57"/>
  <c r="F74" i="57"/>
  <c r="B74" i="57"/>
  <c r="R73" i="57"/>
  <c r="N73" i="57"/>
  <c r="J73" i="57"/>
  <c r="F73" i="57"/>
  <c r="B73" i="57"/>
  <c r="R72" i="57"/>
  <c r="N72" i="57"/>
  <c r="J72" i="57"/>
  <c r="F72" i="57"/>
  <c r="B72" i="57"/>
  <c r="R71" i="57"/>
  <c r="N71" i="57"/>
  <c r="J71" i="57"/>
  <c r="F71" i="57"/>
  <c r="B71" i="57"/>
  <c r="R70" i="57"/>
  <c r="N70" i="57"/>
  <c r="J70" i="57"/>
  <c r="F70" i="57"/>
  <c r="B70" i="57"/>
  <c r="R69" i="57"/>
  <c r="N69" i="57"/>
  <c r="J69" i="57"/>
  <c r="F69" i="57"/>
  <c r="B69" i="57"/>
  <c r="R68" i="57"/>
  <c r="N68" i="57"/>
  <c r="J68" i="57"/>
  <c r="F68" i="57"/>
  <c r="B68" i="57"/>
  <c r="R67" i="57"/>
  <c r="N67" i="57"/>
  <c r="J67" i="57"/>
  <c r="F67" i="57"/>
  <c r="B67" i="57"/>
  <c r="R66" i="57"/>
  <c r="N66" i="57"/>
  <c r="J66" i="57"/>
  <c r="F66" i="57"/>
  <c r="B66" i="57"/>
  <c r="R65" i="57"/>
  <c r="N65" i="57"/>
  <c r="J65" i="57"/>
  <c r="F65" i="57"/>
  <c r="B65" i="57"/>
  <c r="U64" i="57"/>
  <c r="T64" i="57"/>
  <c r="S64" i="57"/>
  <c r="Q64" i="57"/>
  <c r="P64" i="57"/>
  <c r="O64" i="57"/>
  <c r="N64" i="57" s="1"/>
  <c r="M64" i="57"/>
  <c r="L64" i="57"/>
  <c r="K64" i="57"/>
  <c r="J64" i="57" s="1"/>
  <c r="I64" i="57"/>
  <c r="H64" i="57"/>
  <c r="G64" i="57"/>
  <c r="E64" i="57"/>
  <c r="D64" i="57"/>
  <c r="C64" i="57"/>
  <c r="N63" i="57"/>
  <c r="J63" i="57"/>
  <c r="F63" i="57"/>
  <c r="B63" i="57"/>
  <c r="N62" i="57"/>
  <c r="J62" i="57"/>
  <c r="F62" i="57"/>
  <c r="B62" i="57"/>
  <c r="N61" i="57"/>
  <c r="J61" i="57"/>
  <c r="F61" i="57"/>
  <c r="B61" i="57"/>
  <c r="N60" i="57"/>
  <c r="J60" i="57"/>
  <c r="F60" i="57"/>
  <c r="B60" i="57"/>
  <c r="N59" i="57"/>
  <c r="J59" i="57"/>
  <c r="F59" i="57"/>
  <c r="B59" i="57"/>
  <c r="N58" i="57"/>
  <c r="J58" i="57"/>
  <c r="F58" i="57"/>
  <c r="B58" i="57"/>
  <c r="N57" i="57"/>
  <c r="J57" i="57"/>
  <c r="F57" i="57"/>
  <c r="B57" i="57"/>
  <c r="U56" i="57"/>
  <c r="T56" i="57"/>
  <c r="S56" i="57"/>
  <c r="R56" i="57"/>
  <c r="Q56" i="57"/>
  <c r="P56" i="57"/>
  <c r="O56" i="57"/>
  <c r="N56" i="57" s="1"/>
  <c r="M56" i="57"/>
  <c r="L56" i="57"/>
  <c r="K56" i="57"/>
  <c r="J56" i="57" s="1"/>
  <c r="I56" i="57"/>
  <c r="H56" i="57"/>
  <c r="G56" i="57"/>
  <c r="E56" i="57"/>
  <c r="D56" i="57"/>
  <c r="C56" i="57"/>
  <c r="R55" i="57"/>
  <c r="N55" i="57"/>
  <c r="J55" i="57"/>
  <c r="F55" i="57"/>
  <c r="B55" i="57"/>
  <c r="R54" i="57"/>
  <c r="N54" i="57"/>
  <c r="J54" i="57"/>
  <c r="F54" i="57"/>
  <c r="B54" i="57"/>
  <c r="R53" i="57"/>
  <c r="N53" i="57"/>
  <c r="J53" i="57"/>
  <c r="F53" i="57"/>
  <c r="B53" i="57"/>
  <c r="R52" i="57"/>
  <c r="N52" i="57"/>
  <c r="J52" i="57"/>
  <c r="F52" i="57"/>
  <c r="B52" i="57"/>
  <c r="R51" i="57"/>
  <c r="N51" i="57"/>
  <c r="J51" i="57"/>
  <c r="F51" i="57"/>
  <c r="B51" i="57"/>
  <c r="R50" i="57"/>
  <c r="N50" i="57"/>
  <c r="J50" i="57"/>
  <c r="F50" i="57"/>
  <c r="B50" i="57"/>
  <c r="R49" i="57"/>
  <c r="N49" i="57"/>
  <c r="J49" i="57"/>
  <c r="F49" i="57"/>
  <c r="B49" i="57"/>
  <c r="R48" i="57"/>
  <c r="N48" i="57"/>
  <c r="J48" i="57"/>
  <c r="F48" i="57"/>
  <c r="B48" i="57"/>
  <c r="U47" i="57"/>
  <c r="T47" i="57"/>
  <c r="S47" i="57"/>
  <c r="Q47" i="57"/>
  <c r="P47" i="57"/>
  <c r="O47" i="57"/>
  <c r="N47" i="57" s="1"/>
  <c r="M47" i="57"/>
  <c r="L47" i="57"/>
  <c r="K47" i="57"/>
  <c r="I47" i="57"/>
  <c r="H47" i="57"/>
  <c r="G47" i="57"/>
  <c r="E47" i="57"/>
  <c r="D47" i="57"/>
  <c r="C47" i="57"/>
  <c r="B47" i="57" s="1"/>
  <c r="R46" i="57"/>
  <c r="N46" i="57"/>
  <c r="J46" i="57"/>
  <c r="F46" i="57"/>
  <c r="B46" i="57"/>
  <c r="R45" i="57"/>
  <c r="N45" i="57"/>
  <c r="J45" i="57"/>
  <c r="F45" i="57"/>
  <c r="B45" i="57"/>
  <c r="R44" i="57"/>
  <c r="N44" i="57"/>
  <c r="J44" i="57"/>
  <c r="F44" i="57"/>
  <c r="B44" i="57"/>
  <c r="U43" i="57"/>
  <c r="T43" i="57"/>
  <c r="S43" i="57"/>
  <c r="R43" i="57"/>
  <c r="Q43" i="57"/>
  <c r="N43" i="57" s="1"/>
  <c r="P43" i="57"/>
  <c r="O43" i="57"/>
  <c r="M43" i="57"/>
  <c r="L43" i="57"/>
  <c r="K43" i="57"/>
  <c r="J43" i="57"/>
  <c r="I43" i="57"/>
  <c r="F43" i="57" s="1"/>
  <c r="H43" i="57"/>
  <c r="G43" i="57"/>
  <c r="E43" i="57"/>
  <c r="D43" i="57"/>
  <c r="C43" i="57"/>
  <c r="B43" i="57"/>
  <c r="R42" i="57"/>
  <c r="R40" i="57" s="1"/>
  <c r="N42" i="57"/>
  <c r="J42" i="57"/>
  <c r="F42" i="57"/>
  <c r="B42" i="57"/>
  <c r="R41" i="57"/>
  <c r="N41" i="57"/>
  <c r="J41" i="57"/>
  <c r="F41" i="57"/>
  <c r="B41" i="57"/>
  <c r="U40" i="57"/>
  <c r="T40" i="57"/>
  <c r="S40" i="57"/>
  <c r="Q40" i="57"/>
  <c r="P40" i="57"/>
  <c r="O40" i="57"/>
  <c r="N40" i="57" s="1"/>
  <c r="M40" i="57"/>
  <c r="L40" i="57"/>
  <c r="K40" i="57"/>
  <c r="I40" i="57"/>
  <c r="H40" i="57"/>
  <c r="G40" i="57"/>
  <c r="E40" i="57"/>
  <c r="D40" i="57"/>
  <c r="C40" i="57"/>
  <c r="R39" i="57"/>
  <c r="N39" i="57"/>
  <c r="J39" i="57"/>
  <c r="F39" i="57"/>
  <c r="B39" i="57"/>
  <c r="R38" i="57"/>
  <c r="N38" i="57"/>
  <c r="J38" i="57"/>
  <c r="F38" i="57"/>
  <c r="B38" i="57"/>
  <c r="R37" i="57"/>
  <c r="N37" i="57"/>
  <c r="J37" i="57"/>
  <c r="F37" i="57"/>
  <c r="B37" i="57"/>
  <c r="R36" i="57"/>
  <c r="N36" i="57"/>
  <c r="J36" i="57"/>
  <c r="F36" i="57"/>
  <c r="B36" i="57"/>
  <c r="R35" i="57"/>
  <c r="N35" i="57"/>
  <c r="J35" i="57"/>
  <c r="F35" i="57"/>
  <c r="B35" i="57"/>
  <c r="R34" i="57"/>
  <c r="N34" i="57"/>
  <c r="J34" i="57"/>
  <c r="F34" i="57"/>
  <c r="B34" i="57"/>
  <c r="R33" i="57"/>
  <c r="N33" i="57"/>
  <c r="J33" i="57"/>
  <c r="F33" i="57"/>
  <c r="B33" i="57"/>
  <c r="R32" i="57"/>
  <c r="R31" i="57" s="1"/>
  <c r="N32" i="57"/>
  <c r="J32" i="57"/>
  <c r="F32" i="57"/>
  <c r="U31" i="57"/>
  <c r="T31" i="57"/>
  <c r="S31" i="57"/>
  <c r="Q31" i="57"/>
  <c r="P31" i="57"/>
  <c r="O31" i="57"/>
  <c r="N31" i="57"/>
  <c r="M31" i="57"/>
  <c r="J31" i="57" s="1"/>
  <c r="L31" i="57"/>
  <c r="K31" i="57"/>
  <c r="I31" i="57"/>
  <c r="H31" i="57"/>
  <c r="G31" i="57"/>
  <c r="F31" i="57"/>
  <c r="E31" i="57"/>
  <c r="B31" i="57" s="1"/>
  <c r="D31" i="57"/>
  <c r="C31" i="57"/>
  <c r="R30" i="57"/>
  <c r="R26" i="57" s="1"/>
  <c r="N30" i="57"/>
  <c r="J30" i="57"/>
  <c r="F30" i="57"/>
  <c r="B30" i="57"/>
  <c r="R29" i="57"/>
  <c r="N29" i="57"/>
  <c r="J29" i="57"/>
  <c r="F29" i="57"/>
  <c r="B29" i="57"/>
  <c r="R28" i="57"/>
  <c r="N28" i="57"/>
  <c r="N26" i="57" s="1"/>
  <c r="J28" i="57"/>
  <c r="F28" i="57"/>
  <c r="B28" i="57"/>
  <c r="R27" i="57"/>
  <c r="N27" i="57"/>
  <c r="J27" i="57"/>
  <c r="F27" i="57"/>
  <c r="B27" i="57"/>
  <c r="U26" i="57"/>
  <c r="T26" i="57"/>
  <c r="S26" i="57"/>
  <c r="Q26" i="57"/>
  <c r="P26" i="57"/>
  <c r="O26" i="57"/>
  <c r="M26" i="57"/>
  <c r="J26" i="57" s="1"/>
  <c r="L26" i="57"/>
  <c r="K26" i="57"/>
  <c r="I26" i="57"/>
  <c r="H26" i="57"/>
  <c r="G26" i="57"/>
  <c r="F26" i="57"/>
  <c r="E26" i="57"/>
  <c r="B26" i="57" s="1"/>
  <c r="D26" i="57"/>
  <c r="C26" i="57"/>
  <c r="R25" i="57"/>
  <c r="N25" i="57"/>
  <c r="J25" i="57"/>
  <c r="F25" i="57"/>
  <c r="B25" i="57"/>
  <c r="R24" i="57"/>
  <c r="R22" i="57" s="1"/>
  <c r="N24" i="57"/>
  <c r="J24" i="57"/>
  <c r="F24" i="57"/>
  <c r="B24" i="57"/>
  <c r="R23" i="57"/>
  <c r="N23" i="57"/>
  <c r="J23" i="57"/>
  <c r="F23" i="57"/>
  <c r="B23" i="57"/>
  <c r="U22" i="57"/>
  <c r="T22" i="57"/>
  <c r="S22" i="57"/>
  <c r="Q22" i="57"/>
  <c r="P22" i="57"/>
  <c r="O22" i="57"/>
  <c r="M22" i="57"/>
  <c r="L22" i="57"/>
  <c r="K22" i="57"/>
  <c r="I22" i="57"/>
  <c r="H22" i="57"/>
  <c r="G22" i="57"/>
  <c r="E22" i="57"/>
  <c r="B22" i="57" s="1"/>
  <c r="D22" i="57"/>
  <c r="C22" i="57"/>
  <c r="N21" i="57"/>
  <c r="J21" i="57"/>
  <c r="F21" i="57"/>
  <c r="B21" i="57"/>
  <c r="N20" i="57"/>
  <c r="J20" i="57"/>
  <c r="F20" i="57"/>
  <c r="B20" i="57"/>
  <c r="N19" i="57"/>
  <c r="J19" i="57"/>
  <c r="F19" i="57"/>
  <c r="B19" i="57"/>
  <c r="R18" i="57"/>
  <c r="R16" i="57" s="1"/>
  <c r="N18" i="57"/>
  <c r="J18" i="57"/>
  <c r="F18" i="57"/>
  <c r="B18" i="57"/>
  <c r="R17" i="57"/>
  <c r="N17" i="57"/>
  <c r="J17" i="57"/>
  <c r="F17" i="57"/>
  <c r="B17" i="57"/>
  <c r="U16" i="57"/>
  <c r="T16" i="57"/>
  <c r="S16" i="57"/>
  <c r="Q16" i="57"/>
  <c r="P16" i="57"/>
  <c r="O16" i="57"/>
  <c r="M16" i="57"/>
  <c r="L16" i="57"/>
  <c r="K16" i="57"/>
  <c r="I16" i="57"/>
  <c r="H16" i="57"/>
  <c r="G16" i="57"/>
  <c r="E16" i="57"/>
  <c r="D16" i="57"/>
  <c r="C16" i="57"/>
  <c r="N15" i="57"/>
  <c r="J15" i="57"/>
  <c r="F15" i="57"/>
  <c r="B15" i="57"/>
  <c r="R14" i="57"/>
  <c r="R12" i="57" s="1"/>
  <c r="N14" i="57"/>
  <c r="J14" i="57"/>
  <c r="F14" i="57"/>
  <c r="B14" i="57"/>
  <c r="R13" i="57"/>
  <c r="N13" i="57"/>
  <c r="J13" i="57"/>
  <c r="F13" i="57"/>
  <c r="B13" i="57"/>
  <c r="U12" i="57"/>
  <c r="T12" i="57"/>
  <c r="S12" i="57"/>
  <c r="Q12" i="57"/>
  <c r="P12" i="57"/>
  <c r="O12" i="57"/>
  <c r="N12" i="57" s="1"/>
  <c r="M12" i="57"/>
  <c r="L12" i="57"/>
  <c r="K12" i="57"/>
  <c r="J12" i="57" s="1"/>
  <c r="I12" i="57"/>
  <c r="H12" i="57"/>
  <c r="G12" i="57"/>
  <c r="F12" i="57" s="1"/>
  <c r="E12" i="57"/>
  <c r="D12" i="57"/>
  <c r="C12" i="57"/>
  <c r="B12" i="57" s="1"/>
  <c r="R11" i="57"/>
  <c r="N11" i="57"/>
  <c r="J11" i="57"/>
  <c r="F11" i="57"/>
  <c r="B11" i="57"/>
  <c r="R10" i="57"/>
  <c r="N10" i="57"/>
  <c r="J10" i="57"/>
  <c r="F10" i="57"/>
  <c r="B10" i="57"/>
  <c r="R9" i="57"/>
  <c r="R7" i="57" s="1"/>
  <c r="N9" i="57"/>
  <c r="J9" i="57"/>
  <c r="F9" i="57"/>
  <c r="B9" i="57"/>
  <c r="R8" i="57"/>
  <c r="N8" i="57"/>
  <c r="J8" i="57"/>
  <c r="F8" i="57"/>
  <c r="B8" i="57"/>
  <c r="U7" i="57"/>
  <c r="T7" i="57"/>
  <c r="S7" i="57"/>
  <c r="Q7" i="57"/>
  <c r="P7" i="57"/>
  <c r="O7" i="57"/>
  <c r="N7" i="57" s="1"/>
  <c r="M7" i="57"/>
  <c r="L7" i="57"/>
  <c r="K7" i="57"/>
  <c r="J7" i="57" s="1"/>
  <c r="I7" i="57"/>
  <c r="H7" i="57"/>
  <c r="G7" i="57"/>
  <c r="F7" i="57" s="1"/>
  <c r="E7" i="57"/>
  <c r="D7" i="57"/>
  <c r="C7" i="57"/>
  <c r="B7" i="57" s="1"/>
  <c r="K124" i="56"/>
  <c r="H124" i="56"/>
  <c r="E124" i="56"/>
  <c r="B124" i="56"/>
  <c r="N123" i="56"/>
  <c r="K123" i="56"/>
  <c r="H123" i="56"/>
  <c r="E123" i="56"/>
  <c r="B123" i="56"/>
  <c r="K122" i="56"/>
  <c r="H122" i="56"/>
  <c r="E122" i="56"/>
  <c r="B122" i="56"/>
  <c r="K121" i="56"/>
  <c r="H121" i="56"/>
  <c r="E121" i="56"/>
  <c r="B121" i="56"/>
  <c r="K120" i="56"/>
  <c r="H120" i="56"/>
  <c r="E120" i="56"/>
  <c r="B120" i="56"/>
  <c r="K119" i="56"/>
  <c r="H119" i="56"/>
  <c r="E119" i="56"/>
  <c r="B119" i="56"/>
  <c r="K118" i="56"/>
  <c r="H118" i="56"/>
  <c r="E118" i="56"/>
  <c r="B118" i="56"/>
  <c r="K117" i="56"/>
  <c r="H117" i="56"/>
  <c r="E117" i="56"/>
  <c r="B117" i="56"/>
  <c r="K116" i="56"/>
  <c r="H116" i="56"/>
  <c r="E116" i="56"/>
  <c r="B116" i="56"/>
  <c r="N115" i="56"/>
  <c r="N113" i="56" s="1"/>
  <c r="K115" i="56"/>
  <c r="H115" i="56"/>
  <c r="E115" i="56"/>
  <c r="B115" i="56"/>
  <c r="K114" i="56"/>
  <c r="H114" i="56"/>
  <c r="E114" i="56"/>
  <c r="B114" i="56"/>
  <c r="P113" i="56"/>
  <c r="O113" i="56"/>
  <c r="M113" i="56"/>
  <c r="L113" i="56"/>
  <c r="K113" i="56" s="1"/>
  <c r="J113" i="56"/>
  <c r="I113" i="56"/>
  <c r="G113" i="56"/>
  <c r="F113" i="56"/>
  <c r="D113" i="56"/>
  <c r="C113" i="56"/>
  <c r="B113" i="56" s="1"/>
  <c r="K112" i="56"/>
  <c r="H112" i="56"/>
  <c r="E112" i="56"/>
  <c r="B112" i="56"/>
  <c r="N111" i="56"/>
  <c r="K111" i="56"/>
  <c r="H111" i="56"/>
  <c r="E111" i="56"/>
  <c r="B111" i="56"/>
  <c r="K110" i="56"/>
  <c r="H110" i="56"/>
  <c r="E110" i="56"/>
  <c r="B110" i="56"/>
  <c r="N109" i="56"/>
  <c r="K109" i="56"/>
  <c r="H109" i="56"/>
  <c r="E109" i="56"/>
  <c r="B109" i="56"/>
  <c r="K108" i="56"/>
  <c r="H108" i="56"/>
  <c r="E108" i="56"/>
  <c r="B108" i="56"/>
  <c r="N107" i="56"/>
  <c r="K107" i="56"/>
  <c r="H107" i="56"/>
  <c r="E107" i="56"/>
  <c r="B107" i="56"/>
  <c r="N106" i="56"/>
  <c r="K106" i="56"/>
  <c r="H106" i="56"/>
  <c r="E106" i="56"/>
  <c r="B106" i="56"/>
  <c r="N105" i="56"/>
  <c r="K105" i="56"/>
  <c r="H105" i="56"/>
  <c r="E105" i="56"/>
  <c r="B105" i="56"/>
  <c r="N104" i="56"/>
  <c r="K104" i="56"/>
  <c r="H104" i="56"/>
  <c r="E104" i="56"/>
  <c r="B104" i="56"/>
  <c r="K103" i="56"/>
  <c r="H103" i="56"/>
  <c r="E103" i="56"/>
  <c r="B103" i="56"/>
  <c r="K102" i="56"/>
  <c r="H102" i="56"/>
  <c r="E102" i="56"/>
  <c r="B102" i="56"/>
  <c r="N101" i="56"/>
  <c r="K101" i="56"/>
  <c r="H101" i="56"/>
  <c r="E101" i="56"/>
  <c r="B101" i="56"/>
  <c r="N100" i="56"/>
  <c r="K100" i="56"/>
  <c r="H100" i="56"/>
  <c r="E100" i="56"/>
  <c r="B100" i="56"/>
  <c r="K99" i="56"/>
  <c r="H99" i="56"/>
  <c r="E99" i="56"/>
  <c r="B99" i="56"/>
  <c r="K98" i="56"/>
  <c r="H98" i="56"/>
  <c r="E98" i="56"/>
  <c r="B98" i="56"/>
  <c r="K97" i="56"/>
  <c r="H97" i="56"/>
  <c r="E97" i="56"/>
  <c r="B97" i="56"/>
  <c r="K96" i="56"/>
  <c r="H96" i="56"/>
  <c r="E96" i="56"/>
  <c r="B96" i="56"/>
  <c r="N95" i="56"/>
  <c r="K95" i="56"/>
  <c r="H95" i="56"/>
  <c r="E95" i="56"/>
  <c r="B95" i="56"/>
  <c r="N94" i="56"/>
  <c r="K94" i="56"/>
  <c r="H94" i="56"/>
  <c r="E94" i="56"/>
  <c r="B94" i="56"/>
  <c r="P93" i="56"/>
  <c r="O93" i="56"/>
  <c r="M93" i="56"/>
  <c r="L93" i="56"/>
  <c r="K93" i="56" s="1"/>
  <c r="J93" i="56"/>
  <c r="I93" i="56"/>
  <c r="H93" i="56" s="1"/>
  <c r="G93" i="56"/>
  <c r="F93" i="56"/>
  <c r="D93" i="56"/>
  <c r="C93" i="56"/>
  <c r="K92" i="56"/>
  <c r="H92" i="56"/>
  <c r="E92" i="56"/>
  <c r="B92" i="56"/>
  <c r="K91" i="56"/>
  <c r="H91" i="56"/>
  <c r="E91" i="56"/>
  <c r="B91" i="56"/>
  <c r="K90" i="56"/>
  <c r="H90" i="56"/>
  <c r="E90" i="56"/>
  <c r="B90" i="56"/>
  <c r="K89" i="56"/>
  <c r="H89" i="56"/>
  <c r="E89" i="56"/>
  <c r="B89" i="56"/>
  <c r="N88" i="56"/>
  <c r="K88" i="56"/>
  <c r="H88" i="56"/>
  <c r="E88" i="56"/>
  <c r="B88" i="56"/>
  <c r="N87" i="56"/>
  <c r="N81" i="56" s="1"/>
  <c r="K87" i="56"/>
  <c r="H87" i="56"/>
  <c r="E87" i="56"/>
  <c r="B87" i="56"/>
  <c r="K86" i="56"/>
  <c r="H86" i="56"/>
  <c r="E86" i="56"/>
  <c r="B86" i="56"/>
  <c r="K85" i="56"/>
  <c r="H85" i="56"/>
  <c r="E85" i="56"/>
  <c r="B85" i="56"/>
  <c r="K84" i="56"/>
  <c r="H84" i="56"/>
  <c r="E84" i="56"/>
  <c r="B84" i="56"/>
  <c r="K83" i="56"/>
  <c r="H83" i="56"/>
  <c r="E83" i="56"/>
  <c r="B83" i="56"/>
  <c r="K82" i="56"/>
  <c r="H82" i="56"/>
  <c r="E82" i="56"/>
  <c r="B82" i="56"/>
  <c r="P81" i="56"/>
  <c r="O81" i="56"/>
  <c r="M81" i="56"/>
  <c r="L81" i="56"/>
  <c r="J81" i="56"/>
  <c r="H81" i="56" s="1"/>
  <c r="I81" i="56"/>
  <c r="G81" i="56"/>
  <c r="F81" i="56"/>
  <c r="E81" i="56" s="1"/>
  <c r="D81" i="56"/>
  <c r="C81" i="56"/>
  <c r="K80" i="56"/>
  <c r="H80" i="56"/>
  <c r="E80" i="56"/>
  <c r="B80" i="56"/>
  <c r="K79" i="56"/>
  <c r="H79" i="56"/>
  <c r="E79" i="56"/>
  <c r="B79" i="56"/>
  <c r="P78" i="56"/>
  <c r="O78" i="56"/>
  <c r="N78" i="56"/>
  <c r="M78" i="56"/>
  <c r="L78" i="56"/>
  <c r="K78" i="56" s="1"/>
  <c r="J78" i="56"/>
  <c r="I78" i="56"/>
  <c r="H78" i="56"/>
  <c r="G78" i="56"/>
  <c r="F78" i="56"/>
  <c r="D78" i="56"/>
  <c r="C78" i="56"/>
  <c r="B78" i="56" s="1"/>
  <c r="K77" i="56"/>
  <c r="H77" i="56"/>
  <c r="E77" i="56"/>
  <c r="B77" i="56"/>
  <c r="K76" i="56"/>
  <c r="H76" i="56"/>
  <c r="E76" i="56"/>
  <c r="B76" i="56"/>
  <c r="K75" i="56"/>
  <c r="H75" i="56"/>
  <c r="E75" i="56"/>
  <c r="B75" i="56"/>
  <c r="N74" i="56"/>
  <c r="K74" i="56"/>
  <c r="H74" i="56"/>
  <c r="E74" i="56"/>
  <c r="B74" i="56"/>
  <c r="K73" i="56"/>
  <c r="H73" i="56"/>
  <c r="E73" i="56"/>
  <c r="B73" i="56"/>
  <c r="K72" i="56"/>
  <c r="H72" i="56"/>
  <c r="E72" i="56"/>
  <c r="B72" i="56"/>
  <c r="N71" i="56"/>
  <c r="K71" i="56"/>
  <c r="H71" i="56"/>
  <c r="E71" i="56"/>
  <c r="B71" i="56"/>
  <c r="K70" i="56"/>
  <c r="H70" i="56"/>
  <c r="E70" i="56"/>
  <c r="B70" i="56"/>
  <c r="K69" i="56"/>
  <c r="H69" i="56"/>
  <c r="E69" i="56"/>
  <c r="B69" i="56"/>
  <c r="K68" i="56"/>
  <c r="H68" i="56"/>
  <c r="E68" i="56"/>
  <c r="B68" i="56"/>
  <c r="K67" i="56"/>
  <c r="H67" i="56"/>
  <c r="E67" i="56"/>
  <c r="B67" i="56"/>
  <c r="K66" i="56"/>
  <c r="H66" i="56"/>
  <c r="E66" i="56"/>
  <c r="B66" i="56"/>
  <c r="K65" i="56"/>
  <c r="H65" i="56"/>
  <c r="E65" i="56"/>
  <c r="B65" i="56"/>
  <c r="P64" i="56"/>
  <c r="O64" i="56"/>
  <c r="M64" i="56"/>
  <c r="L64" i="56"/>
  <c r="J64" i="56"/>
  <c r="I64" i="56"/>
  <c r="H64" i="56" s="1"/>
  <c r="G64" i="56"/>
  <c r="E64" i="56" s="1"/>
  <c r="F64" i="56"/>
  <c r="D64" i="56"/>
  <c r="C64" i="56"/>
  <c r="B64" i="56" s="1"/>
  <c r="K63" i="56"/>
  <c r="H63" i="56"/>
  <c r="E63" i="56"/>
  <c r="B63" i="56"/>
  <c r="K62" i="56"/>
  <c r="H62" i="56"/>
  <c r="E62" i="56"/>
  <c r="B62" i="56"/>
  <c r="K61" i="56"/>
  <c r="H61" i="56"/>
  <c r="E61" i="56"/>
  <c r="B61" i="56"/>
  <c r="K60" i="56"/>
  <c r="H60" i="56"/>
  <c r="E60" i="56"/>
  <c r="B60" i="56"/>
  <c r="K59" i="56"/>
  <c r="H59" i="56"/>
  <c r="E59" i="56"/>
  <c r="B59" i="56"/>
  <c r="K58" i="56"/>
  <c r="H58" i="56"/>
  <c r="E58" i="56"/>
  <c r="B58" i="56"/>
  <c r="K57" i="56"/>
  <c r="H57" i="56"/>
  <c r="E57" i="56"/>
  <c r="B57" i="56"/>
  <c r="P56" i="56"/>
  <c r="O56" i="56"/>
  <c r="N56" i="56"/>
  <c r="M56" i="56"/>
  <c r="L56" i="56"/>
  <c r="K56" i="56" s="1"/>
  <c r="J56" i="56"/>
  <c r="I56" i="56"/>
  <c r="H56" i="56" s="1"/>
  <c r="G56" i="56"/>
  <c r="F56" i="56"/>
  <c r="D56" i="56"/>
  <c r="C56" i="56"/>
  <c r="K55" i="56"/>
  <c r="H55" i="56"/>
  <c r="E55" i="56"/>
  <c r="B55" i="56"/>
  <c r="N54" i="56"/>
  <c r="K54" i="56"/>
  <c r="H54" i="56"/>
  <c r="E54" i="56"/>
  <c r="B54" i="56"/>
  <c r="K53" i="56"/>
  <c r="H53" i="56"/>
  <c r="E53" i="56"/>
  <c r="B53" i="56"/>
  <c r="K52" i="56"/>
  <c r="H52" i="56"/>
  <c r="E52" i="56"/>
  <c r="B52" i="56"/>
  <c r="K51" i="56"/>
  <c r="H51" i="56"/>
  <c r="E51" i="56"/>
  <c r="B51" i="56"/>
  <c r="K50" i="56"/>
  <c r="H50" i="56"/>
  <c r="E50" i="56"/>
  <c r="B50" i="56"/>
  <c r="K49" i="56"/>
  <c r="H49" i="56"/>
  <c r="E49" i="56"/>
  <c r="B49" i="56"/>
  <c r="K48" i="56"/>
  <c r="H48" i="56"/>
  <c r="E48" i="56"/>
  <c r="B48" i="56"/>
  <c r="P47" i="56"/>
  <c r="O47" i="56"/>
  <c r="N47" i="56"/>
  <c r="M47" i="56"/>
  <c r="L47" i="56"/>
  <c r="K47" i="56"/>
  <c r="J47" i="56"/>
  <c r="I47" i="56"/>
  <c r="H47" i="56"/>
  <c r="G47" i="56"/>
  <c r="F47" i="56"/>
  <c r="D47" i="56"/>
  <c r="C47" i="56"/>
  <c r="K46" i="56"/>
  <c r="H46" i="56"/>
  <c r="E46" i="56"/>
  <c r="B46" i="56"/>
  <c r="K45" i="56"/>
  <c r="H45" i="56"/>
  <c r="E45" i="56"/>
  <c r="B45" i="56"/>
  <c r="N44" i="56"/>
  <c r="N43" i="56" s="1"/>
  <c r="K44" i="56"/>
  <c r="H44" i="56"/>
  <c r="E44" i="56"/>
  <c r="B44" i="56"/>
  <c r="P43" i="56"/>
  <c r="O43" i="56"/>
  <c r="M43" i="56"/>
  <c r="L43" i="56"/>
  <c r="K43" i="56" s="1"/>
  <c r="J43" i="56"/>
  <c r="I43" i="56"/>
  <c r="H43" i="56" s="1"/>
  <c r="G43" i="56"/>
  <c r="F43" i="56"/>
  <c r="D43" i="56"/>
  <c r="C43" i="56"/>
  <c r="K42" i="56"/>
  <c r="H42" i="56"/>
  <c r="E42" i="56"/>
  <c r="B42" i="56"/>
  <c r="K41" i="56"/>
  <c r="H41" i="56"/>
  <c r="E41" i="56"/>
  <c r="B41" i="56"/>
  <c r="P40" i="56"/>
  <c r="O40" i="56"/>
  <c r="N40" i="56"/>
  <c r="M40" i="56"/>
  <c r="L40" i="56"/>
  <c r="K40" i="56"/>
  <c r="J40" i="56"/>
  <c r="H40" i="56" s="1"/>
  <c r="I40" i="56"/>
  <c r="G40" i="56"/>
  <c r="F40" i="56"/>
  <c r="D40" i="56"/>
  <c r="B40" i="56" s="1"/>
  <c r="C40" i="56"/>
  <c r="K39" i="56"/>
  <c r="H39" i="56"/>
  <c r="E39" i="56"/>
  <c r="B39" i="56"/>
  <c r="K38" i="56"/>
  <c r="H38" i="56"/>
  <c r="E38" i="56"/>
  <c r="B38" i="56"/>
  <c r="N37" i="56"/>
  <c r="K37" i="56"/>
  <c r="H37" i="56"/>
  <c r="E37" i="56"/>
  <c r="B37" i="56"/>
  <c r="K36" i="56"/>
  <c r="H36" i="56"/>
  <c r="E36" i="56"/>
  <c r="B36" i="56"/>
  <c r="K35" i="56"/>
  <c r="H35" i="56"/>
  <c r="E35" i="56"/>
  <c r="B35" i="56"/>
  <c r="N34" i="56"/>
  <c r="N31" i="56" s="1"/>
  <c r="K34" i="56"/>
  <c r="H34" i="56"/>
  <c r="E34" i="56"/>
  <c r="B34" i="56"/>
  <c r="K33" i="56"/>
  <c r="H33" i="56"/>
  <c r="E33" i="56"/>
  <c r="B33" i="56"/>
  <c r="K32" i="56"/>
  <c r="H32" i="56"/>
  <c r="E32" i="56"/>
  <c r="B32" i="56"/>
  <c r="P31" i="56"/>
  <c r="O31" i="56"/>
  <c r="M31" i="56"/>
  <c r="K31" i="56" s="1"/>
  <c r="L31" i="56"/>
  <c r="J31" i="56"/>
  <c r="I31" i="56"/>
  <c r="H31" i="56" s="1"/>
  <c r="G31" i="56"/>
  <c r="F31" i="56"/>
  <c r="D31" i="56"/>
  <c r="C31" i="56"/>
  <c r="K30" i="56"/>
  <c r="H30" i="56"/>
  <c r="E30" i="56"/>
  <c r="B30" i="56"/>
  <c r="K29" i="56"/>
  <c r="H29" i="56"/>
  <c r="E29" i="56"/>
  <c r="B29" i="56"/>
  <c r="K28" i="56"/>
  <c r="H28" i="56"/>
  <c r="E28" i="56"/>
  <c r="B28" i="56"/>
  <c r="K27" i="56"/>
  <c r="H27" i="56"/>
  <c r="E27" i="56"/>
  <c r="B27" i="56"/>
  <c r="P26" i="56"/>
  <c r="O26" i="56"/>
  <c r="N26" i="56"/>
  <c r="M26" i="56"/>
  <c r="L26" i="56"/>
  <c r="K26" i="56"/>
  <c r="J26" i="56"/>
  <c r="I26" i="56"/>
  <c r="G26" i="56"/>
  <c r="F26" i="56"/>
  <c r="D26" i="56"/>
  <c r="C26" i="56"/>
  <c r="B26" i="56" s="1"/>
  <c r="K25" i="56"/>
  <c r="H25" i="56"/>
  <c r="E25" i="56"/>
  <c r="B25" i="56"/>
  <c r="K24" i="56"/>
  <c r="H24" i="56"/>
  <c r="E24" i="56"/>
  <c r="B24" i="56"/>
  <c r="K23" i="56"/>
  <c r="H23" i="56"/>
  <c r="E23" i="56"/>
  <c r="B23" i="56"/>
  <c r="P22" i="56"/>
  <c r="O22" i="56"/>
  <c r="N22" i="56"/>
  <c r="M22" i="56"/>
  <c r="L22" i="56"/>
  <c r="J22" i="56"/>
  <c r="I22" i="56"/>
  <c r="G22" i="56"/>
  <c r="F22" i="56"/>
  <c r="E22" i="56"/>
  <c r="D22" i="56"/>
  <c r="C22" i="56"/>
  <c r="B22" i="56"/>
  <c r="K21" i="56"/>
  <c r="H21" i="56"/>
  <c r="E21" i="56"/>
  <c r="B21" i="56"/>
  <c r="N20" i="56"/>
  <c r="N16" i="56" s="1"/>
  <c r="K20" i="56"/>
  <c r="H20" i="56"/>
  <c r="E20" i="56"/>
  <c r="B20" i="56"/>
  <c r="K19" i="56"/>
  <c r="H19" i="56"/>
  <c r="E19" i="56"/>
  <c r="B19" i="56"/>
  <c r="N18" i="56"/>
  <c r="K18" i="56"/>
  <c r="H18" i="56"/>
  <c r="E18" i="56"/>
  <c r="B18" i="56"/>
  <c r="N17" i="56"/>
  <c r="K17" i="56"/>
  <c r="H17" i="56"/>
  <c r="E17" i="56"/>
  <c r="B17" i="56"/>
  <c r="P16" i="56"/>
  <c r="O16" i="56"/>
  <c r="M16" i="56"/>
  <c r="L16" i="56"/>
  <c r="K16" i="56" s="1"/>
  <c r="J16" i="56"/>
  <c r="I16" i="56"/>
  <c r="H16" i="56" s="1"/>
  <c r="G16" i="56"/>
  <c r="F16" i="56"/>
  <c r="E16" i="56" s="1"/>
  <c r="D16" i="56"/>
  <c r="C16" i="56"/>
  <c r="K15" i="56"/>
  <c r="H15" i="56"/>
  <c r="E15" i="56"/>
  <c r="B15" i="56"/>
  <c r="N14" i="56"/>
  <c r="N12" i="56" s="1"/>
  <c r="K14" i="56"/>
  <c r="H14" i="56"/>
  <c r="E14" i="56"/>
  <c r="B14" i="56"/>
  <c r="K13" i="56"/>
  <c r="H13" i="56"/>
  <c r="E13" i="56"/>
  <c r="B13" i="56"/>
  <c r="P12" i="56"/>
  <c r="O12" i="56"/>
  <c r="O6" i="56" s="1"/>
  <c r="M12" i="56"/>
  <c r="L12" i="56"/>
  <c r="K12" i="56" s="1"/>
  <c r="J12" i="56"/>
  <c r="H12" i="56" s="1"/>
  <c r="I12" i="56"/>
  <c r="G12" i="56"/>
  <c r="F12" i="56"/>
  <c r="E12" i="56" s="1"/>
  <c r="D12" i="56"/>
  <c r="C12" i="56"/>
  <c r="B12" i="56" s="1"/>
  <c r="K11" i="56"/>
  <c r="H11" i="56"/>
  <c r="E11" i="56"/>
  <c r="B11" i="56"/>
  <c r="N10" i="56"/>
  <c r="N7" i="56" s="1"/>
  <c r="K10" i="56"/>
  <c r="H10" i="56"/>
  <c r="E10" i="56"/>
  <c r="B10" i="56"/>
  <c r="K9" i="56"/>
  <c r="H9" i="56"/>
  <c r="E9" i="56"/>
  <c r="B9" i="56"/>
  <c r="K8" i="56"/>
  <c r="H8" i="56"/>
  <c r="E8" i="56"/>
  <c r="B8" i="56"/>
  <c r="P7" i="56"/>
  <c r="O7" i="56"/>
  <c r="M7" i="56"/>
  <c r="L7" i="56"/>
  <c r="L6" i="56" s="1"/>
  <c r="J7" i="56"/>
  <c r="I7" i="56"/>
  <c r="H7" i="56"/>
  <c r="G7" i="56"/>
  <c r="F7" i="56"/>
  <c r="D7" i="56"/>
  <c r="C7" i="56"/>
  <c r="B7" i="56" s="1"/>
  <c r="J6" i="56"/>
  <c r="N124" i="55"/>
  <c r="K124" i="55"/>
  <c r="H124" i="55"/>
  <c r="E124" i="55"/>
  <c r="B124" i="55"/>
  <c r="N123" i="55"/>
  <c r="K123" i="55"/>
  <c r="H123" i="55"/>
  <c r="E123" i="55"/>
  <c r="B123" i="55"/>
  <c r="N122" i="55"/>
  <c r="K122" i="55"/>
  <c r="H122" i="55"/>
  <c r="E122" i="55"/>
  <c r="B122" i="55"/>
  <c r="N121" i="55"/>
  <c r="K121" i="55"/>
  <c r="H121" i="55"/>
  <c r="E121" i="55"/>
  <c r="B121" i="55"/>
  <c r="N120" i="55"/>
  <c r="K120" i="55"/>
  <c r="H120" i="55"/>
  <c r="E120" i="55"/>
  <c r="B120" i="55"/>
  <c r="N119" i="55"/>
  <c r="K119" i="55"/>
  <c r="H119" i="55"/>
  <c r="E119" i="55"/>
  <c r="B119" i="55"/>
  <c r="N118" i="55"/>
  <c r="K118" i="55"/>
  <c r="H118" i="55"/>
  <c r="E118" i="55"/>
  <c r="B118" i="55"/>
  <c r="N117" i="55"/>
  <c r="K117" i="55"/>
  <c r="H117" i="55"/>
  <c r="E117" i="55"/>
  <c r="B117" i="55"/>
  <c r="N116" i="55"/>
  <c r="K116" i="55"/>
  <c r="H116" i="55"/>
  <c r="E116" i="55"/>
  <c r="B116" i="55"/>
  <c r="N115" i="55"/>
  <c r="K115" i="55"/>
  <c r="H115" i="55"/>
  <c r="E115" i="55"/>
  <c r="B115" i="55"/>
  <c r="N114" i="55"/>
  <c r="K114" i="55"/>
  <c r="H114" i="55"/>
  <c r="E114" i="55"/>
  <c r="B114" i="55"/>
  <c r="P113" i="55"/>
  <c r="O113" i="55"/>
  <c r="M113" i="55"/>
  <c r="L113" i="55"/>
  <c r="J113" i="55"/>
  <c r="I113" i="55"/>
  <c r="H113" i="55"/>
  <c r="G113" i="55"/>
  <c r="E113" i="55" s="1"/>
  <c r="F113" i="55"/>
  <c r="D113" i="55"/>
  <c r="C113" i="55"/>
  <c r="N112" i="55"/>
  <c r="K112" i="55"/>
  <c r="H112" i="55"/>
  <c r="E112" i="55"/>
  <c r="B112" i="55"/>
  <c r="N111" i="55"/>
  <c r="K111" i="55"/>
  <c r="H111" i="55"/>
  <c r="E111" i="55"/>
  <c r="B111" i="55"/>
  <c r="N110" i="55"/>
  <c r="K110" i="55"/>
  <c r="H110" i="55"/>
  <c r="E110" i="55"/>
  <c r="B110" i="55"/>
  <c r="N109" i="55"/>
  <c r="K109" i="55"/>
  <c r="H109" i="55"/>
  <c r="E109" i="55"/>
  <c r="B109" i="55"/>
  <c r="N108" i="55"/>
  <c r="K108" i="55"/>
  <c r="H108" i="55"/>
  <c r="E108" i="55"/>
  <c r="B108" i="55"/>
  <c r="N107" i="55"/>
  <c r="K107" i="55"/>
  <c r="H107" i="55"/>
  <c r="E107" i="55"/>
  <c r="B107" i="55"/>
  <c r="N106" i="55"/>
  <c r="K106" i="55"/>
  <c r="H106" i="55"/>
  <c r="E106" i="55"/>
  <c r="B106" i="55"/>
  <c r="N105" i="55"/>
  <c r="K105" i="55"/>
  <c r="H105" i="55"/>
  <c r="E105" i="55"/>
  <c r="B105" i="55"/>
  <c r="N104" i="55"/>
  <c r="K104" i="55"/>
  <c r="H104" i="55"/>
  <c r="E104" i="55"/>
  <c r="B104" i="55"/>
  <c r="N103" i="55"/>
  <c r="K103" i="55"/>
  <c r="H103" i="55"/>
  <c r="E103" i="55"/>
  <c r="B103" i="55"/>
  <c r="N102" i="55"/>
  <c r="K102" i="55"/>
  <c r="H102" i="55"/>
  <c r="E102" i="55"/>
  <c r="B102" i="55"/>
  <c r="N101" i="55"/>
  <c r="K101" i="55"/>
  <c r="H101" i="55"/>
  <c r="E101" i="55"/>
  <c r="B101" i="55"/>
  <c r="N100" i="55"/>
  <c r="K100" i="55"/>
  <c r="H100" i="55"/>
  <c r="E100" i="55"/>
  <c r="B100" i="55"/>
  <c r="N99" i="55"/>
  <c r="K99" i="55"/>
  <c r="H99" i="55"/>
  <c r="E99" i="55"/>
  <c r="B99" i="55"/>
  <c r="N98" i="55"/>
  <c r="K98" i="55"/>
  <c r="H98" i="55"/>
  <c r="E98" i="55"/>
  <c r="B98" i="55"/>
  <c r="N97" i="55"/>
  <c r="K97" i="55"/>
  <c r="H97" i="55"/>
  <c r="E97" i="55"/>
  <c r="B97" i="55"/>
  <c r="N96" i="55"/>
  <c r="K96" i="55"/>
  <c r="H96" i="55"/>
  <c r="E96" i="55"/>
  <c r="B96" i="55"/>
  <c r="N95" i="55"/>
  <c r="K95" i="55"/>
  <c r="H95" i="55"/>
  <c r="E95" i="55"/>
  <c r="B95" i="55"/>
  <c r="N94" i="55"/>
  <c r="K94" i="55"/>
  <c r="H94" i="55"/>
  <c r="E94" i="55"/>
  <c r="B94" i="55"/>
  <c r="P93" i="55"/>
  <c r="O93" i="55"/>
  <c r="M93" i="55"/>
  <c r="L93" i="55"/>
  <c r="K93" i="55"/>
  <c r="J93" i="55"/>
  <c r="I93" i="55"/>
  <c r="H93" i="55" s="1"/>
  <c r="G93" i="55"/>
  <c r="F93" i="55"/>
  <c r="E93" i="55" s="1"/>
  <c r="D93" i="55"/>
  <c r="C93" i="55"/>
  <c r="N92" i="55"/>
  <c r="K92" i="55"/>
  <c r="H92" i="55"/>
  <c r="E92" i="55"/>
  <c r="B92" i="55"/>
  <c r="N91" i="55"/>
  <c r="K91" i="55"/>
  <c r="H91" i="55"/>
  <c r="E91" i="55"/>
  <c r="B91" i="55"/>
  <c r="N90" i="55"/>
  <c r="K90" i="55"/>
  <c r="H90" i="55"/>
  <c r="E90" i="55"/>
  <c r="B90" i="55"/>
  <c r="N89" i="55"/>
  <c r="K89" i="55"/>
  <c r="H89" i="55"/>
  <c r="E89" i="55"/>
  <c r="B89" i="55"/>
  <c r="N88" i="55"/>
  <c r="K88" i="55"/>
  <c r="H88" i="55"/>
  <c r="E88" i="55"/>
  <c r="B88" i="55"/>
  <c r="N87" i="55"/>
  <c r="K87" i="55"/>
  <c r="H87" i="55"/>
  <c r="E87" i="55"/>
  <c r="B87" i="55"/>
  <c r="N86" i="55"/>
  <c r="K86" i="55"/>
  <c r="H86" i="55"/>
  <c r="E86" i="55"/>
  <c r="B86" i="55"/>
  <c r="N85" i="55"/>
  <c r="K85" i="55"/>
  <c r="H85" i="55"/>
  <c r="E85" i="55"/>
  <c r="B85" i="55"/>
  <c r="N84" i="55"/>
  <c r="K84" i="55"/>
  <c r="H84" i="55"/>
  <c r="E84" i="55"/>
  <c r="B84" i="55"/>
  <c r="N83" i="55"/>
  <c r="K83" i="55"/>
  <c r="H83" i="55"/>
  <c r="E83" i="55"/>
  <c r="B83" i="55"/>
  <c r="N82" i="55"/>
  <c r="K82" i="55"/>
  <c r="H82" i="55"/>
  <c r="E82" i="55"/>
  <c r="B82" i="55"/>
  <c r="P81" i="55"/>
  <c r="O81" i="55"/>
  <c r="N81" i="55" s="1"/>
  <c r="M81" i="55"/>
  <c r="L81" i="55"/>
  <c r="J81" i="55"/>
  <c r="I81" i="55"/>
  <c r="H81" i="55" s="1"/>
  <c r="G81" i="55"/>
  <c r="F81" i="55"/>
  <c r="E81" i="55" s="1"/>
  <c r="D81" i="55"/>
  <c r="C81" i="55"/>
  <c r="B81" i="55" s="1"/>
  <c r="N80" i="55"/>
  <c r="K80" i="55"/>
  <c r="H80" i="55"/>
  <c r="E80" i="55"/>
  <c r="B80" i="55"/>
  <c r="N79" i="55"/>
  <c r="K79" i="55"/>
  <c r="H79" i="55"/>
  <c r="E79" i="55"/>
  <c r="B79" i="55"/>
  <c r="P78" i="55"/>
  <c r="O78" i="55"/>
  <c r="N78" i="55" s="1"/>
  <c r="M78" i="55"/>
  <c r="L78" i="55"/>
  <c r="J78" i="55"/>
  <c r="I78" i="55"/>
  <c r="G78" i="55"/>
  <c r="F78" i="55"/>
  <c r="E78" i="55"/>
  <c r="D78" i="55"/>
  <c r="C78" i="55"/>
  <c r="B78" i="55"/>
  <c r="N77" i="55"/>
  <c r="K77" i="55"/>
  <c r="H77" i="55"/>
  <c r="E77" i="55"/>
  <c r="B77" i="55"/>
  <c r="N76" i="55"/>
  <c r="K76" i="55"/>
  <c r="H76" i="55"/>
  <c r="E76" i="55"/>
  <c r="B76" i="55"/>
  <c r="N75" i="55"/>
  <c r="K75" i="55"/>
  <c r="H75" i="55"/>
  <c r="E75" i="55"/>
  <c r="B75" i="55"/>
  <c r="N74" i="55"/>
  <c r="K74" i="55"/>
  <c r="H74" i="55"/>
  <c r="E74" i="55"/>
  <c r="B74" i="55"/>
  <c r="N73" i="55"/>
  <c r="K73" i="55"/>
  <c r="H73" i="55"/>
  <c r="E73" i="55"/>
  <c r="B73" i="55"/>
  <c r="N72" i="55"/>
  <c r="K72" i="55"/>
  <c r="H72" i="55"/>
  <c r="E72" i="55"/>
  <c r="B72" i="55"/>
  <c r="N71" i="55"/>
  <c r="K71" i="55"/>
  <c r="H71" i="55"/>
  <c r="E71" i="55"/>
  <c r="B71" i="55"/>
  <c r="N70" i="55"/>
  <c r="K70" i="55"/>
  <c r="H70" i="55"/>
  <c r="E70" i="55"/>
  <c r="B70" i="55"/>
  <c r="N69" i="55"/>
  <c r="K69" i="55"/>
  <c r="H69" i="55"/>
  <c r="E69" i="55"/>
  <c r="B69" i="55"/>
  <c r="N68" i="55"/>
  <c r="K68" i="55"/>
  <c r="H68" i="55"/>
  <c r="E68" i="55"/>
  <c r="B68" i="55"/>
  <c r="N67" i="55"/>
  <c r="K67" i="55"/>
  <c r="H67" i="55"/>
  <c r="E67" i="55"/>
  <c r="B67" i="55"/>
  <c r="N66" i="55"/>
  <c r="K66" i="55"/>
  <c r="H66" i="55"/>
  <c r="E66" i="55"/>
  <c r="B66" i="55"/>
  <c r="N65" i="55"/>
  <c r="K65" i="55"/>
  <c r="H65" i="55"/>
  <c r="E65" i="55"/>
  <c r="B65" i="55"/>
  <c r="P64" i="55"/>
  <c r="O64" i="55"/>
  <c r="N64" i="55"/>
  <c r="M64" i="55"/>
  <c r="L64" i="55"/>
  <c r="J64" i="55"/>
  <c r="I64" i="55"/>
  <c r="G64" i="55"/>
  <c r="E64" i="55" s="1"/>
  <c r="F64" i="55"/>
  <c r="D64" i="55"/>
  <c r="C64" i="55"/>
  <c r="B64" i="55" s="1"/>
  <c r="N63" i="55"/>
  <c r="K63" i="55"/>
  <c r="H63" i="55"/>
  <c r="E63" i="55"/>
  <c r="B63" i="55"/>
  <c r="N62" i="55"/>
  <c r="K62" i="55"/>
  <c r="H62" i="55"/>
  <c r="E62" i="55"/>
  <c r="B62" i="55"/>
  <c r="N61" i="55"/>
  <c r="K61" i="55"/>
  <c r="H61" i="55"/>
  <c r="E61" i="55"/>
  <c r="B61" i="55"/>
  <c r="N60" i="55"/>
  <c r="K60" i="55"/>
  <c r="H60" i="55"/>
  <c r="E60" i="55"/>
  <c r="B60" i="55"/>
  <c r="N59" i="55"/>
  <c r="K59" i="55"/>
  <c r="H59" i="55"/>
  <c r="E59" i="55"/>
  <c r="B59" i="55"/>
  <c r="N58" i="55"/>
  <c r="K58" i="55"/>
  <c r="H58" i="55"/>
  <c r="E58" i="55"/>
  <c r="B58" i="55"/>
  <c r="N57" i="55"/>
  <c r="K57" i="55"/>
  <c r="H57" i="55"/>
  <c r="E57" i="55"/>
  <c r="B57" i="55"/>
  <c r="P56" i="55"/>
  <c r="O56" i="55"/>
  <c r="N56" i="55" s="1"/>
  <c r="M56" i="55"/>
  <c r="L56" i="55"/>
  <c r="K56" i="55" s="1"/>
  <c r="J56" i="55"/>
  <c r="I56" i="55"/>
  <c r="H56" i="55"/>
  <c r="G56" i="55"/>
  <c r="G6" i="55" s="1"/>
  <c r="F56" i="55"/>
  <c r="D56" i="55"/>
  <c r="C56" i="55"/>
  <c r="B56" i="55" s="1"/>
  <c r="N55" i="55"/>
  <c r="K55" i="55"/>
  <c r="H55" i="55"/>
  <c r="E55" i="55"/>
  <c r="B55" i="55"/>
  <c r="N54" i="55"/>
  <c r="K54" i="55"/>
  <c r="H54" i="55"/>
  <c r="E54" i="55"/>
  <c r="B54" i="55"/>
  <c r="N53" i="55"/>
  <c r="K53" i="55"/>
  <c r="H53" i="55"/>
  <c r="E53" i="55"/>
  <c r="B53" i="55"/>
  <c r="N52" i="55"/>
  <c r="K52" i="55"/>
  <c r="H52" i="55"/>
  <c r="E52" i="55"/>
  <c r="B52" i="55"/>
  <c r="N51" i="55"/>
  <c r="K51" i="55"/>
  <c r="H51" i="55"/>
  <c r="E51" i="55"/>
  <c r="B51" i="55"/>
  <c r="N50" i="55"/>
  <c r="K50" i="55"/>
  <c r="H50" i="55"/>
  <c r="E50" i="55"/>
  <c r="B50" i="55"/>
  <c r="N49" i="55"/>
  <c r="K49" i="55"/>
  <c r="H49" i="55"/>
  <c r="E49" i="55"/>
  <c r="B49" i="55"/>
  <c r="N48" i="55"/>
  <c r="K48" i="55"/>
  <c r="H48" i="55"/>
  <c r="E48" i="55"/>
  <c r="B48" i="55"/>
  <c r="P47" i="55"/>
  <c r="O47" i="55"/>
  <c r="M47" i="55"/>
  <c r="L47" i="55"/>
  <c r="K47" i="55"/>
  <c r="J47" i="55"/>
  <c r="I47" i="55"/>
  <c r="H47" i="55" s="1"/>
  <c r="G47" i="55"/>
  <c r="F47" i="55"/>
  <c r="E47" i="55" s="1"/>
  <c r="D47" i="55"/>
  <c r="C47" i="55"/>
  <c r="N46" i="55"/>
  <c r="K46" i="55"/>
  <c r="H46" i="55"/>
  <c r="E46" i="55"/>
  <c r="B46" i="55"/>
  <c r="N45" i="55"/>
  <c r="K45" i="55"/>
  <c r="H45" i="55"/>
  <c r="E45" i="55"/>
  <c r="B45" i="55"/>
  <c r="N44" i="55"/>
  <c r="K44" i="55"/>
  <c r="H44" i="55"/>
  <c r="E44" i="55"/>
  <c r="B44" i="55"/>
  <c r="P43" i="55"/>
  <c r="O43" i="55"/>
  <c r="N43" i="55" s="1"/>
  <c r="M43" i="55"/>
  <c r="L43" i="55"/>
  <c r="J43" i="55"/>
  <c r="I43" i="55"/>
  <c r="H43" i="55" s="1"/>
  <c r="G43" i="55"/>
  <c r="F43" i="55"/>
  <c r="E43" i="55" s="1"/>
  <c r="D43" i="55"/>
  <c r="C43" i="55"/>
  <c r="B43" i="55" s="1"/>
  <c r="N42" i="55"/>
  <c r="K42" i="55"/>
  <c r="H42" i="55"/>
  <c r="E42" i="55"/>
  <c r="B42" i="55"/>
  <c r="N41" i="55"/>
  <c r="K41" i="55"/>
  <c r="H41" i="55"/>
  <c r="E41" i="55"/>
  <c r="B41" i="55"/>
  <c r="P40" i="55"/>
  <c r="O40" i="55"/>
  <c r="N40" i="55" s="1"/>
  <c r="M40" i="55"/>
  <c r="L40" i="55"/>
  <c r="J40" i="55"/>
  <c r="I40" i="55"/>
  <c r="G40" i="55"/>
  <c r="F40" i="55"/>
  <c r="E40" i="55"/>
  <c r="D40" i="55"/>
  <c r="C40" i="55"/>
  <c r="B40" i="55"/>
  <c r="N39" i="55"/>
  <c r="K39" i="55"/>
  <c r="H39" i="55"/>
  <c r="E39" i="55"/>
  <c r="B39" i="55"/>
  <c r="N38" i="55"/>
  <c r="K38" i="55"/>
  <c r="H38" i="55"/>
  <c r="E38" i="55"/>
  <c r="B38" i="55"/>
  <c r="N37" i="55"/>
  <c r="K37" i="55"/>
  <c r="H37" i="55"/>
  <c r="E37" i="55"/>
  <c r="B37" i="55"/>
  <c r="N36" i="55"/>
  <c r="K36" i="55"/>
  <c r="H36" i="55"/>
  <c r="E36" i="55"/>
  <c r="B36" i="55"/>
  <c r="N35" i="55"/>
  <c r="K35" i="55"/>
  <c r="H35" i="55"/>
  <c r="E35" i="55"/>
  <c r="B35" i="55"/>
  <c r="N34" i="55"/>
  <c r="K34" i="55"/>
  <c r="H34" i="55"/>
  <c r="E34" i="55"/>
  <c r="B34" i="55"/>
  <c r="N33" i="55"/>
  <c r="K33" i="55"/>
  <c r="H33" i="55"/>
  <c r="E33" i="55"/>
  <c r="B33" i="55"/>
  <c r="N32" i="55"/>
  <c r="K32" i="55"/>
  <c r="H32" i="55"/>
  <c r="E32" i="55"/>
  <c r="B32" i="55"/>
  <c r="P31" i="55"/>
  <c r="O31" i="55"/>
  <c r="M31" i="55"/>
  <c r="L31" i="55"/>
  <c r="J31" i="55"/>
  <c r="I31" i="55"/>
  <c r="H31" i="55" s="1"/>
  <c r="G31" i="55"/>
  <c r="F31" i="55"/>
  <c r="E31" i="55" s="1"/>
  <c r="D31" i="55"/>
  <c r="C31" i="55"/>
  <c r="N30" i="55"/>
  <c r="K30" i="55"/>
  <c r="H30" i="55"/>
  <c r="E30" i="55"/>
  <c r="B30" i="55"/>
  <c r="N29" i="55"/>
  <c r="K29" i="55"/>
  <c r="H29" i="55"/>
  <c r="E29" i="55"/>
  <c r="B29" i="55"/>
  <c r="N28" i="55"/>
  <c r="K28" i="55"/>
  <c r="K26" i="55" s="1"/>
  <c r="H28" i="55"/>
  <c r="E28" i="55"/>
  <c r="B28" i="55"/>
  <c r="N27" i="55"/>
  <c r="K27" i="55"/>
  <c r="H27" i="55"/>
  <c r="E27" i="55"/>
  <c r="B27" i="55"/>
  <c r="P26" i="55"/>
  <c r="O26" i="55"/>
  <c r="M26" i="55"/>
  <c r="L26" i="55"/>
  <c r="J26" i="55"/>
  <c r="I26" i="55"/>
  <c r="G26" i="55"/>
  <c r="F26" i="55"/>
  <c r="D26" i="55"/>
  <c r="C26" i="55"/>
  <c r="N25" i="55"/>
  <c r="K25" i="55"/>
  <c r="H25" i="55"/>
  <c r="E25" i="55"/>
  <c r="B25" i="55"/>
  <c r="N24" i="55"/>
  <c r="K24" i="55"/>
  <c r="H24" i="55"/>
  <c r="E24" i="55"/>
  <c r="B24" i="55"/>
  <c r="N23" i="55"/>
  <c r="K23" i="55"/>
  <c r="H23" i="55"/>
  <c r="E23" i="55"/>
  <c r="B23" i="55"/>
  <c r="P22" i="55"/>
  <c r="O22" i="55"/>
  <c r="N22" i="55"/>
  <c r="M22" i="55"/>
  <c r="L22" i="55"/>
  <c r="J22" i="55"/>
  <c r="I22" i="55"/>
  <c r="G22" i="55"/>
  <c r="F22" i="55"/>
  <c r="E22" i="55"/>
  <c r="D22" i="55"/>
  <c r="C22" i="55"/>
  <c r="B22" i="55" s="1"/>
  <c r="N21" i="55"/>
  <c r="K21" i="55"/>
  <c r="H21" i="55"/>
  <c r="E21" i="55"/>
  <c r="B21" i="55"/>
  <c r="N20" i="55"/>
  <c r="K20" i="55"/>
  <c r="H20" i="55"/>
  <c r="E20" i="55"/>
  <c r="B20" i="55"/>
  <c r="N19" i="55"/>
  <c r="K19" i="55"/>
  <c r="H19" i="55"/>
  <c r="E19" i="55"/>
  <c r="B19" i="55"/>
  <c r="N18" i="55"/>
  <c r="K18" i="55"/>
  <c r="H18" i="55"/>
  <c r="E18" i="55"/>
  <c r="B18" i="55"/>
  <c r="N17" i="55"/>
  <c r="K17" i="55"/>
  <c r="H17" i="55"/>
  <c r="E17" i="55"/>
  <c r="B17" i="55"/>
  <c r="P16" i="55"/>
  <c r="O16" i="55"/>
  <c r="N16" i="55" s="1"/>
  <c r="M16" i="55"/>
  <c r="L16" i="55"/>
  <c r="J16" i="55"/>
  <c r="I16" i="55"/>
  <c r="G16" i="55"/>
  <c r="F16" i="55"/>
  <c r="E16" i="55" s="1"/>
  <c r="D16" i="55"/>
  <c r="C16" i="55"/>
  <c r="B16" i="55"/>
  <c r="N15" i="55"/>
  <c r="K15" i="55"/>
  <c r="H15" i="55"/>
  <c r="E15" i="55"/>
  <c r="B15" i="55"/>
  <c r="N14" i="55"/>
  <c r="K14" i="55"/>
  <c r="H14" i="55"/>
  <c r="E14" i="55"/>
  <c r="B14" i="55"/>
  <c r="N13" i="55"/>
  <c r="K13" i="55"/>
  <c r="H13" i="55"/>
  <c r="E13" i="55"/>
  <c r="B13" i="55"/>
  <c r="P12" i="55"/>
  <c r="O12" i="55"/>
  <c r="M12" i="55"/>
  <c r="L12" i="55"/>
  <c r="L6" i="55" s="1"/>
  <c r="J12" i="55"/>
  <c r="I12" i="55"/>
  <c r="H12" i="55" s="1"/>
  <c r="G12" i="55"/>
  <c r="F12" i="55"/>
  <c r="E12" i="55" s="1"/>
  <c r="D12" i="55"/>
  <c r="C12" i="55"/>
  <c r="B12" i="55" s="1"/>
  <c r="N11" i="55"/>
  <c r="K11" i="55"/>
  <c r="H11" i="55"/>
  <c r="E11" i="55"/>
  <c r="B11" i="55"/>
  <c r="N10" i="55"/>
  <c r="K10" i="55"/>
  <c r="H10" i="55"/>
  <c r="E10" i="55"/>
  <c r="B10" i="55"/>
  <c r="N9" i="55"/>
  <c r="K9" i="55"/>
  <c r="H9" i="55"/>
  <c r="E9" i="55"/>
  <c r="B9" i="55"/>
  <c r="N8" i="55"/>
  <c r="K8" i="55"/>
  <c r="H8" i="55"/>
  <c r="E8" i="55"/>
  <c r="B8" i="55"/>
  <c r="P7" i="55"/>
  <c r="O7" i="55"/>
  <c r="N7" i="55" s="1"/>
  <c r="M7" i="55"/>
  <c r="L7" i="55"/>
  <c r="K7" i="55"/>
  <c r="J7" i="55"/>
  <c r="I7" i="55"/>
  <c r="G7" i="55"/>
  <c r="F7" i="55"/>
  <c r="D7" i="55"/>
  <c r="C7" i="55"/>
  <c r="N6" i="55"/>
  <c r="C6" i="55"/>
  <c r="F112" i="54"/>
  <c r="E112" i="54"/>
  <c r="D112" i="54"/>
  <c r="C112" i="54"/>
  <c r="B112" i="54"/>
  <c r="F92" i="54"/>
  <c r="E92" i="54"/>
  <c r="D92" i="54"/>
  <c r="C92" i="54"/>
  <c r="B92" i="54"/>
  <c r="F80" i="54"/>
  <c r="E80" i="54"/>
  <c r="D80" i="54"/>
  <c r="C80" i="54"/>
  <c r="B80" i="54"/>
  <c r="F77" i="54"/>
  <c r="E77" i="54"/>
  <c r="D77" i="54"/>
  <c r="C77" i="54"/>
  <c r="B77" i="54"/>
  <c r="F63" i="54"/>
  <c r="E63" i="54"/>
  <c r="D63" i="54"/>
  <c r="C63" i="54"/>
  <c r="B63" i="54"/>
  <c r="F55" i="54"/>
  <c r="E55" i="54"/>
  <c r="D55" i="54"/>
  <c r="C55" i="54"/>
  <c r="B55" i="54"/>
  <c r="F46" i="54"/>
  <c r="E46" i="54"/>
  <c r="D46" i="54"/>
  <c r="C46" i="54"/>
  <c r="B46" i="54"/>
  <c r="F42" i="54"/>
  <c r="E42" i="54"/>
  <c r="D42" i="54"/>
  <c r="C42" i="54"/>
  <c r="B42" i="54"/>
  <c r="F39" i="54"/>
  <c r="E39" i="54"/>
  <c r="D39" i="54"/>
  <c r="C39" i="54"/>
  <c r="B39" i="54"/>
  <c r="F30" i="54"/>
  <c r="E30" i="54"/>
  <c r="D30" i="54"/>
  <c r="C30" i="54"/>
  <c r="B30" i="54"/>
  <c r="F25" i="54"/>
  <c r="E25" i="54"/>
  <c r="D25" i="54"/>
  <c r="C25" i="54"/>
  <c r="B25" i="54"/>
  <c r="F21" i="54"/>
  <c r="E21" i="54"/>
  <c r="D21" i="54"/>
  <c r="C21" i="54"/>
  <c r="B21" i="54"/>
  <c r="F15" i="54"/>
  <c r="E15" i="54"/>
  <c r="D15" i="54"/>
  <c r="C15" i="54"/>
  <c r="B15" i="54"/>
  <c r="F11" i="54"/>
  <c r="E11" i="54"/>
  <c r="D11" i="54"/>
  <c r="C11" i="54"/>
  <c r="B11" i="54"/>
  <c r="F6" i="54"/>
  <c r="E6" i="54"/>
  <c r="D6" i="54"/>
  <c r="C6" i="54"/>
  <c r="B6" i="54"/>
  <c r="C20" i="53"/>
  <c r="C19" i="53"/>
  <c r="C18" i="53"/>
  <c r="C17" i="53"/>
  <c r="C16" i="53"/>
  <c r="C15" i="53"/>
  <c r="C14" i="53"/>
  <c r="C13" i="53"/>
  <c r="C12" i="53"/>
  <c r="C11" i="53"/>
  <c r="C10" i="53"/>
  <c r="C9" i="53"/>
  <c r="C8" i="53"/>
  <c r="C7" i="53"/>
  <c r="C6" i="53"/>
  <c r="E5" i="49"/>
  <c r="F6" i="48"/>
  <c r="G8" i="48" s="1"/>
  <c r="D6" i="48"/>
  <c r="E7" i="48" s="1"/>
  <c r="E6" i="48" s="1"/>
  <c r="B6" i="48"/>
  <c r="C7" i="48" s="1"/>
  <c r="E5" i="47"/>
  <c r="E5" i="46"/>
  <c r="E5" i="45"/>
  <c r="C5" i="44"/>
  <c r="B5" i="44"/>
  <c r="B5" i="42"/>
  <c r="K21" i="40"/>
  <c r="E21" i="40"/>
  <c r="B21" i="40"/>
  <c r="B6" i="40" s="1"/>
  <c r="K20" i="40"/>
  <c r="E20" i="40"/>
  <c r="B20" i="40"/>
  <c r="K19" i="40"/>
  <c r="E19" i="40"/>
  <c r="B19" i="40"/>
  <c r="K18" i="40"/>
  <c r="E18" i="40"/>
  <c r="B18" i="40"/>
  <c r="K17" i="40"/>
  <c r="E17" i="40"/>
  <c r="B17" i="40"/>
  <c r="K16" i="40"/>
  <c r="E16" i="40"/>
  <c r="B16" i="40"/>
  <c r="K15" i="40"/>
  <c r="E15" i="40"/>
  <c r="B15" i="40"/>
  <c r="K14" i="40"/>
  <c r="E14" i="40"/>
  <c r="B14" i="40"/>
  <c r="K13" i="40"/>
  <c r="E13" i="40"/>
  <c r="B13" i="40"/>
  <c r="K12" i="40"/>
  <c r="E12" i="40"/>
  <c r="B12" i="40"/>
  <c r="K11" i="40"/>
  <c r="E11" i="40"/>
  <c r="B11" i="40"/>
  <c r="K10" i="40"/>
  <c r="E10" i="40"/>
  <c r="B10" i="40"/>
  <c r="K9" i="40"/>
  <c r="E9" i="40"/>
  <c r="B9" i="40"/>
  <c r="K8" i="40"/>
  <c r="E8" i="40"/>
  <c r="B8" i="40"/>
  <c r="K7" i="40"/>
  <c r="B7" i="40"/>
  <c r="M6" i="40"/>
  <c r="L6" i="40"/>
  <c r="G6" i="40"/>
  <c r="F6" i="40"/>
  <c r="D6" i="40"/>
  <c r="C6" i="40"/>
  <c r="B5" i="39"/>
  <c r="B5" i="38"/>
  <c r="F26" i="37"/>
  <c r="E26" i="37"/>
  <c r="D26" i="37"/>
  <c r="C26" i="37"/>
  <c r="B26" i="37"/>
  <c r="F21" i="37"/>
  <c r="E21" i="37"/>
  <c r="D21" i="37"/>
  <c r="C21" i="37"/>
  <c r="B21" i="37"/>
  <c r="F16" i="37"/>
  <c r="E16" i="37"/>
  <c r="D16" i="37"/>
  <c r="C16" i="37"/>
  <c r="B16" i="37"/>
  <c r="F11" i="37"/>
  <c r="E11" i="37"/>
  <c r="D11" i="37"/>
  <c r="C11" i="37"/>
  <c r="B11" i="37"/>
  <c r="F10" i="37"/>
  <c r="E10" i="37"/>
  <c r="D10" i="37"/>
  <c r="C10" i="37"/>
  <c r="B10" i="37"/>
  <c r="F9" i="37"/>
  <c r="E9" i="37"/>
  <c r="D9" i="37"/>
  <c r="C9" i="37"/>
  <c r="B9" i="37"/>
  <c r="F8" i="37"/>
  <c r="E8" i="37"/>
  <c r="D8" i="37"/>
  <c r="C8" i="37"/>
  <c r="B8" i="37"/>
  <c r="F7" i="37"/>
  <c r="E7" i="37"/>
  <c r="D7" i="37"/>
  <c r="C7" i="37"/>
  <c r="B7" i="37"/>
  <c r="F81" i="36"/>
  <c r="E81" i="36"/>
  <c r="D81" i="36"/>
  <c r="C81" i="36"/>
  <c r="B81" i="36"/>
  <c r="F76" i="36"/>
  <c r="E76" i="36"/>
  <c r="D76" i="36"/>
  <c r="C76" i="36"/>
  <c r="B76" i="36"/>
  <c r="F71" i="36"/>
  <c r="E71" i="36"/>
  <c r="D71" i="36"/>
  <c r="C71" i="36"/>
  <c r="B71" i="36"/>
  <c r="F66" i="36"/>
  <c r="E66" i="36"/>
  <c r="D66" i="36"/>
  <c r="C66" i="36"/>
  <c r="B66" i="36"/>
  <c r="F61" i="36"/>
  <c r="E61" i="36"/>
  <c r="D61" i="36"/>
  <c r="C61" i="36"/>
  <c r="B61" i="36"/>
  <c r="F56" i="36"/>
  <c r="E56" i="36"/>
  <c r="D56" i="36"/>
  <c r="C56" i="36"/>
  <c r="B56" i="36"/>
  <c r="F51" i="36"/>
  <c r="E51" i="36"/>
  <c r="D51" i="36"/>
  <c r="C51" i="36"/>
  <c r="B51" i="36"/>
  <c r="F46" i="36"/>
  <c r="E46" i="36"/>
  <c r="D46" i="36"/>
  <c r="C46" i="36"/>
  <c r="B46" i="36"/>
  <c r="F41" i="36"/>
  <c r="E41" i="36"/>
  <c r="D41" i="36"/>
  <c r="C41" i="36"/>
  <c r="B41" i="36"/>
  <c r="F36" i="36"/>
  <c r="E36" i="36"/>
  <c r="D36" i="36"/>
  <c r="C36" i="36"/>
  <c r="B36" i="36"/>
  <c r="F31" i="36"/>
  <c r="E31" i="36"/>
  <c r="D31" i="36"/>
  <c r="C31" i="36"/>
  <c r="B31" i="36"/>
  <c r="F26" i="36"/>
  <c r="E26" i="36"/>
  <c r="D26" i="36"/>
  <c r="C26" i="36"/>
  <c r="B26" i="36"/>
  <c r="F21" i="36"/>
  <c r="E21" i="36"/>
  <c r="D21" i="36"/>
  <c r="C21" i="36"/>
  <c r="B21" i="36"/>
  <c r="F16" i="36"/>
  <c r="E16" i="36"/>
  <c r="D16" i="36"/>
  <c r="C16" i="36"/>
  <c r="B16" i="36"/>
  <c r="F11" i="36"/>
  <c r="E11" i="36"/>
  <c r="D11" i="36"/>
  <c r="C11" i="36"/>
  <c r="B11" i="36"/>
  <c r="F10" i="36"/>
  <c r="E10" i="36"/>
  <c r="D10" i="36"/>
  <c r="C10" i="36"/>
  <c r="B10" i="36"/>
  <c r="F9" i="36"/>
  <c r="E9" i="36"/>
  <c r="D9" i="36"/>
  <c r="C9" i="36"/>
  <c r="B9" i="36"/>
  <c r="F8" i="36"/>
  <c r="E8" i="36"/>
  <c r="D8" i="36"/>
  <c r="C8" i="36"/>
  <c r="B8" i="36"/>
  <c r="F7" i="36"/>
  <c r="E7" i="36"/>
  <c r="D7" i="36"/>
  <c r="C7" i="36"/>
  <c r="B7" i="36"/>
  <c r="C6" i="35"/>
  <c r="B6" i="35"/>
  <c r="B22" i="34"/>
  <c r="B21" i="34"/>
  <c r="B20" i="34"/>
  <c r="B19" i="34"/>
  <c r="B18" i="34"/>
  <c r="B17" i="34"/>
  <c r="B16" i="34"/>
  <c r="B15" i="34"/>
  <c r="B14" i="34"/>
  <c r="B13" i="34"/>
  <c r="B12" i="34"/>
  <c r="B11" i="34"/>
  <c r="B10" i="34"/>
  <c r="B9" i="34"/>
  <c r="B8" i="34"/>
  <c r="G7" i="34"/>
  <c r="F7" i="34"/>
  <c r="E7" i="34"/>
  <c r="D7" i="34"/>
  <c r="C7" i="34"/>
  <c r="F21" i="33"/>
  <c r="B21" i="33"/>
  <c r="F20" i="33"/>
  <c r="B20" i="33"/>
  <c r="I19" i="33"/>
  <c r="H19" i="33"/>
  <c r="G19" i="33"/>
  <c r="E19" i="33"/>
  <c r="D19" i="33"/>
  <c r="C19" i="33"/>
  <c r="F18" i="33"/>
  <c r="B18" i="33"/>
  <c r="F17" i="33"/>
  <c r="B17" i="33"/>
  <c r="I16" i="33"/>
  <c r="H16" i="33"/>
  <c r="G16" i="33"/>
  <c r="F16" i="33" s="1"/>
  <c r="E16" i="33"/>
  <c r="D16" i="33"/>
  <c r="C16" i="33"/>
  <c r="F15" i="33"/>
  <c r="B15" i="33"/>
  <c r="F14" i="33"/>
  <c r="B14" i="33"/>
  <c r="I13" i="33"/>
  <c r="H13" i="33"/>
  <c r="G13" i="33"/>
  <c r="E13" i="33"/>
  <c r="D13" i="33"/>
  <c r="C13" i="33"/>
  <c r="F12" i="33"/>
  <c r="B12" i="33"/>
  <c r="F11" i="33"/>
  <c r="B11" i="33"/>
  <c r="I10" i="33"/>
  <c r="H10" i="33"/>
  <c r="G10" i="33"/>
  <c r="F10" i="33" s="1"/>
  <c r="E10" i="33"/>
  <c r="D10" i="33"/>
  <c r="C10" i="33"/>
  <c r="I9" i="33"/>
  <c r="I7" i="33" s="1"/>
  <c r="H9" i="33"/>
  <c r="G9" i="33"/>
  <c r="E9" i="33"/>
  <c r="D9" i="33"/>
  <c r="C9" i="33"/>
  <c r="I8" i="33"/>
  <c r="H8" i="33"/>
  <c r="H7" i="33" s="1"/>
  <c r="G8" i="33"/>
  <c r="F8" i="33" s="1"/>
  <c r="E8" i="33"/>
  <c r="D8" i="33"/>
  <c r="C8" i="33"/>
  <c r="E7" i="33"/>
  <c r="D7" i="33"/>
  <c r="D7" i="32"/>
  <c r="C7" i="32"/>
  <c r="D6" i="32"/>
  <c r="C6" i="32"/>
  <c r="C16" i="31"/>
  <c r="B16" i="31"/>
  <c r="C13" i="31"/>
  <c r="B13" i="31"/>
  <c r="C10" i="31"/>
  <c r="B10" i="31"/>
  <c r="C7" i="31"/>
  <c r="B7" i="31"/>
  <c r="F6" i="30"/>
  <c r="E6" i="30"/>
  <c r="D6" i="30"/>
  <c r="C6" i="30"/>
  <c r="B6" i="30"/>
  <c r="E24" i="29"/>
  <c r="D24" i="29"/>
  <c r="C24" i="29"/>
  <c r="B24" i="29"/>
  <c r="E22" i="29"/>
  <c r="D22" i="29"/>
  <c r="C22" i="29"/>
  <c r="B22" i="29"/>
  <c r="E20" i="29"/>
  <c r="D20" i="29"/>
  <c r="C20" i="29"/>
  <c r="B20" i="29"/>
  <c r="F17" i="29"/>
  <c r="E17" i="29"/>
  <c r="D17" i="29"/>
  <c r="C17" i="29"/>
  <c r="B17" i="29"/>
  <c r="E15" i="29"/>
  <c r="D15" i="29"/>
  <c r="C15" i="29"/>
  <c r="B15" i="29"/>
  <c r="F11" i="29"/>
  <c r="F6" i="29" s="1"/>
  <c r="E11" i="29"/>
  <c r="D11" i="29"/>
  <c r="C11" i="29"/>
  <c r="B11" i="29"/>
  <c r="E9" i="29"/>
  <c r="D9" i="29"/>
  <c r="C9" i="29"/>
  <c r="B9" i="29"/>
  <c r="B6" i="29" s="1"/>
  <c r="F7" i="29"/>
  <c r="E7" i="29"/>
  <c r="D7" i="29"/>
  <c r="C7" i="29"/>
  <c r="B7" i="29"/>
  <c r="B22" i="27"/>
  <c r="B21" i="27"/>
  <c r="B20" i="27"/>
  <c r="B19" i="27"/>
  <c r="B18" i="27"/>
  <c r="B17" i="27"/>
  <c r="B16" i="27"/>
  <c r="B15" i="27"/>
  <c r="B14" i="27"/>
  <c r="B13" i="27"/>
  <c r="B12" i="27"/>
  <c r="B11" i="27"/>
  <c r="B10" i="27"/>
  <c r="B9" i="27"/>
  <c r="B8" i="27"/>
  <c r="B7" i="27"/>
  <c r="F6" i="27"/>
  <c r="E6" i="27"/>
  <c r="D6" i="27"/>
  <c r="C6" i="27"/>
  <c r="B21" i="26"/>
  <c r="B20" i="26"/>
  <c r="B19" i="26"/>
  <c r="B18" i="26"/>
  <c r="B17" i="26"/>
  <c r="B16" i="26"/>
  <c r="B15" i="26"/>
  <c r="B14" i="26"/>
  <c r="B13" i="26"/>
  <c r="B12" i="26"/>
  <c r="B11" i="26"/>
  <c r="B10" i="26"/>
  <c r="B9" i="26"/>
  <c r="B8" i="26"/>
  <c r="B7" i="26"/>
  <c r="F6" i="26"/>
  <c r="E6" i="26"/>
  <c r="D6" i="26"/>
  <c r="C6" i="26"/>
  <c r="B21" i="25"/>
  <c r="B20" i="25"/>
  <c r="B19" i="25"/>
  <c r="B18" i="25"/>
  <c r="B17" i="25"/>
  <c r="B16" i="25"/>
  <c r="B15" i="25"/>
  <c r="B14" i="25"/>
  <c r="B13" i="25"/>
  <c r="B12" i="25"/>
  <c r="B11" i="25"/>
  <c r="B10" i="25"/>
  <c r="B9" i="25"/>
  <c r="B8" i="25"/>
  <c r="B7" i="25"/>
  <c r="F6" i="25"/>
  <c r="E6" i="25"/>
  <c r="D6" i="25"/>
  <c r="C6" i="25"/>
  <c r="G6" i="24"/>
  <c r="F6" i="24"/>
  <c r="E6" i="24"/>
  <c r="D6" i="24"/>
  <c r="C6" i="24"/>
  <c r="B6" i="24"/>
  <c r="K6" i="23"/>
  <c r="J6" i="23"/>
  <c r="I6" i="23"/>
  <c r="H6" i="23"/>
  <c r="G6" i="23"/>
  <c r="F6" i="23"/>
  <c r="E6" i="23"/>
  <c r="D6" i="23"/>
  <c r="C6" i="23"/>
  <c r="B6" i="23"/>
  <c r="B8" i="20"/>
  <c r="B7" i="20"/>
  <c r="F6" i="20"/>
  <c r="E6" i="20"/>
  <c r="D6" i="20"/>
  <c r="C6" i="20"/>
  <c r="B6" i="20"/>
  <c r="B21" i="19"/>
  <c r="B20" i="19"/>
  <c r="B19" i="19"/>
  <c r="B18" i="19"/>
  <c r="B17" i="19"/>
  <c r="B16" i="19"/>
  <c r="B15" i="19"/>
  <c r="B14" i="19"/>
  <c r="B13" i="19"/>
  <c r="B12" i="19"/>
  <c r="B11" i="19"/>
  <c r="B10" i="19"/>
  <c r="B9" i="19"/>
  <c r="B8" i="19"/>
  <c r="B7" i="19"/>
  <c r="G6" i="19"/>
  <c r="F6" i="19"/>
  <c r="E6" i="19"/>
  <c r="D6" i="19"/>
  <c r="C6" i="19"/>
  <c r="F6" i="18"/>
  <c r="E6" i="18"/>
  <c r="D6" i="18"/>
  <c r="C6" i="18"/>
  <c r="B6" i="18"/>
  <c r="F9" i="16"/>
  <c r="E9" i="16"/>
  <c r="D9" i="16"/>
  <c r="C9" i="16"/>
  <c r="B9" i="16"/>
  <c r="F5" i="16"/>
  <c r="E5" i="16"/>
  <c r="D5" i="16"/>
  <c r="C5" i="16"/>
  <c r="B5" i="16"/>
  <c r="B5" i="15"/>
  <c r="F6" i="14"/>
  <c r="E6" i="14"/>
  <c r="D6" i="14"/>
  <c r="C6" i="14"/>
  <c r="B6" i="14"/>
  <c r="B12" i="13"/>
  <c r="B11" i="13"/>
  <c r="B10" i="13"/>
  <c r="B9" i="13"/>
  <c r="B8" i="13"/>
  <c r="B7" i="13"/>
  <c r="B6" i="13" s="1"/>
  <c r="F6" i="13"/>
  <c r="E6" i="13"/>
  <c r="D6" i="13"/>
  <c r="C6" i="13"/>
  <c r="E6" i="12"/>
  <c r="D6" i="12"/>
  <c r="C6" i="12"/>
  <c r="B6" i="12"/>
  <c r="B11" i="11"/>
  <c r="B10" i="11"/>
  <c r="B9" i="11"/>
  <c r="B8" i="11"/>
  <c r="B7" i="11"/>
  <c r="B6" i="11"/>
  <c r="E6" i="9"/>
  <c r="D6" i="9"/>
  <c r="C6" i="9"/>
  <c r="B6" i="9"/>
  <c r="E6" i="6"/>
  <c r="D6" i="6"/>
  <c r="C6" i="6"/>
  <c r="B6" i="6"/>
  <c r="F61" i="5"/>
  <c r="E61" i="5"/>
  <c r="D61" i="5"/>
  <c r="C61" i="5"/>
  <c r="B61" i="5"/>
  <c r="F55" i="5"/>
  <c r="E55" i="5"/>
  <c r="D55" i="5"/>
  <c r="C55" i="5"/>
  <c r="B55" i="5"/>
  <c r="F49" i="5"/>
  <c r="E49" i="5"/>
  <c r="D49" i="5"/>
  <c r="C49" i="5"/>
  <c r="B49" i="5"/>
  <c r="F43" i="5"/>
  <c r="E43" i="5"/>
  <c r="D43" i="5"/>
  <c r="C43" i="5"/>
  <c r="B43" i="5"/>
  <c r="F37" i="5"/>
  <c r="E37" i="5"/>
  <c r="D37" i="5"/>
  <c r="C37" i="5"/>
  <c r="B37" i="5"/>
  <c r="F31" i="5"/>
  <c r="E31" i="5"/>
  <c r="D31" i="5"/>
  <c r="C31" i="5"/>
  <c r="B31" i="5"/>
  <c r="F25" i="5"/>
  <c r="E25" i="5"/>
  <c r="D25" i="5"/>
  <c r="C25" i="5"/>
  <c r="B25" i="5"/>
  <c r="F19" i="5"/>
  <c r="E19" i="5"/>
  <c r="D19" i="5"/>
  <c r="C19" i="5"/>
  <c r="B19" i="5"/>
  <c r="F13" i="5"/>
  <c r="E13" i="5"/>
  <c r="D13" i="5"/>
  <c r="C13" i="5"/>
  <c r="B13" i="5"/>
  <c r="F7" i="5"/>
  <c r="E7" i="5"/>
  <c r="D7" i="5"/>
  <c r="C7" i="5"/>
  <c r="B7" i="5"/>
  <c r="D6" i="5"/>
  <c r="F6" i="4"/>
  <c r="E6" i="4"/>
  <c r="D6" i="4"/>
  <c r="C6" i="4"/>
  <c r="B6" i="4"/>
  <c r="C6" i="5" l="1"/>
  <c r="F6" i="5"/>
  <c r="D6" i="29"/>
  <c r="G7" i="33"/>
  <c r="F19" i="33"/>
  <c r="B47" i="55"/>
  <c r="B93" i="55"/>
  <c r="M6" i="56"/>
  <c r="K6" i="56" s="1"/>
  <c r="H113" i="56"/>
  <c r="J47" i="57"/>
  <c r="F64" i="57"/>
  <c r="B9" i="60"/>
  <c r="B9" i="33"/>
  <c r="E6" i="36"/>
  <c r="K6" i="40"/>
  <c r="B7" i="55"/>
  <c r="N12" i="55"/>
  <c r="H26" i="55"/>
  <c r="N47" i="55"/>
  <c r="N93" i="55"/>
  <c r="E7" i="56"/>
  <c r="K64" i="56"/>
  <c r="N64" i="56"/>
  <c r="P6" i="57"/>
  <c r="F22" i="57"/>
  <c r="F40" i="57"/>
  <c r="B56" i="57"/>
  <c r="J81" i="57"/>
  <c r="B13" i="60"/>
  <c r="B6" i="27"/>
  <c r="C6" i="48"/>
  <c r="C8" i="48"/>
  <c r="P6" i="56"/>
  <c r="R47" i="57"/>
  <c r="B5" i="63"/>
  <c r="F6" i="58"/>
  <c r="B6" i="19"/>
  <c r="C6" i="31"/>
  <c r="B6" i="31"/>
  <c r="B8" i="33"/>
  <c r="E6" i="40"/>
  <c r="H6" i="57"/>
  <c r="S6" i="57"/>
  <c r="U6" i="57"/>
  <c r="R81" i="57"/>
  <c r="R6" i="57" s="1"/>
  <c r="N93" i="57"/>
  <c r="B6" i="58"/>
  <c r="B21" i="60"/>
  <c r="E6" i="5"/>
  <c r="C6" i="29"/>
  <c r="B6" i="5"/>
  <c r="B6" i="26"/>
  <c r="E6" i="29"/>
  <c r="F9" i="33"/>
  <c r="F7" i="33" s="1"/>
  <c r="F13" i="33"/>
  <c r="B7" i="34"/>
  <c r="D6" i="37"/>
  <c r="C5" i="54"/>
  <c r="D5" i="54"/>
  <c r="E43" i="56"/>
  <c r="E93" i="56"/>
  <c r="I6" i="57"/>
  <c r="Q6" i="57"/>
  <c r="J22" i="57"/>
  <c r="F56" i="57"/>
  <c r="G6" i="56"/>
  <c r="N22" i="57"/>
  <c r="B6" i="25"/>
  <c r="C7" i="33"/>
  <c r="H7" i="55"/>
  <c r="D6" i="55"/>
  <c r="K43" i="55"/>
  <c r="E56" i="55"/>
  <c r="K81" i="55"/>
  <c r="F6" i="56"/>
  <c r="B16" i="56"/>
  <c r="E78" i="56"/>
  <c r="E113" i="56"/>
  <c r="F47" i="57"/>
  <c r="B64" i="57"/>
  <c r="R64" i="57"/>
  <c r="F93" i="57"/>
  <c r="B6" i="59"/>
  <c r="B15" i="60"/>
  <c r="B6" i="67"/>
  <c r="E6" i="37"/>
  <c r="C6" i="36"/>
  <c r="D6" i="36"/>
  <c r="B6" i="36"/>
  <c r="F6" i="36"/>
  <c r="E7" i="55"/>
  <c r="F6" i="55"/>
  <c r="E6" i="55" s="1"/>
  <c r="B16" i="57"/>
  <c r="C6" i="57"/>
  <c r="B5" i="73"/>
  <c r="B10" i="33"/>
  <c r="B16" i="33"/>
  <c r="K12" i="55"/>
  <c r="K16" i="55"/>
  <c r="H22" i="55"/>
  <c r="E26" i="55"/>
  <c r="B26" i="55"/>
  <c r="N26" i="55"/>
  <c r="N31" i="55"/>
  <c r="H40" i="55"/>
  <c r="K64" i="55"/>
  <c r="H78" i="55"/>
  <c r="B113" i="55"/>
  <c r="K113" i="55"/>
  <c r="C6" i="56"/>
  <c r="D6" i="56"/>
  <c r="H22" i="56"/>
  <c r="I6" i="56"/>
  <c r="H6" i="56" s="1"/>
  <c r="H26" i="56"/>
  <c r="B31" i="56"/>
  <c r="B43" i="56"/>
  <c r="E47" i="56"/>
  <c r="B56" i="56"/>
  <c r="B81" i="56"/>
  <c r="K81" i="56"/>
  <c r="E6" i="57"/>
  <c r="M6" i="57"/>
  <c r="D6" i="57"/>
  <c r="N16" i="57"/>
  <c r="O6" i="57"/>
  <c r="N6" i="57" s="1"/>
  <c r="T6" i="57"/>
  <c r="J40" i="57"/>
  <c r="F81" i="57"/>
  <c r="B93" i="57"/>
  <c r="R93" i="57"/>
  <c r="B4" i="69"/>
  <c r="F6" i="37"/>
  <c r="B6" i="55"/>
  <c r="M6" i="55"/>
  <c r="K6" i="55" s="1"/>
  <c r="E6" i="56"/>
  <c r="J16" i="57"/>
  <c r="K6" i="57"/>
  <c r="B8" i="60"/>
  <c r="C7" i="60"/>
  <c r="B13" i="33"/>
  <c r="B19" i="33"/>
  <c r="C6" i="37"/>
  <c r="B6" i="37"/>
  <c r="G7" i="48"/>
  <c r="G6" i="48" s="1"/>
  <c r="B5" i="54"/>
  <c r="F5" i="54"/>
  <c r="E5" i="54"/>
  <c r="J6" i="55"/>
  <c r="H16" i="55"/>
  <c r="I6" i="55"/>
  <c r="H6" i="55" s="1"/>
  <c r="K22" i="55"/>
  <c r="B31" i="55"/>
  <c r="K31" i="55"/>
  <c r="K40" i="55"/>
  <c r="H64" i="55"/>
  <c r="K78" i="55"/>
  <c r="N113" i="55"/>
  <c r="K7" i="56"/>
  <c r="K22" i="56"/>
  <c r="E26" i="56"/>
  <c r="E31" i="56"/>
  <c r="E40" i="56"/>
  <c r="B47" i="56"/>
  <c r="E56" i="56"/>
  <c r="B93" i="56"/>
  <c r="N93" i="56"/>
  <c r="N6" i="56" s="1"/>
  <c r="F16" i="57"/>
  <c r="G6" i="57"/>
  <c r="L6" i="57"/>
  <c r="B40" i="57"/>
  <c r="N81" i="57"/>
  <c r="J93" i="57"/>
  <c r="E6" i="58"/>
  <c r="D6" i="58"/>
  <c r="G7" i="60"/>
  <c r="B7" i="60" l="1"/>
  <c r="F6" i="57"/>
  <c r="B7" i="33"/>
  <c r="J6" i="57"/>
  <c r="B6" i="56"/>
  <c r="B6" i="57"/>
</calcChain>
</file>

<file path=xl/sharedStrings.xml><?xml version="1.0" encoding="utf-8"?>
<sst xmlns="http://schemas.openxmlformats.org/spreadsheetml/2006/main" count="14511" uniqueCount="5061">
  <si>
    <t>TABLA 10.1: NÚMERO DE PROYECTOS PRESENTADOS Y FINANCIADOS A TRAVÉS DEL FONDO DE APOYO A LA INVESTIGACIÓN PATRIMONIAL (FAIP), SEGÚN REGIÓN. 2011-2015</t>
  </si>
  <si>
    <t>REGIÓN</t>
  </si>
  <si>
    <t>Año</t>
  </si>
  <si>
    <t xml:space="preserve">
2015</t>
  </si>
  <si>
    <t xml:space="preserve">TOTAL </t>
  </si>
  <si>
    <t>Arica y Parinacota</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</si>
  <si>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</si>
  <si>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</si>
  <si>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</si>
  <si>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</si>
  <si>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</si>
  <si>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</si>
  <si>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</si>
  <si>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</si>
  <si>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</si>
  <si>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</si>
  <si>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</si>
  <si>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</si>
  <si>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</si>
  <si>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</si>
  <si>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</si>
  <si>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Dirección de Bibliotecas, Archivos y Museos (Dibam).</t>
  </si>
  <si>
    <t>TABLA 10.2: NÚMERO DE PUBLICACIONES DE LA DIRECCIÓN DE BIBLIOTECAS, ARCHIVOS Y MUSEOS (DIBAM), SEGÚN UNIDAD DE ORIGEN Y TIPO DE PUBLICACIÓN. 2011-2015</t>
  </si>
  <si>
    <t>Dirección de Bibliotecas, Archivos y Museos -DIBAM</t>
  </si>
  <si>
    <t>Folletos</t>
  </si>
  <si>
    <t>Publicaciones Periódicas</t>
  </si>
  <si>
    <t>Libros</t>
  </si>
  <si>
    <t>Trípticos</t>
  </si>
  <si>
    <t>Guías y Manuales</t>
  </si>
  <si>
    <t>Unidad: Biblioteca Nacional</t>
  </si>
  <si>
    <t>Unidad: Biblioredes del Sistema Nacional de Bibliotecas Públicas</t>
  </si>
  <si>
    <t>Unidad: Subdirección de Archivos</t>
  </si>
  <si>
    <r>
      <t>Unidad: Museo Histórico Nacional</t>
    </r>
    <r>
      <rPr>
        <b/>
        <vertAlign val="superscript"/>
        <sz val="8"/>
        <rFont val="Verdana"/>
        <family val="2"/>
      </rPr>
      <t>/R</t>
    </r>
  </si>
  <si>
    <t>Unidad: Museo Nacional de Bellas Artes</t>
  </si>
  <si>
    <t>Unidad: Museo Nacional de Historia Natural</t>
  </si>
  <si>
    <t>Unidad: Subdirección Nacional de Museos</t>
  </si>
  <si>
    <t>Unidad: Centro de Investigaciones Diego Barros Arana</t>
  </si>
  <si>
    <t>Unidad: Centro Nacional de Conservación y Restauración</t>
  </si>
  <si>
    <t>TABLA 10.3: NÚMERO DE ARCHIVOS PÚBLICOS DE LA DIRECCIÓN DE BIBLIOTECAS, ARCHIVOS Y MUSEOS (DIBAM), SEGÚN REGIÓN. 2011-2015</t>
  </si>
  <si>
    <t>Número de archivos públicos</t>
  </si>
  <si>
    <r>
      <t>Metropolitana</t>
    </r>
    <r>
      <rPr>
        <vertAlign val="superscript"/>
        <sz val="8"/>
        <rFont val="Verdana"/>
        <family val="2"/>
      </rPr>
      <t>/1</t>
    </r>
  </si>
  <si>
    <r>
      <t>Metropolitana</t>
    </r>
    <r>
      <rPr>
        <vertAlign val="superscript"/>
        <sz val="8"/>
        <rFont val="Verdana"/>
        <family val="2"/>
      </rPr>
      <t>/2</t>
    </r>
  </si>
  <si>
    <r>
      <rPr>
        <b/>
        <sz val="8"/>
        <rFont val="Verdana"/>
        <family val="2"/>
      </rPr>
      <t xml:space="preserve">1 </t>
    </r>
    <r>
      <rPr>
        <sz val="8"/>
        <rFont val="Verdana"/>
        <family val="2"/>
      </rPr>
      <t>Archivo Nacional Histórico.</t>
    </r>
  </si>
  <si>
    <r>
      <rPr>
        <b/>
        <sz val="8"/>
        <rFont val="Verdana"/>
        <family val="2"/>
      </rPr>
      <t xml:space="preserve">2 </t>
    </r>
    <r>
      <rPr>
        <sz val="8"/>
        <rFont val="Verdana"/>
        <family val="2"/>
      </rPr>
      <t>Archivo Nacional de la Administración (Arnad).</t>
    </r>
  </si>
  <si>
    <t xml:space="preserve"> - No registró movimiento</t>
  </si>
  <si>
    <t>TABLA 10.4: NÚMERO DE DOCUMENTOS CONTENIDOS EN LOS ARCHIVOS PÚBLICOS DE LA DIRECCIÓN DE BIBLIOTECAS, ARCHIVOS Y MUSEOS (DIBAM), SEGÚN REGIÓN. 2015</t>
  </si>
  <si>
    <t>Número de documentos contenidos en los archivos de la Dibam</t>
  </si>
  <si>
    <r>
      <rPr>
        <b/>
        <sz val="8"/>
        <rFont val="Verdana"/>
        <family val="2"/>
      </rPr>
      <t xml:space="preserve">2 </t>
    </r>
    <r>
      <rPr>
        <sz val="8"/>
        <rFont val="Verdana"/>
        <family val="2"/>
      </rPr>
      <t>Archivo Nacional Administración (Arnad).</t>
    </r>
  </si>
  <si>
    <t>TABLA 10.5: NÚMERO TOTAL DE USUARIOS PRESENCIALES Y REMOTOS DE ARCHIVOS PÚBLICOS DE LA DIRECCIÓN DE BIBLIOTECAS, ARCHIVOS Y MUSEOS (DIBAM). 2011-2015</t>
  </si>
  <si>
    <t>USUARIOS</t>
  </si>
  <si>
    <t>N° de usuarios presenciales y remotos de archivos</t>
  </si>
  <si>
    <t>TABLA 10.6: NÚMERO DE USUARIOS PRESENCIALES DE ARCHIVOS PÚBLICOS DE LA DIRECCIÓN DE BIBLIOTECAS, ARCHIVOS Y MUSEOS (DIBAM), SEGÚN REGIÓN. 2011-2015</t>
  </si>
  <si>
    <r>
      <t>Número de usuarios</t>
    </r>
    <r>
      <rPr>
        <b/>
        <vertAlign val="superscript"/>
        <sz val="8"/>
        <rFont val="Verdana"/>
        <family val="2"/>
      </rPr>
      <t>/1</t>
    </r>
  </si>
  <si>
    <r>
      <t>2014</t>
    </r>
    <r>
      <rPr>
        <b/>
        <vertAlign val="superscript"/>
        <sz val="8"/>
        <rFont val="Verdana"/>
        <family val="2"/>
      </rPr>
      <t>/4</t>
    </r>
  </si>
  <si>
    <r>
      <t>2015</t>
    </r>
    <r>
      <rPr>
        <b/>
        <vertAlign val="superscript"/>
        <sz val="8"/>
        <rFont val="Verdana"/>
        <family val="2"/>
      </rPr>
      <t>/4</t>
    </r>
  </si>
  <si>
    <r>
      <t>Metropolitana</t>
    </r>
    <r>
      <rPr>
        <vertAlign val="superscript"/>
        <sz val="8"/>
        <rFont val="Verdana"/>
        <family val="2"/>
      </rPr>
      <t>/3</t>
    </r>
  </si>
  <si>
    <r>
      <rPr>
        <b/>
        <sz val="8"/>
        <rFont val="Verdana"/>
        <family val="2"/>
      </rPr>
      <t>1</t>
    </r>
    <r>
      <rPr>
        <sz val="8"/>
        <rFont val="Verdana"/>
        <family val="2"/>
      </rPr>
      <t xml:space="preserve"> Por usuario se entiende a aquel que consulta en sala o que solicita reproducción de documentos, certificaciones, etc.</t>
    </r>
  </si>
  <si>
    <r>
      <rPr>
        <b/>
        <sz val="8"/>
        <rFont val="Verdana"/>
        <family val="2"/>
      </rPr>
      <t xml:space="preserve">2 </t>
    </r>
    <r>
      <rPr>
        <sz val="8"/>
        <rFont val="Verdana"/>
        <family val="2"/>
      </rPr>
      <t>Corresponde al</t>
    </r>
    <r>
      <rPr>
        <b/>
        <sz val="8"/>
        <rFont val="Verdana"/>
        <family val="2"/>
      </rPr>
      <t xml:space="preserve"> </t>
    </r>
    <r>
      <rPr>
        <sz val="8"/>
        <rFont val="Verdana"/>
        <family val="2"/>
      </rPr>
      <t xml:space="preserve">Archivo Nacional Histórico (ANH). </t>
    </r>
  </si>
  <si>
    <r>
      <rPr>
        <b/>
        <sz val="8"/>
        <rFont val="Verdana"/>
        <family val="2"/>
      </rPr>
      <t xml:space="preserve">3 </t>
    </r>
    <r>
      <rPr>
        <sz val="8"/>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</si>
  <si>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r>
      <rPr>
        <b/>
        <sz val="8"/>
        <rFont val="Verdana"/>
        <family val="2"/>
      </rPr>
      <t>4</t>
    </r>
    <r>
      <rPr>
        <sz val="8"/>
        <rFont val="Verdana"/>
        <family val="2"/>
      </rPr>
      <t xml:space="preserve"> Para el año 2014 y 2015, no se consideran los registros de información a público en el mesón del Arnad y ANH, ya que estas cifras no cuentan con validaciones adecuadas. Esto explica la disminución de usuarios presenciales en la región Metropolitana.   </t>
    </r>
  </si>
  <si>
    <t xml:space="preserve"> - No registró movimiento.</t>
  </si>
  <si>
    <t>TABLA 10.7: DATOS DEL CENTRO NACIONAL DE CONSERVACIÓN Y RESTAURACIÓN DE LA DIRECCIÓN DE BIBLIOTECAS, ARCHIVOS Y MUSEOS (DIBAM). 2011-2015</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</si>
  <si>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</si>
  <si>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</si>
  <si>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</si>
  <si>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</si>
  <si>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</si>
  <si>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TABLA 10.8: OTROS DATOS DE LOS MUSEOS DE LA DIRECCIÓN DE BIBLIOTECAS, ARCHIVOS Y MUSEOS (DIBAM). 2015</t>
  </si>
  <si>
    <t>OTROS DATOS</t>
  </si>
  <si>
    <t>Total</t>
  </si>
  <si>
    <t>Museo</t>
  </si>
  <si>
    <t>Museo Histórico Nacional (MHN)</t>
  </si>
  <si>
    <r>
      <t>Museo Nacional de Historia Natural (MNHN)</t>
    </r>
    <r>
      <rPr>
        <b/>
        <vertAlign val="superscript"/>
        <sz val="8"/>
        <rFont val="Verdana"/>
        <family val="2"/>
      </rPr>
      <t>/1</t>
    </r>
  </si>
  <si>
    <t>Museo Nacional de Bellas Artes (MNBA)</t>
  </si>
  <si>
    <r>
      <t>Subdirección Nacional de Museos (SNM)</t>
    </r>
    <r>
      <rPr>
        <b/>
        <vertAlign val="superscript"/>
        <sz val="8"/>
        <rFont val="Verdana"/>
        <family val="2"/>
      </rPr>
      <t>/2</t>
    </r>
  </si>
  <si>
    <t xml:space="preserve">N° de usuarios atendidos por área educativa </t>
  </si>
  <si>
    <t>N° de usuarios de la (s) biblioteca(s) especializada</t>
  </si>
  <si>
    <t xml:space="preserve">N° de usuarios en delegaciones con servicio de visita guiada </t>
  </si>
  <si>
    <t xml:space="preserve">N° total de actividades como charlas, conferencias y/o seminarios organizados y desarrollados por museos </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</si>
  <si>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</si>
  <si>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</si>
  <si>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r>
      <rPr>
        <b/>
        <sz val="8"/>
        <rFont val="Verdana"/>
        <family val="2"/>
      </rPr>
      <t xml:space="preserve">1 </t>
    </r>
    <r>
      <rPr>
        <sz val="8"/>
        <rFont val="Verdana"/>
        <family val="2"/>
      </rPr>
      <t>En el caso del Museo Histórico Nacional (MNHN) el dato "N° de Usuarios en delegaciones con servicio de visita guiada", corresponde a usuarios que participan de actividades didácticas.</t>
    </r>
  </si>
  <si>
    <r>
      <rPr>
        <b/>
        <sz val="8"/>
        <rFont val="Verdana"/>
        <family val="2"/>
      </rPr>
      <t xml:space="preserve">2 </t>
    </r>
    <r>
      <rPr>
        <sz val="8"/>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</si>
  <si>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t xml:space="preserve"> … Información no disponible.</t>
  </si>
  <si>
    <t>TABLA 10.9: NÚMERO DE MUSEOS DE LA DIRECCIÓN DE BIBLIOTECAS, ARCHIVOS Y MUSEOS (DIBAM), SEGÚN REGIÓN. 2011-2015</t>
  </si>
  <si>
    <t>Cantidad</t>
  </si>
  <si>
    <t>TABLA 10.10: PERSONAL DE MUSEOS DE LA DIRECCIÓN DE BIBLIOTECAS, ARCHIVOS Y MUSEOS (DIBAM), SEGÚN CATEGORÍA OCUPACIONAL. 2015</t>
  </si>
  <si>
    <t>CATEGORÍA OCUPACIONAL</t>
  </si>
  <si>
    <t>Museo Nacional de Historia Natural (MNHN)</t>
  </si>
  <si>
    <r>
      <t>Subdirección Nacional de Museos (SNM)</t>
    </r>
    <r>
      <rPr>
        <b/>
        <vertAlign val="superscript"/>
        <sz val="8"/>
        <rFont val="Verdana"/>
        <family val="2"/>
      </rPr>
      <t>/1</t>
    </r>
  </si>
  <si>
    <t>Directivos</t>
  </si>
  <si>
    <t>Profesionales</t>
  </si>
  <si>
    <t>Administrativos</t>
  </si>
  <si>
    <t>Técnicos</t>
  </si>
  <si>
    <t>Auxiliares</t>
  </si>
  <si>
    <t>Vigilantes privados</t>
  </si>
  <si>
    <r>
      <rPr>
        <b/>
        <sz val="8"/>
        <rFont val="Verdana"/>
        <family val="2"/>
      </rPr>
      <t>1</t>
    </r>
    <r>
      <rPr>
        <sz val="8"/>
        <rFont val="Verdana"/>
        <family val="2"/>
      </rPr>
      <t xml:space="preserve"> No incluye a los museos nacionales.</t>
    </r>
  </si>
  <si>
    <t>TABLA 10.11: NÚMERO DE MUSEOS DE LA DIRECCIÓN DE BIBLIOTECAS, ARCHIVOS Y MUSEOS (DIBAM), SEGÚN TIPO DE COLECCIÓN. 2011-2015</t>
  </si>
  <si>
    <t>TIPO DE COLECCIÓN</t>
  </si>
  <si>
    <r>
      <t>Cantidad</t>
    </r>
    <r>
      <rPr>
        <b/>
        <vertAlign val="superscript"/>
        <sz val="8"/>
        <rFont val="Verdana"/>
        <family val="2"/>
      </rPr>
      <t>/1</t>
    </r>
  </si>
  <si>
    <t>Misceláneos</t>
  </si>
  <si>
    <t>Arte/historia</t>
  </si>
  <si>
    <t>Historia/literatura</t>
  </si>
  <si>
    <t>Arqueológico</t>
  </si>
  <si>
    <t>Histórico</t>
  </si>
  <si>
    <t>Arte</t>
  </si>
  <si>
    <t>Religioso</t>
  </si>
  <si>
    <t>Arte/artesanía</t>
  </si>
  <si>
    <t>Antropológico</t>
  </si>
  <si>
    <t>Ciencia</t>
  </si>
  <si>
    <r>
      <rPr>
        <b/>
        <sz val="8"/>
        <rFont val="Verdana"/>
        <family val="2"/>
      </rPr>
      <t>1</t>
    </r>
    <r>
      <rPr>
        <sz val="8"/>
        <rFont val="Verdana"/>
        <family val="2"/>
      </rPr>
      <t xml:space="preserve"> Incluye todos los museos nacionales, regionales y especializados dependientes de Dibam. La clasificación fue realizada considerando el tipo de colección que tiene un mayor volúmen en cada museo.</t>
    </r>
  </si>
  <si>
    <t>TABLA 10.12: NÚMERO DE AUTORIZACIONES DE SALIDA DEL TERRITORIO NACIONAL ENTREGADAS POR EL MUSEO NACIONAL DE BELLAS ARTES DE OBRAS DE ARTE (LEY 17.236),  SEGÚN CONTINENTE DE DESTINO. 2015</t>
  </si>
  <si>
    <t>CONTINENTE DE DESTINO</t>
  </si>
  <si>
    <r>
      <t>Museo Nacional de Bellas Artes</t>
    </r>
    <r>
      <rPr>
        <b/>
        <vertAlign val="superscript"/>
        <sz val="8"/>
        <rFont val="Verdana"/>
        <family val="2"/>
      </rPr>
      <t>/1</t>
    </r>
  </si>
  <si>
    <t>Asia</t>
  </si>
  <si>
    <t>Europa</t>
  </si>
  <si>
    <t>África</t>
  </si>
  <si>
    <t>Oceanía</t>
  </si>
  <si>
    <t>América</t>
  </si>
  <si>
    <r>
      <rPr>
        <b/>
        <sz val="8"/>
        <rFont val="Verdana"/>
        <family val="2"/>
      </rPr>
      <t>1</t>
    </r>
    <r>
      <rPr>
        <sz val="8"/>
        <rFont val="Verdana"/>
        <family val="2"/>
      </rPr>
      <t xml:space="preserve"> Cada autorización incluye más de una obra, por lo tanto con el fin de entregar mayor información se procedió a desagregar por la cantidad de obras destinadas a los diferentes continentes.</t>
    </r>
  </si>
  <si>
    <t>TABLA 10.13: NÚMERO DE EXPOSICIONES POR MUSEO DE LA DIRECCIÓN DE BIBLIOTECAS, ARCHIVOS Y MUSEOS (DIBAM) , SEGÚN TIPO DE EXPOSICIÓN Y NACIONALIDAD. 2015</t>
  </si>
  <si>
    <t>TIPO DE EXPOSICIÓN Y NACIONALIDAD</t>
  </si>
  <si>
    <r>
      <t>Museo Histórico Nacional</t>
    </r>
    <r>
      <rPr>
        <b/>
        <vertAlign val="superscript"/>
        <sz val="8"/>
        <rFont val="Verdana"/>
        <family val="2"/>
      </rPr>
      <t>/1</t>
    </r>
  </si>
  <si>
    <t>Museo Nacional de Historia Natural</t>
  </si>
  <si>
    <t>Museo Nacional de Bellas Artes</t>
  </si>
  <si>
    <r>
      <t>Subdirección Nacional de Museos</t>
    </r>
    <r>
      <rPr>
        <b/>
        <vertAlign val="superscript"/>
        <sz val="8"/>
        <rFont val="Verdana"/>
        <family val="2"/>
      </rPr>
      <t>/2</t>
    </r>
  </si>
  <si>
    <t xml:space="preserve">TOTAL TIPO DE EXPOSICIÓN </t>
  </si>
  <si>
    <t>Temporales</t>
  </si>
  <si>
    <t>Itinerantes</t>
  </si>
  <si>
    <t>Permanentes</t>
  </si>
  <si>
    <t>TOTAL NACIONALIDAD</t>
  </si>
  <si>
    <t>Nacionales</t>
  </si>
  <si>
    <t>Internacionales</t>
  </si>
  <si>
    <r>
      <rPr>
        <b/>
        <sz val="8"/>
        <rFont val="Verdana"/>
        <family val="2"/>
      </rPr>
      <t>1</t>
    </r>
    <r>
      <rPr>
        <sz val="8"/>
        <rFont val="Verdana"/>
        <family val="2"/>
      </rPr>
      <t xml:space="preserve"> La exposición permanente comprende 19 salas de exhibición, de distintos períodos históricos.</t>
    </r>
  </si>
  <si>
    <r>
      <rPr>
        <b/>
        <sz val="8"/>
        <rFont val="Verdana"/>
        <family val="2"/>
      </rPr>
      <t>2</t>
    </r>
    <r>
      <rPr>
        <sz val="8"/>
        <rFont val="Verdana"/>
        <family val="2"/>
      </rPr>
      <t xml:space="preserve"> La Subdirección Nacional de Museos tiene un campo de acción directo referido a 24 de los 27 museos Dibam; no incluye a los museos nacionales.</t>
    </r>
  </si>
  <si>
    <t>TABLA 10.14: NÚMERO DE PIEZAS RESTAURADAS, POR MUSEO DE LA DIRECCIÓN DE BIBLIOTECAS, ARCHIVOS Y MUSEOS (DIBAM)POR TIPO DE MUSEO (NACIONAL Y REGIONAL), SEGÚN TIPO DE PIEZA. 2015</t>
  </si>
  <si>
    <t>TIPO DE PIEZA</t>
  </si>
  <si>
    <t>Número de piezas restauradas</t>
  </si>
  <si>
    <r>
      <t>Subdirección Nacional de Museos (SNM)</t>
    </r>
    <r>
      <rPr>
        <b/>
        <vertAlign val="superscript"/>
        <sz val="8"/>
        <rFont val="Verdana"/>
        <family val="2"/>
      </rPr>
      <t>/11</t>
    </r>
  </si>
  <si>
    <t>Nacional</t>
  </si>
  <si>
    <t>Regional/Especializado</t>
  </si>
  <si>
    <t>TOTAL</t>
  </si>
  <si>
    <r>
      <t>Afiches</t>
    </r>
    <r>
      <rPr>
        <vertAlign val="superscript"/>
        <sz val="8"/>
        <rFont val="Verdana"/>
        <family val="2"/>
      </rPr>
      <t>/1</t>
    </r>
  </si>
  <si>
    <r>
      <t>Escultura</t>
    </r>
    <r>
      <rPr>
        <vertAlign val="superscript"/>
        <sz val="8"/>
        <rFont val="Verdana"/>
        <family val="2"/>
      </rPr>
      <t>/2</t>
    </r>
  </si>
  <si>
    <t>Pintura</t>
  </si>
  <si>
    <r>
      <t>Sillón</t>
    </r>
    <r>
      <rPr>
        <vertAlign val="superscript"/>
        <sz val="8"/>
        <rFont val="Verdana"/>
        <family val="2"/>
      </rPr>
      <t>/3</t>
    </r>
  </si>
  <si>
    <r>
      <t>Mesas</t>
    </r>
    <r>
      <rPr>
        <vertAlign val="superscript"/>
        <sz val="8"/>
        <rFont val="Verdana"/>
        <family val="2"/>
      </rPr>
      <t>/4</t>
    </r>
  </si>
  <si>
    <r>
      <t>Vertebrados</t>
    </r>
    <r>
      <rPr>
        <vertAlign val="superscript"/>
        <sz val="8"/>
        <rFont val="Verdana"/>
        <family val="2"/>
      </rPr>
      <t>/5</t>
    </r>
  </si>
  <si>
    <r>
      <t>Taxidermia</t>
    </r>
    <r>
      <rPr>
        <vertAlign val="superscript"/>
        <sz val="8"/>
        <rFont val="Verdana"/>
        <family val="2"/>
      </rPr>
      <t>/6/7</t>
    </r>
  </si>
  <si>
    <r>
      <t>Pinturas de caballete</t>
    </r>
    <r>
      <rPr>
        <vertAlign val="superscript"/>
        <sz val="8"/>
        <rFont val="Verdana"/>
        <family val="2"/>
      </rPr>
      <t>/8/9</t>
    </r>
  </si>
  <si>
    <t>Especímenes biológicos</t>
  </si>
  <si>
    <t>Imaginería religiosa</t>
  </si>
  <si>
    <r>
      <t>Históricos</t>
    </r>
    <r>
      <rPr>
        <vertAlign val="superscript"/>
        <sz val="8"/>
        <rFont val="Verdana"/>
        <family val="2"/>
      </rPr>
      <t>/10</t>
    </r>
  </si>
  <si>
    <t>Arqueológicos</t>
  </si>
  <si>
    <t>Arte (pintura mural, óleos)</t>
  </si>
  <si>
    <r>
      <rPr>
        <b/>
        <sz val="8"/>
        <color rgb="FF000000"/>
        <rFont val="Verdana"/>
        <family val="2"/>
      </rPr>
      <t>1.</t>
    </r>
    <r>
      <rPr>
        <sz val="8"/>
        <color rgb="FF000000"/>
        <rFont val="Verdana"/>
        <family val="2"/>
      </rPr>
      <t xml:space="preserve"> 11 Afiches Camilo Mori N°: 3-28811, 3-28810, 3-28836, 3-28844, 3-28835, 3-28813, 3-28808, 3-28843, 3-28806, 3-28814, y S/N (Chilean Nitrate Soda).</t>
    </r>
  </si>
  <si>
    <r>
      <rPr>
        <b/>
        <sz val="8"/>
        <rFont val="Verdana"/>
        <family val="2"/>
      </rPr>
      <t>2.</t>
    </r>
    <r>
      <rPr>
        <sz val="8"/>
        <rFont val="Verdana"/>
        <family val="2"/>
      </rPr>
      <t xml:space="preserve"> 7 Esculturas: Crucifijo de Altar (3-36606), Inmaculada Concepción (3-515), Cabeza de Santo (3-530), Cabeza de Santa (3-594), Ángel (3-41826), San Rafael (3-41827) y Niño Dios Bendiciendo (3-41828).</t>
    </r>
  </si>
  <si>
    <r>
      <rPr>
        <b/>
        <sz val="8"/>
        <rFont val="Verdana"/>
        <family val="2"/>
      </rPr>
      <t>3.</t>
    </r>
    <r>
      <rPr>
        <sz val="8"/>
        <rFont val="Verdana"/>
        <family val="2"/>
      </rPr>
      <t xml:space="preserve"> 4 Sillón: Sillón (3-2081); Sillas N° 3-2199 y 3-41599; Canapé (3-41869). </t>
    </r>
  </si>
  <si>
    <r>
      <rPr>
        <b/>
        <sz val="8"/>
        <rFont val="Verdana"/>
        <family val="2"/>
      </rPr>
      <t>4.</t>
    </r>
    <r>
      <rPr>
        <sz val="8"/>
        <rFont val="Verdana"/>
        <family val="2"/>
      </rPr>
      <t xml:space="preserve"> 5 Mesas N°: 3-2067, 3-1316, 3-1335, 3-1064 y 3-2067.</t>
    </r>
  </si>
  <si>
    <r>
      <rPr>
        <b/>
        <sz val="8"/>
        <rFont val="Verdana"/>
        <family val="2"/>
      </rPr>
      <t>5.</t>
    </r>
    <r>
      <rPr>
        <sz val="8"/>
        <rFont val="Verdana"/>
        <family val="2"/>
      </rPr>
      <t xml:space="preserve"> 3 cráneos de felinos, 2 cráneos de zorro, 2 cráneos de lobo de mar Sin N°.</t>
    </r>
  </si>
  <si>
    <r>
      <rPr>
        <b/>
        <sz val="8"/>
        <rFont val="Verdana"/>
        <family val="2"/>
      </rPr>
      <t>6.</t>
    </r>
    <r>
      <rPr>
        <sz val="8"/>
        <rFont val="Verdana"/>
        <family val="2"/>
      </rPr>
      <t xml:space="preserve"> Para el MNHN corresponden a: 36 ejemplares diferentes de fauna chilena y 3 de fauna extranjera exótica.</t>
    </r>
  </si>
  <si>
    <r>
      <rPr>
        <b/>
        <sz val="8"/>
        <rFont val="Verdana"/>
        <family val="2"/>
      </rPr>
      <t xml:space="preserve">7. </t>
    </r>
    <r>
      <rPr>
        <sz val="8"/>
        <rFont val="Verdana"/>
        <family val="2"/>
      </rPr>
      <t xml:space="preserve">El incremento en el número de piezas restauradas de taxidermia en museos regionales y especializados, respecto del año anterior, se debe a la reapertura del Museo de Historia Natural de Valparaíso a fines del año 2014. Museo para el cual se encuentra vigente un programa de restauración y conservación de piezas y colecciones de dicho museo. </t>
    </r>
  </si>
  <si>
    <r>
      <rPr>
        <b/>
        <sz val="8"/>
        <rFont val="Verdana"/>
        <family val="2"/>
      </rPr>
      <t>8.</t>
    </r>
    <r>
      <rPr>
        <sz val="8"/>
        <rFont val="Verdana"/>
        <family val="2"/>
      </rPr>
      <t xml:space="preserve"> Para el MHN corresponden a 10 pinturas: Retrato de José Miguel Infante y Rojas (3-374), Retrato de Antonia Lorca (3-499), Retrato de doña Inés Vicenta Menéndez Valdés de Cornellana (3-462), Retrato de Doña Nicolasa Garmendia y Aguirre (3-504), Retrato de Joaquín Pérez (3-265), Batalla de Chacabuco (3-238), Retrato del Virrey Ambrosio O'Higgins y Vallenar (3-314), Consejo de Ministros del Presidente Balmaceda (3-231), Batalla de Rancagua (3-490) y Retrato de Francisco Gerard de La Forest y Vergara (3-187).</t>
    </r>
  </si>
  <si>
    <r>
      <rPr>
        <b/>
        <sz val="8"/>
        <rFont val="Verdana"/>
        <family val="2"/>
      </rPr>
      <t>9.</t>
    </r>
    <r>
      <rPr>
        <sz val="8"/>
        <rFont val="Verdana"/>
        <family val="2"/>
      </rPr>
      <t xml:space="preserve"> Para el MNBA corresponden a 13 pinturas: Cristo de la Caña, Desconocido (tela) (2-5028); Cabeza de Indio, Pedro Luna Tela (2-4995); Retrato Antonio García Reyes, Ciccarelli (tela y marco) (2-5017);Take a look around Selma, Alabama, Guillermo Núñez (tela) (2-4141);Desnudo, Julio Fossa Calderón (tela) (2-1057); Desnudo, Paul Michel Dupuy (tela)(2-2482); San Sebastián, Desconocido (tela)(2-4100); Pintor Antonio Smith, Thomson(tela)(2-303);Estudio preparatorio, Villota (Montaje y vuelta al plano)(2-4503);Herodias, Desconocido (tela)(2-4101); Cristo Muerto, Henner (tela y marco) (2-5104); Cabeza de estudio, Nicanor González Méndez (soporte) (2-244); La joven del canario, Jean Decaisne (tela) (2-1790).</t>
    </r>
  </si>
  <si>
    <r>
      <rPr>
        <b/>
        <sz val="8"/>
        <color rgb="FF000000"/>
        <rFont val="Verdana"/>
        <family val="2"/>
      </rPr>
      <t>10.</t>
    </r>
    <r>
      <rPr>
        <sz val="8"/>
        <color rgb="FF000000"/>
        <rFont val="Verdana"/>
        <family val="2"/>
      </rPr>
      <t xml:space="preserve"> 18 Objetos históricos: 3 Espejos (3-1079, 3-1143 y 3-1047); 4 Petacas de cuero(3-2566, 3-1043, 3-1044 y 3-2567); 1 Cómoda (3-2256); 1 Costurero (3-1344); 1 Jamuga (3-2261); 1 Rizador para el pelo (1982-154); 1 Letrero enlozado Reloj Longines (3-42112); 1 Abotonador sin número.  Objetos salitrera: 1 Calamorros (3-39390), 1 Esténcil (3-29927), 1 Marcador de Ganado (3-29925), 1 Pala (3-29866) y 1 Picota (3-29867).</t>
    </r>
  </si>
  <si>
    <r>
      <rPr>
        <b/>
        <sz val="8"/>
        <rFont val="Verdana"/>
        <family val="2"/>
      </rPr>
      <t>11.</t>
    </r>
    <r>
      <rPr>
        <sz val="8"/>
        <rFont val="Verdana"/>
        <family val="2"/>
      </rPr>
      <t xml:space="preserve"> Todos los museos dependientes de la Subdirección Nacional de Museos, son identificados como regionales y/o especializados, por cuanto las piezas que declara, no pueden ser clasificados a nivel nacional.</t>
    </r>
  </si>
  <si>
    <r>
      <t>2015</t>
    </r>
    <r>
      <rPr>
        <b/>
        <vertAlign val="superscript"/>
        <sz val="8"/>
        <rFont val="Verdana"/>
        <family val="2"/>
      </rPr>
      <t>/1</t>
    </r>
  </si>
  <si>
    <t>Históricos</t>
  </si>
  <si>
    <r>
      <rPr>
        <b/>
        <sz val="8"/>
        <rFont val="Verdana"/>
        <family val="2"/>
      </rPr>
      <t>1</t>
    </r>
    <r>
      <rPr>
        <sz val="8"/>
        <rFont val="Verdana"/>
        <family val="2"/>
      </rPr>
      <t xml:space="preserve"> El incremento en el número de piezas restauradas de taxidermia en museos regionales, respecto del año anterior, se debe a la reapertura del Museo de Historia Natural de Valparaíso a fines del año 2014. Museo para el cual se encuentra vigente un programa de restauración y conservación de piezas y colecciones. </t>
    </r>
  </si>
  <si>
    <t>TABLA 10.16: NÚMERO DE PIEZAS RESTAURADAS EN LOS MUSEOS DE LA SUBDIRECCIÓN DE MUSEOS DE LA DIRECCIÓN DE BIBLIOTECAS, ARCHIVOS Y MUSEOS (DIBAM), POR TIPO DE PIEZA, SEGÚN REGIÓN. 2015</t>
  </si>
  <si>
    <t>Tipo de pieza y característica</t>
  </si>
  <si>
    <r>
      <t>Valparaíso</t>
    </r>
    <r>
      <rPr>
        <vertAlign val="superscript"/>
        <sz val="8"/>
        <rFont val="Verdana"/>
        <family val="2"/>
      </rPr>
      <t>/1</t>
    </r>
  </si>
  <si>
    <t>TIPO DE ENTRADA</t>
  </si>
  <si>
    <r>
      <t>Entrada pagada</t>
    </r>
    <r>
      <rPr>
        <vertAlign val="superscript"/>
        <sz val="8"/>
        <rFont val="Verdana"/>
        <family val="2"/>
      </rPr>
      <t>/2</t>
    </r>
  </si>
  <si>
    <t>Entrada gratuita</t>
  </si>
  <si>
    <r>
      <rPr>
        <b/>
        <sz val="8"/>
        <rFont val="Verdana"/>
        <family val="2"/>
      </rPr>
      <t xml:space="preserve">1 </t>
    </r>
    <r>
      <rPr>
        <sz val="8"/>
        <rFont val="Verdana"/>
        <family val="2"/>
      </rPr>
      <t xml:space="preserve">Durante el 2015, se realizó la reapertura del Museo de Fuerte Niebla y la reapertura del Museo de Historia Natural de Valparaíso, lo que incide en el aumento de visitantes a los museos de la SNM. </t>
    </r>
  </si>
  <si>
    <r>
      <rPr>
        <b/>
        <sz val="8"/>
        <rFont val="Verdana"/>
        <family val="2"/>
      </rPr>
      <t>2</t>
    </r>
    <r>
      <rPr>
        <sz val="8"/>
        <rFont val="Verdana"/>
        <family val="2"/>
      </rPr>
      <t xml:space="preserve"> El descenso en el número de usuarios que pagan entrada se debe a que desde el mes de marzo 2015, se estableció la entrada liberada de pago, en todos los Museos dependientes de la DIBAM. (D.S.N°38/2015, que modifica D.S. N°6.234/1929 ambos del Ministerio de Educación, Resoluciones Exentas N°187 y 274 del 2015, ambas de la DIBAM).</t>
    </r>
  </si>
  <si>
    <t>TABLA 10.18: NÚMERO DE USUARIOS DE LOS MUSEOS DE LA DIRECCIÓN DE BIBLIOTECAS, ARCHIVOS Y MUSEOS (DIBAM), SEGÚN GRUPOS DE EDAD. 2015</t>
  </si>
  <si>
    <t>ÍTEM</t>
  </si>
  <si>
    <t>N° autorizaciones por decreto</t>
  </si>
  <si>
    <t>Monumentos históricos (bienes muebles)</t>
  </si>
  <si>
    <t>…</t>
  </si>
  <si>
    <t>Monumentos arqueológicos y paleontológicos</t>
  </si>
  <si>
    <t>N° Monumentos históricos (piezas)</t>
  </si>
  <si>
    <t>… Información no disponible.</t>
  </si>
  <si>
    <t>Fuente: Consejo de Monumentos Nacionales (CMN).</t>
  </si>
  <si>
    <t>TABLA 10.20: NÚMERO DE AUTORIZACIONES DE SALIDA DE MONUMENTOS, SEGÚN DESTINO. 2011-2015</t>
  </si>
  <si>
    <t>Destino</t>
  </si>
  <si>
    <t>N° Autorizaciones por decreto</t>
  </si>
  <si>
    <r>
      <t>2011</t>
    </r>
    <r>
      <rPr>
        <b/>
        <vertAlign val="superscript"/>
        <sz val="8"/>
        <rFont val="Verdana"/>
        <family val="2"/>
      </rPr>
      <t>/1</t>
    </r>
  </si>
  <si>
    <r>
      <t>2012</t>
    </r>
    <r>
      <rPr>
        <b/>
        <vertAlign val="superscript"/>
        <sz val="8"/>
        <rFont val="Verdana"/>
        <family val="2"/>
      </rPr>
      <t>/2</t>
    </r>
  </si>
  <si>
    <r>
      <t>2013</t>
    </r>
    <r>
      <rPr>
        <b/>
        <vertAlign val="superscript"/>
        <sz val="8"/>
        <rFont val="Verdana"/>
        <family val="2"/>
      </rPr>
      <t>/3</t>
    </r>
  </si>
  <si>
    <r>
      <t>2015</t>
    </r>
    <r>
      <rPr>
        <b/>
        <vertAlign val="superscript"/>
        <sz val="8"/>
        <color indexed="8"/>
        <rFont val="Verdana"/>
        <family val="2"/>
      </rPr>
      <t>/5</t>
    </r>
  </si>
  <si>
    <t>-</t>
  </si>
  <si>
    <r>
      <rPr>
        <b/>
        <sz val="8"/>
        <rFont val="Verdana"/>
        <family val="2"/>
      </rPr>
      <t>1</t>
    </r>
    <r>
      <rPr>
        <sz val="8"/>
        <rFont val="Verdana"/>
        <family val="2"/>
      </rPr>
      <t xml:space="preserve"> Destino Estados Unidos y México, Brasil y Japón.</t>
    </r>
  </si>
  <si>
    <r>
      <rPr>
        <b/>
        <sz val="8"/>
        <rFont val="Verdana"/>
        <family val="2"/>
      </rPr>
      <t>2</t>
    </r>
    <r>
      <rPr>
        <sz val="8"/>
        <rFont val="Verdana"/>
        <family val="2"/>
      </rPr>
      <t> Destino Japón y España.</t>
    </r>
  </si>
  <si>
    <r>
      <rPr>
        <b/>
        <sz val="8"/>
        <rFont val="Verdana"/>
        <family val="2"/>
      </rPr>
      <t xml:space="preserve">3 </t>
    </r>
    <r>
      <rPr>
        <sz val="8"/>
        <rFont val="Verdana"/>
        <family val="2"/>
      </rPr>
      <t>Destino Francia, Japón, Italia, Perú, Colombia, Costa Rica y Nicaragua.</t>
    </r>
  </si>
  <si>
    <r>
      <t xml:space="preserve">4 </t>
    </r>
    <r>
      <rPr>
        <sz val="8"/>
        <rFont val="Verdana"/>
        <family val="2"/>
      </rPr>
      <t>Destino Italia y Perú.</t>
    </r>
  </si>
  <si>
    <r>
      <t xml:space="preserve">5 </t>
    </r>
    <r>
      <rPr>
        <sz val="8"/>
        <rFont val="Verdana"/>
        <family val="2"/>
      </rPr>
      <t>Destino Estados Unidos, Brasil, Argentina, Nueva Zelanda y Perú.</t>
    </r>
  </si>
  <si>
    <t>FUENTE: Consejo de Monumentos Nacionales (CMN).</t>
  </si>
  <si>
    <t>TABLA 10.21: NÚMERO DE AUTORIZACIONES POR DESTINO, SEGÚN TIPO DE MONUMENTO. 2015</t>
  </si>
  <si>
    <t>TIPO DE MONUMENTO</t>
  </si>
  <si>
    <r>
      <t>Asia</t>
    </r>
    <r>
      <rPr>
        <b/>
        <vertAlign val="superscript"/>
        <sz val="8"/>
        <color indexed="8"/>
        <rFont val="Verdana"/>
        <family val="2"/>
      </rPr>
      <t>/1</t>
    </r>
  </si>
  <si>
    <r>
      <t>Europa</t>
    </r>
    <r>
      <rPr>
        <b/>
        <vertAlign val="superscript"/>
        <sz val="8"/>
        <color indexed="8"/>
        <rFont val="Verdana"/>
        <family val="2"/>
      </rPr>
      <t>/2</t>
    </r>
  </si>
  <si>
    <r>
      <t>América</t>
    </r>
    <r>
      <rPr>
        <b/>
        <vertAlign val="superscript"/>
        <sz val="8"/>
        <color indexed="8"/>
        <rFont val="Verdana"/>
        <family val="2"/>
      </rPr>
      <t>/3</t>
    </r>
  </si>
  <si>
    <r>
      <t>África</t>
    </r>
    <r>
      <rPr>
        <b/>
        <vertAlign val="superscript"/>
        <sz val="8"/>
        <color indexed="8"/>
        <rFont val="Verdana"/>
        <family val="2"/>
      </rPr>
      <t>/4</t>
    </r>
  </si>
  <si>
    <r>
      <t>Oceanía</t>
    </r>
    <r>
      <rPr>
        <b/>
        <vertAlign val="superscript"/>
        <sz val="8"/>
        <color indexed="8"/>
        <rFont val="Verdana"/>
        <family val="2"/>
      </rPr>
      <t>/5</t>
    </r>
  </si>
  <si>
    <t>Monumentos Arqueológicos y Monumentos Paleontológicos</t>
  </si>
  <si>
    <r>
      <t xml:space="preserve">1 </t>
    </r>
    <r>
      <rPr>
        <sz val="8"/>
        <color indexed="8"/>
        <rFont val="Verdana"/>
        <family val="2"/>
      </rPr>
      <t>No existen autorizaciones para 2015.</t>
    </r>
  </si>
  <si>
    <r>
      <t>2</t>
    </r>
    <r>
      <rPr>
        <sz val="8"/>
        <color indexed="8"/>
        <rFont val="Verdana"/>
        <family val="2"/>
      </rPr>
      <t xml:space="preserve"> No existen autorizaciones para 2015.</t>
    </r>
  </si>
  <si>
    <r>
      <t>3</t>
    </r>
    <r>
      <rPr>
        <sz val="8"/>
        <rFont val="Verdana"/>
        <family val="2"/>
      </rPr>
      <t xml:space="preserve"> El total informado considera: 2 piezas a EEUU y Brasil; 1 a Argentina; 45 a Perú.</t>
    </r>
  </si>
  <si>
    <r>
      <t>4</t>
    </r>
    <r>
      <rPr>
        <sz val="8"/>
        <color indexed="8"/>
        <rFont val="Verdana"/>
        <family val="2"/>
      </rPr>
      <t xml:space="preserve"> No existen autorizaciones para 2015.</t>
    </r>
  </si>
  <si>
    <r>
      <t>5</t>
    </r>
    <r>
      <rPr>
        <sz val="8"/>
        <rFont val="Verdana"/>
        <family val="2"/>
      </rPr>
      <t xml:space="preserve"> El total informado considera: 3 piezas a Nueva Zelanda.</t>
    </r>
  </si>
  <si>
    <t>TABLA 10.22: NÚMERO DE SOLICITUDES DE DECLARACIÓN DE MONUMENTOS NACIONALES RECIBIDAS, SEGÚN TIPO DE MONUMENTO Y REGIÓN. 2015</t>
  </si>
  <si>
    <r>
      <t>Solicitudes de declaración de monumentos nacionales</t>
    </r>
    <r>
      <rPr>
        <b/>
        <vertAlign val="superscript"/>
        <sz val="8"/>
        <color indexed="8"/>
        <rFont val="Verdana"/>
        <family val="2"/>
      </rPr>
      <t>/ 1</t>
    </r>
  </si>
  <si>
    <t xml:space="preserve">Total </t>
  </si>
  <si>
    <r>
      <t>Monumentos históricos muebles</t>
    </r>
    <r>
      <rPr>
        <b/>
        <vertAlign val="superscript"/>
        <sz val="8"/>
        <color indexed="8"/>
        <rFont val="Verdana"/>
        <family val="2"/>
      </rPr>
      <t xml:space="preserve"> /2</t>
    </r>
  </si>
  <si>
    <t>Monumentos históricos inmuebles</t>
  </si>
  <si>
    <t>Santuarios de la naturaleza</t>
  </si>
  <si>
    <t xml:space="preserve">
Zonas típicas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</si>
  <si>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</si>
  <si>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color indexed="8"/>
        <rFont val="Verdana"/>
        <family val="2"/>
      </rPr>
      <t>2</t>
    </r>
    <r>
      <rPr>
        <sz val="8"/>
        <color indexed="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</si>
  <si>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TABLA 10.23: NÚMERO DE MONUMENTOS NACIONALES DECLARADOS POR DECRETO, SEGÚN TIPO DE MONUMENTO Y REGIÓN. 2015</t>
  </si>
  <si>
    <t>Monumentos nacionales declarados por decreto</t>
  </si>
  <si>
    <r>
      <t>Total</t>
    </r>
    <r>
      <rPr>
        <b/>
        <vertAlign val="superscript"/>
        <sz val="8"/>
        <color indexed="8"/>
        <rFont val="Verdana"/>
        <family val="2"/>
      </rPr>
      <t>/1</t>
    </r>
  </si>
  <si>
    <t>Monumentos históricos muebles</t>
  </si>
  <si>
    <t>Zonas típicas</t>
  </si>
  <si>
    <r>
      <rPr>
        <b/>
        <sz val="8"/>
        <rFont val="Verdana"/>
        <family val="2"/>
      </rPr>
      <t>1</t>
    </r>
    <r>
      <rPr>
        <sz val="8"/>
        <rFont val="Verdana"/>
        <family val="2"/>
      </rPr>
      <t xml:space="preserve"> El total de declaratorias del año no corresponde necesariamente al número de declaratorias recibidas durante el año en curso, las declaradas en el año pueden corresponder a expedientes que iniciaron su tramitación en años anteriores.</t>
    </r>
  </si>
  <si>
    <t>TABLA 10.24: NÚMERO DE MONUMENTOS NACIONALES DECLARADOS POR DECRETO, SEGÚN TIPO DE MONUMENTO Y REGIÓN (HISTORICO, DESDE 1925). 2015</t>
  </si>
  <si>
    <r>
      <t>Todas las regiones</t>
    </r>
    <r>
      <rPr>
        <b/>
        <vertAlign val="superscript"/>
        <sz val="8"/>
        <color indexed="8"/>
        <rFont val="Verdana"/>
        <family val="2"/>
      </rPr>
      <t>/2</t>
    </r>
  </si>
  <si>
    <r>
      <t xml:space="preserve">1 </t>
    </r>
    <r>
      <rPr>
        <sz val="8"/>
        <rFont val="Verdana"/>
        <family val="2"/>
      </rPr>
      <t>El total acumulado desde el año 1925 incluye 44 componentes no cuantificados en el total de declaraciones del año 2014. Esto se debe a que durante los años 2014 y 2015 el CMN desagrupó un monumento declarado en 2007, aumentando en 43 los componentes del listado total. Adicionalmente, el CMN agrega un monumento genérico correspondiente al Patrimonio Subacuático.</t>
    </r>
  </si>
  <si>
    <r>
      <rPr>
        <b/>
        <sz val="8"/>
        <color indexed="8"/>
        <rFont val="Verdana"/>
        <family val="2"/>
      </rPr>
      <t>2</t>
    </r>
    <r>
      <rPr>
        <sz val="8"/>
        <color indexed="8"/>
        <rFont val="Verdana"/>
        <family val="2"/>
      </rPr>
      <t xml:space="preserve"> Se considera como una unidad más en el total, el decreto que protege el Patrimonio Cultural Subacuático a nivel nacional, D311 del 08 de octubre de 1999.</t>
    </r>
  </si>
  <si>
    <t>TABLA 10.25: NÓMINA DE MONUMENTOS NACIONALES DECLARADOS, SEGÚN REGIÓN Y MONUMENTO. 2015</t>
  </si>
  <si>
    <t>MONUMENTO</t>
  </si>
  <si>
    <r>
      <t>Componente</t>
    </r>
    <r>
      <rPr>
        <b/>
        <vertAlign val="superscript"/>
        <sz val="8"/>
        <rFont val="Verdana"/>
        <family val="2"/>
      </rPr>
      <t>/1</t>
    </r>
  </si>
  <si>
    <r>
      <t>Categoría</t>
    </r>
    <r>
      <rPr>
        <b/>
        <vertAlign val="superscript"/>
        <sz val="8"/>
        <rFont val="Verdana"/>
        <family val="2"/>
      </rPr>
      <t>/2</t>
    </r>
  </si>
  <si>
    <t>Mueble / Inmueble</t>
  </si>
  <si>
    <t>Iglesia de San Idelfonso de Putre</t>
  </si>
  <si>
    <t>Monumentos Históricos</t>
  </si>
  <si>
    <t>Inmueble</t>
  </si>
  <si>
    <t>Iglesia de San Martín de Tours de Codpa</t>
  </si>
  <si>
    <t>Iglesia Virgen del Carmen de Chitita</t>
  </si>
  <si>
    <t>Iglesia San José de Pachica</t>
  </si>
  <si>
    <t>Iglesia San Pedro de Esquiña</t>
  </si>
  <si>
    <t>Iglesia de San Jerónimo de Poconchile</t>
  </si>
  <si>
    <t>Iglesia San Miguel de Azapa</t>
  </si>
  <si>
    <t>Ruinas del Complejo Industrial Azufrero de Tacora</t>
  </si>
  <si>
    <t>Villa Industrial</t>
  </si>
  <si>
    <t>Campamento de Aguas Calientes</t>
  </si>
  <si>
    <t>Montaña - andariveles</t>
  </si>
  <si>
    <t>Cinco bienes muebles asociados al transporte</t>
  </si>
  <si>
    <t>Locomotora marca Orenstein &amp; Koppel</t>
  </si>
  <si>
    <t>Mueble</t>
  </si>
  <si>
    <t>Locomotora Eléctrica Siemens- Schuckert</t>
  </si>
  <si>
    <t>Carro Krupp</t>
  </si>
  <si>
    <t>Carreta Calichera</t>
  </si>
  <si>
    <t>Carro del Ferrocarril Urbano de Antofagasta (Tranvía de Sangre)</t>
  </si>
  <si>
    <t>Viaducto de Conchi sobre el río Loa</t>
  </si>
  <si>
    <t>Centro Cívico de Chuquicamata</t>
  </si>
  <si>
    <t>Casa 2000 de Chuquicamata</t>
  </si>
  <si>
    <t>Inmuebles representativos del Campamento Americano de Chuquicamata</t>
  </si>
  <si>
    <t>Cementario de Chuquicamata</t>
  </si>
  <si>
    <t>Pala Mundial de Chuquicamata</t>
  </si>
  <si>
    <t>Archivos ubicados en el primer piso del edificio del ex Banco de Chile</t>
  </si>
  <si>
    <t>Archivos ubicados en el lobby del Teatro Chile</t>
  </si>
  <si>
    <t>Archivos ubicados en la Central de Planos</t>
  </si>
  <si>
    <t>Archivos ubicados en el Archivo Físico del Centro de Documentación</t>
  </si>
  <si>
    <t>Archivos ubicados en las instalaciones del Staff A-2, sala N°1</t>
  </si>
  <si>
    <t>Campamento Minero de Chuquicamata</t>
  </si>
  <si>
    <t>Zonas Típicas</t>
  </si>
  <si>
    <t>Casa Dauelsberg</t>
  </si>
  <si>
    <t>Casa West Coast</t>
  </si>
  <si>
    <t>Estero Derecho</t>
  </si>
  <si>
    <t>Santuario de la Naturaleza</t>
  </si>
  <si>
    <t>ex Centro de Detención "Casa del Buen Pastor"</t>
  </si>
  <si>
    <t>Casa Labbé</t>
  </si>
  <si>
    <t>Barrios Vaticano y Quirinal</t>
  </si>
  <si>
    <t>Ex Ballenera de Quintay</t>
  </si>
  <si>
    <t>Mural "Vida Oceánica" de María Martner</t>
  </si>
  <si>
    <t>Sitio Histórico ex Centro de Detención en Balneario Popular Rocas de Santo Domingo</t>
  </si>
  <si>
    <t>Metropolitana de Santiago</t>
  </si>
  <si>
    <t>Sitio donde ocurrió la Matanza de Lo Cañas</t>
  </si>
  <si>
    <t>Mural "El Primer Gol del Pueblo Chileno" de Roberto Matta</t>
  </si>
  <si>
    <t>Edificio Sede del Tribunal Calificador de Elecciones</t>
  </si>
  <si>
    <t>Colección de revistas de historietas editadas en Chile, de la Hemeroteca de la Biblioteca Nacional y otra revista que indica</t>
  </si>
  <si>
    <t>Colección de 238 revista de historietas, situada en la hemeroteca de la Biblioteca Nacional</t>
  </si>
  <si>
    <t>3 números de la revista Von Pilsener, sección periódicos y microformatos de la Biblioteca Nacional</t>
  </si>
  <si>
    <t>Sector 1 de la Villa Frei</t>
  </si>
  <si>
    <t>Mural obra de María Martner y de Juan O´Gorman del Balneario Tupahue</t>
  </si>
  <si>
    <t>Entorno del Mural obra de María Martner y de Juan O´Gorman del Balneario Tupahue</t>
  </si>
  <si>
    <t>Cementerio Católico</t>
  </si>
  <si>
    <t>Anfiteatro del Institulo de Anatomía</t>
  </si>
  <si>
    <t>Colecciones del Museo de Anatomía</t>
  </si>
  <si>
    <t>Cajón del Río Achibueno</t>
  </si>
  <si>
    <t>Catedral de Chillán</t>
  </si>
  <si>
    <t>Mural "Historia de la Medicina y Farmacología en Chile"</t>
  </si>
  <si>
    <t>Las colecciones de platería y joyería Mapuche, de textiles Mapuche y de cerámica artística de Lota</t>
  </si>
  <si>
    <t>Mural de María Martner ubicado en el Parque Monumental Bernardo O´Higgins de Chillán Viejo</t>
  </si>
  <si>
    <t>Entorno del Mural de María Martner ubicado en el Parque Monumental Bernardo O´Higgins de Chillán Viejo</t>
  </si>
  <si>
    <t>Capilla San Conrado</t>
  </si>
  <si>
    <t>Villa García</t>
  </si>
  <si>
    <t>Los Ríos</t>
  </si>
  <si>
    <t>Casa Peters</t>
  </si>
  <si>
    <t>Los Lagos</t>
  </si>
  <si>
    <t>Entorno del Monumento Histórico de la Iglesia Natividad de María de Ichuac</t>
  </si>
  <si>
    <t>Entorno del Monumento Histórico de la Iglesia Santiago Apóstol de Detif</t>
  </si>
  <si>
    <t>Primera Comisaría de Ancud</t>
  </si>
  <si>
    <t>Entorno a la primera Comisaría de Ancud</t>
  </si>
  <si>
    <r>
      <t>1</t>
    </r>
    <r>
      <rPr>
        <sz val="8"/>
        <color indexed="8"/>
        <rFont val="Verdana"/>
        <family val="2"/>
      </rPr>
      <t xml:space="preserve"> Debido a que los componentes permiten representar distintas piezas de un mismo monumento, hay regiones en las cuales no existe información al respecto, debido a que la declaratoria se asocia a monumentos independientes entre sí.   </t>
    </r>
  </si>
  <si>
    <r>
      <t>2</t>
    </r>
    <r>
      <rPr>
        <sz val="8"/>
        <color indexed="8"/>
        <rFont val="Verdana"/>
        <family val="2"/>
      </rPr>
      <t xml:space="preserve"> Definiciones de Categoría: MH : Monumentos Históricos; ZT : Zonas Típicas; SN: Santuario de la Naturaleza.</t>
    </r>
  </si>
  <si>
    <t>PROGRAMA/PROYECTO Y TIPO DE MATERIAL</t>
  </si>
  <si>
    <r>
      <t>Encuentros Maestros</t>
    </r>
    <r>
      <rPr>
        <b/>
        <vertAlign val="superscript"/>
        <sz val="8"/>
        <color indexed="8"/>
        <rFont val="Verdana"/>
        <family val="2"/>
      </rPr>
      <t>/2</t>
    </r>
  </si>
  <si>
    <t>Documentales</t>
  </si>
  <si>
    <t>Expediente UNESCO</t>
  </si>
  <si>
    <t>Audiovisual oficial de postulación a UNESCO</t>
  </si>
  <si>
    <t>Inventario Priorizado del Patrimonio Cultural Inmaterial en Chile</t>
  </si>
  <si>
    <t xml:space="preserve">Tráiler </t>
  </si>
  <si>
    <t>Registro</t>
  </si>
  <si>
    <t>Patrimonio Migrante</t>
  </si>
  <si>
    <t>Tesoros Humanos Vivos</t>
  </si>
  <si>
    <t>Tesoros Humanos Vivos Educativo</t>
  </si>
  <si>
    <t>Documentales educativos</t>
  </si>
  <si>
    <t xml:space="preserve">Turismo Cultural </t>
  </si>
  <si>
    <t>Universo cultural Aymara</t>
  </si>
  <si>
    <r>
      <t>1</t>
    </r>
    <r>
      <rPr>
        <sz val="8"/>
        <color indexed="8"/>
        <rFont val="Verdana"/>
        <family val="2"/>
      </rPr>
      <t xml:space="preserve"> Los valores informados se clasifican de acuerdo al año de edición.</t>
    </r>
  </si>
  <si>
    <r>
      <rPr>
        <b/>
        <sz val="8"/>
        <rFont val="Verdana"/>
        <family val="2"/>
      </rPr>
      <t>2</t>
    </r>
    <r>
      <rPr>
        <sz val="8"/>
        <rFont val="Verdana"/>
        <family val="2"/>
      </rPr>
      <t xml:space="preserve"> A partir del año 2015, el proyecto "Encuentros Interculturales" cambia de nombre en la publicación por "Encuentros Maestros".</t>
    </r>
  </si>
  <si>
    <r>
      <t xml:space="preserve">- </t>
    </r>
    <r>
      <rPr>
        <sz val="8"/>
        <color indexed="8"/>
        <rFont val="Verdana"/>
        <family val="2"/>
      </rPr>
      <t>No registró movimiento.</t>
    </r>
  </si>
  <si>
    <t>FUENTE: Departamento de Patrimonio Cultural, Unidad Patrimonio Cultural Inmaterial; Consejo Nacional de la Cultura y las Artes (CNCA).</t>
  </si>
  <si>
    <t>TIPO DE PRODUCTO</t>
  </si>
  <si>
    <t>Publicaciones</t>
  </si>
  <si>
    <t>Audios</t>
  </si>
  <si>
    <r>
      <t xml:space="preserve">ÁMBITO PATRIMONIO CULTURAL INMATERIAL Y RESULTADO DE LA POSTULACIÓN </t>
    </r>
    <r>
      <rPr>
        <b/>
        <vertAlign val="superscript"/>
        <sz val="8"/>
        <color indexed="8"/>
        <rFont val="Verdana"/>
        <family val="2"/>
      </rPr>
      <t>/R</t>
    </r>
  </si>
  <si>
    <r>
      <t xml:space="preserve">2014 </t>
    </r>
    <r>
      <rPr>
        <b/>
        <vertAlign val="superscript"/>
        <sz val="8"/>
        <color indexed="8"/>
        <rFont val="Verdana"/>
        <family val="2"/>
      </rPr>
      <t>/R</t>
    </r>
  </si>
  <si>
    <t>Conocimientos y usos relacionados con la naturaleza y el universo</t>
  </si>
  <si>
    <t>Inadmisible</t>
  </si>
  <si>
    <t>Admisible</t>
  </si>
  <si>
    <t>Técnicas artesanales o tecnología tradicional</t>
  </si>
  <si>
    <t>Tradiciones y expresiones orales</t>
  </si>
  <si>
    <t>Usos sociales, rituales y actos festivos</t>
  </si>
  <si>
    <r>
      <rPr>
        <b/>
        <sz val="8"/>
        <color indexed="8"/>
        <rFont val="Verdana"/>
        <family val="2"/>
      </rPr>
      <t>R</t>
    </r>
    <r>
      <rPr>
        <sz val="8"/>
        <color indexed="8"/>
        <rFont val="Verdana"/>
        <family val="2"/>
      </rPr>
      <t xml:space="preserve"> Categorías y cifras rectificadas por el informante.</t>
    </r>
  </si>
  <si>
    <r>
      <t xml:space="preserve">FUENTE: Departamento de Patrimonio Cultural, </t>
    </r>
    <r>
      <rPr>
        <sz val="8"/>
        <rFont val="Verdana"/>
        <family val="2"/>
      </rPr>
      <t xml:space="preserve">Unidad </t>
    </r>
    <r>
      <rPr>
        <sz val="8"/>
        <color indexed="8"/>
        <rFont val="Verdana"/>
        <family val="2"/>
      </rPr>
      <t>Patrimonio Cultural Inmaterial; Consejo Nacional de la Cultura y las Artes (CNCA).</t>
    </r>
  </si>
  <si>
    <t>REGIÓN Y POSTULANTES RECONOCIDOS COMO "DESTACADO" y "TESORO HUMANO VIVO"</t>
  </si>
  <si>
    <t>Destacados</t>
  </si>
  <si>
    <t>Reconocidos como Tesoro  Humano Vivo</t>
  </si>
  <si>
    <t xml:space="preserve">Arica y Parinacota </t>
  </si>
  <si>
    <t xml:space="preserve">Antofagasta </t>
  </si>
  <si>
    <t xml:space="preserve">Atacama </t>
  </si>
  <si>
    <t xml:space="preserve">Coquimbo </t>
  </si>
  <si>
    <t xml:space="preserve">Valparaíso </t>
  </si>
  <si>
    <t xml:space="preserve">Metropolitana </t>
  </si>
  <si>
    <t>Araucanía</t>
  </si>
  <si>
    <r>
      <rPr>
        <b/>
        <sz val="8"/>
        <rFont val="Verdana"/>
        <family val="2"/>
      </rPr>
      <t>1</t>
    </r>
    <r>
      <rPr>
        <sz val="8"/>
        <rFont val="Verdana"/>
        <family val="2"/>
      </rPr>
      <t xml:space="preserve"> Los reconocimiento a Tesoros Humanos Vivos son seis anuales, 3 cultores colectivo y 3 individuales, sin embargo, tanto en 2014 como 2015, solo se reconocieron 3 postulaciones del año en curso, los otros reconocimiento corresponden a postulaciones destacadas de años anteriores.</t>
    </r>
  </si>
  <si>
    <r>
      <rPr>
        <b/>
        <sz val="8"/>
        <rFont val="Verdana"/>
        <family val="2"/>
      </rPr>
      <t>2</t>
    </r>
    <r>
      <rPr>
        <sz val="8"/>
        <rFont val="Verdana"/>
        <family val="2"/>
      </rPr>
      <t xml:space="preserve"> Para definir a los Tesoros Humanos Vivos, se realiza un proceso de postulación a nivel nacional. De aquellas candidaturas admisibles, se da paso a un proceso de selección a cargo de Comités Expertos Zonales, que:
</t>
    </r>
  </si>
  <si>
    <t xml:space="preserve">a) Destaca a un número no limitado de personas y colectivos portadoras del patrimonio cultural inmaterial. </t>
  </si>
  <si>
    <t>Posteriormente los cultores destacados por los comités de expertos zonales, pasan a evaluación de un Comité Experto Nacional que:</t>
  </si>
  <si>
    <t>b) Prioriza y reconoce públicamente a un número limitado de personas y colectivos portadores del patrimonio cultural inmaterial de especial relevancia o en riesgo, consideradas Tesoros Humanos Vivos.</t>
  </si>
  <si>
    <t>ADSCRIPCIONES</t>
  </si>
  <si>
    <r>
      <t>Tipo de postulante</t>
    </r>
    <r>
      <rPr>
        <b/>
        <vertAlign val="superscript"/>
        <sz val="8"/>
        <color theme="1"/>
        <rFont val="Verdana"/>
        <family val="2"/>
      </rPr>
      <t>/1</t>
    </r>
  </si>
  <si>
    <r>
      <t>Tipo de postulante</t>
    </r>
    <r>
      <rPr>
        <b/>
        <vertAlign val="superscript"/>
        <sz val="8"/>
        <rFont val="Verdana"/>
        <family val="2"/>
      </rPr>
      <t>/1</t>
    </r>
  </si>
  <si>
    <t>Hombre</t>
  </si>
  <si>
    <t>Mujer</t>
  </si>
  <si>
    <t>Colectivo</t>
  </si>
  <si>
    <r>
      <t>TOTAL ADSCRIPCIONES</t>
    </r>
    <r>
      <rPr>
        <b/>
        <vertAlign val="superscript"/>
        <sz val="8"/>
        <color indexed="8"/>
        <rFont val="Verdana"/>
        <family val="2"/>
      </rPr>
      <t>/1</t>
    </r>
  </si>
  <si>
    <t>Total Asociadas a postulaciones destacadas</t>
  </si>
  <si>
    <t>Total Asociadas a postulaciones reconocidas como Tesoro Humano Vivo</t>
  </si>
  <si>
    <t>Asociadas a postulaciones destacadas</t>
  </si>
  <si>
    <t>Asociadas a  postulaciones reconocidas como Tesoro  Humano Vivo</t>
  </si>
  <si>
    <t>Técnicas Artesanales tradicionales</t>
  </si>
  <si>
    <t>Tradiciones y Expresiones Orales</t>
  </si>
  <si>
    <r>
      <rPr>
        <b/>
        <sz val="8"/>
        <rFont val="Verdana"/>
        <family val="2"/>
      </rPr>
      <t>1</t>
    </r>
    <r>
      <rPr>
        <sz val="8"/>
        <rFont val="Verdana"/>
        <family val="2"/>
      </rPr>
      <t xml:space="preserve"> Postulación incluye postulantes individuales distinguiendo entre sexo y postulantes colectivos.</t>
    </r>
  </si>
  <si>
    <t>Este es un proceso iniciado formalmente en 2015, por lo que no debería haber datos 2013-2014</t>
  </si>
  <si>
    <t xml:space="preserve"> NOMBRE DEL EXPEDIENTE</t>
  </si>
  <si>
    <t xml:space="preserve">
Total
</t>
  </si>
  <si>
    <t>Ámbito de patrimonio inmaterial</t>
  </si>
  <si>
    <t>Conocimientos y usos relacionados con la naturaleza y el universo-Técnicas artesanales o tecnología tradicional</t>
  </si>
  <si>
    <t xml:space="preserve">Usos sociales, rituales y actos festivos </t>
  </si>
  <si>
    <t xml:space="preserve">Tradiciones y Expresiones Orales-Usos sociales, rituales y actos festivos </t>
  </si>
  <si>
    <r>
      <t>El ciclo agrícola de la Quinua en Cariquima</t>
    </r>
    <r>
      <rPr>
        <vertAlign val="superscript"/>
        <sz val="8"/>
        <color indexed="8"/>
        <rFont val="Verdana"/>
        <family val="2"/>
      </rPr>
      <t>/1</t>
    </r>
  </si>
  <si>
    <r>
      <t>La Fiesta de Cuasimodo</t>
    </r>
    <r>
      <rPr>
        <vertAlign val="superscript"/>
        <sz val="8"/>
        <color indexed="8"/>
        <rFont val="Verdana"/>
        <family val="2"/>
      </rPr>
      <t>/2</t>
    </r>
  </si>
  <si>
    <r>
      <t>Minería del oro en Santa Celia</t>
    </r>
    <r>
      <rPr>
        <vertAlign val="superscript"/>
        <sz val="8"/>
        <color indexed="8"/>
        <rFont val="Verdana"/>
        <family val="2"/>
      </rPr>
      <t>/3</t>
    </r>
  </si>
  <si>
    <r>
      <t>Carpintería de Ribera del Río Cutipay</t>
    </r>
    <r>
      <rPr>
        <vertAlign val="superscript"/>
        <sz val="8"/>
        <color indexed="8"/>
        <rFont val="Verdana"/>
        <family val="2"/>
      </rPr>
      <t>/4</t>
    </r>
  </si>
  <si>
    <r>
      <t>Pasacalle devocional en Dalcahue y Quinchao</t>
    </r>
    <r>
      <rPr>
        <vertAlign val="superscript"/>
        <sz val="8"/>
        <color indexed="8"/>
        <rFont val="Verdana"/>
        <family val="2"/>
      </rPr>
      <t>/5</t>
    </r>
  </si>
  <si>
    <r>
      <t>Cocina tradicional de Llanquihue</t>
    </r>
    <r>
      <rPr>
        <vertAlign val="superscript"/>
        <sz val="8"/>
        <color indexed="8"/>
        <rFont val="Verdana"/>
        <family val="2"/>
      </rPr>
      <t>/5</t>
    </r>
  </si>
  <si>
    <r>
      <t>Construcción y navegación en chalupa a vela en la zona de las Guaitecas</t>
    </r>
    <r>
      <rPr>
        <vertAlign val="superscript"/>
        <sz val="8"/>
        <color indexed="8"/>
        <rFont val="Verdana"/>
        <family val="2"/>
      </rPr>
      <t>/6</t>
    </r>
  </si>
  <si>
    <r>
      <t>La faena de la Cholga Seca</t>
    </r>
    <r>
      <rPr>
        <vertAlign val="superscript"/>
        <sz val="8"/>
        <color indexed="8"/>
        <rFont val="Verdana"/>
        <family val="2"/>
      </rPr>
      <t>/6</t>
    </r>
  </si>
  <si>
    <r>
      <t>Elaboración de soga en Cochrane y Bahía Murta</t>
    </r>
    <r>
      <rPr>
        <vertAlign val="superscript"/>
        <sz val="8"/>
        <color indexed="8"/>
        <rFont val="Verdana"/>
        <family val="2"/>
      </rPr>
      <t>/6</t>
    </r>
  </si>
  <si>
    <r>
      <t>Artesanía en fibra vegetal en Pugueñún, Ichuac, Llingua y Chaiguao en Chiloé</t>
    </r>
    <r>
      <rPr>
        <vertAlign val="superscript"/>
        <sz val="8"/>
        <color indexed="8"/>
        <rFont val="Verdana"/>
        <family val="2"/>
      </rPr>
      <t>/6</t>
    </r>
  </si>
  <si>
    <r>
      <t>Bailes Chinos</t>
    </r>
    <r>
      <rPr>
        <vertAlign val="superscript"/>
        <sz val="8"/>
        <color indexed="8"/>
        <rFont val="Verdana"/>
        <family val="2"/>
      </rPr>
      <t>/7</t>
    </r>
  </si>
  <si>
    <r>
      <t>Canto a lo Poeta</t>
    </r>
    <r>
      <rPr>
        <vertAlign val="superscript"/>
        <sz val="8"/>
        <color indexed="8"/>
        <rFont val="Verdana"/>
        <family val="2"/>
      </rPr>
      <t>/8</t>
    </r>
  </si>
  <si>
    <r>
      <t>Cestería Yagán</t>
    </r>
    <r>
      <rPr>
        <vertAlign val="superscript"/>
        <sz val="8"/>
        <color indexed="8"/>
        <rFont val="Verdana"/>
        <family val="2"/>
      </rPr>
      <t>/9</t>
    </r>
  </si>
  <si>
    <r>
      <t>Los Dulces de la Ligua</t>
    </r>
    <r>
      <rPr>
        <vertAlign val="superscript"/>
        <sz val="8"/>
        <color indexed="8"/>
        <rFont val="Verdana"/>
        <family val="2"/>
      </rPr>
      <t>/10</t>
    </r>
  </si>
  <si>
    <r>
      <t>El modo de vida del campesino de Larmahue y su vinculación con el medio ambiente a través de las Ruedas de agua de Larmahue: técnicas y conocimientos de extracción de agua y regadío</t>
    </r>
    <r>
      <rPr>
        <vertAlign val="superscript"/>
        <sz val="8"/>
        <color indexed="8"/>
        <rFont val="Verdana"/>
        <family val="2"/>
      </rPr>
      <t>/11</t>
    </r>
  </si>
  <si>
    <r>
      <rPr>
        <b/>
        <sz val="8"/>
        <rFont val="Verdana"/>
        <family val="2"/>
      </rPr>
      <t>1</t>
    </r>
    <r>
      <rPr>
        <sz val="8"/>
        <rFont val="Verdana"/>
        <family val="2"/>
      </rPr>
      <t xml:space="preserve"> Esta Expresión se realiza principalmente en la Región de Tarapacá </t>
    </r>
  </si>
  <si>
    <r>
      <rPr>
        <b/>
        <sz val="8"/>
        <color indexed="8"/>
        <rFont val="Verdana"/>
        <family val="2"/>
      </rPr>
      <t>2</t>
    </r>
    <r>
      <rPr>
        <sz val="8"/>
        <color indexed="8"/>
        <rFont val="Verdana"/>
        <family val="2"/>
      </rPr>
      <t xml:space="preserve"> Esta expresión se realiza principalmente en la Región Metropolitana</t>
    </r>
  </si>
  <si>
    <r>
      <rPr>
        <b/>
        <sz val="8"/>
        <rFont val="Verdana"/>
        <family val="2"/>
      </rPr>
      <t>3</t>
    </r>
    <r>
      <rPr>
        <sz val="8"/>
        <rFont val="Verdana"/>
        <family val="2"/>
      </rPr>
      <t xml:space="preserve"> Esta expresión se realiza principalmente en la Región de La Araucanía</t>
    </r>
  </si>
  <si>
    <r>
      <rPr>
        <b/>
        <sz val="8"/>
        <rFont val="Verdana"/>
        <family val="2"/>
      </rPr>
      <t>4</t>
    </r>
    <r>
      <rPr>
        <sz val="8"/>
        <rFont val="Verdana"/>
        <family val="2"/>
      </rPr>
      <t xml:space="preserve"> Esta expresión se realiza principalmente en la Región de Los Ríos</t>
    </r>
  </si>
  <si>
    <r>
      <rPr>
        <b/>
        <sz val="8"/>
        <rFont val="Verdana"/>
        <family val="2"/>
      </rPr>
      <t>5</t>
    </r>
    <r>
      <rPr>
        <sz val="8"/>
        <rFont val="Verdana"/>
        <family val="2"/>
      </rPr>
      <t xml:space="preserve"> Esta expresión se realiza principalmente en la Región de Los Lagos</t>
    </r>
  </si>
  <si>
    <r>
      <rPr>
        <b/>
        <sz val="8"/>
        <rFont val="Verdana"/>
        <family val="2"/>
      </rPr>
      <t>6</t>
    </r>
    <r>
      <rPr>
        <sz val="8"/>
        <rFont val="Verdana"/>
        <family val="2"/>
      </rPr>
      <t xml:space="preserve"> Esta expresión se realiza principalmente en la Región de Aysén </t>
    </r>
  </si>
  <si>
    <r>
      <rPr>
        <b/>
        <sz val="8"/>
        <rFont val="Verdana"/>
        <family val="2"/>
      </rPr>
      <t>7</t>
    </r>
    <r>
      <rPr>
        <sz val="8"/>
        <rFont val="Verdana"/>
        <family val="2"/>
      </rPr>
      <t xml:space="preserve"> Esta expresión se realiza principalmente en la Región de Tarapacá, Antofagasta, Atacama, Coquimbo, Valparaíso, Metropolitana</t>
    </r>
  </si>
  <si>
    <r>
      <rPr>
        <b/>
        <sz val="8"/>
        <rFont val="Verdana"/>
        <family val="2"/>
      </rPr>
      <t>8</t>
    </r>
    <r>
      <rPr>
        <sz val="8"/>
        <rFont val="Verdana"/>
        <family val="2"/>
      </rPr>
      <t xml:space="preserve"> Esta expresión se realiza principalmente en la Región de Coquimbo, Valparaíso, Metropolitana, O'Higgins, Maule, Biobío</t>
    </r>
  </si>
  <si>
    <r>
      <rPr>
        <b/>
        <sz val="8"/>
        <rFont val="Verdana"/>
        <family val="2"/>
      </rPr>
      <t>9</t>
    </r>
    <r>
      <rPr>
        <sz val="8"/>
        <rFont val="Verdana"/>
        <family val="2"/>
      </rPr>
      <t xml:space="preserve"> Esta expresión se realiza principalmente en la Región Magallanes</t>
    </r>
  </si>
  <si>
    <r>
      <rPr>
        <b/>
        <sz val="8"/>
        <rFont val="Verdana"/>
        <family val="2"/>
      </rPr>
      <t>10</t>
    </r>
    <r>
      <rPr>
        <sz val="8"/>
        <rFont val="Verdana"/>
        <family val="2"/>
      </rPr>
      <t xml:space="preserve"> Esta expresión se realiza principalmente en la Región de Valparaíso</t>
    </r>
  </si>
  <si>
    <r>
      <rPr>
        <b/>
        <sz val="8"/>
        <color indexed="8"/>
        <rFont val="Verdana"/>
        <family val="2"/>
      </rPr>
      <t>11</t>
    </r>
    <r>
      <rPr>
        <sz val="8"/>
        <color indexed="8"/>
        <rFont val="Verdana"/>
        <family val="2"/>
      </rPr>
      <t xml:space="preserve"> Esta expresión se realiza principalmente en la Región de O'Higgins</t>
    </r>
  </si>
  <si>
    <t>FUENTE: Departamento de Patrimonio Cultural, Sección Patrimonio Cultural Inmaterial; Consejo Nacional de la Cultura y las Artes (CNCA).</t>
  </si>
  <si>
    <t xml:space="preserve">TABLA 10.32: EXPRESIONES IDENTIFICADAS POR EL INVENTARIO PRIORIZADO DEL PATRIMONIO CULTURAL INMATERIAL EN CHILE, SEGÚN ADSCRIPCIÓN A ÁMBITO DEL PATRIMONIO INMATERIAL. 2015 </t>
  </si>
  <si>
    <r>
      <rPr>
        <b/>
        <sz val="8"/>
        <rFont val="Verdana"/>
        <family val="2"/>
      </rPr>
      <t xml:space="preserve">ABSCRIPCIÓN A </t>
    </r>
    <r>
      <rPr>
        <b/>
        <sz val="8"/>
        <color indexed="8"/>
        <rFont val="Verdana"/>
        <family val="2"/>
      </rPr>
      <t>ÁMBITO DEL PATRIMONIO INMATERIAL</t>
    </r>
  </si>
  <si>
    <t>Año 2015</t>
  </si>
  <si>
    <r>
      <t>Expre</t>
    </r>
    <r>
      <rPr>
        <b/>
        <sz val="8"/>
        <rFont val="Verdana"/>
        <family val="2"/>
      </rPr>
      <t>sión reconocida en el Inventario Priorizado</t>
    </r>
  </si>
  <si>
    <t xml:space="preserve">Conocimientos y usos relacionados con la naturaleza y el universo </t>
  </si>
  <si>
    <t xml:space="preserve">Técnicas artesanales o tecnología tradicional </t>
  </si>
  <si>
    <r>
      <t>Elaboración de Soga en Cochrane y Bahía Murta</t>
    </r>
    <r>
      <rPr>
        <b/>
        <vertAlign val="superscript"/>
        <sz val="8"/>
        <rFont val="Verdana"/>
        <family val="2"/>
      </rPr>
      <t>/1</t>
    </r>
  </si>
  <si>
    <t xml:space="preserve">Tradiciones y expresiones orales </t>
  </si>
  <si>
    <r>
      <t>Bailes Chinos</t>
    </r>
    <r>
      <rPr>
        <vertAlign val="superscript"/>
        <sz val="8"/>
        <rFont val="Verdana"/>
        <family val="2"/>
      </rPr>
      <t>/2</t>
    </r>
  </si>
  <si>
    <t>Conocimientos y usos relacionados con la naturaleza y el universo - Técnicas artesanales o tecnología tradicional</t>
  </si>
  <si>
    <t>Minería del Oro en Santa Celia</t>
  </si>
  <si>
    <r>
      <t>Carpintería de Ribera</t>
    </r>
    <r>
      <rPr>
        <vertAlign val="superscript"/>
        <sz val="8"/>
        <color indexed="8"/>
        <rFont val="Verdana"/>
        <family val="2"/>
      </rPr>
      <t>/3</t>
    </r>
  </si>
  <si>
    <t>El modo de vida del campesino de Larmahue y su vinculación con el medio ambiente a través de las Ruedas de agua de Larmahue: técnicas y conocimientos de extracción de agua y regadío</t>
  </si>
  <si>
    <t>Tradiciones y expresiones orales - Usos sociales, rituales y actos festivos</t>
  </si>
  <si>
    <r>
      <t xml:space="preserve">Canto a lo Poeta </t>
    </r>
    <r>
      <rPr>
        <vertAlign val="superscript"/>
        <sz val="8"/>
        <rFont val="Verdana"/>
        <family val="2"/>
      </rPr>
      <t>/2</t>
    </r>
  </si>
  <si>
    <r>
      <rPr>
        <b/>
        <sz val="8"/>
        <color indexed="8"/>
        <rFont val="Verdana"/>
        <family val="2"/>
      </rPr>
      <t>1</t>
    </r>
    <r>
      <rPr>
        <sz val="8"/>
        <color indexed="8"/>
        <rFont val="Verdana"/>
        <family val="2"/>
      </rPr>
      <t xml:space="preserve"> Esta expresión se realiza principalmente en la región de Aysén.</t>
    </r>
  </si>
  <si>
    <r>
      <rPr>
        <b/>
        <sz val="8"/>
        <rFont val="Verdana"/>
        <family val="2"/>
      </rPr>
      <t>2</t>
    </r>
    <r>
      <rPr>
        <sz val="8"/>
        <rFont val="Verdana"/>
        <family val="2"/>
      </rPr>
      <t xml:space="preserve"> Existen expedientes que refieren a manifestaciones del Patrimonio Cultural Inmaterial presentes en más de una región.</t>
    </r>
  </si>
  <si>
    <r>
      <rPr>
        <b/>
        <sz val="8"/>
        <rFont val="Verdana"/>
        <family val="2"/>
      </rPr>
      <t>3</t>
    </r>
    <r>
      <rPr>
        <sz val="8"/>
        <rFont val="Verdana"/>
        <family val="2"/>
      </rPr>
      <t xml:space="preserve"> Ingresa al inventario la "Construcción y navegación en chalupa a vela en la zona de las Guaitecas" , dentro de la expresión Carpintería de Ribera, y se solicita hacer catastro a nivel nacional por ser una manifestación presente en más de una región.</t>
    </r>
  </si>
  <si>
    <r>
      <rPr>
        <b/>
        <sz val="8"/>
        <color indexed="8"/>
        <rFont val="Verdana"/>
        <family val="2"/>
      </rPr>
      <t>Nota:</t>
    </r>
    <r>
      <rPr>
        <sz val="8"/>
        <color indexed="8"/>
        <rFont val="Verdana"/>
        <family val="2"/>
      </rPr>
      <t xml:space="preserve"> Si bien se recibieron expedientes de postulación al inventario los años 2013 y 2014, todas las inscripciones se realizaron el 2015.</t>
    </r>
  </si>
  <si>
    <t>REGIÓN Y TIPO DE ACERVO</t>
  </si>
  <si>
    <r>
      <t xml:space="preserve">2011 </t>
    </r>
    <r>
      <rPr>
        <b/>
        <vertAlign val="superscript"/>
        <sz val="8"/>
        <color theme="1"/>
        <rFont val="Verdana"/>
        <family val="2"/>
      </rPr>
      <t>/R</t>
    </r>
  </si>
  <si>
    <r>
      <t xml:space="preserve">2012 </t>
    </r>
    <r>
      <rPr>
        <b/>
        <vertAlign val="superscript"/>
        <sz val="8"/>
        <color theme="1"/>
        <rFont val="Verdana"/>
        <family val="2"/>
      </rPr>
      <t>/R</t>
    </r>
  </si>
  <si>
    <r>
      <t xml:space="preserve">2013 </t>
    </r>
    <r>
      <rPr>
        <b/>
        <vertAlign val="superscript"/>
        <sz val="8"/>
        <color theme="1"/>
        <rFont val="Verdana"/>
        <family val="2"/>
      </rPr>
      <t>/R</t>
    </r>
  </si>
  <si>
    <r>
      <t xml:space="preserve">2014 </t>
    </r>
    <r>
      <rPr>
        <b/>
        <vertAlign val="superscript"/>
        <sz val="8"/>
        <color theme="1"/>
        <rFont val="Verdana"/>
        <family val="2"/>
      </rPr>
      <t>/R</t>
    </r>
  </si>
  <si>
    <r>
      <t xml:space="preserve">2015 </t>
    </r>
    <r>
      <rPr>
        <b/>
        <vertAlign val="superscript"/>
        <sz val="8"/>
        <color theme="1"/>
        <rFont val="Verdana"/>
        <family val="2"/>
      </rPr>
      <t>/R</t>
    </r>
  </si>
  <si>
    <t>Cultores colectivos</t>
  </si>
  <si>
    <t>Cultores individuales</t>
  </si>
  <si>
    <t>Fiestas</t>
  </si>
  <si>
    <t>Gastronomía</t>
  </si>
  <si>
    <t xml:space="preserve">O'Higgins </t>
  </si>
  <si>
    <t xml:space="preserve">Maule </t>
  </si>
  <si>
    <t xml:space="preserve">Aysén </t>
  </si>
  <si>
    <r>
      <rPr>
        <b/>
        <sz val="8"/>
        <color indexed="8"/>
        <rFont val="Verdana"/>
        <family val="2"/>
      </rPr>
      <t>R</t>
    </r>
    <r>
      <rPr>
        <sz val="8"/>
        <color indexed="8"/>
        <rFont val="Verdana"/>
        <family val="2"/>
      </rPr>
      <t xml:space="preserve"> Cifras rectificadas por el informante.</t>
    </r>
  </si>
  <si>
    <t>ÁMBITOS DE PATRIMONIO CULTURAL INMATERIAL Y TIPO DE ACERVO</t>
  </si>
  <si>
    <r>
      <t xml:space="preserve">Nota: </t>
    </r>
    <r>
      <rPr>
        <sz val="8"/>
        <color indexed="8"/>
        <rFont val="Verdana"/>
        <family val="2"/>
      </rPr>
      <t>En el caso de los Cultores Individuales, Colectivos y Fiestas, hay registros que pertenecen a más de un Tipo de acervo</t>
    </r>
  </si>
  <si>
    <r>
      <t xml:space="preserve">TABLA 10.35: NÚMERO DE INMUEBLES Y ACTIVIDADES REALIZADAS EN EL DÍA DEL PATRIMONIO CULTURAL EN EL PAÍS. 2015 </t>
    </r>
    <r>
      <rPr>
        <b/>
        <vertAlign val="superscript"/>
        <sz val="8"/>
        <color indexed="8"/>
        <rFont val="Verdana"/>
        <family val="2"/>
      </rPr>
      <t>/1</t>
    </r>
  </si>
  <si>
    <t>INMUEBLES Y ACTIVIDADES</t>
  </si>
  <si>
    <t xml:space="preserve">N° de apertura de edificios </t>
  </si>
  <si>
    <t xml:space="preserve">N° de recorridos </t>
  </si>
  <si>
    <t>N° de otras actividades</t>
  </si>
  <si>
    <r>
      <t>1</t>
    </r>
    <r>
      <rPr>
        <sz val="8"/>
        <color indexed="8"/>
        <rFont val="Verdana"/>
        <family val="2"/>
      </rPr>
      <t xml:space="preserve"> El día del Patrimonio Cultural se realizó durante el mes de mayo del año 2015.</t>
    </r>
  </si>
  <si>
    <r>
      <t>TABLA 10.36: NÚMERO DE VISITAS EN EL DÍA DEL PATRIMONIO CULTURAL EN LA REGIÓN METROPOLITANA Y OTRAS REGIONES DEL PAÍS. 2015</t>
    </r>
    <r>
      <rPr>
        <b/>
        <vertAlign val="superscript"/>
        <sz val="8"/>
        <color indexed="8"/>
        <rFont val="Verdana"/>
        <family val="2"/>
      </rPr>
      <t>/1</t>
    </r>
  </si>
  <si>
    <t>VISITAS</t>
  </si>
  <si>
    <t>N° de visitas Región Metropolitana</t>
  </si>
  <si>
    <t>N° de visitas regiones</t>
  </si>
  <si>
    <t>TABLA 10.37: NÚMERO DE BENEFICIARIOS DE PROGRAMA DE EDUCACIÓN AMBIENTAL (EDAM) DENTRO Y FUERA DE LAS ÁREAS SILVESTRES PROTEGIDAS (ASP), SEGÚN REGIÓN. 2012-2015</t>
  </si>
  <si>
    <r>
      <t>2014</t>
    </r>
    <r>
      <rPr>
        <b/>
        <vertAlign val="superscript"/>
        <sz val="8"/>
        <rFont val="Verdana"/>
        <family val="2"/>
      </rPr>
      <t>/1</t>
    </r>
  </si>
  <si>
    <t>Beneficiados dentro del Área Silvestre Protegida (ASP)</t>
  </si>
  <si>
    <t>Beneficiados fuera del Área Silvestre Protegida (ASP)</t>
  </si>
  <si>
    <t xml:space="preserve">
Total</t>
  </si>
  <si>
    <t>…Información no disponible</t>
  </si>
  <si>
    <r>
      <rPr>
        <b/>
        <sz val="8"/>
        <rFont val="Verdana"/>
        <family val="2"/>
      </rPr>
      <t>1</t>
    </r>
    <r>
      <rPr>
        <sz val="8"/>
        <rFont val="Verdana"/>
        <family val="2"/>
      </rPr>
      <t xml:space="preserve"> No se dispone de información para el periodo 2014 debido a que no se registró en todas las unidades y de forma sistemática, el número de charlas de educación ambiental dictadas durante el año.</t>
    </r>
  </si>
  <si>
    <t>FUENTE: Corporación Nacional Forestal (Conaf).</t>
  </si>
  <si>
    <t>TABLA 10.38: NÚMERO DE SANTUARIOS DE LA NATURALEZA DECLARADOS POR DECRETO, SEGÚN REGIÓN. 2015</t>
  </si>
  <si>
    <t>2</t>
  </si>
  <si>
    <t>1</t>
  </si>
  <si>
    <t>- No registró movimiento</t>
  </si>
  <si>
    <t>TABLA 10.39: NÚMERO DE SANTUARIOS DE LA NATURALEZA DECLARADOS POR DECRETO (HISTORICO, DESDE 1925), SEGÚN REGIÓN. 2015</t>
  </si>
  <si>
    <r>
      <t>TABLA 10.40: NÓMINA DE SANTUARIOS DE LA NATURALEZA DECLARADOS, SEGÚN REGIÓN. 2015</t>
    </r>
    <r>
      <rPr>
        <b/>
        <vertAlign val="superscript"/>
        <sz val="8"/>
        <color indexed="8"/>
        <rFont val="Verdana"/>
        <family val="2"/>
      </rPr>
      <t>/1</t>
    </r>
  </si>
  <si>
    <t>Monumento</t>
  </si>
  <si>
    <r>
      <t>Componente</t>
    </r>
    <r>
      <rPr>
        <b/>
        <vertAlign val="superscript"/>
        <sz val="8"/>
        <color indexed="8"/>
        <rFont val="Verdana"/>
        <family val="2"/>
      </rPr>
      <t xml:space="preserve"> /2</t>
    </r>
  </si>
  <si>
    <r>
      <t xml:space="preserve">Categoría </t>
    </r>
    <r>
      <rPr>
        <b/>
        <vertAlign val="superscript"/>
        <sz val="8"/>
        <color indexed="8"/>
        <rFont val="Verdana"/>
        <family val="2"/>
      </rPr>
      <t>/3</t>
    </r>
  </si>
  <si>
    <r>
      <t>Mueble/Inmueble</t>
    </r>
    <r>
      <rPr>
        <b/>
        <vertAlign val="superscript"/>
        <sz val="8"/>
        <color indexed="8"/>
        <rFont val="Verdana"/>
        <family val="2"/>
      </rPr>
      <t xml:space="preserve"> /4</t>
    </r>
  </si>
  <si>
    <t>SN</t>
  </si>
  <si>
    <t>I</t>
  </si>
  <si>
    <r>
      <rPr>
        <b/>
        <sz val="8"/>
        <rFont val="Verdana"/>
        <family val="2"/>
      </rPr>
      <t>1</t>
    </r>
    <r>
      <rPr>
        <sz val="8"/>
        <rFont val="Verdana"/>
        <family val="2"/>
      </rPr>
      <t xml:space="preserve"> Durante el año 2015 no se efectuaron registros de santuarios de la naturaleza.</t>
    </r>
  </si>
  <si>
    <r>
      <t xml:space="preserve">2 </t>
    </r>
    <r>
      <rPr>
        <sz val="8"/>
        <color indexed="8"/>
        <rFont val="Verdana"/>
        <family val="2"/>
      </rPr>
      <t xml:space="preserve">Debido a que los componentes permiten representar distintas piezas de un mismo monumento, hay regiones en las cuales no existe información al respecto, debido a que la declaratoria se asocia a monumentos independientes entre sí.   </t>
    </r>
  </si>
  <si>
    <r>
      <t>3</t>
    </r>
    <r>
      <rPr>
        <sz val="8"/>
        <color indexed="8"/>
        <rFont val="Verdana"/>
        <family val="2"/>
      </rPr>
      <t xml:space="preserve"> Definiciones de categoría: MH : Monumentos Históricos; ZT : Zonas Típicas; SN: Santuario de la Naturaleza.</t>
    </r>
  </si>
  <si>
    <r>
      <t>4</t>
    </r>
    <r>
      <rPr>
        <sz val="8"/>
        <color indexed="8"/>
        <rFont val="Verdana"/>
        <family val="2"/>
      </rPr>
      <t xml:space="preserve"> Abreviación de categoría: Mueble: M e Inmueble: I .</t>
    </r>
  </si>
  <si>
    <t>…Información no disponible.</t>
  </si>
  <si>
    <t>CATEGORÍA DE MANEJO</t>
  </si>
  <si>
    <t>N° Unidades</t>
  </si>
  <si>
    <t>Superficie (há)</t>
  </si>
  <si>
    <t>Parques Nacionales</t>
  </si>
  <si>
    <t>Reservas Nacionales</t>
  </si>
  <si>
    <t>Monumentos Naturales</t>
  </si>
  <si>
    <t>FUENTE: Corporación Nacional Forestal (CONAF). Gerencia áreas silvestres protegidas.</t>
  </si>
  <si>
    <t>TABLA 10.42: NÓMINA Y SUPERFICIE (HÁ) DE LOS PARQUES NACIONALES SEGÚN REGIÓN. 2015</t>
  </si>
  <si>
    <t>Nombre de la unidad</t>
  </si>
  <si>
    <t>Provincia</t>
  </si>
  <si>
    <t>Comuna</t>
  </si>
  <si>
    <t>Parque Nacional Lauca</t>
  </si>
  <si>
    <t>Parinacota</t>
  </si>
  <si>
    <t>Putre</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</si>
  <si>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</si>
  <si>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</si>
  <si>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</si>
  <si>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</si>
  <si>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</si>
  <si>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</si>
  <si>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 xml:space="preserve"> /1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</si>
  <si>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</si>
  <si>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</si>
  <si>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</si>
  <si>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</si>
  <si>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</si>
  <si>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</si>
  <si>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</si>
  <si>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</si>
  <si>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</si>
  <si>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</si>
  <si>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</si>
  <si>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</si>
  <si>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</si>
  <si>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Quillota</t>
  </si>
  <si>
    <t>Hijuelas y Olmue</t>
  </si>
  <si>
    <t>Parque Nacional Rapa Nui</t>
  </si>
  <si>
    <t>Isla de Pascua</t>
  </si>
  <si>
    <t>O´Higgins</t>
  </si>
  <si>
    <r>
      <t>Parque Nacional Las Palmas de Cocalán</t>
    </r>
    <r>
      <rPr>
        <vertAlign val="superscript"/>
        <sz val="8"/>
        <rFont val="Verdana"/>
        <family val="2"/>
      </rPr>
      <t>/2</t>
    </r>
  </si>
  <si>
    <t>Cachapoal</t>
  </si>
  <si>
    <t>Las Cabras</t>
  </si>
  <si>
    <t>Parque Nacional Radal Siete Tazas</t>
  </si>
  <si>
    <t>Curicó</t>
  </si>
  <si>
    <t>Molina</t>
  </si>
  <si>
    <t>Parque Nacional Laguna del Laja</t>
  </si>
  <si>
    <t>Antuco</t>
  </si>
  <si>
    <r>
      <t>Parque Nacional Nahuelbuta</t>
    </r>
    <r>
      <rPr>
        <vertAlign val="superscript"/>
        <sz val="8"/>
        <rFont val="Verdana"/>
        <family val="2"/>
      </rPr>
      <t>/3</t>
    </r>
  </si>
  <si>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</si>
  <si>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</si>
  <si>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</si>
  <si>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</si>
  <si>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</si>
  <si>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</si>
  <si>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</si>
  <si>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</si>
  <si>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</si>
  <si>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</si>
  <si>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</si>
  <si>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</si>
  <si>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</si>
  <si>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</si>
  <si>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</si>
  <si>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</si>
  <si>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</si>
  <si>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</si>
  <si>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</si>
  <si>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</si>
  <si>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</si>
  <si>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</si>
  <si>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</si>
  <si>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</si>
  <si>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</si>
  <si>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</si>
  <si>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</si>
  <si>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</si>
  <si>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</si>
  <si>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</si>
  <si>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</si>
  <si>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</si>
  <si>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</si>
  <si>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</si>
  <si>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</si>
  <si>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</si>
  <si>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</si>
  <si>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</si>
  <si>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</si>
  <si>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</si>
  <si>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</si>
  <si>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</si>
  <si>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</si>
  <si>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</si>
  <si>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r>
      <t>Parque Nacional Bernardo O'Higgins</t>
    </r>
    <r>
      <rPr>
        <vertAlign val="superscript"/>
        <sz val="8"/>
        <rFont val="Verdana"/>
        <family val="2"/>
      </rPr>
      <t>/4</t>
    </r>
  </si>
  <si>
    <t>Capitán Prat y Ultima Esperanza</t>
  </si>
  <si>
    <t>Tortel, O'Higgins y Palena</t>
  </si>
  <si>
    <t>Parque Nacional Torres del Paine</t>
  </si>
  <si>
    <t>Ultima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</si>
  <si>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</si>
  <si>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</si>
  <si>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</si>
  <si>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</si>
  <si>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</si>
  <si>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</si>
  <si>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</si>
  <si>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</si>
  <si>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</si>
  <si>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</si>
  <si>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</si>
  <si>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</si>
  <si>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t>TABLA 10.43: NÓMINA Y SUPERFICIE (HÁ) DE LAS RESERVAS NACIONALES SEGÚN REGIÓN. 2015</t>
  </si>
  <si>
    <t>Reserva Nacional las Vicuñas</t>
  </si>
  <si>
    <t>Reserva Nacional Pampa del Tamarugal</t>
  </si>
  <si>
    <t>Pozo Almonte y Huara</t>
  </si>
  <si>
    <t>Reserva Nacional La Chimba</t>
  </si>
  <si>
    <t>Reserva Nacional Los Flamencos</t>
  </si>
  <si>
    <t xml:space="preserve">El Loa </t>
  </si>
  <si>
    <t>San Pedro de Atacama</t>
  </si>
  <si>
    <t>Reserva Nacional Las Chinchillas</t>
  </si>
  <si>
    <t>Choapa</t>
  </si>
  <si>
    <t>Illapel</t>
  </si>
  <si>
    <r>
      <t>Reserva Nacional Pingüino de Humboldt</t>
    </r>
    <r>
      <rPr>
        <vertAlign val="superscript"/>
        <sz val="8"/>
        <color indexed="8"/>
        <rFont val="Verdana"/>
        <family val="2"/>
      </rPr>
      <t>/1</t>
    </r>
  </si>
  <si>
    <t>Huasco y Elqui</t>
  </si>
  <si>
    <t>Freirina y La Higuera</t>
  </si>
  <si>
    <t>Reserva Nacional Río Blanco</t>
  </si>
  <si>
    <t>Los Andes</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</si>
  <si>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</si>
  <si>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</si>
  <si>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</si>
  <si>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</si>
  <si>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</si>
  <si>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</si>
  <si>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</si>
  <si>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</si>
  <si>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</si>
  <si>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</si>
  <si>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</si>
  <si>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</si>
  <si>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</si>
  <si>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</si>
  <si>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</si>
  <si>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Talca</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</si>
  <si>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</si>
  <si>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</si>
  <si>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</si>
  <si>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</si>
  <si>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</si>
  <si>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</si>
  <si>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</si>
  <si>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</si>
  <si>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</si>
  <si>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</si>
  <si>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</si>
  <si>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</si>
  <si>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Reserva Nacional Isla Mocha</t>
  </si>
  <si>
    <t>Arauco</t>
  </si>
  <si>
    <t>Lebu</t>
  </si>
  <si>
    <t>Reserva Nacional Los Huemules de Niblinto</t>
  </si>
  <si>
    <t>Ñuble</t>
  </si>
  <si>
    <t>Coihueco</t>
  </si>
  <si>
    <t>Reserva Nacional Ñuble</t>
  </si>
  <si>
    <t>Ñuble y Bio Bio</t>
  </si>
  <si>
    <t>Pinto y Antuco</t>
  </si>
  <si>
    <t>Reserva Nacional Ralco</t>
  </si>
  <si>
    <t>Alto Bio Bio</t>
  </si>
  <si>
    <t>Reserva Nacional Altos de Pemehue</t>
  </si>
  <si>
    <t>Quilaco</t>
  </si>
  <si>
    <t>Reserva Nacional Nonguén</t>
  </si>
  <si>
    <t>Concepción</t>
  </si>
  <si>
    <t>Concepción, Choguayante y Hualqui</t>
  </si>
  <si>
    <t>Reserva Nacional Malleco</t>
  </si>
  <si>
    <t>Collipulli</t>
  </si>
  <si>
    <t>Reserva Nacional Alto Bio  Bio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</si>
  <si>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</si>
  <si>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</si>
  <si>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</si>
  <si>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</si>
  <si>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</si>
  <si>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</si>
  <si>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</si>
  <si>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</si>
  <si>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</si>
  <si>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Valdivia</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</si>
  <si>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</si>
  <si>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</si>
  <si>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</si>
  <si>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</si>
  <si>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</si>
  <si>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</si>
  <si>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</si>
  <si>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</si>
  <si>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</si>
  <si>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Coyhaique</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</si>
  <si>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</si>
  <si>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</si>
  <si>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</si>
  <si>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</si>
  <si>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</si>
  <si>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</si>
  <si>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</si>
  <si>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</si>
  <si>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</si>
  <si>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</si>
  <si>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</si>
  <si>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</si>
  <si>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</si>
  <si>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</si>
  <si>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</si>
  <si>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</si>
  <si>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</si>
  <si>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</si>
  <si>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</si>
  <si>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</si>
  <si>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</si>
  <si>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</si>
  <si>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Ultima Esperanza y Magallanes</t>
  </si>
  <si>
    <t>Puerto Natales, Río Verde y Punta Arenas</t>
  </si>
  <si>
    <t>Reserva Nacional Laguna Parrillar</t>
  </si>
  <si>
    <t>Punta Arenas</t>
  </si>
  <si>
    <t>Reserva Nacional Magallanes</t>
  </si>
  <si>
    <t>TABLA 10.44: NÓMINA Y SUPERFICIE (HÁ) DE MONUMENTOS NATURALES SEGÚN REGIÓN. 2015</t>
  </si>
  <si>
    <t>Monumento Natural Salar de Surire</t>
  </si>
  <si>
    <t>Monumento Natural Quebrada de Cardones</t>
  </si>
  <si>
    <t>Arica</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</si>
  <si>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</si>
  <si>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</si>
  <si>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</si>
  <si>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</si>
  <si>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</si>
  <si>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</si>
  <si>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</si>
  <si>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</si>
  <si>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</si>
  <si>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</si>
  <si>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</si>
  <si>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</si>
  <si>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Temuco</t>
  </si>
  <si>
    <t>Monumento Natural Lahuén Ñadi</t>
  </si>
  <si>
    <t>Puerto Montt</t>
  </si>
  <si>
    <t>Monumento Natural Islotes de Puñihuil</t>
  </si>
  <si>
    <t>Ancud</t>
  </si>
  <si>
    <t>Monumento Natural Cinco Hermanas</t>
  </si>
  <si>
    <t>Monumento Natural Dos Lagunas</t>
  </si>
  <si>
    <t>Monumento Natural Cueva del Milodón</t>
  </si>
  <si>
    <t>Última Esperanza</t>
  </si>
  <si>
    <t>Puerto Natales</t>
  </si>
  <si>
    <t>Monumento Natural Los Pingüinos</t>
  </si>
  <si>
    <t>Monumento Natural Laguna de los Cisnes</t>
  </si>
  <si>
    <t>Tierra del Fuego</t>
  </si>
  <si>
    <t>Porvenir</t>
  </si>
  <si>
    <r>
      <t>TIPO DE BIÓSFERA</t>
    </r>
    <r>
      <rPr>
        <b/>
        <vertAlign val="superscript"/>
        <sz val="8"/>
        <rFont val="Verdana"/>
        <family val="2"/>
      </rPr>
      <t>/1</t>
    </r>
  </si>
  <si>
    <t>Dentro del sistema de Área Silvestre Protegida (ASP)</t>
  </si>
  <si>
    <t>Fuera del sistema de Área Silvestre Protegida (ASP)</t>
  </si>
  <si>
    <t>Há</t>
  </si>
  <si>
    <t>Porcentaje</t>
  </si>
  <si>
    <t>Terrestre</t>
  </si>
  <si>
    <t>Marina</t>
  </si>
  <si>
    <r>
      <rPr>
        <b/>
        <sz val="8"/>
        <rFont val="Verdana"/>
        <family val="2"/>
      </rPr>
      <t>1</t>
    </r>
    <r>
      <rPr>
        <sz val="8"/>
        <rFont val="Verdana"/>
        <family val="2"/>
      </rPr>
      <t xml:space="preserve"> Definición de Reserva de la Biósfera:"zonas de ecosistémas terrestres o costero/marinos, o una combinación de los mismos, reconocidas en el plano internacional como tales en el marco del Programa sobre el Hombre y la Biósfera (MAB) de la UNESCO".</t>
    </r>
  </si>
  <si>
    <t>… Información no disponible</t>
  </si>
  <si>
    <t>Reserva de la biósfera</t>
  </si>
  <si>
    <t>Año de creación</t>
  </si>
  <si>
    <t>Fecha modificación</t>
  </si>
  <si>
    <t>Superficie (Há)</t>
  </si>
  <si>
    <t>Lauca</t>
  </si>
  <si>
    <t>Bosque Fray Jorge</t>
  </si>
  <si>
    <t>La Campana - Peñuelas</t>
  </si>
  <si>
    <t xml:space="preserve"> </t>
  </si>
  <si>
    <t>Archipiélago Juan Fernández</t>
  </si>
  <si>
    <t>Nevados de Chillán y Laguna Laja</t>
  </si>
  <si>
    <t>Araucarias</t>
  </si>
  <si>
    <t>Bosques Templados Lluviosos de Los Andes Australes</t>
  </si>
  <si>
    <t>Laguna San Rafael</t>
  </si>
  <si>
    <t>Torres del paine</t>
  </si>
  <si>
    <t xml:space="preserve">Cabo de Hornos  </t>
  </si>
  <si>
    <r>
      <t>Sitios Ramsar</t>
    </r>
    <r>
      <rPr>
        <b/>
        <vertAlign val="superscript"/>
        <sz val="8"/>
        <rFont val="Verdana"/>
        <family val="2"/>
      </rPr>
      <t>/1</t>
    </r>
  </si>
  <si>
    <t>Superficie</t>
  </si>
  <si>
    <t xml:space="preserve">Salar de Surire </t>
  </si>
  <si>
    <r>
      <t>Salar de Huasco</t>
    </r>
    <r>
      <rPr>
        <vertAlign val="superscript"/>
        <sz val="8"/>
        <rFont val="Verdana"/>
        <family val="2"/>
      </rPr>
      <t>/2</t>
    </r>
  </si>
  <si>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</si>
  <si>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</si>
  <si>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</si>
  <si>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</si>
  <si>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</si>
  <si>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</si>
  <si>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</si>
  <si>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El Yali</t>
  </si>
  <si>
    <t>Parque Andino Juncal</t>
  </si>
  <si>
    <t xml:space="preserve">Santuario de la Naturaleza Carlos Anwandter </t>
  </si>
  <si>
    <t>Bahía Lomas</t>
  </si>
  <si>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</si>
  <si>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rPr>
        <b/>
        <sz val="8"/>
        <rFont val="Verdana"/>
        <family val="2"/>
      </rPr>
      <t>2</t>
    </r>
    <r>
      <rPr>
        <sz val="8"/>
        <rFont val="Verdana"/>
        <family val="2"/>
      </rPr>
      <t xml:space="preserve"> El año 2015, el P.N. Salar de Huasco fue desafectado, por lo que el sitio Ramsar del mismo nombre pasó a estar fuera del SNASPE</t>
    </r>
  </si>
  <si>
    <t>FUENTE: Corporación Nacional Forestal (CONAF).</t>
  </si>
  <si>
    <r>
      <t>TABLA 10.48: ESPECIES PRIORITARIAS EN FLORA, SUJETAS AL PLAN NACIONAL DE CONSERVACIÓN (PNC) POR AÑO DE ELABORACIÓN Y ESTADO DE CONSERVACIÓN, SEGÚN REGIÓN DE SECRETARÍA TÉCNICA. 2015</t>
    </r>
    <r>
      <rPr>
        <b/>
        <vertAlign val="superscript"/>
        <sz val="8"/>
        <rFont val="Verdana"/>
        <family val="2"/>
      </rPr>
      <t>/1</t>
    </r>
  </si>
  <si>
    <t>REGIÓN DE SECRETARÍA TÉCNICA</t>
  </si>
  <si>
    <t>Especie</t>
  </si>
  <si>
    <t>Año de elaboración</t>
  </si>
  <si>
    <r>
      <t>Estado de conservación</t>
    </r>
    <r>
      <rPr>
        <b/>
        <vertAlign val="superscript"/>
        <sz val="8"/>
        <rFont val="Verdana"/>
        <family val="2"/>
      </rPr>
      <t>/2</t>
    </r>
  </si>
  <si>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</si>
  <si>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</si>
  <si>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</si>
  <si>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</si>
  <si>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</si>
  <si>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</si>
  <si>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</si>
  <si>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</si>
  <si>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</si>
  <si>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</si>
  <si>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</si>
  <si>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</si>
  <si>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</si>
  <si>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</si>
  <si>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</si>
  <si>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</si>
  <si>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</si>
  <si>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</si>
  <si>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</si>
  <si>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</si>
  <si>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</si>
  <si>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</si>
  <si>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</si>
  <si>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</si>
  <si>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</si>
  <si>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</si>
  <si>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r>
      <rPr>
        <b/>
        <sz val="8"/>
        <rFont val="Verdana"/>
        <family val="2"/>
      </rPr>
      <t>1</t>
    </r>
    <r>
      <rPr>
        <sz val="8"/>
        <rFont val="Verdana"/>
        <family val="2"/>
      </rPr>
      <t xml:space="preserve"> Sin modificaciones respecto del año 2014</t>
    </r>
  </si>
  <si>
    <r>
      <rPr>
        <b/>
        <sz val="8"/>
        <rFont val="Verdana"/>
        <family val="2"/>
      </rPr>
      <t xml:space="preserve">2 </t>
    </r>
    <r>
      <rPr>
        <sz val="8"/>
        <rFont val="Verdana"/>
        <family val="2"/>
      </rPr>
      <t>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</si>
  <si>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TABLA 10.49: ESPECIES PRIORITARIAS EN FAUNA, SUJETAS AL PLAN NACIONAL DE CONSERVACIÓN (PNC) POR AÑO DE ELABORACIÓN Y ESTADO DE CONSERVACIÓN, SEGÚN REGIÓN DE SECRETARÍA TÉCNICA. 2015</t>
    </r>
    <r>
      <rPr>
        <b/>
        <vertAlign val="superscript"/>
        <sz val="8"/>
        <rFont val="Verdana"/>
        <family val="2"/>
      </rPr>
      <t>/1</t>
    </r>
  </si>
  <si>
    <t>Suri</t>
  </si>
  <si>
    <t>Insuficientemente conocida (RCE P1)</t>
  </si>
  <si>
    <t>Vicuña</t>
  </si>
  <si>
    <t>Vulnerable (Libro rojo de los vertebrados terrestres de Chile, Conaf 1993)</t>
  </si>
  <si>
    <t>Taruca</t>
  </si>
  <si>
    <t>En peligro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</si>
  <si>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</si>
  <si>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</si>
  <si>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</si>
  <si>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</si>
  <si>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</si>
  <si>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</si>
  <si>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</si>
  <si>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Picaflor de Juan Fernández</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</si>
  <si>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</si>
  <si>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</si>
  <si>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</si>
  <si>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</si>
  <si>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</si>
  <si>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</si>
  <si>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</si>
  <si>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</si>
  <si>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Loro tricahue</t>
  </si>
  <si>
    <t>En peligro: desde región de Atacama a Coquimbo/ vulnerable resto del país (RCE P1)</t>
  </si>
  <si>
    <t>Tuco-tuco de Magallanes</t>
  </si>
  <si>
    <t>Vulnerable (RCE P8)</t>
  </si>
  <si>
    <t>Pingüino de Humboldt</t>
  </si>
  <si>
    <t>Vulnerable (RCE P2)</t>
  </si>
  <si>
    <t>Zorro de Darwin/2</t>
  </si>
  <si>
    <r>
      <rPr>
        <b/>
        <sz val="8"/>
        <rFont val="Verdana"/>
        <family val="2"/>
      </rPr>
      <t>1</t>
    </r>
    <r>
      <rPr>
        <sz val="8"/>
        <rFont val="Verdana"/>
        <family val="2"/>
      </rPr>
      <t xml:space="preserve"> Abreviaciones RCEP1:Reglamento de clasificación de especies (RCE), proceso n°1 (P1); RCEP2: Reglamento de clasificación de especies (RCE), proceso n°2 (P2); RCEP5: Reglamento de clasificación de especies (RCE), proceso n°5 (P5); RCEP7: Reglamento de clasificación de especies (RCE),  proceso n°7 (P7); RCEP9: Reglamento de clasificación de especies (RCE), proceso n°9 (P9) .</t>
    </r>
  </si>
  <si>
    <t>TABLA 10.50: RECURSOS CULTURALES SEGÚN LAS ÁREAS SILVESTRES PROTEGIDAS (ASP). 2015</t>
  </si>
  <si>
    <t>ÁREA SILVESTRE PROTEGIDA</t>
  </si>
  <si>
    <r>
      <t>Tipo de catastro</t>
    </r>
    <r>
      <rPr>
        <b/>
        <vertAlign val="superscript"/>
        <sz val="8"/>
        <rFont val="Verdana"/>
        <family val="2"/>
      </rPr>
      <t>/1</t>
    </r>
    <r>
      <rPr>
        <b/>
        <sz val="8"/>
        <rFont val="Verdana"/>
        <family val="2"/>
      </rPr>
      <t xml:space="preserve"> (nuevo/actualizado)</t>
    </r>
  </si>
  <si>
    <t>Categorías de recursos culturales registrados</t>
  </si>
  <si>
    <t>Etnográfico</t>
  </si>
  <si>
    <t>Paleontológico</t>
  </si>
  <si>
    <t>Paisaje cultural</t>
  </si>
  <si>
    <t>Actualizado</t>
  </si>
  <si>
    <t>Reserva Nacional Las Vicuñas</t>
  </si>
  <si>
    <t>Nuevo</t>
  </si>
  <si>
    <t>Parque Nacional Arch Juan Fernández</t>
  </si>
  <si>
    <t>Parque Nacional Nahuelbuta</t>
  </si>
  <si>
    <t>Reserva Nacional Mocho Choshuenco</t>
  </si>
  <si>
    <r>
      <rPr>
        <b/>
        <sz val="8"/>
        <rFont val="Verdana"/>
        <family val="2"/>
      </rPr>
      <t xml:space="preserve">1 </t>
    </r>
    <r>
      <rPr>
        <sz val="8"/>
        <rFont val="Verdana"/>
        <family val="2"/>
      </rPr>
      <t>Catastros antiguos: con información actualizada al 2015.  Incluye el patrimonio cultural aledaño a las Áreas Silvestres Protegidas.</t>
    </r>
  </si>
  <si>
    <t>TABLA 10.51: VISITANTES TOTALES SEGÚN REGIÓN Y UNIDAD DEL SISTEMA NACIONAL DE ÁREAS SILVESTRES PROTEGIDAS DEL ESTADO (SNASPE). 2011-2015</t>
  </si>
  <si>
    <r>
      <t>REGIÓN Y UNIDAD DEL SNASPE</t>
    </r>
    <r>
      <rPr>
        <b/>
        <vertAlign val="superscript"/>
        <sz val="8"/>
        <rFont val="Verdana"/>
        <family val="2"/>
      </rPr>
      <t>/1</t>
    </r>
  </si>
  <si>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</si>
  <si>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</si>
  <si>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</si>
  <si>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</si>
  <si>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</si>
  <si>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</si>
  <si>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</si>
  <si>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</si>
  <si>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</si>
  <si>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</si>
  <si>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</si>
  <si>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</si>
  <si>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</si>
  <si>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</si>
  <si>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</si>
  <si>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</si>
  <si>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</si>
  <si>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</si>
  <si>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</si>
  <si>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</si>
  <si>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Archipiélago de Juan Fernández</t>
  </si>
  <si>
    <t>R.N. Río Blanco</t>
  </si>
  <si>
    <t>R.N. Lago Peñuelas</t>
  </si>
  <si>
    <t>R.N. El Yali</t>
  </si>
  <si>
    <t>M.N. Isla Cachagua</t>
  </si>
  <si>
    <r>
      <t>S.N. Laguna El Peral</t>
    </r>
    <r>
      <rPr>
        <vertAlign val="superscript"/>
        <sz val="8"/>
        <rFont val="Verdana"/>
        <family val="2"/>
      </rPr>
      <t>/2</t>
    </r>
  </si>
  <si>
    <t>P.N. Rapa Nui</t>
  </si>
  <si>
    <t>R.N. Río Clarillo</t>
  </si>
  <si>
    <t>M.N. El Morado</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</si>
  <si>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</si>
  <si>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</si>
  <si>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</si>
  <si>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</si>
  <si>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</si>
  <si>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</si>
  <si>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</si>
  <si>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</si>
  <si>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</si>
  <si>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</si>
  <si>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</si>
  <si>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</si>
  <si>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</si>
  <si>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</si>
  <si>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</si>
  <si>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</si>
  <si>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</si>
  <si>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</si>
  <si>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</si>
  <si>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</si>
  <si>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</si>
  <si>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</si>
  <si>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</si>
  <si>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</si>
  <si>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</si>
  <si>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</si>
  <si>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</si>
  <si>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</si>
  <si>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</si>
  <si>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</si>
  <si>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</si>
  <si>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</si>
  <si>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</si>
  <si>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</si>
  <si>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</si>
  <si>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</si>
  <si>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</si>
  <si>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</si>
  <si>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</si>
  <si>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</si>
  <si>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</si>
  <si>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</si>
  <si>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</si>
  <si>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</si>
  <si>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</si>
  <si>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</si>
  <si>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</si>
  <si>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</si>
  <si>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</si>
  <si>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</si>
  <si>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</si>
  <si>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</si>
  <si>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</si>
  <si>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</si>
  <si>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</si>
  <si>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</si>
  <si>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</si>
  <si>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</si>
  <si>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</si>
  <si>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r>
      <t>R.N. Mañihuales</t>
    </r>
    <r>
      <rPr>
        <vertAlign val="superscript"/>
        <sz val="8"/>
        <rFont val="Verdana"/>
        <family val="2"/>
      </rPr>
      <t>/2</t>
    </r>
  </si>
  <si>
    <t>M.N. Dos Lagunas</t>
  </si>
  <si>
    <t>M.N. Cinco Hermanas</t>
  </si>
  <si>
    <r>
      <t>A.P. Cerro Huemules</t>
    </r>
    <r>
      <rPr>
        <vertAlign val="superscript"/>
        <sz val="8"/>
        <rFont val="Verdana"/>
        <family val="2"/>
      </rPr>
      <t>/2</t>
    </r>
  </si>
  <si>
    <t>P.N. Bernardo O'Higgins1/</t>
  </si>
  <si>
    <t>P.N. Alberto de Agostini</t>
  </si>
  <si>
    <t>P.N. Cabo de Hornos</t>
  </si>
  <si>
    <t>P.N. Pali Aike</t>
  </si>
  <si>
    <t>P.N. Torres del Paine</t>
  </si>
  <si>
    <t>R.N. Alacalufes</t>
  </si>
  <si>
    <t>R.N. Laguna Parrillar</t>
  </si>
  <si>
    <t>R.N. Magallanes</t>
  </si>
  <si>
    <t>M.N. Los Pingüinos</t>
  </si>
  <si>
    <t>M.N. Laguna de Los Cisnes</t>
  </si>
  <si>
    <t>M.N. Cueva del Milodón</t>
  </si>
  <si>
    <r>
      <rPr>
        <b/>
        <sz val="8"/>
        <rFont val="Verdana"/>
        <family val="2"/>
      </rPr>
      <t xml:space="preserve">1 </t>
    </r>
    <r>
      <rPr>
        <sz val="8"/>
        <rFont val="Verdana"/>
        <family val="2"/>
      </rPr>
      <t>Parque nacional: P.N, reserva nacional: R.N, monumento nacional: M.N.</t>
    </r>
  </si>
  <si>
    <r>
      <rPr>
        <b/>
        <sz val="8"/>
        <rFont val="Verdana"/>
        <family val="2"/>
      </rPr>
      <t>2</t>
    </r>
    <r>
      <rPr>
        <sz val="8"/>
        <rFont val="Verdana"/>
        <family val="2"/>
      </rPr>
      <t xml:space="preserve"> Estas unidades no forman parte del Snaspe, no obstante, son administradas por Conaf.</t>
    </r>
  </si>
  <si>
    <t>TABLA 10.52: NÚMERO DE VISITANTES A UNIDADES DEL SISTEMA NACIONAL DE ÁREAS SILVESTRES PROTEGIDAS DEL ESTADO (SNASPE) POR AÑO Y NACIONALIDAD (CHILENA Y EXTRANJERA), SEGÚN REGIÓN Y UNIDAD DEL SNASPE. 2011-2015</t>
  </si>
  <si>
    <r>
      <t>REGIÓN Y UNIDAD DEL SNASPE</t>
    </r>
    <r>
      <rPr>
        <b/>
        <vertAlign val="superscript"/>
        <sz val="8"/>
        <rFont val="Verdana"/>
        <family val="2"/>
      </rPr>
      <t>1</t>
    </r>
  </si>
  <si>
    <t>Chilenos</t>
  </si>
  <si>
    <t>Extranjeros</t>
  </si>
  <si>
    <t>P.N. Morro Moreno</t>
  </si>
  <si>
    <r>
      <t>S.N. Laguna el Peral</t>
    </r>
    <r>
      <rPr>
        <vertAlign val="superscript"/>
        <sz val="8"/>
        <rFont val="Verdana"/>
        <family val="2"/>
      </rPr>
      <t>/2</t>
    </r>
  </si>
  <si>
    <t>P.N. RA.P. a Nui</t>
  </si>
  <si>
    <t>R.N. Río de los Cipreses</t>
  </si>
  <si>
    <t>P.N. Radal Siete Tazas</t>
  </si>
  <si>
    <t>R.N. Isla Mocha</t>
  </si>
  <si>
    <t>P.N. Isla Guamblin</t>
  </si>
  <si>
    <t>P.N. Isla Magdalena</t>
  </si>
  <si>
    <t>P.N. Bernardo O'Higgins</t>
  </si>
  <si>
    <t>M.N. La Cueva del Milodón</t>
  </si>
  <si>
    <r>
      <rPr>
        <b/>
        <sz val="8"/>
        <rFont val="Verdana"/>
        <family val="2"/>
      </rPr>
      <t xml:space="preserve">2 </t>
    </r>
    <r>
      <rPr>
        <sz val="8"/>
        <rFont val="Verdana"/>
        <family val="2"/>
      </rPr>
      <t>Estas unidades no forman parte del Snaspe, no obstante, son administradas por Conaf.</t>
    </r>
  </si>
  <si>
    <t>TABLA 10.53: NÚMERO DE VISITANTES A UNIDADES DEL SISTEMA NACIONAL DE ÁREAS SILVESTRES PROTEGIDAS DEL ESTADO (SNASPE) POR AÑO Y SEXO, SEGÚN REGIÓN Y UNIDAD DEL SNASPE. 2011-2015</t>
  </si>
  <si>
    <t>Hombres</t>
  </si>
  <si>
    <t>Mujeres</t>
  </si>
  <si>
    <t>M.N. La portada</t>
  </si>
  <si>
    <t>M.N. Laguna de los Cisnes</t>
  </si>
  <si>
    <r>
      <rPr>
        <b/>
        <sz val="8"/>
        <rFont val="Verdana"/>
        <family val="2"/>
      </rPr>
      <t xml:space="preserve">1 </t>
    </r>
    <r>
      <rPr>
        <sz val="8"/>
        <rFont val="Verdana"/>
        <family val="2"/>
      </rPr>
      <t>Parque nacional: P.N, reserva nacional: R.N, monumento nacional: MN.</t>
    </r>
  </si>
  <si>
    <t>TABLA 10.54: NÚMERO DE VISITANTES A UNIDADES DEL SISTEMA NACIONAL DE ÁREAS PROTEGIDAS DEL ESTADO (SNASPE) POR AÑO Y TRAMO DE EDAD, SEGÚN REGIÓN Y UNIDAD DEL SNASPE. 2011-2015</t>
  </si>
  <si>
    <t>Menores de edad</t>
  </si>
  <si>
    <t>Adultos</t>
  </si>
  <si>
    <t>Adultos mayores</t>
  </si>
  <si>
    <t>P.N. Nevado de tres cruces</t>
  </si>
  <si>
    <t>R.N. Las chinchillas</t>
  </si>
  <si>
    <t>R.N. Lago Las torres</t>
  </si>
  <si>
    <r>
      <rPr>
        <b/>
        <sz val="8"/>
        <rFont val="Verdana"/>
        <family val="2"/>
      </rPr>
      <t xml:space="preserve">3 </t>
    </r>
    <r>
      <rPr>
        <sz val="8"/>
        <rFont val="Verdana"/>
        <family val="2"/>
      </rPr>
      <t>Categoría de Menores de edad:0-17 años, Adultos es una categoría compuesta por hombres de 18 a 64 años y mujeres de 18 a 59 años, Adultos Mayores, definidos como mujeres mayores de 60 años y hombres mayores de 65 años.</t>
    </r>
  </si>
  <si>
    <t>TABLA 10.55: NÚMERO DE VISITANTES EN SITUACIÓN DE DISCAPACIDAD A UNIDADES DEL SISTEMA NACIONAL DE ÁREAS SILVESTRES PROTEGIDAS DEL ESTADO (SNASPE) POR AÑO, SEGÚN REGIÓN Y UNIDAD DEL SNASPE. 2011-2015</t>
  </si>
  <si>
    <r>
      <rPr>
        <b/>
        <sz val="8"/>
        <rFont val="Verdana"/>
        <family val="2"/>
      </rPr>
      <t xml:space="preserve">1 </t>
    </r>
    <r>
      <rPr>
        <sz val="8"/>
        <rFont val="Verdana"/>
        <family val="2"/>
      </rPr>
      <t>Parque nacional: P.N, reserva nacional: R.N, monumento nacional: NM y área protegida: AP.</t>
    </r>
  </si>
  <si>
    <t>TABLA 10.56: NÚMERO DE DENUNCIAS SIN APREHENDIDOS Y CON APREHENDIDOS, Y NÚMERO DE APREHENDIDOS, POR "DAÑOS O APROPIACIÓN SOBRE MONUMENTOS NACIONALES (Art. 38-38 bis Ley 17.288)", SEGÚN REGIÓN. 2015</t>
  </si>
  <si>
    <t>Región</t>
  </si>
  <si>
    <t>Denuncias</t>
  </si>
  <si>
    <t>Aprehendidos</t>
  </si>
  <si>
    <t>Sin aprehendidos</t>
  </si>
  <si>
    <t>Con aprehendidos</t>
  </si>
  <si>
    <t>FUENTE: Carabineros de Chile. Automatización de Unidades Policiales (Aupol).</t>
  </si>
  <si>
    <t>TABLA 10.57: NÚMERO DE APREHENDIDOS POR "DAÑOS O APROPIACIÓN SOBRE MONUMENTOS NACIONALES", POR SEXO Y GRUPOS DE EDAD, SEGÚN REGIÓN. 2015</t>
  </si>
  <si>
    <t>Total aprehendidos</t>
  </si>
  <si>
    <t>Total hombres</t>
  </si>
  <si>
    <t>Total mujeres</t>
  </si>
  <si>
    <t>Menor de 18 años</t>
  </si>
  <si>
    <t>18 a 29 años</t>
  </si>
  <si>
    <t>30 años y más</t>
  </si>
  <si>
    <t>REGIÓN POLICIAL</t>
  </si>
  <si>
    <t>DAÑOS O APROPIACIÓN SOBRE MONUMENTOS NACIONALES (ART. 38-38 BIS LEY 17.288)</t>
  </si>
  <si>
    <t>FUENTE: Policía de Investigaciones de Chile (PDI). Departamento de estadísticas policiales.</t>
  </si>
  <si>
    <t>BIEN AFECTADO</t>
  </si>
  <si>
    <t>Bienes de uso público</t>
  </si>
  <si>
    <t>Bienes fiscales</t>
  </si>
  <si>
    <t>Bienes particulares</t>
  </si>
  <si>
    <t>Equipos computacionales</t>
  </si>
  <si>
    <t>Mercaderías varias</t>
  </si>
  <si>
    <t>Obras de arte</t>
  </si>
  <si>
    <t>Especies varias</t>
  </si>
  <si>
    <t>CD o DVD</t>
  </si>
  <si>
    <t>Equipos celulares</t>
  </si>
  <si>
    <t>Juguetes</t>
  </si>
  <si>
    <t>Escrituras Públicas</t>
  </si>
  <si>
    <r>
      <t>No determinados</t>
    </r>
    <r>
      <rPr>
        <vertAlign val="superscript"/>
        <sz val="8"/>
        <rFont val="Verdana"/>
        <family val="2"/>
      </rPr>
      <t>/1</t>
    </r>
  </si>
  <si>
    <r>
      <t>Se ignora</t>
    </r>
    <r>
      <rPr>
        <vertAlign val="superscript"/>
        <sz val="8"/>
        <rFont val="Verdana"/>
        <family val="2"/>
      </rPr>
      <t>/2</t>
    </r>
  </si>
  <si>
    <r>
      <rPr>
        <b/>
        <sz val="8"/>
        <rFont val="Verdana"/>
        <family val="2"/>
      </rPr>
      <t>1</t>
    </r>
    <r>
      <rPr>
        <sz val="8"/>
        <rFont val="Verdana"/>
        <family val="2"/>
      </rPr>
      <t xml:space="preserve"> La categoría se refiere a cuando se logra recuperar una parte o trozo un bien, sin embargo, no es posible determinar a qué bien pertenece concretamente.</t>
    </r>
  </si>
  <si>
    <r>
      <rPr>
        <b/>
        <sz val="8"/>
        <rFont val="Verdana"/>
        <family val="2"/>
      </rPr>
      <t>2</t>
    </r>
    <r>
      <rPr>
        <sz val="8"/>
        <rFont val="Verdana"/>
        <family val="2"/>
      </rPr>
      <t xml:space="preserve"> No fue posible obtener mayor desagregación del dato.</t>
    </r>
  </si>
  <si>
    <t>REGIÓN Y  COMUNA DEL DELITO</t>
  </si>
  <si>
    <t>Pozo Almonte</t>
  </si>
  <si>
    <t xml:space="preserve">Huara </t>
  </si>
  <si>
    <t>Alto Hospicio</t>
  </si>
  <si>
    <t>Calama</t>
  </si>
  <si>
    <t>Mejillones</t>
  </si>
  <si>
    <t>Diego de Almagro</t>
  </si>
  <si>
    <t>Caldera</t>
  </si>
  <si>
    <r>
      <t>Se ignora</t>
    </r>
    <r>
      <rPr>
        <vertAlign val="superscript"/>
        <sz val="8"/>
        <rFont val="Verdana"/>
        <family val="2"/>
      </rPr>
      <t>/1</t>
    </r>
  </si>
  <si>
    <t>Los Vilos</t>
  </si>
  <si>
    <t>La Ligua</t>
  </si>
  <si>
    <t>Viña del Mar</t>
  </si>
  <si>
    <t>Santiago</t>
  </si>
  <si>
    <t>Recoleta</t>
  </si>
  <si>
    <t>Providencia</t>
  </si>
  <si>
    <t>Ñuñoa</t>
  </si>
  <si>
    <t>San Miguel</t>
  </si>
  <si>
    <t>Lo Espejo</t>
  </si>
  <si>
    <t>Quilicura</t>
  </si>
  <si>
    <t>Lampa</t>
  </si>
  <si>
    <r>
      <rPr>
        <b/>
        <sz val="8"/>
        <rFont val="Verdana"/>
        <family val="2"/>
      </rPr>
      <t>1</t>
    </r>
    <r>
      <rPr>
        <sz val="8"/>
        <rFont val="Verdana"/>
        <family val="2"/>
      </rPr>
      <t xml:space="preserve"> No fue posible obtener mayor desagregación del dato.</t>
    </r>
  </si>
  <si>
    <r>
      <t>REGIÓN POLICIAL DE LA DENUNCIA Y COMUNA DE OCURRENCIA DEL DELITO</t>
    </r>
    <r>
      <rPr>
        <b/>
        <vertAlign val="superscript"/>
        <sz val="8"/>
        <rFont val="Verdana"/>
        <family val="2"/>
      </rPr>
      <t>/1</t>
    </r>
  </si>
  <si>
    <t>Daños o apropiación sobre monumentos nacionales (artículo 38-38 bis Ley N°17.288)</t>
  </si>
  <si>
    <t>Iquique</t>
  </si>
  <si>
    <t>Pudahuel</t>
  </si>
  <si>
    <t>Villa Alemana</t>
  </si>
  <si>
    <t>Algarrobo</t>
  </si>
  <si>
    <t>Lautaro</t>
  </si>
  <si>
    <t>La Serena</t>
  </si>
  <si>
    <t>Quintero</t>
  </si>
  <si>
    <t>Rancagua</t>
  </si>
  <si>
    <t>Rengo</t>
  </si>
  <si>
    <t>Independencia</t>
  </si>
  <si>
    <t>Vitacura</t>
  </si>
  <si>
    <t>Lo Barnechea</t>
  </si>
  <si>
    <t>Las Condes</t>
  </si>
  <si>
    <t>Peñalolén</t>
  </si>
  <si>
    <t>La Florida</t>
  </si>
  <si>
    <t>San Joaquín</t>
  </si>
  <si>
    <t>San Ramón</t>
  </si>
  <si>
    <t>El Bosque</t>
  </si>
  <si>
    <t>Estación Central</t>
  </si>
  <si>
    <t>Maipú</t>
  </si>
  <si>
    <t>Quinta Normal</t>
  </si>
  <si>
    <t>Lo Prado</t>
  </si>
  <si>
    <t>Colina</t>
  </si>
  <si>
    <t>Puente Alto</t>
  </si>
  <si>
    <t>San Bernardo</t>
  </si>
  <si>
    <t>San Fernando</t>
  </si>
  <si>
    <t>Chillán</t>
  </si>
  <si>
    <t xml:space="preserve">Quillón </t>
  </si>
  <si>
    <t>Traiguén</t>
  </si>
  <si>
    <t>Lumaco</t>
  </si>
  <si>
    <t>Villarrica</t>
  </si>
  <si>
    <t>Puerto Varas</t>
  </si>
  <si>
    <t>San José de Mariquina</t>
  </si>
  <si>
    <t>La Unión</t>
  </si>
  <si>
    <t>Quellón</t>
  </si>
  <si>
    <t>Natales</t>
  </si>
  <si>
    <r>
      <t xml:space="preserve">1 </t>
    </r>
    <r>
      <rPr>
        <sz val="8"/>
        <rFont val="Verdana"/>
        <family val="2"/>
      </rPr>
      <t>Para cada región policial, se incluyen todas las denuncias efectuadas en cada una de ellas, en tanto que las comunas corresponden a las locaciones en las que ocurrieron los delitos. A causa de ello, puede suceder que las comunas informadas dentro de cada región, puedan no corresponder con la región en la que se encuentra clasificada.</t>
    </r>
  </si>
  <si>
    <r>
      <t>2</t>
    </r>
    <r>
      <rPr>
        <sz val="8"/>
        <rFont val="Verdana"/>
        <family val="2"/>
      </rPr>
      <t xml:space="preserve"> No es posible obtener desagregación del dato.</t>
    </r>
  </si>
  <si>
    <t>FUENTE: Policía de Investigaciones de Chile (PDI). Departamento de Estadísticas Policiales.</t>
  </si>
  <si>
    <t>REGIÓN Y BIEN AFECTADO</t>
  </si>
  <si>
    <t>Contrabando de Cigarrillos</t>
  </si>
  <si>
    <t>Bicicleta</t>
  </si>
  <si>
    <t>Calzados</t>
  </si>
  <si>
    <t>Joyas</t>
  </si>
  <si>
    <t>Prendas de vestir</t>
  </si>
  <si>
    <t>Cd o Dvd</t>
  </si>
  <si>
    <t>Documentos públicos</t>
  </si>
  <si>
    <t>Documentación mercantil</t>
  </si>
  <si>
    <t>Accesorio de vehículo</t>
  </si>
  <si>
    <t>Decodificadores</t>
  </si>
  <si>
    <t>Propiedades</t>
  </si>
  <si>
    <t>Artículos deportivos</t>
  </si>
  <si>
    <r>
      <rPr>
        <b/>
        <sz val="8"/>
        <rFont val="Verdana"/>
        <family val="2"/>
      </rPr>
      <t>2</t>
    </r>
    <r>
      <rPr>
        <sz val="8"/>
        <rFont val="Verdana"/>
        <family val="2"/>
      </rPr>
      <t xml:space="preserve"> No es posible obtener desagregación del dato.</t>
    </r>
  </si>
  <si>
    <t xml:space="preserve">REGIÓN/SEXO </t>
  </si>
  <si>
    <t>Menos de 16 años</t>
  </si>
  <si>
    <t>16 a 17 años</t>
  </si>
  <si>
    <t>18 a 20 años</t>
  </si>
  <si>
    <t>21 a 30 años</t>
  </si>
  <si>
    <t>31 a 40 años</t>
  </si>
  <si>
    <t>41 a 50 años</t>
  </si>
  <si>
    <t>51 y más años</t>
  </si>
  <si>
    <t>REGIÓN/     NACIONALIDAD</t>
  </si>
  <si>
    <t>REGIÓN POLICIAL Y COMUNA RESIDENCIA</t>
  </si>
  <si>
    <t>Alto Biobío</t>
  </si>
  <si>
    <t>Vallenar</t>
  </si>
  <si>
    <t>La Pintana</t>
  </si>
  <si>
    <t>La Cisterna</t>
  </si>
  <si>
    <t>Papudo</t>
  </si>
  <si>
    <t>San Esteban</t>
  </si>
  <si>
    <t>San Felipe</t>
  </si>
  <si>
    <t>Calera</t>
  </si>
  <si>
    <t>Viña Del Mar</t>
  </si>
  <si>
    <t>Quilpué</t>
  </si>
  <si>
    <t>Cartagena</t>
  </si>
  <si>
    <t>El Tabo</t>
  </si>
  <si>
    <t>Santo Domingo</t>
  </si>
  <si>
    <t>La Granja</t>
  </si>
  <si>
    <t>Buin</t>
  </si>
  <si>
    <t>Talagante</t>
  </si>
  <si>
    <t>Padre Hurtado</t>
  </si>
  <si>
    <t>Malloa</t>
  </si>
  <si>
    <t>Doñihue</t>
  </si>
  <si>
    <t>Los Ángeles</t>
  </si>
  <si>
    <t>Conchalí</t>
  </si>
  <si>
    <t>Huechuraba</t>
  </si>
  <si>
    <t>La Reina</t>
  </si>
  <si>
    <t>Macul</t>
  </si>
  <si>
    <t>Pedro Aguirre Cerda</t>
  </si>
  <si>
    <t>Cerrillos</t>
  </si>
  <si>
    <t>Cerro Navia</t>
  </si>
  <si>
    <t>Renca</t>
  </si>
  <si>
    <t>Paine</t>
  </si>
  <si>
    <t>Calera de Tango</t>
  </si>
  <si>
    <t>Peñaflor</t>
  </si>
  <si>
    <t>Isla de Maipo</t>
  </si>
  <si>
    <t>El Monte</t>
  </si>
  <si>
    <t>Olivar</t>
  </si>
  <si>
    <t>Requinoa</t>
  </si>
  <si>
    <t>Chimbarongo</t>
  </si>
  <si>
    <t>Placilla</t>
  </si>
  <si>
    <t>Rauco</t>
  </si>
  <si>
    <t>Empedrado</t>
  </si>
  <si>
    <t>Constitución</t>
  </si>
  <si>
    <t>Yerbas Buenas</t>
  </si>
  <si>
    <t>Longaví</t>
  </si>
  <si>
    <t>Parral</t>
  </si>
  <si>
    <t>Retiro</t>
  </si>
  <si>
    <t>Laja</t>
  </si>
  <si>
    <t>Talcahuano</t>
  </si>
  <si>
    <t>Penco</t>
  </si>
  <si>
    <t>Coronel</t>
  </si>
  <si>
    <t>San Pedro De La Paz</t>
  </si>
  <si>
    <t>Chiguayante</t>
  </si>
  <si>
    <t>Angol</t>
  </si>
  <si>
    <t>Freire</t>
  </si>
  <si>
    <t>Loncoche</t>
  </si>
  <si>
    <t>Nueva Imperial</t>
  </si>
  <si>
    <t>Padre de las Casas</t>
  </si>
  <si>
    <t>Hualpén</t>
  </si>
  <si>
    <t>Río Bueno</t>
  </si>
  <si>
    <t>Osorno</t>
  </si>
  <si>
    <t>Fresia</t>
  </si>
  <si>
    <t>Frutillar</t>
  </si>
  <si>
    <t>Personas puestas a disposición de los tribunales</t>
  </si>
  <si>
    <t>Incautaciones</t>
  </si>
  <si>
    <t>Número de incautaciones</t>
  </si>
  <si>
    <t>Número de objetos incautados</t>
  </si>
  <si>
    <r>
      <t>Atacama</t>
    </r>
    <r>
      <rPr>
        <vertAlign val="superscript"/>
        <sz val="8"/>
        <color indexed="8"/>
        <rFont val="Verdana"/>
        <family val="2"/>
      </rPr>
      <t>/1</t>
    </r>
  </si>
  <si>
    <r>
      <rPr>
        <b/>
        <sz val="8"/>
        <color indexed="8"/>
        <rFont val="Verdana"/>
        <family val="2"/>
      </rPr>
      <t>1</t>
    </r>
    <r>
      <rPr>
        <sz val="8"/>
        <color indexed="8"/>
        <rFont val="Verdana"/>
        <family val="2"/>
      </rPr>
      <t xml:space="preserve"> El incremento en el número de objetos incautados se debe a la incautación de 5.118 piezas fósiles en Caldera, piezas que posteriormente fueron derivadas al Consejo de Monumentos Nacionales (CMN) para su identificación.</t>
    </r>
  </si>
  <si>
    <t>FUENTE: Policía de Investigaciones de Chile (PDI). Jefatura Nacional de delitos contra el Medio Ambiente y Patrimonio Cultural (Jenama).</t>
  </si>
  <si>
    <r>
      <t>ADUANA Y AVANZADA</t>
    </r>
    <r>
      <rPr>
        <b/>
        <vertAlign val="superscript"/>
        <sz val="8"/>
        <rFont val="Verdana"/>
        <family val="2"/>
      </rPr>
      <t>/1</t>
    </r>
  </si>
  <si>
    <t>Número de piezas incautadas</t>
  </si>
  <si>
    <r>
      <t xml:space="preserve">Arica </t>
    </r>
    <r>
      <rPr>
        <b/>
        <vertAlign val="superscript"/>
        <sz val="8"/>
        <rFont val="Verdana"/>
        <family val="2"/>
      </rPr>
      <t>/2</t>
    </r>
  </si>
  <si>
    <t>Chacalluta</t>
  </si>
  <si>
    <t>Chungará</t>
  </si>
  <si>
    <t>Ollagüe</t>
  </si>
  <si>
    <t>Jama</t>
  </si>
  <si>
    <r>
      <t xml:space="preserve">Metropolitana </t>
    </r>
    <r>
      <rPr>
        <b/>
        <vertAlign val="superscript"/>
        <sz val="8"/>
        <rFont val="Verdana"/>
        <family val="2"/>
      </rPr>
      <t>/3</t>
    </r>
  </si>
  <si>
    <t>Pasajeros</t>
  </si>
  <si>
    <r>
      <t xml:space="preserve">Osorno </t>
    </r>
    <r>
      <rPr>
        <b/>
        <vertAlign val="superscript"/>
        <sz val="8"/>
        <rFont val="Verdana"/>
        <family val="2"/>
      </rPr>
      <t>/4</t>
    </r>
  </si>
  <si>
    <t>Hua Hum</t>
  </si>
  <si>
    <t>Cardenal Samoré</t>
  </si>
  <si>
    <r>
      <rPr>
        <b/>
        <sz val="8"/>
        <rFont val="Verdana"/>
        <family val="2"/>
      </rPr>
      <t xml:space="preserve">1 </t>
    </r>
    <r>
      <rPr>
        <sz val="8"/>
        <rFont val="Verdana"/>
        <family val="2"/>
      </rPr>
      <t>El término Avanzada refiere a la infraestructura dependiente de la ADUANA que consta de andenes de revisión para automóviles, buses y camiones.</t>
    </r>
  </si>
  <si>
    <r>
      <rPr>
        <b/>
        <sz val="8"/>
        <rFont val="Verdana"/>
        <family val="2"/>
      </rPr>
      <t xml:space="preserve">2 </t>
    </r>
    <r>
      <rPr>
        <sz val="8"/>
        <rFont val="Verdana"/>
        <family val="2"/>
      </rPr>
      <t>El total de piezas incautadas deriva de tres procedimientos en la avanzada Chacalluta y tres en la avanzada Chungará.</t>
    </r>
  </si>
  <si>
    <r>
      <rPr>
        <b/>
        <sz val="8"/>
        <rFont val="Verdana"/>
        <family val="2"/>
      </rPr>
      <t xml:space="preserve">3 </t>
    </r>
    <r>
      <rPr>
        <sz val="8"/>
        <rFont val="Verdana"/>
        <family val="2"/>
      </rPr>
      <t>El total de piezas incautadas deriva de dos procedimientos en Courier amb, dos en Courier/aeropueto amb. y uno en postal/aeropuerto amb.</t>
    </r>
  </si>
  <si>
    <r>
      <rPr>
        <b/>
        <sz val="8"/>
        <rFont val="Verdana"/>
        <family val="2"/>
      </rPr>
      <t xml:space="preserve">4 </t>
    </r>
    <r>
      <rPr>
        <sz val="8"/>
        <rFont val="Verdana"/>
        <family val="2"/>
      </rPr>
      <t>El total de piezas incautadas deriva de un procedimiento en Hua Hum y siete en Cardenal Samoré.</t>
    </r>
  </si>
  <si>
    <t>FUENTE: Servicio Nacional de Aduanas (SNA), según clasificación de códigos culturales del Consejo Nacional de la Cultura y las Artes (CNCA).</t>
  </si>
  <si>
    <r>
      <t>AVANZADA</t>
    </r>
    <r>
      <rPr>
        <b/>
        <vertAlign val="superscript"/>
        <sz val="8"/>
        <rFont val="Verdana"/>
        <family val="2"/>
      </rPr>
      <t>/1</t>
    </r>
  </si>
  <si>
    <t>Especies</t>
  </si>
  <si>
    <t>Retenciones</t>
  </si>
  <si>
    <t>Tipo Pieza</t>
  </si>
  <si>
    <t xml:space="preserve">N° Piezas </t>
  </si>
  <si>
    <t>Portaretrato de metal dorado, compuesto de tres piezas</t>
  </si>
  <si>
    <t>Cristo crucificado, con recipiente aparentemente para el agua en su base</t>
  </si>
  <si>
    <t>Picaporte metálico con cadena</t>
  </si>
  <si>
    <t>Piezas de posibles fósiles, de diferentes tamaños y formas</t>
  </si>
  <si>
    <t>Piedras partidas con incrustación de artropodos fosilizados</t>
  </si>
  <si>
    <t>Trozo de características oseas, aparentemente petrificado</t>
  </si>
  <si>
    <t>Fósil de piedra con figura serpiente</t>
  </si>
  <si>
    <t>Fósiles de diferentes tamaños y formas</t>
  </si>
  <si>
    <t>Cuerno de shofar</t>
  </si>
  <si>
    <t>Courier amb</t>
  </si>
  <si>
    <t>Artesanías</t>
  </si>
  <si>
    <t>Figuras de arcilla</t>
  </si>
  <si>
    <t>Courier/aeropuerto amb</t>
  </si>
  <si>
    <t>Figuras de piedra</t>
  </si>
  <si>
    <t>Fósiles</t>
  </si>
  <si>
    <t>Postal/aeropuerto amb</t>
  </si>
  <si>
    <t>Pieza arqueológica fósil de origen vegetal petrificada.</t>
  </si>
  <si>
    <t>Piezas arqueológicas fosilizadas de origen desconocido, petrificadas y convertidas en roca, diversos tamaños y pesos.</t>
  </si>
  <si>
    <t>Piezas fosilizadas petrificadas y convertidas en roca de diferentes tamaño y peso. Recogidas en Punta Márquez, Rada Tilly, Argentina</t>
  </si>
  <si>
    <t>Piedra con características de pieza fosilizada, gris 10 x 10 cms. Según declaración, de origen desconocido</t>
  </si>
  <si>
    <t>Piezas de crustáceos fosilizados. Encontrados en una playa al norte de Argentina.</t>
  </si>
  <si>
    <t>Piezas fosilizadas de crustáceos</t>
  </si>
  <si>
    <t>Piezas fosilizadas diferentes tamaños. Encontradas en Puerto Madryn, Argentina</t>
  </si>
  <si>
    <t>Piezas fosilizadas, encontradas en playa de Radatil, Chubut, Argentina.</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</si>
  <si>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</si>
  <si>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t>TABLA 10.70: NÚMERO DE PIEZAS INCAUTADAS EN EL MARCO DE LA CONVENCIÓN SOBRE EL COMERCIO INTERNACIONAL DE ESPECIES AMENAZADAS DE FAUNA Y FLORA SILVESTRE (CITES), SEGÚN ADUANAS Y AVANZADA. 2015</t>
  </si>
  <si>
    <t>Loa</t>
  </si>
  <si>
    <t>Mamuil Malal</t>
  </si>
  <si>
    <r>
      <rPr>
        <b/>
        <sz val="8"/>
        <rFont val="Verdana"/>
        <family val="2"/>
      </rPr>
      <t xml:space="preserve">2 </t>
    </r>
    <r>
      <rPr>
        <sz val="8"/>
        <rFont val="Verdana"/>
        <family val="2"/>
      </rPr>
      <t xml:space="preserve">Zeal: Zona de Extensión y Apoyo Logístico en Valparaíso. </t>
    </r>
  </si>
  <si>
    <t>TABLA 10.71: NÓMINA DE PIEZAS INCAUTADAS EN EL MARCO DE LA CONVENCIÓN SOBRE EL COMERCIO INTERNACIONAL DE ESPECIES AMENAZADAS DE FAUNA Y FLORA SILVESTRE (CITES), SEGÚN ADUANA Y ESPECIES. 2014</t>
  </si>
  <si>
    <t>ADUANA Y ESPECIES</t>
  </si>
  <si>
    <t xml:space="preserve">N° piezas </t>
  </si>
  <si>
    <t>Flora</t>
  </si>
  <si>
    <t>Fauna</t>
  </si>
  <si>
    <t>Cornamentas de ciervo</t>
  </si>
  <si>
    <t>Hipocampos caballitos de mar secos</t>
  </si>
  <si>
    <t>Anfibio en estado disecado color gris oscuro y manchas negras</t>
  </si>
  <si>
    <t>Pieles de tigrillo</t>
  </si>
  <si>
    <t>El Loa</t>
  </si>
  <si>
    <t>Charango confeccionado con caparazon de quirquincho</t>
  </si>
  <si>
    <t>Cuadros tipo insectario con 65 mariposas disecadas</t>
  </si>
  <si>
    <t>Instrumento musical confeccionado con cola de quirquincho</t>
  </si>
  <si>
    <t>Adorno de madera de cactus cardón</t>
  </si>
  <si>
    <t xml:space="preserve">Canasto de madera de cardón </t>
  </si>
  <si>
    <t>Matraca con carcaza de quirquincho disecado</t>
  </si>
  <si>
    <t>Tortugas de agua</t>
  </si>
  <si>
    <t>Paso Jama</t>
  </si>
  <si>
    <t>Bandejas de cactus de cardón</t>
  </si>
  <si>
    <t>Cactus entero</t>
  </si>
  <si>
    <t>Caparazon de quirquincho disecado</t>
  </si>
  <si>
    <t>Palo de agua de cactus</t>
  </si>
  <si>
    <t>Trozo de madera de cactus</t>
  </si>
  <si>
    <t>Adornos de cactus y trozo de cardón</t>
  </si>
  <si>
    <t>Botellas de vidrio en su interior 6 mariposas disecadas</t>
  </si>
  <si>
    <t>Charango de quirquincho disecado</t>
  </si>
  <si>
    <t>Cráneo de la especie de mono amazónico</t>
  </si>
  <si>
    <t>Marco de fotografia de cardón</t>
  </si>
  <si>
    <t>Porta retrato de cactus</t>
  </si>
  <si>
    <t>Quirquincho disecado</t>
  </si>
  <si>
    <t>Trozo de cardón de 1 mt aproximado de largo</t>
  </si>
  <si>
    <t>Trozo de madera cardón</t>
  </si>
  <si>
    <t>Trozos de madera de cactus cardón</t>
  </si>
  <si>
    <t xml:space="preserve">Trozos de madera de cactus cardón </t>
  </si>
  <si>
    <t>Trozos de yareta</t>
  </si>
  <si>
    <t>Pasajeros-aeropuerto a.m.b.</t>
  </si>
  <si>
    <t>Ave disecada</t>
  </si>
  <si>
    <t>Bolsa con caballitos de mar (200 grs.)</t>
  </si>
  <si>
    <t>Botella de licor con escorpión</t>
  </si>
  <si>
    <t>Botella de licor con serpiente</t>
  </si>
  <si>
    <t>Botella de licor con serpientes y escorpión</t>
  </si>
  <si>
    <t>Cabeza de cocodrilo</t>
  </si>
  <si>
    <t>Cabeza de lagarto</t>
  </si>
  <si>
    <t>Caparazon de tortuga</t>
  </si>
  <si>
    <t>Charango de quirquincho</t>
  </si>
  <si>
    <t>Colas de zorro</t>
  </si>
  <si>
    <t>Cornamenta</t>
  </si>
  <si>
    <t>Cornamenta ciervo</t>
  </si>
  <si>
    <t>Cornamenta de cabra</t>
  </si>
  <si>
    <t>Cornamenta de ciervo</t>
  </si>
  <si>
    <t>Cornamentas</t>
  </si>
  <si>
    <t>Craneo de animal</t>
  </si>
  <si>
    <t>Craneo de lagarto</t>
  </si>
  <si>
    <t>Craneo de mono</t>
  </si>
  <si>
    <t>Feto de armadillo</t>
  </si>
  <si>
    <t>Figuras de marfil</t>
  </si>
  <si>
    <t>Garra de ave (cuchillo)</t>
  </si>
  <si>
    <t>Lagarto</t>
  </si>
  <si>
    <t>Pieles de zorro y nutria</t>
  </si>
  <si>
    <t xml:space="preserve">Quirquincho </t>
  </si>
  <si>
    <t>Vertebra de cetaceo</t>
  </si>
  <si>
    <t>Yacare</t>
  </si>
  <si>
    <t>Postal-aeropuerto a.m.b.</t>
  </si>
  <si>
    <t>Abrigo de piel de animal</t>
  </si>
  <si>
    <t>Caracola</t>
  </si>
  <si>
    <t>Trozos de cornamenta</t>
  </si>
  <si>
    <t>Caimán yacaré</t>
  </si>
  <si>
    <t>Cuchillos con empuñadura de quirquicho</t>
  </si>
  <si>
    <t>Huevo ñandu</t>
  </si>
  <si>
    <t>Piel curtida color marrón</t>
  </si>
  <si>
    <t>CORTE DE APELACIÓN</t>
  </si>
  <si>
    <t>Ley 17.288 de daños o apropiación sobre monumentos nacionales</t>
  </si>
  <si>
    <t>Ingresos</t>
  </si>
  <si>
    <t>Términos</t>
  </si>
  <si>
    <r>
      <t>-</t>
    </r>
    <r>
      <rPr>
        <sz val="8"/>
        <rFont val="Verdana"/>
        <family val="2"/>
      </rPr>
      <t xml:space="preserve"> No registró movimiento.</t>
    </r>
  </si>
  <si>
    <t>FUENTE: Corporación Administrativa del Poder Judicial (CAPJ).</t>
  </si>
  <si>
    <t>Daños o apropiación sobre monumentos nacionales</t>
  </si>
  <si>
    <t>REGIÓN DE FISCALÍA</t>
  </si>
  <si>
    <r>
      <t>Metropolitana</t>
    </r>
    <r>
      <rPr>
        <vertAlign val="superscript"/>
        <sz val="8"/>
        <rFont val="Verdana"/>
        <family val="2"/>
      </rPr>
      <t>/4</t>
    </r>
  </si>
  <si>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</si>
  <si>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</si>
  <si>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</si>
  <si>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</si>
  <si>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t>FUENTE: Ministerio Público. Sistema de Apoyo a Fiscales (SAF).</t>
  </si>
  <si>
    <t>Sentencias definitivas condenatorias Ley 17.288 Delitos previstos en la Ley de Monumentos Nacionales Código 12154</t>
  </si>
  <si>
    <t>TABLA 11.1: NÚMERO DE ARTESANOS INSCRITOS EN SISTEMAS DE REGISTROS, SEGÚN INSTITUCIÓN Y REGIÓN. 2015</t>
  </si>
  <si>
    <t>CNCA Chile Artesanía</t>
  </si>
  <si>
    <t>Fundación Artesanías de Chile</t>
  </si>
  <si>
    <r>
      <t>INDAP</t>
    </r>
    <r>
      <rPr>
        <b/>
        <vertAlign val="superscript"/>
        <sz val="8"/>
        <rFont val="Verdana"/>
        <family val="2"/>
      </rPr>
      <t>/1</t>
    </r>
  </si>
  <si>
    <r>
      <t xml:space="preserve">Antofagasta </t>
    </r>
    <r>
      <rPr>
        <vertAlign val="superscript"/>
        <sz val="8"/>
        <rFont val="Verdana"/>
        <family val="2"/>
      </rPr>
      <t>/2</t>
    </r>
  </si>
  <si>
    <r>
      <t xml:space="preserve">Maule </t>
    </r>
    <r>
      <rPr>
        <vertAlign val="superscript"/>
        <sz val="8"/>
        <rFont val="Verdana"/>
        <family val="2"/>
      </rPr>
      <t>/2</t>
    </r>
  </si>
  <si>
    <r>
      <rPr>
        <b/>
        <sz val="8"/>
        <rFont val="Verdana"/>
        <family val="2"/>
      </rPr>
      <t>1</t>
    </r>
    <r>
      <rPr>
        <sz val="8"/>
        <rFont val="Verdana"/>
        <family val="2"/>
      </rPr>
      <t xml:space="preserve"> Corresponde a los registros integrados de los "Programa de desarrollo territorial indígena" (PDTI), "Programa agropecuario para el desarrollo integral de los pequeños productores campesinos o productores campesinos del secano de la región de Coquimbo" (PADIS) y  "Programa de desarrollo local (PRODESAL)"</t>
    </r>
  </si>
  <si>
    <r>
      <t xml:space="preserve">2 </t>
    </r>
    <r>
      <rPr>
        <sz val="8"/>
        <rFont val="Verdana"/>
        <family val="2"/>
      </rPr>
      <t>En relación a la convocatoria al Sistema Nacional de Registro de Artesanía, las regiones de Antofagasta y Maule no presentaron nuevos seleccionados 2015 de acuerdo a la evaluación establecida en las Bases del proceso.</t>
    </r>
  </si>
  <si>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</si>
  <si>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 INSCRITOS EN EL SISTEMA DE INFORMACIÓN NACIONAL DE ARTESANÍA DEL CONSEJO NACIONAL DE LA CULTURA Y LAS ARTES (CNCA) POR PUEBLO ORIGINARIO, SEGÚN REGIÓN. 2015</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</si>
  <si>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</si>
  <si>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</si>
  <si>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</si>
  <si>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</si>
  <si>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</si>
  <si>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</si>
  <si>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</si>
  <si>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</si>
  <si>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</si>
  <si>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</si>
  <si>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</si>
  <si>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t xml:space="preserve">FUENTE: Departamento de fomento de las artes e industrias creativas, Área de Artesanía. Consejo Nacional de la Cultura y las Artes (CNCA). </t>
  </si>
  <si>
    <t>TABLA 11.3: NÚMERO DE ARTESANOS POR DISCIPLINA, SEGÚN REGIÓN. 2015</t>
  </si>
  <si>
    <t>Disciplina</t>
  </si>
  <si>
    <t xml:space="preserve">Alfarería / cerámica                                                                                </t>
  </si>
  <si>
    <t xml:space="preserve">Cantería / piedra                                                                                   </t>
  </si>
  <si>
    <t xml:space="preserve">Cestería                                                                                            </t>
  </si>
  <si>
    <t xml:space="preserve">Orfebrería/Metales                                                                                            </t>
  </si>
  <si>
    <t>Reproducción Arqueológica Cultura Mapuche</t>
  </si>
  <si>
    <t>Marroquinería/talabartería/Cueros</t>
  </si>
  <si>
    <t>Hierbas</t>
  </si>
  <si>
    <t xml:space="preserve">Huesos / cuernos / conchas                                                                          </t>
  </si>
  <si>
    <t xml:space="preserve">Instrumentos musicales y luthier                                                                    </t>
  </si>
  <si>
    <t>Juguetes tradicionales/1</t>
  </si>
  <si>
    <t xml:space="preserve">Madera                                                                                              </t>
  </si>
  <si>
    <t>Papel</t>
  </si>
  <si>
    <t xml:space="preserve">Textilería                                                                                          </t>
  </si>
  <si>
    <t xml:space="preserve">Vidrio                                                                                              </t>
  </si>
  <si>
    <t>Otros</t>
  </si>
  <si>
    <r>
      <rPr>
        <b/>
        <sz val="8"/>
        <rFont val="Verdana"/>
        <family val="2"/>
      </rPr>
      <t xml:space="preserve">1 </t>
    </r>
    <r>
      <rPr>
        <sz val="8"/>
        <rFont val="Verdana"/>
        <family val="2"/>
      </rPr>
      <t xml:space="preserve"> Incluye artesanía en Volantines y Modelismo</t>
    </r>
  </si>
  <si>
    <r>
      <rPr>
        <b/>
        <sz val="8"/>
        <color indexed="8"/>
        <rFont val="Verdana"/>
        <family val="2"/>
      </rPr>
      <t>Nota:</t>
    </r>
    <r>
      <rPr>
        <sz val="8"/>
        <color indexed="8"/>
        <rFont val="Verdana"/>
        <family val="2"/>
      </rPr>
      <t xml:space="preserve"> 1 caso perdido.</t>
    </r>
  </si>
  <si>
    <t>FUENTE:  Elaboración a partir de los registros Chile Artesanía (Departamento de fomento de las artes e industrias creativas, Área de Artesanía. Consejo Nacional de la Cultura y las Artes, CNCA), Fundación Artesanías de Chile y el Instituto de Desarrollo Agropecuario (INDAP).</t>
  </si>
  <si>
    <r>
      <t>TABLA 11.4: DISTRIBUCIÓN REGIONAL DE OBJETOS DE ARTESANÍA CON SELLO DE EXCELENCIA DEL CONSEJO NACIONAL DE LA CULTURA Y LAS ARTES (CNCA) Y RECONOCIMIENTO UNESCO. 2008-2015</t>
    </r>
    <r>
      <rPr>
        <b/>
        <vertAlign val="superscript"/>
        <sz val="8"/>
        <rFont val="Verdana"/>
        <family val="2"/>
      </rPr>
      <t>/1</t>
    </r>
  </si>
  <si>
    <r>
      <t>N° de artesanías con Sello de Excelencia Nacional CNCA</t>
    </r>
    <r>
      <rPr>
        <b/>
        <vertAlign val="superscript"/>
        <sz val="8"/>
        <rFont val="Verdana"/>
        <family val="2"/>
      </rPr>
      <t>/2</t>
    </r>
    <r>
      <rPr>
        <b/>
        <sz val="8"/>
        <rFont val="Verdana"/>
        <family val="2"/>
      </rPr>
      <t xml:space="preserve"> (2008-2013)</t>
    </r>
  </si>
  <si>
    <r>
      <t>N° de artesanías con Sello Excelencia Nacional y Reconocimiento UNESCO</t>
    </r>
    <r>
      <rPr>
        <b/>
        <vertAlign val="superscript"/>
        <sz val="8"/>
        <rFont val="Verdana"/>
        <family val="2"/>
      </rPr>
      <t>/3</t>
    </r>
    <r>
      <rPr>
        <b/>
        <sz val="8"/>
        <rFont val="Verdana"/>
        <family val="2"/>
      </rPr>
      <t xml:space="preserve"> (2008 - 2014)</t>
    </r>
    <r>
      <rPr>
        <b/>
        <vertAlign val="superscript"/>
        <sz val="8"/>
        <rFont val="Verdana"/>
        <family val="2"/>
      </rPr>
      <t>/4</t>
    </r>
  </si>
  <si>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</si>
  <si>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</si>
  <si>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la última versión del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</si>
  <si>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4</t>
    </r>
    <r>
      <rPr>
        <sz val="8"/>
        <rFont val="Verdana"/>
        <family val="2"/>
      </rPr>
      <t xml:space="preserve"> Durante los años 2009, 2011, 2013 y 2015 no hubo entrega del reconocimiento "Sello de excelencia nacional y reconocimiento Unesco" porque la certificación se realiza cada dos años.</t>
    </r>
  </si>
  <si>
    <t xml:space="preserve">FUENTE: Departamento de fomento de las artes e industrias creativas área de artesanía. Consejo Nacional de la Cultura y las Artes (CNCA). </t>
  </si>
  <si>
    <r>
      <t>TABLA 11.5: NÓMINA DE PRODUCTOS ARTESANALES CON SELLO DE EXCELENCIA DEL CONSEJO NACIONAL DE LA CULTURA Y LAS ARTES (CNCA) Y CON RECONOCIMIENTO UNESCO POR DISCIPLINA, REGIÓN Y COMUNA. 2015</t>
    </r>
    <r>
      <rPr>
        <b/>
        <vertAlign val="superscript"/>
        <sz val="8"/>
        <rFont val="Verdana"/>
        <family val="2"/>
      </rPr>
      <t>/1</t>
    </r>
  </si>
  <si>
    <r>
      <t>N°</t>
    </r>
    <r>
      <rPr>
        <b/>
        <vertAlign val="superscript"/>
        <sz val="8"/>
        <rFont val="Verdana"/>
        <family val="2"/>
      </rPr>
      <t>/2</t>
    </r>
  </si>
  <si>
    <t>Año entrega sello excelencia nacional</t>
  </si>
  <si>
    <r>
      <t>Año de entrega reconocimiento UNESCO</t>
    </r>
    <r>
      <rPr>
        <b/>
        <vertAlign val="superscript"/>
        <sz val="8"/>
        <rFont val="Verdana"/>
        <family val="2"/>
      </rPr>
      <t>/3</t>
    </r>
  </si>
  <si>
    <t>Producto con sello de excelencia</t>
  </si>
  <si>
    <t>Vasijas Trompo</t>
  </si>
  <si>
    <t>Cerámica</t>
  </si>
  <si>
    <t>Estola Religiosa</t>
  </si>
  <si>
    <t>Chamantería</t>
  </si>
  <si>
    <t>Cestería en Mimbre Fino</t>
  </si>
  <si>
    <t>Mimbre</t>
  </si>
  <si>
    <t xml:space="preserve">Nial Arre Cofque </t>
  </si>
  <si>
    <t>Fibras vegetales/Telar</t>
  </si>
  <si>
    <t>Paicavi Chico Huentelolén</t>
  </si>
  <si>
    <t>Frutos del Bosque</t>
  </si>
  <si>
    <t>Madera</t>
  </si>
  <si>
    <t>Villarica</t>
  </si>
  <si>
    <t>Diploneis, Microalga Subantártica</t>
  </si>
  <si>
    <t>Plata</t>
  </si>
  <si>
    <r>
      <rPr>
        <b/>
        <sz val="8"/>
        <rFont val="Verdana"/>
        <family val="2"/>
      </rPr>
      <t xml:space="preserve">2 </t>
    </r>
    <r>
      <rPr>
        <sz val="8"/>
        <rFont val="Verdana"/>
        <family val="2"/>
      </rPr>
      <t>Ordenado según número correlativo de registro interno en el Consejo Nacional de la Cultura y las Artes.</t>
    </r>
  </si>
  <si>
    <r>
      <rPr>
        <b/>
        <sz val="8"/>
        <rFont val="Verdana"/>
        <family val="2"/>
      </rPr>
      <t>3</t>
    </r>
    <r>
      <rPr>
        <sz val="8"/>
        <rFont val="Verdana"/>
        <family val="2"/>
      </rPr>
      <t xml:space="preserve"> Durante el año 2015 no hubo entrega del reconocimiento "Sello de excelencia nacional y reconocimiento Unesco".</t>
    </r>
  </si>
  <si>
    <r>
      <rPr>
        <b/>
        <sz val="8"/>
        <rFont val="Verdana"/>
        <family val="2"/>
      </rPr>
      <t>4</t>
    </r>
    <r>
      <rPr>
        <sz val="8"/>
        <rFont val="Verdana"/>
        <family val="2"/>
      </rPr>
      <t xml:space="preserve"> Este 2016 se realizará la reunión UNESCO para efectuar la selección de piezas 2015</t>
    </r>
  </si>
  <si>
    <t>TABLA 12.1: NÚMERO DE AUTORES ASOCIADOS A LA SOCIEDAD DE CREADORES DE IMAGEN FIJA (CREAIMAGEN) POR SEXO, SEGÚN REGIÓN. 2015</t>
  </si>
  <si>
    <t>Autores asociados</t>
  </si>
  <si>
    <t>Sexo</t>
  </si>
  <si>
    <t>FUENTE: Sociedad de Creadores de Imagen Fija (Creaimagen).</t>
  </si>
  <si>
    <t>TABLA 12.2: NÚMERO DE SOCIOS INCORPORADOS A LA SOCIEDAD DE CREADORES DE IMAGEN FIJA (CREAIMAGEN) POR SEXO, SEGÚN REGIÓN. 2015</t>
  </si>
  <si>
    <t>Socios incorporados</t>
  </si>
  <si>
    <t>TABLA 12.3: NÚMERO DE AUTORES AFILIADOS A LA SOCIEDAD DE CREADORES DE IMAGEN FIJA (CREAIMAGEN) QUE GENERARON DERECHOS EN CHILE Y EN EL EXTRANJERO. 2011-2015</t>
  </si>
  <si>
    <t>AUTORES FAVORECIDOS</t>
  </si>
  <si>
    <r>
      <rPr>
        <b/>
        <sz val="8"/>
        <rFont val="Verdana"/>
        <family val="2"/>
      </rPr>
      <t>1</t>
    </r>
    <r>
      <rPr>
        <sz val="8"/>
        <rFont val="Verdana"/>
        <family val="2"/>
      </rPr>
      <t xml:space="preserve"> Se emitió una licencia al Museo de la Solidaridad Salvador Allende por un catálogo colectivo razonado, incrementando el número de autores nacionales y principalmente extranjeros licenciados.</t>
    </r>
  </si>
  <si>
    <t>TABLA 12.4: NÚMERO DE AUTORIZACIONES REGISTRADAS POR LA SOCIEDAD DE CREADORES DE IMAGEN FIJA (CREAIMAGEN) SOBRE USO DE IMAGEN FIJA, CONCEDIDAS EN CHILE Y EN EL EXTRANJERO. 2011 - 2015</t>
  </si>
  <si>
    <t>AUTORIZACIONES</t>
  </si>
  <si>
    <r>
      <t>Utilización de obras en Chile</t>
    </r>
    <r>
      <rPr>
        <vertAlign val="superscript"/>
        <sz val="8"/>
        <rFont val="Verdana"/>
        <family val="2"/>
      </rPr>
      <t>/1</t>
    </r>
  </si>
  <si>
    <r>
      <t>Utilización de obras en el extranjero</t>
    </r>
    <r>
      <rPr>
        <vertAlign val="superscript"/>
        <sz val="8"/>
        <rFont val="Verdana"/>
        <family val="2"/>
      </rPr>
      <t>/2</t>
    </r>
  </si>
  <si>
    <r>
      <rPr>
        <b/>
        <sz val="8"/>
        <rFont val="Verdana"/>
        <family val="2"/>
      </rPr>
      <t>1</t>
    </r>
    <r>
      <rPr>
        <sz val="8"/>
        <rFont val="Verdana"/>
        <family val="2"/>
      </rPr>
      <t xml:space="preserve"> Incluye obras nacionales y extranjeras.</t>
    </r>
  </si>
  <si>
    <r>
      <rPr>
        <b/>
        <sz val="8"/>
        <rFont val="Verdana"/>
        <family val="2"/>
      </rPr>
      <t xml:space="preserve">2 </t>
    </r>
    <r>
      <rPr>
        <sz val="8"/>
        <rFont val="Verdana"/>
        <family val="2"/>
      </rPr>
      <t xml:space="preserve">La utilización del repertorio de Creaimagen en el extranjero la autorizan las sociedades homólogas a Creaimagen con las que tienen contratos de representación recíproca. En este caso pueden corresponder a obras de artistas chilenos o extranjeros, que residen en Chile, que tienen contratos de mandato con Creaimagen.
</t>
    </r>
  </si>
  <si>
    <t>TABLA 12.5: RECAUDACIÓN DE DERECHOS DE AUTOR POR LA SOCIEDAD DE CREADORES DE IMAGEN FIJA (CREAIMAGEN), SEGÚN ORIGEN DE LA OBRA Y DE LA RECAUDACIÓN (NACIONAL Y EXTRANJERA). 2011-2015</t>
  </si>
  <si>
    <r>
      <t>RECAUDACIÓN</t>
    </r>
    <r>
      <rPr>
        <b/>
        <vertAlign val="superscript"/>
        <sz val="8"/>
        <rFont val="Verdana"/>
        <family val="2"/>
      </rPr>
      <t>/1</t>
    </r>
  </si>
  <si>
    <r>
      <t>Recaudación nacional</t>
    </r>
    <r>
      <rPr>
        <b/>
        <vertAlign val="superscript"/>
        <sz val="8"/>
        <rFont val="Verdana"/>
        <family val="2"/>
      </rPr>
      <t>/2</t>
    </r>
  </si>
  <si>
    <r>
      <t>Recaudación extranjera</t>
    </r>
    <r>
      <rPr>
        <b/>
        <vertAlign val="superscript"/>
        <sz val="8"/>
        <rFont val="Verdana"/>
        <family val="2"/>
      </rPr>
      <t>/3</t>
    </r>
  </si>
  <si>
    <r>
      <rPr>
        <b/>
        <sz val="8"/>
        <rFont val="Verdana"/>
        <family val="2"/>
      </rPr>
      <t xml:space="preserve">1 </t>
    </r>
    <r>
      <rPr>
        <sz val="8"/>
        <rFont val="Verdana"/>
        <family val="2"/>
      </rPr>
      <t>Incluye recaudación por concepto de derechos de autor de obras nacionales y extranjeras, derechos que pueden originarse en el país (Chile) o en el extranjero.</t>
    </r>
  </si>
  <si>
    <r>
      <rPr>
        <b/>
        <sz val="8"/>
        <rFont val="Verdana"/>
        <family val="2"/>
      </rPr>
      <t>2</t>
    </r>
    <r>
      <rPr>
        <sz val="8"/>
        <rFont val="Verdana"/>
        <family val="2"/>
      </rPr>
      <t xml:space="preserve"> Recaudación nacional: recaudación de derechos de artistas nacionales y extranjeros en territorio de Chile.</t>
    </r>
  </si>
  <si>
    <r>
      <rPr>
        <b/>
        <sz val="8"/>
        <rFont val="Verdana"/>
        <family val="2"/>
      </rPr>
      <t xml:space="preserve">3 </t>
    </r>
    <r>
      <rPr>
        <sz val="8"/>
        <rFont val="Verdana"/>
        <family val="2"/>
      </rPr>
      <t>Recaudación extranjera: recaudación de derechos de artistas nacionales en territorio extranjero que se envía por otras sociedades hermanas a Creaimagen, para su distribución entre sus asociados.</t>
    </r>
  </si>
  <si>
    <t>TABLA 12.6: DISTRIBUCIÓN DE DERECHOS DE AUTOR POR LA SOCIEDAD DE CREADORES DE IMAGEN FIJA (CREAIMAGEN), SEGÚN ORIGEN DE LA OBRA Y DE LA RECAUDACIÓN (NACIONAL Y EXTRANJERA). 2011-2015</t>
  </si>
  <si>
    <t>DISTRIBUCIÓN</t>
  </si>
  <si>
    <r>
      <t>2013</t>
    </r>
    <r>
      <rPr>
        <b/>
        <vertAlign val="superscript"/>
        <sz val="8"/>
        <rFont val="Verdana"/>
        <family val="2"/>
      </rPr>
      <t>/1</t>
    </r>
  </si>
  <si>
    <t>Distribución nacional</t>
  </si>
  <si>
    <t>Distribución extranjera</t>
  </si>
  <si>
    <r>
      <rPr>
        <b/>
        <sz val="8"/>
        <rFont val="Verdana"/>
        <family val="2"/>
      </rPr>
      <t>1</t>
    </r>
    <r>
      <rPr>
        <sz val="8"/>
        <rFont val="Verdana"/>
        <family val="2"/>
      </rPr>
      <t xml:space="preserve"> La variación de la cifra de recaudaciones del año 2013 varía respecto a la cifra reportada el año anterior,  debido a que está sujeto al número de licencias solicitadas anualmente.</t>
    </r>
  </si>
  <si>
    <r>
      <t>TABLA 12.7: NÚMERO DE SOCIOS POR PROFESIÓN U OFICIO (REPORTEROS GRÁFICOS Y CAMARÓGRAFOS) ACTIVOS Y NO ACTIVOS, POR SEXO, SEGÚN REGIÓN. 2015</t>
    </r>
    <r>
      <rPr>
        <b/>
        <vertAlign val="superscript"/>
        <sz val="8"/>
        <color indexed="8"/>
        <rFont val="Verdana"/>
        <family val="2"/>
      </rPr>
      <t>/1</t>
    </r>
  </si>
  <si>
    <t>Medios</t>
  </si>
  <si>
    <t>Independientes</t>
  </si>
  <si>
    <t>Reporteros gráficos</t>
  </si>
  <si>
    <t>Camarógrafos</t>
  </si>
  <si>
    <t>Activo</t>
  </si>
  <si>
    <t>No activo</t>
  </si>
  <si>
    <r>
      <t>Fuera de Chile</t>
    </r>
    <r>
      <rPr>
        <vertAlign val="superscript"/>
        <sz val="8"/>
        <color indexed="8"/>
        <rFont val="Verdana"/>
        <family val="2"/>
      </rPr>
      <t>/2</t>
    </r>
  </si>
  <si>
    <r>
      <t xml:space="preserve">1 </t>
    </r>
    <r>
      <rPr>
        <sz val="8"/>
        <color indexed="8"/>
        <rFont val="Verdana"/>
        <family val="2"/>
      </rPr>
      <t xml:space="preserve">Este año se incorpora gran cantidad de socios inactivos derivado de la digitalización completa de los registros de socios. Los socios activos son aquellos que han cancelado las cuotas del año consultado. </t>
    </r>
  </si>
  <si>
    <r>
      <rPr>
        <b/>
        <sz val="8"/>
        <color indexed="8"/>
        <rFont val="Verdana"/>
        <family val="2"/>
      </rPr>
      <t>2</t>
    </r>
    <r>
      <rPr>
        <sz val="8"/>
        <color indexed="8"/>
        <rFont val="Verdana"/>
        <family val="2"/>
      </rPr>
      <t xml:space="preserve"> Incorpora socios activos fuera del territorio nacional. Este año se registra socio ubicado en España.</t>
    </r>
  </si>
  <si>
    <t>FUENTE: Unión de Reporteros Gráficos y Camarógrafos de Chile</t>
  </si>
  <si>
    <t xml:space="preserve">TABLA 12.8: NÚMERO DE CONCURSOS, EXPOSICIONES Y DE VISITANTES A EXPOSICIONES, SEGÚN REGIÓN. 2011-2015 </t>
  </si>
  <si>
    <t>Número de exposiciones</t>
  </si>
  <si>
    <t>Número de visitantes a exposiciones</t>
  </si>
  <si>
    <t>Número de concursos</t>
  </si>
  <si>
    <r>
      <t>Número de visitantes a exposiciones</t>
    </r>
    <r>
      <rPr>
        <b/>
        <vertAlign val="superscript"/>
        <sz val="8"/>
        <color indexed="8"/>
        <rFont val="Verdana"/>
        <family val="2"/>
      </rPr>
      <t>/1</t>
    </r>
  </si>
  <si>
    <t>Sin registro</t>
  </si>
  <si>
    <r>
      <rPr>
        <b/>
        <sz val="8"/>
        <color indexed="8"/>
        <rFont val="Verdana"/>
        <family val="2"/>
      </rPr>
      <t xml:space="preserve">1 </t>
    </r>
    <r>
      <rPr>
        <sz val="8"/>
        <color indexed="8"/>
        <rFont val="Verdana"/>
        <family val="2"/>
      </rPr>
      <t>En la comuna de Melipilla Región Metropolitana se realizó una exposición, sin embargo no se levantó registro del número de visitantes</t>
    </r>
  </si>
  <si>
    <r>
      <rPr>
        <b/>
        <sz val="8"/>
        <color indexed="8"/>
        <rFont val="Verdana"/>
        <family val="2"/>
      </rPr>
      <t>Nota:</t>
    </r>
    <r>
      <rPr>
        <sz val="8"/>
        <color indexed="8"/>
        <rFont val="Verdana"/>
        <family val="2"/>
      </rPr>
      <t xml:space="preserve"> Concurso de carácter nacional</t>
    </r>
  </si>
  <si>
    <t>FUENTE: Unión de Reporteros Gráficos y Camarógrafos de Chile.</t>
  </si>
  <si>
    <r>
      <t>TABLA 13.1: NÚMERO DE ASOCIADOS AL SINDICATO DE ACTORES DE CHILE (SIDARTE) ACUMULADO A 2015 POR SEXO, SEGÚN REGIÓN. 2011-2015</t>
    </r>
    <r>
      <rPr>
        <b/>
        <vertAlign val="superscript"/>
        <sz val="8"/>
        <rFont val="Verdana"/>
        <family val="2"/>
      </rPr>
      <t>/R</t>
    </r>
  </si>
  <si>
    <r>
      <t>Sin información territorial</t>
    </r>
    <r>
      <rPr>
        <vertAlign val="superscript"/>
        <sz val="8"/>
        <rFont val="Verdana"/>
        <family val="2"/>
      </rPr>
      <t>/1</t>
    </r>
  </si>
  <si>
    <t>Fuera de Chile</t>
  </si>
  <si>
    <r>
      <rPr>
        <b/>
        <sz val="8"/>
        <rFont val="Verdana"/>
        <family val="2"/>
      </rPr>
      <t>R</t>
    </r>
    <r>
      <rPr>
        <sz val="8"/>
        <rFont val="Verdana"/>
        <family val="2"/>
      </rPr>
      <t xml:space="preserve"> Cifras rectificadas por el informante para toda la serie.</t>
    </r>
  </si>
  <si>
    <r>
      <rPr>
        <b/>
        <sz val="8"/>
        <rFont val="Verdana"/>
        <family val="2"/>
      </rPr>
      <t>1</t>
    </r>
    <r>
      <rPr>
        <sz val="8"/>
        <rFont val="Verdana"/>
        <family val="2"/>
      </rPr>
      <t xml:space="preserve"> Los datos no se pueden relacionar a alguna región del país, ya que no tienen comuna o ciudad de origen.</t>
    </r>
  </si>
  <si>
    <t>Nota: 1 Caso perdido.</t>
  </si>
  <si>
    <t>FUENTE: Sindicato de Actores de Chile (Sidarte)</t>
  </si>
  <si>
    <r>
      <t>TABLA 13.2: NÚMERO DE ASOCIADOS AL SINDICATO DE ACTORES DE CHILE (SIDARTE) EGRESADOS DE LAS CARRERAS DE TEATRO ACUMULADO A 2015 POR SEXO, SEGÚN REGIÓN. 2011-2015</t>
    </r>
    <r>
      <rPr>
        <b/>
        <vertAlign val="superscript"/>
        <sz val="8"/>
        <rFont val="Verdana"/>
        <family val="2"/>
      </rPr>
      <t>/R</t>
    </r>
  </si>
  <si>
    <r>
      <t>Sin información territorial</t>
    </r>
    <r>
      <rPr>
        <vertAlign val="superscript"/>
        <sz val="8"/>
        <rFont val="Verdana"/>
        <family val="2"/>
      </rPr>
      <t xml:space="preserve"> /1</t>
    </r>
  </si>
  <si>
    <r>
      <t>TABLA 13.3: NÚMERO DE ASOCIADOS  AL SINDICATO DE ACTORES DE CHILE (SIDARTE) TITULADOS DE LAS CARRERAS DE TEATRO ACUMULADO A 2015 POR SEXO, SEGÚN REGIÓN. 2011-2015</t>
    </r>
    <r>
      <rPr>
        <b/>
        <vertAlign val="superscript"/>
        <sz val="8"/>
        <rFont val="Verdana"/>
        <family val="2"/>
      </rPr>
      <t>/R</t>
    </r>
  </si>
  <si>
    <t>TABLA 13.4: NÚMERO DE ACTORES ASOCIADOS A LA CORPORACIÓN DE ACTORES DE CHILE (CHILEACTORES) AL 31 DE DICIEMBRE DE CADA AÑO. 2011-2015</t>
  </si>
  <si>
    <t xml:space="preserve">AÑO
</t>
  </si>
  <si>
    <t>2011</t>
  </si>
  <si>
    <t>2012</t>
  </si>
  <si>
    <t>2013</t>
  </si>
  <si>
    <t>2014</t>
  </si>
  <si>
    <t>2015</t>
  </si>
  <si>
    <t>FUENTE: Corporación de Actores de Chile (Chileactores).</t>
  </si>
  <si>
    <t>TABLA 13.5: NÚMERO DE SOCIOS DE LA ASOCIACIÓN DE AUTORES NACIONALES DE TEATRO, CINE Y AUDIOVISUALES (ATN), POR SEXO. 2011-2015</t>
  </si>
  <si>
    <t>AÑO</t>
  </si>
  <si>
    <t>Número de socios</t>
  </si>
  <si>
    <t>FUENTE: Sociedad de Autores Nacionales de Teatro, Cine y Audiovisuales (ATN).</t>
  </si>
  <si>
    <r>
      <t>TABLA 13.6: NÚMERO DE ASOCIADOS  AL SINDICATO DE ACTORES DE CHILE (SIDARTE) ADSCRITOS A INSTITUCIONES DE SALUD PREVISIONAL</t>
    </r>
    <r>
      <rPr>
        <b/>
        <vertAlign val="superscript"/>
        <sz val="8"/>
        <rFont val="Verdana"/>
        <family val="2"/>
      </rPr>
      <t>/1</t>
    </r>
    <r>
      <rPr>
        <b/>
        <sz val="8"/>
        <rFont val="Verdana"/>
        <family val="2"/>
      </rPr>
      <t xml:space="preserve"> ACUMULADO A 2015 POR SEXO, SEGÚN REGIÓN. 2011-2015</t>
    </r>
    <r>
      <rPr>
        <b/>
        <vertAlign val="superscript"/>
        <sz val="8"/>
        <rFont val="Verdana"/>
        <family val="2"/>
      </rPr>
      <t>/R</t>
    </r>
  </si>
  <si>
    <r>
      <t>Sin información territorial</t>
    </r>
    <r>
      <rPr>
        <vertAlign val="superscript"/>
        <sz val="8"/>
        <rFont val="Verdana"/>
        <family val="2"/>
      </rPr>
      <t xml:space="preserve"> /2</t>
    </r>
  </si>
  <si>
    <r>
      <rPr>
        <b/>
        <sz val="8"/>
        <rFont val="Verdana"/>
        <family val="2"/>
      </rPr>
      <t>1</t>
    </r>
    <r>
      <rPr>
        <sz val="8"/>
        <rFont val="Verdana"/>
        <family val="2"/>
      </rPr>
      <t xml:space="preserve"> Contiene información de socios que señalan estar adscritos a instituciones como Fondo Nacional de Salud (Fonasa), Instituciones de Salud Previsional (Isapres) o al Programa de Reparación y Atención Integral en Salud (Prais).</t>
    </r>
  </si>
  <si>
    <r>
      <rPr>
        <b/>
        <sz val="8"/>
        <rFont val="Verdana"/>
        <family val="2"/>
      </rPr>
      <t>2</t>
    </r>
    <r>
      <rPr>
        <sz val="8"/>
        <rFont val="Verdana"/>
        <family val="2"/>
      </rPr>
      <t xml:space="preserve"> Los datos no se pueden relacionar a alguna región del país, ya que no tienen comuna o ciudad de origen.</t>
    </r>
  </si>
  <si>
    <r>
      <rPr>
        <b/>
        <sz val="8"/>
        <rFont val="Verdana"/>
        <family val="2"/>
      </rPr>
      <t>Nota:</t>
    </r>
    <r>
      <rPr>
        <sz val="8"/>
        <rFont val="Verdana"/>
        <family val="2"/>
      </rPr>
      <t xml:space="preserve"> 1 Caso perdido.</t>
    </r>
  </si>
  <si>
    <r>
      <t>TABLA 13.7: NÚMERO DE ASOCIADOS  AL SINDICATO DE ACTORES DE CHILE (SIDARTE) ADSCRITOS A LAS ADMINISTRADORAS DE FONDOS DE PENSIONES (AFP) ACUMULADO A 2015 POR SEXO, SEGÚN REGIÓN. 2011-2015</t>
    </r>
    <r>
      <rPr>
        <b/>
        <vertAlign val="superscript"/>
        <sz val="8"/>
        <rFont val="Verdana"/>
        <family val="2"/>
      </rPr>
      <t>/R</t>
    </r>
  </si>
  <si>
    <r>
      <t>TABLA 13.8: NÚMERO DE ASOCIADOS AL SINDICATO DE ACTORES DE CHILE (SIDARTE) ADSCRITOS A INSTITUCIONES PREVISIONALES DE SALUD</t>
    </r>
    <r>
      <rPr>
        <b/>
        <vertAlign val="superscript"/>
        <sz val="8"/>
        <rFont val="Verdana"/>
        <family val="2"/>
      </rPr>
      <t>/1</t>
    </r>
    <r>
      <rPr>
        <b/>
        <sz val="8"/>
        <rFont val="Verdana"/>
        <family val="2"/>
      </rPr>
      <t xml:space="preserve"> Y AFP ACUMULADO A 2015 POR SEXO, SEGÚN REGIÓN. 2011-2015</t>
    </r>
    <r>
      <rPr>
        <b/>
        <vertAlign val="superscript"/>
        <sz val="8"/>
        <rFont val="Verdana"/>
        <family val="2"/>
      </rPr>
      <t>/R</t>
    </r>
  </si>
  <si>
    <r>
      <t xml:space="preserve">TABLA 13.9: NÚMERO DE AUTORES QUE GENERARON DERECHOS DE AUTOR POR LA SOCIEDAD DE AUTORES NACIONALES DE TEATRO, CINE Y AUDIOVISUALES (ATN), SEGÚN NACIONALIDAD DEL AUTOR. 2011-2015 </t>
    </r>
    <r>
      <rPr>
        <b/>
        <vertAlign val="superscript"/>
        <sz val="8"/>
        <rFont val="Verdana"/>
        <family val="2"/>
      </rPr>
      <t>/1</t>
    </r>
  </si>
  <si>
    <t>NACIONALIDAD DE AUTORES QUE GENERARON DERECHOS DE AUTOR</t>
  </si>
  <si>
    <t>Autores nacionales</t>
  </si>
  <si>
    <t>Autores extranjeros</t>
  </si>
  <si>
    <r>
      <rPr>
        <b/>
        <sz val="8"/>
        <rFont val="Verdana"/>
        <family val="2"/>
      </rPr>
      <t>1</t>
    </r>
    <r>
      <rPr>
        <sz val="8"/>
        <rFont val="Verdana"/>
        <family val="2"/>
      </rPr>
      <t xml:space="preserve"> En Chile, ATN sólo puede recaudar derechos de autor correspondientes a autores vinculados a las Artes Escénicas (Teatro). Sin embargo, esto no imposibilita a la sociedad de poder gestionar y cobrar los derechos de ejecución publica de las obras audiovisuales fuera de nuestro país.</t>
    </r>
  </si>
  <si>
    <t>TABLA 13.10: NÚMERO DE AUTORIZACIONES CONCEDIDAS EN CHILE Y EN EL EXTRANJERO POR LA SOCIEDAD DE AUTORES NACIONALES DE TEATRO, CINE Y AUDIOVISUALES (ATN), SEGÚN TIPO DE OBRA. 2011-2015</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</si>
  <si>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</si>
  <si>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</si>
  <si>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</si>
  <si>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</si>
  <si>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</si>
  <si>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2011-2015</t>
  </si>
  <si>
    <t>ORÍGEN DE LAS OBRAS Y PROVENIENCIA</t>
  </si>
  <si>
    <t>Año (pesos nominales)</t>
  </si>
  <si>
    <t>Derechos recibidos del extranjero</t>
  </si>
  <si>
    <t>TABLA 13.12: MONTO DE DERECHOS DISTRIBUIDOS POR LA SOCIEDAD DE AUTORES NACIONALES DE TEATRO, CINE Y AUDIOVISUALES (ATN), SEGÚN NACIONALIDAD DEL AUTOR. 2011-2015</t>
  </si>
  <si>
    <t>NACIONALIDAD DEL AUTOR</t>
  </si>
  <si>
    <r>
      <t>2012</t>
    </r>
    <r>
      <rPr>
        <b/>
        <vertAlign val="superscript"/>
        <sz val="8"/>
        <rFont val="Verdana"/>
        <family val="2"/>
      </rPr>
      <t>/1</t>
    </r>
  </si>
  <si>
    <r>
      <rPr>
        <b/>
        <sz val="8"/>
        <rFont val="Verdana"/>
        <family val="2"/>
      </rPr>
      <t>1</t>
    </r>
    <r>
      <rPr>
        <sz val="8"/>
        <rFont val="Verdana"/>
        <family val="2"/>
      </rPr>
      <t xml:space="preserve"> El aumento en autores extranjeros durante el año 2012 se debe que a ese año se distribuyó un monto remanente correspondiente al año 2011.</t>
    </r>
  </si>
  <si>
    <r>
      <t>TABLA 13.13: NÚMERO DE FUNCIONES DE ESPECTÁCULOS DE ARTES ESCÉNICAS POR TIPO DE ESPECTÁCULO. 2011-2015</t>
    </r>
    <r>
      <rPr>
        <b/>
        <vertAlign val="superscript"/>
        <sz val="8"/>
        <color indexed="8"/>
        <rFont val="Verdana"/>
        <family val="2"/>
      </rPr>
      <t>/1</t>
    </r>
  </si>
  <si>
    <t>Funciones</t>
  </si>
  <si>
    <t xml:space="preserve">
TOTAL</t>
  </si>
  <si>
    <t>Tipo de espectáculo</t>
  </si>
  <si>
    <t xml:space="preserve">
Teatro infantil</t>
  </si>
  <si>
    <t xml:space="preserve">
Teatro Adulto</t>
  </si>
  <si>
    <t xml:space="preserve">
Ballet</t>
  </si>
  <si>
    <t xml:space="preserve">
Danza moderna o contemporánea</t>
  </si>
  <si>
    <t xml:space="preserve">
Danza regional y/o folclórica</t>
  </si>
  <si>
    <t xml:space="preserve">
Ópera</t>
  </si>
  <si>
    <t xml:space="preserve">
Circo</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</si>
  <si>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</si>
  <si>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t>FUENTE: Encuesta de Espectáculos Públicos (INE).</t>
  </si>
  <si>
    <r>
      <t>TABLA 13.14: NÚMERO DE FUNCIONES DE ESPECTÁCULOS DE ARTES ESCÉNICAS POR TIPO DE ESPECTÁCULO, SEGÚN REGIÓN. 2015</t>
    </r>
    <r>
      <rPr>
        <b/>
        <vertAlign val="superscript"/>
        <sz val="8"/>
        <color indexed="8"/>
        <rFont val="Verdana"/>
        <family val="2"/>
      </rPr>
      <t>/1</t>
    </r>
    <r>
      <rPr>
        <b/>
        <sz val="8"/>
        <color indexed="8"/>
        <rFont val="Verdana"/>
        <family val="2"/>
      </rPr>
      <t xml:space="preserve"> </t>
    </r>
  </si>
  <si>
    <r>
      <t>Antofagasta/</t>
    </r>
    <r>
      <rPr>
        <sz val="6"/>
        <color indexed="8"/>
        <rFont val="Verdana"/>
        <family val="2"/>
      </rPr>
      <t>2</t>
    </r>
  </si>
  <si>
    <r>
      <t>Atacama/</t>
    </r>
    <r>
      <rPr>
        <sz val="6"/>
        <color indexed="8"/>
        <rFont val="Verdana"/>
        <family val="2"/>
      </rPr>
      <t>2</t>
    </r>
  </si>
  <si>
    <r>
      <t>Coquimbo/</t>
    </r>
    <r>
      <rPr>
        <sz val="6"/>
        <color indexed="8"/>
        <rFont val="Verdana"/>
        <family val="2"/>
      </rPr>
      <t>2</t>
    </r>
  </si>
  <si>
    <r>
      <t>Valparaíso/</t>
    </r>
    <r>
      <rPr>
        <sz val="6"/>
        <color indexed="8"/>
        <rFont val="Verdana"/>
        <family val="2"/>
      </rPr>
      <t>2</t>
    </r>
  </si>
  <si>
    <r>
      <rPr>
        <b/>
        <sz val="8"/>
        <color indexed="8"/>
        <rFont val="Verdana"/>
        <family val="2"/>
      </rPr>
      <t>2</t>
    </r>
    <r>
      <rPr>
        <sz val="8"/>
        <color indexed="8"/>
        <rFont val="Verdana"/>
        <family val="2"/>
      </rPr>
      <t xml:space="preserve"> Región afectada por catástrofe natural durante el año 2015</t>
    </r>
  </si>
  <si>
    <r>
      <t xml:space="preserve">- </t>
    </r>
    <r>
      <rPr>
        <sz val="8"/>
        <color indexed="8"/>
        <rFont val="Verdana"/>
        <family val="2"/>
      </rPr>
      <t>No registró movimiento</t>
    </r>
  </si>
  <si>
    <r>
      <t>TABLA 13.15: NÚMERO DE ASISTENTES A ESPECTÁCULOS DE ARTES ESCÉNICAS, PAGANDO ENTRADA POR TIPO DE ESPECTÁCULO, SEGÚN REGIÓN. 2015</t>
    </r>
    <r>
      <rPr>
        <b/>
        <vertAlign val="superscript"/>
        <sz val="8"/>
        <color indexed="8"/>
        <rFont val="Verdana"/>
        <family val="2"/>
      </rPr>
      <t>/1</t>
    </r>
  </si>
  <si>
    <t>Asistente pagando entrada</t>
  </si>
  <si>
    <r>
      <t>TABLA 13.16: NÚMERO DE ASISTENTES A ESPECTÁCULOS DE ARTES ESCÉNICAS CON ENTRADA GRATUITA, POR TIPO DE ESPECTÁCULO, SEGÚN REGIÓN. 2015</t>
    </r>
    <r>
      <rPr>
        <b/>
        <vertAlign val="superscript"/>
        <sz val="8"/>
        <color indexed="8"/>
        <rFont val="Verdana"/>
        <family val="2"/>
      </rPr>
      <t>/1</t>
    </r>
  </si>
  <si>
    <t>Asistente entrada gratuita</t>
  </si>
  <si>
    <t xml:space="preserve">
Danza moderna  y/o contemporánea</t>
  </si>
  <si>
    <t xml:space="preserve">
Danza regional o folclórica</t>
  </si>
  <si>
    <r>
      <t>TABLA 13.17: NÚMERO DE ASISTENTES A ESPECTÁCULOS DE ARTES ESCÉNICAS, ENTRADA GRATUITA Y PAGADA, POR TIPO DE ESPECTÁCULO, SEGÚN REGIÓN. 2015</t>
    </r>
    <r>
      <rPr>
        <b/>
        <vertAlign val="superscript"/>
        <sz val="8"/>
        <color indexed="8"/>
        <rFont val="Verdana"/>
        <family val="2"/>
      </rPr>
      <t>/1</t>
    </r>
  </si>
  <si>
    <t>Asistente entrada gratuita y pagada</t>
  </si>
  <si>
    <t>Danza Moderna y/o Contemporánea</t>
  </si>
  <si>
    <t>Danza Regional o Folclórica</t>
  </si>
  <si>
    <t>Antofagasta/2</t>
  </si>
  <si>
    <t>Atacama/2</t>
  </si>
  <si>
    <t>Coquimbo/2</t>
  </si>
  <si>
    <t>Valparaíso/2</t>
  </si>
  <si>
    <r>
      <t>TABLA 13.18: NÚMERO DE ASISTENTES A ESPECTÁCULOS DE ARTES ESCÉNICAS, PAGANDO ENTRADA, POR TIPO DE ESPECTÁCULO. 2011-2015</t>
    </r>
    <r>
      <rPr>
        <b/>
        <vertAlign val="superscript"/>
        <sz val="8"/>
        <color indexed="8"/>
        <rFont val="Verdana"/>
        <family val="2"/>
      </rPr>
      <t>/1</t>
    </r>
  </si>
  <si>
    <r>
      <t>TABLA 13.19: NÚMERO DE ASISTENTES A ESPECTÁCULOS DE ARTES ESCÉNICAS CON ENTRADA GRATUITA, POR TIPO DE ESPECTÁCULO. 2011-2015</t>
    </r>
    <r>
      <rPr>
        <b/>
        <vertAlign val="superscript"/>
        <sz val="8"/>
        <color indexed="8"/>
        <rFont val="Verdana"/>
        <family val="2"/>
      </rPr>
      <t>/1</t>
    </r>
  </si>
  <si>
    <t>Asistentes Gratuitos</t>
  </si>
  <si>
    <r>
      <t>TABLA 13.20: NÚMERO DE ASISTENTES A ESPECTÁCULOS DE ARTES ESCÉNICAS, ENTRADA GRATUITA Y PAGADA, POR TIPO DE ESPECTÁCULO. 2011-2015</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</si>
  <si>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</si>
  <si>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13.21: NÚMERO DE ASISTENTES A ESPECTÁCULOS DE ARTES ESCÉNICAS CON ENTRADA GRATUITA Y PAGADA POR MES, SEGÚN REGIÓN. 2015</t>
    </r>
    <r>
      <rPr>
        <b/>
        <vertAlign val="superscript"/>
        <sz val="8"/>
        <color indexed="8"/>
        <rFont val="Verdana"/>
        <family val="2"/>
      </rPr>
      <t>/1</t>
    </r>
  </si>
  <si>
    <t>Asistente Entradas pagadas y gratuitas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</si>
  <si>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</si>
  <si>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</si>
  <si>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</si>
  <si>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</si>
  <si>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</si>
  <si>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</si>
  <si>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</si>
  <si>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</si>
  <si>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</si>
  <si>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</si>
  <si>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</si>
  <si>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</si>
  <si>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TABLA 14.1: NÚMERO Y PORCENTAJE DE ASOCIADOS (PERSONAS NATURALES) A LA SOCIEDAD CHILENA DEL DERECHO DE AUTOR (SCD), SEGÚN REGIÓN. 2011 - 2015</t>
  </si>
  <si>
    <r>
      <t xml:space="preserve">2011 </t>
    </r>
    <r>
      <rPr>
        <b/>
        <vertAlign val="superscript"/>
        <sz val="8"/>
        <rFont val="Verdana"/>
        <family val="2"/>
      </rPr>
      <t>/2</t>
    </r>
  </si>
  <si>
    <r>
      <t xml:space="preserve">2012 </t>
    </r>
    <r>
      <rPr>
        <b/>
        <vertAlign val="superscript"/>
        <sz val="8"/>
        <rFont val="Verdana"/>
        <family val="2"/>
      </rPr>
      <t>/3</t>
    </r>
  </si>
  <si>
    <t>Afiliados</t>
  </si>
  <si>
    <r>
      <t>Arica y Parinacota</t>
    </r>
    <r>
      <rPr>
        <vertAlign val="superscript"/>
        <sz val="8"/>
        <rFont val="Verdana"/>
        <family val="2"/>
      </rPr>
      <t>/1</t>
    </r>
  </si>
  <si>
    <r>
      <t>Los Ríos</t>
    </r>
    <r>
      <rPr>
        <vertAlign val="superscript"/>
        <sz val="8"/>
        <rFont val="Verdana"/>
        <family val="2"/>
      </rPr>
      <t>/1</t>
    </r>
  </si>
  <si>
    <t>Vive en el extranjero</t>
  </si>
  <si>
    <r>
      <t xml:space="preserve">Sin información </t>
    </r>
    <r>
      <rPr>
        <vertAlign val="superscript"/>
        <sz val="8"/>
        <rFont val="Verdana"/>
        <family val="2"/>
      </rPr>
      <t>/4</t>
    </r>
  </si>
  <si>
    <r>
      <rPr>
        <b/>
        <sz val="8"/>
        <rFont val="Verdana"/>
        <family val="2"/>
      </rPr>
      <t>1</t>
    </r>
    <r>
      <rPr>
        <sz val="8"/>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</si>
  <si>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8"/>
        <rFont val="Verdana"/>
        <family val="2"/>
      </rPr>
      <t xml:space="preserve">2 </t>
    </r>
    <r>
      <rPr>
        <sz val="8"/>
        <rFont val="Verdana"/>
        <family val="2"/>
      </rPr>
      <t>El año 2011 no se publicó el número de socios desagregados por región.</t>
    </r>
  </si>
  <si>
    <r>
      <rPr>
        <b/>
        <sz val="8"/>
        <rFont val="Verdana"/>
        <family val="2"/>
      </rPr>
      <t xml:space="preserve">3 </t>
    </r>
    <r>
      <rPr>
        <sz val="8"/>
        <rFont val="Verdana"/>
        <family val="2"/>
      </rPr>
      <t>El año 2012, la SCD entregó datos correspondientes a las regiones de Arica y Parinacota y de Los Ríos.</t>
    </r>
  </si>
  <si>
    <r>
      <rPr>
        <b/>
        <sz val="8"/>
        <rFont val="Verdana"/>
        <family val="2"/>
      </rPr>
      <t xml:space="preserve">4 </t>
    </r>
    <r>
      <rPr>
        <sz val="8"/>
        <rFont val="Verdana"/>
        <family val="2"/>
      </rPr>
      <t>Esta categoría contiene información respecto al número de asociados a la SCD que no ha podido ser desagregada según región.</t>
    </r>
  </si>
  <si>
    <t>... Información no disponible.</t>
  </si>
  <si>
    <t>FUENTE: Sociedad Chilena del Derecho de Autor (SCD).</t>
  </si>
  <si>
    <r>
      <t>Total</t>
    </r>
    <r>
      <rPr>
        <b/>
        <vertAlign val="superscript"/>
        <sz val="8"/>
        <rFont val="Verdana"/>
        <family val="2"/>
      </rPr>
      <t>/3</t>
    </r>
  </si>
  <si>
    <r>
      <t>Sin Información</t>
    </r>
    <r>
      <rPr>
        <vertAlign val="superscript"/>
        <sz val="8"/>
        <rFont val="Verdana"/>
        <family val="2"/>
      </rPr>
      <t>/2</t>
    </r>
  </si>
  <si>
    <r>
      <rPr>
        <b/>
        <sz val="8"/>
        <rFont val="Verdana"/>
        <family val="2"/>
      </rPr>
      <t>2</t>
    </r>
    <r>
      <rPr>
        <sz val="8"/>
        <rFont val="Verdana"/>
        <family val="2"/>
      </rPr>
      <t xml:space="preserve"> La categoría Sin Información contiene información que no se ha podido desagregar según sexo, por ejemplo las sucesiones y autores que viven fuera de Chile (90)</t>
    </r>
  </si>
  <si>
    <r>
      <rPr>
        <b/>
        <sz val="8"/>
        <rFont val="Verdana"/>
        <family val="2"/>
      </rPr>
      <t>3</t>
    </r>
    <r>
      <rPr>
        <sz val="8"/>
        <rFont val="Verdana"/>
        <family val="2"/>
      </rPr>
      <t xml:space="preserve"> Este total incluye la categoría sin información, no así los subtotales por sexo.</t>
    </r>
  </si>
  <si>
    <t>TABLA 14.3: NÚMERO Y PORCENTAJE DE ASOCIADOS A LA SOCIEDAD CHILENA DEL DERECHO DE AUTOR (SCD), SEGÚN TIPO DE ARTISTA. 2011 - 2015</t>
  </si>
  <si>
    <t>TIPO DE ARTISTA</t>
  </si>
  <si>
    <r>
      <t xml:space="preserve">2011 </t>
    </r>
    <r>
      <rPr>
        <b/>
        <vertAlign val="superscript"/>
        <sz val="8"/>
        <rFont val="Verdana"/>
        <family val="2"/>
      </rPr>
      <t>/1</t>
    </r>
  </si>
  <si>
    <r>
      <t xml:space="preserve">2012 </t>
    </r>
    <r>
      <rPr>
        <b/>
        <vertAlign val="superscript"/>
        <sz val="8"/>
        <rFont val="Verdana"/>
        <family val="2"/>
      </rPr>
      <t>/1</t>
    </r>
  </si>
  <si>
    <t>Autores/compositores</t>
  </si>
  <si>
    <t>Intérpretes/ejecutantes</t>
  </si>
  <si>
    <t>Autores/compositores e intérpretes/ejecutantes</t>
  </si>
  <si>
    <r>
      <rPr>
        <b/>
        <sz val="8"/>
        <rFont val="Verdana"/>
        <family val="2"/>
      </rPr>
      <t xml:space="preserve">1 </t>
    </r>
    <r>
      <rPr>
        <sz val="8"/>
        <rFont val="Verdana"/>
        <family val="2"/>
      </rPr>
      <t>Los años 2011 y 2012 no se publicó el número de socios desagregados por tipo de artista.</t>
    </r>
  </si>
  <si>
    <t>TABLA 14.4: NÚMERO DE OBRAS NACIONALES INSCRITAS EN LA SOCIEDAD CHILENA DEL DERECHO DE AUTOR (SCD). 2015</t>
  </si>
  <si>
    <t>OBRAS DECLARADAS DURANTE EL AÑO</t>
  </si>
  <si>
    <t>TABLA 14.5: NÚMERO DE AUTORES ASOCIADOS A LA SOCIEDAD CHILENA DEL DERECHO DE AUTOR (SCD) Y NÚMERO DE AUTORES GENERADORES DE DERECHOS POR SEXO. 2015</t>
  </si>
  <si>
    <t>AUTORES</t>
  </si>
  <si>
    <r>
      <t>Sin información</t>
    </r>
    <r>
      <rPr>
        <b/>
        <vertAlign val="superscript"/>
        <sz val="8"/>
        <rFont val="Verdana"/>
        <family val="2"/>
      </rPr>
      <t>/1</t>
    </r>
  </si>
  <si>
    <t>Número total de autores afiliados a SCD</t>
  </si>
  <si>
    <t>Número total de autores que generaron derechos por la SCD</t>
  </si>
  <si>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</si>
  <si>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r>
      <t xml:space="preserve">TABLA 14.6: NÚMERO DE SOCIOS QUE CUENTAN CON BENEFICIOS SOCIALES DE LA SOCIEDAD CHILENA DEL DERECHO DE AUTOR (SCD) POR AÑO Y TIPO DE BENEFICIO. 2014 - 2015 </t>
    </r>
    <r>
      <rPr>
        <b/>
        <vertAlign val="superscript"/>
        <sz val="8"/>
        <rFont val="Verdana"/>
        <family val="2"/>
      </rPr>
      <t>/1</t>
    </r>
  </si>
  <si>
    <t>NÚMERO DE SOCIOS</t>
  </si>
  <si>
    <t>Beneficios de salud</t>
  </si>
  <si>
    <t>Aportes por Viaje al Extranjero</t>
  </si>
  <si>
    <t>Becas</t>
  </si>
  <si>
    <t>Asignaciones</t>
  </si>
  <si>
    <r>
      <rPr>
        <b/>
        <sz val="8"/>
        <rFont val="Verdana"/>
        <family val="2"/>
      </rPr>
      <t>1</t>
    </r>
    <r>
      <rPr>
        <sz val="8"/>
        <rFont val="Verdana"/>
        <family val="2"/>
      </rPr>
      <t xml:space="preserve"> Esta información se publica solo desde la versión 2014 de Cultura y Tiempo Libre.</t>
    </r>
  </si>
  <si>
    <t>TABLA 14.7: NÚMERO DE ASOCIADOS EN LA ASOCIACIÓN DE PRODUCTORES FONOGRÁFICOS DE CHILE (IFPI) POR AÑO. 2011-2015</t>
  </si>
  <si>
    <t>ASOCIADOS</t>
  </si>
  <si>
    <t>8</t>
  </si>
  <si>
    <t>FUENTE: Asociación de Productores Fonográficos de Chile A.G.(IFPI Chile).</t>
  </si>
  <si>
    <t>TABLA 14.8: NÚMERO DE TRABAJADORES EN SELLOS DISCOGRÁFICOS. 2011-2015</t>
  </si>
  <si>
    <t>FUENTE: Asociación de Productores Fonográficos de Chile (IFPI Chile).</t>
  </si>
  <si>
    <t>TABLA 14.9: NÚMERO Y PORCENTAJE DE DISCOS NACIONALES POR AÑO, SEGÚN TIPO DE PRODUCCIÓN, GÉNERO, APOYO DEL FONDO DE LA MÚSICA, MES DE PRODUCCIÓN, FORMATO, TIPO DE DISCO, REPERTORIO Y TRAYECTORIA. 2012-2015</t>
  </si>
  <si>
    <t>DISCOS NACIONALES</t>
  </si>
  <si>
    <t>Número</t>
  </si>
  <si>
    <t>TOTAL POR TIPO DE PRODUCCIÓN</t>
  </si>
  <si>
    <t>Producción independiente</t>
  </si>
  <si>
    <t>Sello</t>
  </si>
  <si>
    <t>Coedición</t>
  </si>
  <si>
    <t>TOTAL POR GÉNERO</t>
  </si>
  <si>
    <t>Popular</t>
  </si>
  <si>
    <t>Folclore</t>
  </si>
  <si>
    <t>Clásico</t>
  </si>
  <si>
    <t>TOTAL CON APOYO DEL FONDO DE LA MÚSICA</t>
  </si>
  <si>
    <t>Si</t>
  </si>
  <si>
    <t>No</t>
  </si>
  <si>
    <t>TOTAL MES DE PRODUCCIÓN</t>
  </si>
  <si>
    <t>Enero</t>
  </si>
  <si>
    <t>Febrero</t>
  </si>
  <si>
    <t>Marzo</t>
  </si>
  <si>
    <t>Abril</t>
  </si>
  <si>
    <t>Mayo</t>
  </si>
  <si>
    <t>Junio</t>
  </si>
  <si>
    <t>Julio</t>
  </si>
  <si>
    <t>Agosto</t>
  </si>
  <si>
    <t>Septiembre</t>
  </si>
  <si>
    <t>Octubre</t>
  </si>
  <si>
    <t>Noviembre</t>
  </si>
  <si>
    <t>Diciembre</t>
  </si>
  <si>
    <t>TOTAL FORMATO DE EDICIÓN</t>
  </si>
  <si>
    <t>CD</t>
  </si>
  <si>
    <t xml:space="preserve">Digital </t>
  </si>
  <si>
    <t>Vinilo</t>
  </si>
  <si>
    <t xml:space="preserve">DVD </t>
  </si>
  <si>
    <t>TOTAL TIPO DE DISCO</t>
  </si>
  <si>
    <t>Disco individual</t>
  </si>
  <si>
    <t>Disco colectivo</t>
  </si>
  <si>
    <t>TOTAL REPERTORIO</t>
  </si>
  <si>
    <t>Compilación</t>
  </si>
  <si>
    <t>En vivo</t>
  </si>
  <si>
    <t>Inédito</t>
  </si>
  <si>
    <t>Reedición</t>
  </si>
  <si>
    <t>Remixes</t>
  </si>
  <si>
    <t>Otro</t>
  </si>
  <si>
    <t>TOTAL TRAYECTORIA DE PARTICIPACIÓN EN LA CREACIÓN Y RPODUCCIÓN (debut)</t>
  </si>
  <si>
    <t>1er disco</t>
  </si>
  <si>
    <t>2do disco</t>
  </si>
  <si>
    <t>3er disco o más</t>
  </si>
  <si>
    <t>FUENTE: Consejo de Fomento de la Música. Consejo Nacional de la Cultura y las Artes (CNCA)</t>
  </si>
  <si>
    <r>
      <t>TABLA 14.10: NÚMERO DE PROYECTOS Y MONTOS ADJUDICADOS POR FONDO DE LA MÚSICA, POR LÍNEA DE CONCURSO, SEGÚN REGIÓN DE DOMICILIO DEL PARTICIPANTE. AÑO 2015</t>
    </r>
    <r>
      <rPr>
        <b/>
        <vertAlign val="superscript"/>
        <sz val="8"/>
        <rFont val="Verdana"/>
        <family val="2"/>
      </rPr>
      <t>/1</t>
    </r>
  </si>
  <si>
    <t xml:space="preserve">
REGIÓN DE DOMICILIO DEL PARTICIPANTE</t>
  </si>
  <si>
    <t xml:space="preserve">
Formación</t>
  </si>
  <si>
    <t xml:space="preserve">
Investigación</t>
  </si>
  <si>
    <t>Coros, orquestas y bandas instrumentales (COBI)</t>
  </si>
  <si>
    <t xml:space="preserve">
Creación y producción</t>
  </si>
  <si>
    <t xml:space="preserve">
Actividades presenciales</t>
  </si>
  <si>
    <t xml:space="preserve">
Industria</t>
  </si>
  <si>
    <t xml:space="preserve">
 Medios de comunicación masiva</t>
  </si>
  <si>
    <t>Línea de apoyo al desarrollo estratégico de la música chilena en el extranjero</t>
  </si>
  <si>
    <t>N° de proyectos</t>
  </si>
  <si>
    <t>Monto adjudicado ($)</t>
  </si>
  <si>
    <r>
      <t>Otro</t>
    </r>
    <r>
      <rPr>
        <vertAlign val="superscript"/>
        <sz val="8"/>
        <rFont val="Verdana"/>
        <family val="2"/>
      </rPr>
      <t xml:space="preserve"> /2</t>
    </r>
  </si>
  <si>
    <r>
      <rPr>
        <b/>
        <sz val="8"/>
        <rFont val="Verdana"/>
        <family val="2"/>
      </rPr>
      <t>1</t>
    </r>
    <r>
      <rPr>
        <sz val="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</si>
  <si>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rFont val="Verdana"/>
        <family val="2"/>
      </rPr>
      <t>La categoría "Otro" incluye a proyectos cuyos postulantes tienen domicilio en el extranjero.</t>
    </r>
  </si>
  <si>
    <r>
      <t xml:space="preserve">- </t>
    </r>
    <r>
      <rPr>
        <sz val="8"/>
        <rFont val="Verdana"/>
        <family val="2"/>
      </rPr>
      <t>No registró movimiento.</t>
    </r>
  </si>
  <si>
    <t>FUENTE: Consejo Nacional de la Cultura y las Artes (CNCA).</t>
  </si>
  <si>
    <t>TABLA 14.11: NÚMERO DE SELLOS DE GRABACIÓN. 2013-2015</t>
  </si>
  <si>
    <t>SELLOS</t>
  </si>
  <si>
    <r>
      <t>2014</t>
    </r>
    <r>
      <rPr>
        <b/>
        <vertAlign val="superscript"/>
        <sz val="8"/>
        <rFont val="Verdana"/>
        <family val="2"/>
      </rPr>
      <t>/2</t>
    </r>
  </si>
  <si>
    <r>
      <t>2015</t>
    </r>
    <r>
      <rPr>
        <b/>
        <vertAlign val="superscript"/>
        <sz val="8"/>
        <rFont val="Verdana"/>
        <family val="2"/>
      </rPr>
      <t>/3</t>
    </r>
  </si>
  <si>
    <r>
      <rPr>
        <b/>
        <sz val="8"/>
        <rFont val="Verdana"/>
        <family val="2"/>
      </rPr>
      <t>1</t>
    </r>
    <r>
      <rPr>
        <sz val="8"/>
        <rFont val="Verdana"/>
        <family val="2"/>
      </rPr>
      <t xml:space="preserve"> El número de sellos corresponde a los que editaron discos durante el año 2013 y se levanta a través de la Encuesta de producción 2013.</t>
    </r>
  </si>
  <si>
    <r>
      <rPr>
        <b/>
        <sz val="8"/>
        <rFont val="Verdana"/>
        <family val="2"/>
      </rPr>
      <t>2</t>
    </r>
    <r>
      <rPr>
        <sz val="8"/>
        <rFont val="Verdana"/>
        <family val="2"/>
      </rPr>
      <t xml:space="preserve"> El número de sellos corresponde al levantamiento realizado en el marco del Catastro de Agentes culturales para la música, identificando la totalidad de sellos que existen en el país.</t>
    </r>
  </si>
  <si>
    <t>TABLA 14.12: MONTOS DE RECAUDACIÓN DE DERECHOS DE EJECUCIÓN AUTOR POR LA SOCIEDAD CHILENA DEL DERECHO DE AUTOR (SCD), SEGÚN MEDIO DE EMISIÓN. 2011-2015</t>
  </si>
  <si>
    <t>RECAUDACIÓN</t>
  </si>
  <si>
    <r>
      <t>Monto (pesos)</t>
    </r>
    <r>
      <rPr>
        <b/>
        <vertAlign val="superscript"/>
        <sz val="8"/>
        <rFont val="Verdana"/>
        <family val="2"/>
      </rPr>
      <t>/1</t>
    </r>
  </si>
  <si>
    <t>Radio</t>
  </si>
  <si>
    <t>Televisión</t>
  </si>
  <si>
    <t>Cines</t>
  </si>
  <si>
    <t>Usuarios permanentes</t>
  </si>
  <si>
    <t>Esporádicos</t>
  </si>
  <si>
    <t xml:space="preserve">Fiestas </t>
  </si>
  <si>
    <t>TV cable</t>
  </si>
  <si>
    <t>Internet</t>
  </si>
  <si>
    <r>
      <rPr>
        <b/>
        <sz val="8"/>
        <rFont val="Verdana"/>
        <family val="2"/>
      </rPr>
      <t xml:space="preserve">1 </t>
    </r>
    <r>
      <rPr>
        <sz val="8"/>
        <rFont val="Verdana"/>
        <family val="2"/>
      </rPr>
      <t>Los montos corresponden a valores nominales.</t>
    </r>
  </si>
  <si>
    <t>TABLA 14.13: MONTOS DE DISTRIBUCIÓN DE DERECHOS DE EJECUCIÓN AUTOR POR LA SOCIEDAD CHILENA DEL DERECHO DE AUTOR (SCD). 2011-2015</t>
  </si>
  <si>
    <t>Editores locales</t>
  </si>
  <si>
    <t>Sociedades extranjeras</t>
  </si>
  <si>
    <t>TABLA 14.14: MONTOS DE RECAUDACIÓN Y DISTRIBUCIÓN DE DERECHOS FONOMECÁNICOS POR LA SOCIEDAD CHILENA DEL DERECHO DE AUTOR (SCD). 2011-2015</t>
  </si>
  <si>
    <t>RECAUDACIÓN Y DISTRIBUCIÓN</t>
  </si>
  <si>
    <t>Recaudación</t>
  </si>
  <si>
    <t>Distribución</t>
  </si>
  <si>
    <t xml:space="preserve">Autores nacionales </t>
  </si>
  <si>
    <t xml:space="preserve">Editores locales </t>
  </si>
  <si>
    <t xml:space="preserve">Sociedades extranjeras </t>
  </si>
  <si>
    <r>
      <rPr>
        <b/>
        <sz val="8"/>
        <rFont val="Verdana"/>
        <family val="2"/>
      </rPr>
      <t>1</t>
    </r>
    <r>
      <rPr>
        <sz val="8"/>
        <rFont val="Verdana"/>
        <family val="2"/>
      </rPr>
      <t xml:space="preserve"> Los montos corresponden a valores nominales.</t>
    </r>
  </si>
  <si>
    <t>TABLA 14.15: MONTOS DE RECAUDACIÓN DE DERECHOS DE EJECUCIÓN CONEXOS POR LA SOCIEDAD CHILENA DEL DERECHO DE AUTOR (SCD), SEGÚN MEDIO DE EMISIÓN. 2011-2015</t>
  </si>
  <si>
    <t xml:space="preserve">Usuarios permanentes </t>
  </si>
  <si>
    <t>Recaudación extranjera</t>
  </si>
  <si>
    <t>TABLA 14.16: MONTOS DE DISTRIBUCIÓN DE DERECHOS DE EJECUCIÓN CONEXOS, POR LA SOCIEDAD CHILENA DEL DERECHO DE AUTOR (SCD). 2011-2015</t>
  </si>
  <si>
    <t xml:space="preserve">Artistas nacionales </t>
  </si>
  <si>
    <t xml:space="preserve">Productores fonográficos </t>
  </si>
  <si>
    <r>
      <t>RUBRO Y SELLO</t>
    </r>
    <r>
      <rPr>
        <b/>
        <vertAlign val="superscript"/>
        <sz val="8"/>
        <color indexed="8"/>
        <rFont val="Verdana"/>
        <family val="2"/>
      </rPr>
      <t>/1</t>
    </r>
  </si>
  <si>
    <t>Cine</t>
  </si>
  <si>
    <t>Generales</t>
  </si>
  <si>
    <r>
      <t>Cnr</t>
    </r>
    <r>
      <rPr>
        <vertAlign val="superscript"/>
        <sz val="8"/>
        <color indexed="8"/>
        <rFont val="Verdana"/>
        <family val="2"/>
      </rPr>
      <t>/2</t>
    </r>
  </si>
  <si>
    <t xml:space="preserve">Emi odeon </t>
  </si>
  <si>
    <t>Leader</t>
  </si>
  <si>
    <t>Sony music</t>
  </si>
  <si>
    <t>Universal music</t>
  </si>
  <si>
    <t>Warner music</t>
  </si>
  <si>
    <t>Música y marketing</t>
  </si>
  <si>
    <t>Plaza Independencia</t>
  </si>
  <si>
    <t>Viva Producciones</t>
  </si>
  <si>
    <r>
      <rPr>
        <b/>
        <sz val="8"/>
        <color indexed="8"/>
        <rFont val="Verdana"/>
        <family val="2"/>
      </rPr>
      <t>1</t>
    </r>
    <r>
      <rPr>
        <sz val="8"/>
        <color indexed="8"/>
        <rFont val="Verdana"/>
        <family val="2"/>
      </rPr>
      <t xml:space="preserve"> Los rubros corresponden a las áreas de recaudación tanto de derechos autorales como conexos. La entidad que maneja estos </t>
    </r>
    <r>
      <rPr>
        <sz val="8"/>
        <rFont val="Verdana"/>
        <family val="2"/>
      </rPr>
      <t>conceptos</t>
    </r>
    <r>
      <rPr>
        <sz val="8"/>
        <color indexed="8"/>
        <rFont val="Verdana"/>
        <family val="2"/>
      </rPr>
      <t xml:space="preserve"> es la Sociedad Chilena del Derecho de autor (SCD).</t>
    </r>
  </si>
  <si>
    <r>
      <rPr>
        <b/>
        <sz val="8"/>
        <color indexed="8"/>
        <rFont val="Verdana"/>
        <family val="2"/>
      </rPr>
      <t>2</t>
    </r>
    <r>
      <rPr>
        <sz val="8"/>
        <color indexed="8"/>
        <rFont val="Verdana"/>
        <family val="2"/>
      </rPr>
      <t xml:space="preserve"> El descenso en la recaudación del asociado Cnr se debe a que se  desvinculó de Profovi durante el año 2014 y se reincorporó a partir del segundo trimestre del 2015.</t>
    </r>
  </si>
  <si>
    <r>
      <rPr>
        <b/>
        <sz val="8"/>
        <color indexed="8"/>
        <rFont val="Verdana"/>
        <family val="2"/>
      </rPr>
      <t>a</t>
    </r>
    <r>
      <rPr>
        <sz val="8"/>
        <color indexed="8"/>
        <rFont val="Verdana"/>
        <family val="2"/>
      </rPr>
      <t xml:space="preserve"> Los totales brutos se presentan en valores nominales.</t>
    </r>
  </si>
  <si>
    <t>-No registró movimiento</t>
  </si>
  <si>
    <t>FUENTE: Sociedad de Productores Fonográficos y Videográficos de Chile (PROFOVI).</t>
  </si>
  <si>
    <t>SELLO</t>
  </si>
  <si>
    <r>
      <t>CNR</t>
    </r>
    <r>
      <rPr>
        <vertAlign val="superscript"/>
        <sz val="8"/>
        <color indexed="8"/>
        <rFont val="Verdana"/>
        <family val="2"/>
      </rPr>
      <t>/2</t>
    </r>
  </si>
  <si>
    <t>Música Y  marketing</t>
  </si>
  <si>
    <t>Plaza independencia</t>
  </si>
  <si>
    <t>Emi odeon</t>
  </si>
  <si>
    <t>CNR</t>
  </si>
  <si>
    <r>
      <rPr>
        <b/>
        <sz val="8"/>
        <color indexed="8"/>
        <rFont val="Verdana"/>
        <family val="2"/>
      </rPr>
      <t xml:space="preserve">1 </t>
    </r>
    <r>
      <rPr>
        <sz val="8"/>
        <color indexed="8"/>
        <rFont val="Verdana"/>
        <family val="2"/>
      </rPr>
      <t>Los totales brutos se presentan en valores nominales.</t>
    </r>
  </si>
  <si>
    <t>FUENTE: Sociedad de Productores Fonográficos y Videográficos de Chile (PROFOVI)</t>
  </si>
  <si>
    <t>TABLA 14.19: VENTAS DE MATERIAL DISCOGRÁFICO Y UNIDADES VENDIDAS, SEGÚN FORMATO. 2011 - 2015</t>
  </si>
  <si>
    <t>FORMATO</t>
  </si>
  <si>
    <r>
      <t>Ventas (M$)</t>
    </r>
    <r>
      <rPr>
        <b/>
        <vertAlign val="superscript"/>
        <sz val="8"/>
        <rFont val="Verdana"/>
        <family val="2"/>
      </rPr>
      <t>/1</t>
    </r>
  </si>
  <si>
    <t>Unidades vendidas</t>
  </si>
  <si>
    <r>
      <t>MC</t>
    </r>
    <r>
      <rPr>
        <vertAlign val="superscript"/>
        <sz val="8"/>
        <rFont val="Verdana"/>
        <family val="2"/>
      </rPr>
      <t>/2</t>
    </r>
  </si>
  <si>
    <r>
      <t xml:space="preserve">Vinilo LP </t>
    </r>
    <r>
      <rPr>
        <vertAlign val="superscript"/>
        <sz val="8"/>
        <rFont val="Verdana"/>
        <family val="2"/>
      </rPr>
      <t>/3</t>
    </r>
  </si>
  <si>
    <t>DVD</t>
  </si>
  <si>
    <t>Blu-Ray</t>
  </si>
  <si>
    <r>
      <t xml:space="preserve">Ventas digitales </t>
    </r>
    <r>
      <rPr>
        <vertAlign val="superscript"/>
        <sz val="8"/>
        <rFont val="Verdana"/>
        <family val="2"/>
      </rPr>
      <t>/4 /5</t>
    </r>
  </si>
  <si>
    <t>Video</t>
  </si>
  <si>
    <r>
      <rPr>
        <b/>
        <sz val="8"/>
        <rFont val="Verdana"/>
        <family val="2"/>
      </rPr>
      <t>1</t>
    </r>
    <r>
      <rPr>
        <sz val="8"/>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</si>
  <si>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Música cassette.</t>
    </r>
  </si>
  <si>
    <r>
      <rPr>
        <b/>
        <sz val="8"/>
        <rFont val="Verdana"/>
        <family val="2"/>
      </rPr>
      <t>3</t>
    </r>
    <r>
      <rPr>
        <sz val="8"/>
        <rFont val="Verdana"/>
        <family val="2"/>
      </rPr>
      <t xml:space="preserve"> A partir de este año cambió el formato Single por Vinilo LP. </t>
    </r>
  </si>
  <si>
    <r>
      <rPr>
        <b/>
        <sz val="8"/>
        <rFont val="Verdana"/>
        <family val="2"/>
      </rPr>
      <t>4</t>
    </r>
    <r>
      <rPr>
        <sz val="8"/>
        <rFont val="Verdana"/>
        <family val="2"/>
      </rPr>
      <t xml:space="preserve"> Las ventas digitales no consideran unidades vendidas sino venta cibernética, por cuanto no implican ventas físicas.</t>
    </r>
  </si>
  <si>
    <r>
      <rPr>
        <b/>
        <sz val="8"/>
        <rFont val="Verdana"/>
        <family val="2"/>
      </rPr>
      <t>5</t>
    </r>
    <r>
      <rPr>
        <sz val="8"/>
        <rFont val="Verdana"/>
        <family val="2"/>
      </rPr>
      <t xml:space="preserve"> El aumento de las ventas digitales con respecto al 2014, se debe al crecimiento significativo de las subscripciones a plataformas de Streaming.</t>
    </r>
  </si>
  <si>
    <t>FUENTE: Asociación de Productores Fonográficos de Chile A.G. (IFPI Chile).</t>
  </si>
  <si>
    <t>TABLA 14.20: VENTAS DE MATERIAL DISCOGRÁFICO Y UNIDADES VENDIDAS, SEGÚN REPERTORIO. 2011 - 2015</t>
  </si>
  <si>
    <t>REPERTORIO</t>
  </si>
  <si>
    <r>
      <t>Ventas (miles de pesos)</t>
    </r>
    <r>
      <rPr>
        <b/>
        <vertAlign val="superscript"/>
        <sz val="8"/>
        <rFont val="Verdana"/>
        <family val="2"/>
      </rPr>
      <t>/1</t>
    </r>
  </si>
  <si>
    <t>Anglo</t>
  </si>
  <si>
    <t>Latino</t>
  </si>
  <si>
    <t>Local</t>
  </si>
  <si>
    <r>
      <t>No clasificado</t>
    </r>
    <r>
      <rPr>
        <vertAlign val="superscript"/>
        <sz val="8"/>
        <rFont val="Verdana"/>
        <family val="2"/>
      </rPr>
      <t>/2</t>
    </r>
  </si>
  <si>
    <t>Compilaciones</t>
  </si>
  <si>
    <r>
      <rPr>
        <b/>
        <sz val="8"/>
        <rFont val="Verdana"/>
        <family val="2"/>
      </rPr>
      <t>1</t>
    </r>
    <r>
      <rPr>
        <sz val="8"/>
        <rFont val="Verdana"/>
        <family val="2"/>
      </rPr>
      <t xml:space="preserve"> Las cifras entregadas están basadas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</si>
  <si>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El aumento de las ventas digitales con respecto al 2014, se debe al crecimiento significativo de las subscripciones a plataformas de Streaming.</t>
    </r>
  </si>
  <si>
    <r>
      <t>TABLA 14.21: NÚMERO DE USUARIOS SEGÚN TIPO DE ESTABLECIMIENTO. 2012 - 2015</t>
    </r>
    <r>
      <rPr>
        <b/>
        <vertAlign val="superscript"/>
        <sz val="8"/>
        <rFont val="Verdana"/>
        <family val="2"/>
      </rPr>
      <t>/1/2/3</t>
    </r>
  </si>
  <si>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</si>
  <si>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</si>
  <si>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</si>
  <si>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</si>
  <si>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t>
  </si>
  <si>
    <t>Radios en cobro regular de frecuencia AM/FM con señal online</t>
  </si>
  <si>
    <t>Sitios de venta de música online en cobro regular (servicios de carga y descarga)</t>
  </si>
  <si>
    <r>
      <rPr>
        <b/>
        <sz val="8"/>
        <rFont val="Verdana"/>
        <family val="2"/>
      </rPr>
      <t>1</t>
    </r>
    <r>
      <rPr>
        <sz val="8"/>
        <rFont val="Verdana"/>
        <family val="2"/>
      </rPr>
      <t xml:space="preserve"> Esta información se publica solo desde la versión 2012 de Cultura y Tiempo Libre.</t>
    </r>
  </si>
  <si>
    <r>
      <rPr>
        <b/>
        <sz val="8"/>
        <rFont val="Verdana"/>
        <family val="2"/>
      </rPr>
      <t xml:space="preserve">2 </t>
    </r>
    <r>
      <rPr>
        <sz val="8"/>
        <rFont val="Verdana"/>
        <family val="2"/>
      </rPr>
      <t>Los usuarios corresponden a todo el país. El cobro regular se le hace a usuarios que pagan en forma mensual.</t>
    </r>
  </si>
  <si>
    <r>
      <rPr>
        <b/>
        <sz val="8"/>
        <rFont val="Verdana"/>
        <family val="2"/>
      </rPr>
      <t>3</t>
    </r>
    <r>
      <rPr>
        <sz val="8"/>
        <rFont val="Verdana"/>
        <family val="2"/>
      </rPr>
      <t xml:space="preserve"> Las radios con cobertura nacional se contabilizan sólo una vez y no por el número de sus señales repetidoras asociadas.</t>
    </r>
  </si>
  <si>
    <r>
      <t>TABLA 14.22: NÚMERO DE FUNCIONES DE ESPECTÁCULOS MUSICALES, POR TIPO DE ESPECTÁCULO. 2011-2015</t>
    </r>
    <r>
      <rPr>
        <b/>
        <vertAlign val="superscript"/>
        <sz val="8"/>
        <color indexed="8"/>
        <rFont val="Verdana"/>
        <family val="2"/>
      </rPr>
      <t>/1</t>
    </r>
  </si>
  <si>
    <t>Concierto música docta</t>
  </si>
  <si>
    <t>Concierto música popular</t>
  </si>
  <si>
    <r>
      <t>TABLA 14.23: NÚMERO DE FUNCIONES DE ESPECTÁCULOS MUSICALES, POR TIPO DE ESPECTÁCULO, SEGÚN REGIÓN. 2015</t>
    </r>
    <r>
      <rPr>
        <b/>
        <vertAlign val="superscript"/>
        <sz val="8"/>
        <color indexed="8"/>
        <rFont val="Verdana"/>
        <family val="2"/>
      </rPr>
      <t>/1</t>
    </r>
  </si>
  <si>
    <r>
      <t>TABLA 14.24: NÚMERO DE ESPECTÁCULOS EMPADRONADOS POR LA SOCIEDAD CHILENA DEL DERECHO DE AUTOR (SCD), SEGÚN MODALIDAD DE ACCESO. 2012 - 2015</t>
    </r>
    <r>
      <rPr>
        <b/>
        <vertAlign val="superscript"/>
        <sz val="8"/>
        <rFont val="Verdana"/>
        <family val="2"/>
      </rPr>
      <t>/1/2</t>
    </r>
  </si>
  <si>
    <t>MODALIDAD DE ACCESO</t>
  </si>
  <si>
    <t>Eventos</t>
  </si>
  <si>
    <t>Espectáculos con cobro de entradas</t>
  </si>
  <si>
    <t>Espectáculos gratuitos al aire libre</t>
  </si>
  <si>
    <t>Espectáculos gratuitos en recintos cerrados</t>
  </si>
  <si>
    <t>Ferias, exposiciones, circos, desfiles, otros</t>
  </si>
  <si>
    <r>
      <rPr>
        <b/>
        <sz val="8"/>
        <rFont val="Verdana"/>
        <family val="2"/>
      </rPr>
      <t>1</t>
    </r>
    <r>
      <rPr>
        <sz val="8"/>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</si>
  <si>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rPr>
        <b/>
        <sz val="8"/>
        <rFont val="Verdana"/>
        <family val="2"/>
      </rPr>
      <t>2</t>
    </r>
    <r>
      <rPr>
        <sz val="8"/>
        <rFont val="Verdana"/>
        <family val="2"/>
      </rPr>
      <t xml:space="preserve"> Esta información se publica solo desde la versión 2012 de Cultura y Tiempo Libre.</t>
    </r>
  </si>
  <si>
    <r>
      <t>TABLA 14.25: NÚMERO DE ASISTENTES A ESPECTÁCULOS MUSICALES, PAGANDO ENTRADA POR TIPO DE ESPECTÁCULO, SEGÚN REGIÓN. 2015</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</si>
  <si>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</si>
  <si>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 No registro movimiento</t>
  </si>
  <si>
    <r>
      <t>TABLA 14.26: NÚMERO DE ASISTENTES A ESPECTÁCULOS MUSICALES CON ENTRADA GRATUITA POR TIPO DE ESPECTÁCULO, SEGÚN REGIÓN. 2015</t>
    </r>
    <r>
      <rPr>
        <b/>
        <vertAlign val="superscript"/>
        <sz val="8"/>
        <color indexed="8"/>
        <rFont val="Verdana"/>
        <family val="2"/>
      </rPr>
      <t>/1</t>
    </r>
  </si>
  <si>
    <r>
      <rPr>
        <b/>
        <sz val="8"/>
        <color indexed="8"/>
        <rFont val="Verdana"/>
        <family val="2"/>
      </rPr>
      <t xml:space="preserve">2 </t>
    </r>
    <r>
      <rPr>
        <sz val="8"/>
        <color indexed="8"/>
        <rFont val="Verdana"/>
        <family val="2"/>
      </rPr>
      <t xml:space="preserve">Región afectada por catástrofe natural durante el año 2015 </t>
    </r>
  </si>
  <si>
    <r>
      <t>TABLA 14.27: NÚMERO DE ASISTENTES A ESPECTÁCULOS MUSICALES, CON ENTRADA GRATUITA Y PAGADA POR TIPO DE ESPECTÁCULO, SEGÚN REGIÓN. 2015</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</si>
  <si>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</si>
  <si>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rPr>
        <b/>
        <sz val="8"/>
        <rFont val="Verdana"/>
        <family val="2"/>
      </rPr>
      <t>2</t>
    </r>
    <r>
      <rPr>
        <sz val="8"/>
        <rFont val="Verdana"/>
        <family val="2"/>
      </rPr>
      <t xml:space="preserve"> Región afectada por catástrofe natural durante el año 2015</t>
    </r>
  </si>
  <si>
    <r>
      <t>TABLA 14.28: NÚMERO DE ASISTENTES A ESPECTÁCULOS MUSICALES, PAGANDO ENTRADA POR TIPO DE ESPECTÁCULO. 2011 - 2015</t>
    </r>
    <r>
      <rPr>
        <b/>
        <vertAlign val="superscript"/>
        <sz val="8"/>
        <color indexed="8"/>
        <rFont val="Verdana"/>
        <family val="2"/>
      </rPr>
      <t>/1</t>
    </r>
  </si>
  <si>
    <r>
      <t>TABLA 14.29: NÚMERO DE ASISTENTES A ESPECTÁCULOS MUSICALES CON ENTRADA GRATUITA, POR TIPO DE ESPECTÁCULO. 2011-2015</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</si>
  <si>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</si>
  <si>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14.30: NÚMERO DE ASISTENTES A ESPECTÁCULOS MUSICALES, CON ENTRADA GRATUITA Y PAGADA POR TIPO DE ESPECTÁCULO. 2011 - 2015</t>
    </r>
    <r>
      <rPr>
        <b/>
        <vertAlign val="superscript"/>
        <sz val="8"/>
        <rFont val="Verdana"/>
        <family val="2"/>
      </rPr>
      <t>/1</t>
    </r>
  </si>
  <si>
    <r>
      <t>TABLA 14.31: NÚMERO DE ASISTENTES A ESPECTÁCULOS MUSICALES, CON ENTRADA GRATUITA Y PAGADA POR MES, SEGÚN REGIÓN. 2015</t>
    </r>
    <r>
      <rPr>
        <b/>
        <vertAlign val="superscript"/>
        <sz val="8"/>
        <color indexed="8"/>
        <rFont val="Verdana"/>
        <family val="2"/>
      </rPr>
      <t>/1</t>
    </r>
  </si>
  <si>
    <t>Asistentes entradas pagadas y gratuitas</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</si>
  <si>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</si>
  <si>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TABLA 14.32: LISTADO DE CANCIONES NACIONALES MÁS ESCUCHADAS, SEGÚN REGISTROS DE LA SOCIEDAD CHILENA DEL DERECHO DE AUTOR (SCD). 2015</t>
  </si>
  <si>
    <t>PRIMER SEMESTRE</t>
  </si>
  <si>
    <t>SEGUNDO SEMESTRE</t>
  </si>
  <si>
    <t>Nº</t>
  </si>
  <si>
    <t>Título de la canción</t>
  </si>
  <si>
    <t>Autor</t>
  </si>
  <si>
    <t>Clasificación (tipo)</t>
  </si>
  <si>
    <t>Interprete</t>
  </si>
  <si>
    <t>TU ME HACES FALTA</t>
  </si>
  <si>
    <t>VASQUEZ GEI ITALO FABIAN/VASQUEZ GEI ENZO IGNACIO</t>
  </si>
  <si>
    <t>BALADA</t>
  </si>
  <si>
    <t>LOS VASQUEZ</t>
  </si>
  <si>
    <t>NADA MAS</t>
  </si>
  <si>
    <t>DOMINGO JOHNNT VEGA URZUA/MARIO ALFONSO YAÑEZ ERRAZURIZ</t>
  </si>
  <si>
    <t>CUMBIA</t>
  </si>
  <si>
    <t>AMERICO</t>
  </si>
  <si>
    <t>MIENTEME UNA VEZ MAS</t>
  </si>
  <si>
    <t>PRENDEREMOS FUEGO AL CIELO</t>
  </si>
  <si>
    <t>VALENZUELA MENDEZ FRANCISCA</t>
  </si>
  <si>
    <t>POP</t>
  </si>
  <si>
    <t>FRANCISCA VALENZUELA</t>
  </si>
  <si>
    <t>3</t>
  </si>
  <si>
    <t>ME VUELVO LOCO</t>
  </si>
  <si>
    <t>ITALO FABIAN VASQUEZ GEI/ENZO IGNACIO VASQUEZ GEI</t>
  </si>
  <si>
    <t>RANCHERA</t>
  </si>
  <si>
    <t>4</t>
  </si>
  <si>
    <t>LOCA</t>
  </si>
  <si>
    <t>ASENJO CUBILLOS ALDO ENRIQUE</t>
  </si>
  <si>
    <t>CHICO TRUJILLO</t>
  </si>
  <si>
    <t>TODO TE DI</t>
  </si>
  <si>
    <t>FARFAN BRAVO GONZALO ESTEBAN/BARTOLO MAMANI JHONNY MARCELO</t>
  </si>
  <si>
    <t>NOCHE DE BRUJAS</t>
  </si>
  <si>
    <t>5</t>
  </si>
  <si>
    <t>VUELA QUE VUELA</t>
  </si>
  <si>
    <t>RESCATAME</t>
  </si>
  <si>
    <t>JUAN ANDRES OSSANDON ROSAY</t>
  </si>
  <si>
    <t>MYRIAM HERNANDEZ</t>
  </si>
  <si>
    <t>6</t>
  </si>
  <si>
    <t>FRUTA Y TE</t>
  </si>
  <si>
    <t>RIVEROS SEPULVEDA DANIEL ALEJANDRO</t>
  </si>
  <si>
    <t>GEPE</t>
  </si>
  <si>
    <t>7</t>
  </si>
  <si>
    <t>MAMALLUCA</t>
  </si>
  <si>
    <t xml:space="preserve">MUTIS PINTO MARIO/PARRA PIZARRO CLAUDIO/PARRA CORREA JUANITA/PARRA PIZARRO HECTOR/ALQUINTA ESPINOZA </t>
  </si>
  <si>
    <t>ROCK FOLK</t>
  </si>
  <si>
    <t>LOS JAIVAS</t>
  </si>
  <si>
    <t>MI AMANTE</t>
  </si>
  <si>
    <t>ALDO ENRIQUE ASENJO CUBILLOS</t>
  </si>
  <si>
    <t>9</t>
  </si>
  <si>
    <t>SUBE A NACER CONMIGO HERMANO</t>
  </si>
  <si>
    <t>MUTIS PINTO MARIO/PARRA PIZARRO CLAUDIO/PARRA PIZARRO HECTOR/ALQUINTA ESPINOZA EDUARDO/PABLO NERUDA</t>
  </si>
  <si>
    <t>JUANA MARIA</t>
  </si>
  <si>
    <t>10</t>
  </si>
  <si>
    <t>AFORTUNADA</t>
  </si>
  <si>
    <t>11</t>
  </si>
  <si>
    <t>OYEME</t>
  </si>
  <si>
    <t>HOY</t>
  </si>
  <si>
    <t>DENISSE LILIAN LAVAL SOZA</t>
  </si>
  <si>
    <t>NICOLE</t>
  </si>
  <si>
    <t>12</t>
  </si>
  <si>
    <t>ES AMOR</t>
  </si>
  <si>
    <t>YAÑEZ WERNER CRISTIAN PATRICIO</t>
  </si>
  <si>
    <t>LA OTRA FE</t>
  </si>
  <si>
    <t>13</t>
  </si>
  <si>
    <t>SER FELIZ</t>
  </si>
  <si>
    <t>FRAZIER EYRAD JAMES/YAÑEZ MEIRA DE VASCONCELLOS JOSE</t>
  </si>
  <si>
    <t>JOE VASCONCELLOS</t>
  </si>
  <si>
    <t>14</t>
  </si>
  <si>
    <t>CONTIGO</t>
  </si>
  <si>
    <t>NATALINO</t>
  </si>
  <si>
    <t>15</t>
  </si>
  <si>
    <t>Y AUN SIN VOZ QUERIA EXPRESAR CON</t>
  </si>
  <si>
    <t>ALARCON ROJAS RAUL FLORCITA</t>
  </si>
  <si>
    <t>FUNK</t>
  </si>
  <si>
    <t>CHANCHO EN PIEDRA</t>
  </si>
  <si>
    <t>BESAR TU BOCA</t>
  </si>
  <si>
    <t>ACOSTA SMITH CLAUDIO ANTONIO/PIGNAC AGUILERA IVAN ALJANDRO/MEJIAS RODRIGUEZ VINCENT PATRICIO</t>
  </si>
  <si>
    <t>IVAN ALEJANDRO</t>
  </si>
  <si>
    <t>16</t>
  </si>
  <si>
    <t>CALLEJERO</t>
  </si>
  <si>
    <t>AYALA ZAROR JUAN FRANCISCO/ROJAS BORQUEZ RODRIGO/VARGAS ARAYA PABLO</t>
  </si>
  <si>
    <t>JUANA FE</t>
  </si>
  <si>
    <t>BAILANDO SOLO</t>
  </si>
  <si>
    <t>DURAN FERNANDEZ MAURICIO/DURAN FERNANDEZ FRANCISCO</t>
  </si>
  <si>
    <t>LOS BUNKERS</t>
  </si>
  <si>
    <t>17</t>
  </si>
  <si>
    <t>DESNUDOS</t>
  </si>
  <si>
    <t>BARTOLO MAMANI JHONNY MARCELO/FARFAN BRAVO GONZALO ESTEBAN/MUÑOZ CASAS CORDERO HECTOR RAFAEL</t>
  </si>
  <si>
    <t>DESAFIOS</t>
  </si>
  <si>
    <t>TIJOUX MERINO ANAMARIA/BORQUEZ SARRAT CRISTIAN/ESPINOZA MORALES OSVALDO</t>
  </si>
  <si>
    <t>HIP HOP</t>
  </si>
  <si>
    <t>MAKIZA</t>
  </si>
  <si>
    <t>18</t>
  </si>
  <si>
    <t>PREGON PARA ILUMINARSE</t>
  </si>
  <si>
    <t>MUTIS PINTO MARIO/PARRA PIZARRO CLAUDIO/PARRA PIZARRO HECTOR/ALQUINTA ESPINOZA EDUARDO</t>
  </si>
  <si>
    <t>MARIO GUERRERO</t>
  </si>
  <si>
    <t>DESDE QUE TE VI</t>
  </si>
  <si>
    <t>MANZI ASTUDILLO HUGO FRANCISCO/NATALINO TORRES CRISTIAN ANDRES</t>
  </si>
  <si>
    <t>19</t>
  </si>
  <si>
    <t>EL GUATON LOYOLA</t>
  </si>
  <si>
    <t>GALVEZ DROGUETT MARCOS/OLIVARES ZUÑIGA OSCAR/CASTILLO MARIN LUIS</t>
  </si>
  <si>
    <t>CUECA</t>
  </si>
  <si>
    <t>LOS HERMANOS CAMPOS</t>
  </si>
  <si>
    <t>ENAMORADO</t>
  </si>
  <si>
    <t>20</t>
  </si>
  <si>
    <t>DONDE ESTA TU AMOR</t>
  </si>
  <si>
    <t>BALADA POP</t>
  </si>
  <si>
    <t>21</t>
  </si>
  <si>
    <t>ME GUSTA LA VIDA</t>
  </si>
  <si>
    <t>ORTIZ PANATT MARIA MAGDALENA</t>
  </si>
  <si>
    <t>MARIA COLORES</t>
  </si>
  <si>
    <t>ELLA</t>
  </si>
  <si>
    <t>MORALES DIAZ ALEXIS ROBERTO</t>
  </si>
  <si>
    <t>LA NOCHE</t>
  </si>
  <si>
    <t>22</t>
  </si>
  <si>
    <t>LAS SEIS</t>
  </si>
  <si>
    <t>YAÑEZ MEIRA DE VASCONCELLOS JOSE MANUEL</t>
  </si>
  <si>
    <t>23</t>
  </si>
  <si>
    <t>ARMADURA</t>
  </si>
  <si>
    <t>24</t>
  </si>
  <si>
    <t>LA VOZ DE LOS 80</t>
  </si>
  <si>
    <t>GONZALEZ RIOS JORGE HUMBERTO</t>
  </si>
  <si>
    <t>LOS PRISIONEROS</t>
  </si>
  <si>
    <t>CUANDO VUELVAS</t>
  </si>
  <si>
    <t>PIGA MENA SEBASTIAN FIDEL</t>
  </si>
  <si>
    <t>UPA</t>
  </si>
  <si>
    <t>LA MAKINITA</t>
  </si>
  <si>
    <t>AYALA ZAROR JUAN FRANCISCO/ROJAS BORQUEZ RODRIGO/CUSSEN ABUD ARTURO</t>
  </si>
  <si>
    <t>TABLA 14.33: CANTIDAD DE DISCOS MUSICALES DESCARGADOS DESDE EL SITIO WEB PORTALDISC, SEGÚN LUGAR DE DESCARGA. 2011-2015</t>
  </si>
  <si>
    <t>LUGAR DE DESCARGAS</t>
  </si>
  <si>
    <t>Chile</t>
  </si>
  <si>
    <t>Fuente: PortalDisc.</t>
  </si>
  <si>
    <r>
      <t>TABLA 14.34: CANTIDAD DE DISCOS MUSICALES DESCARGADOS DESDE EL SITIO WEB PORTALDISC, SEGÚN REGIÓN. 2011-2015</t>
    </r>
    <r>
      <rPr>
        <b/>
        <vertAlign val="superscript"/>
        <sz val="8"/>
        <color theme="1"/>
        <rFont val="Verdana"/>
        <family val="2"/>
      </rPr>
      <t>/1</t>
    </r>
  </si>
  <si>
    <r>
      <rPr>
        <sz val="8"/>
        <rFont val="Verdana"/>
        <family val="2"/>
      </rPr>
      <t>Sin información</t>
    </r>
    <r>
      <rPr>
        <vertAlign val="superscript"/>
        <sz val="8"/>
        <rFont val="Verdana"/>
        <family val="2"/>
      </rPr>
      <t>/</t>
    </r>
    <r>
      <rPr>
        <b/>
        <vertAlign val="superscript"/>
        <sz val="8"/>
        <rFont val="Verdana"/>
        <family val="2"/>
      </rPr>
      <t>2</t>
    </r>
  </si>
  <si>
    <r>
      <rPr>
        <b/>
        <sz val="8"/>
        <color theme="1"/>
        <rFont val="Verdana"/>
        <family val="2"/>
      </rPr>
      <t xml:space="preserve">1 </t>
    </r>
    <r>
      <rPr>
        <sz val="8"/>
        <color theme="1"/>
        <rFont val="Verdana"/>
        <family val="2"/>
      </rPr>
      <t>En esta tabla se consideran únicamente las descargas realizadas desde Chile.</t>
    </r>
  </si>
  <si>
    <r>
      <rPr>
        <b/>
        <sz val="8"/>
        <color theme="1"/>
        <rFont val="Verdana"/>
        <family val="2"/>
      </rPr>
      <t>2</t>
    </r>
    <r>
      <rPr>
        <sz val="8"/>
        <color theme="1"/>
        <rFont val="Calibri"/>
        <family val="2"/>
        <scheme val="minor"/>
      </rPr>
      <t xml:space="preserve"> </t>
    </r>
    <r>
      <rPr>
        <sz val="8"/>
        <color theme="1"/>
        <rFont val="Verdana"/>
        <family val="2"/>
      </rPr>
      <t>Esta categoría contiene registros sin identificador territorial.</t>
    </r>
  </si>
  <si>
    <r>
      <t xml:space="preserve">TABLA 14.35: NÚMERO DE DISCOS MUSICALES REGISTRADOS EN EL SITIO WEB PORTALDISC, SEGÚN GENERO. 2015 </t>
    </r>
    <r>
      <rPr>
        <b/>
        <vertAlign val="superscript"/>
        <sz val="8"/>
        <rFont val="Verdana"/>
        <family val="2"/>
      </rPr>
      <t>/1</t>
    </r>
  </si>
  <si>
    <t>GÉNERO</t>
  </si>
  <si>
    <t>Rock</t>
  </si>
  <si>
    <t>Pop-Rock</t>
  </si>
  <si>
    <t>Pop</t>
  </si>
  <si>
    <t>Bailable</t>
  </si>
  <si>
    <t>Folclor Chile</t>
  </si>
  <si>
    <t>Fusión</t>
  </si>
  <si>
    <t>Hip-Hop</t>
  </si>
  <si>
    <t>Boleros</t>
  </si>
  <si>
    <t>Metal</t>
  </si>
  <si>
    <t>Trova</t>
  </si>
  <si>
    <t>Reggae</t>
  </si>
  <si>
    <t>Punk</t>
  </si>
  <si>
    <t>Electrónica</t>
  </si>
  <si>
    <t>Infantil</t>
  </si>
  <si>
    <t>Rancheras</t>
  </si>
  <si>
    <t>Religiosa</t>
  </si>
  <si>
    <t>Funk</t>
  </si>
  <si>
    <t>Jazz</t>
  </si>
  <si>
    <t>Reggaetón</t>
  </si>
  <si>
    <t>Salsa</t>
  </si>
  <si>
    <t>Relajación</t>
  </si>
  <si>
    <t>Soundtrack</t>
  </si>
  <si>
    <t>Clásica</t>
  </si>
  <si>
    <t>Poesía</t>
  </si>
  <si>
    <t>Instrumental</t>
  </si>
  <si>
    <r>
      <rPr>
        <b/>
        <sz val="8"/>
        <color theme="1"/>
        <rFont val="Verdana"/>
        <family val="2"/>
      </rPr>
      <t>1</t>
    </r>
    <r>
      <rPr>
        <sz val="8"/>
        <color theme="1"/>
        <rFont val="Verdana"/>
        <family val="2"/>
      </rPr>
      <t xml:space="preserve"> Las cifras consideran discos incorporados durante el año 2015.</t>
    </r>
  </si>
  <si>
    <r>
      <t>TABLA 14.36: CANTIDAD DE DISCOS DESCARGADOS EN EL SITIO WEB PORTALDISC POR LUGAR DE DESCARGA, SEGÚN GENERO. 2015</t>
    </r>
    <r>
      <rPr>
        <b/>
        <vertAlign val="superscript"/>
        <sz val="8"/>
        <rFont val="Verdana"/>
        <family val="2"/>
      </rPr>
      <t>/1</t>
    </r>
  </si>
  <si>
    <t>GENERO</t>
  </si>
  <si>
    <t>Música Cubana</t>
  </si>
  <si>
    <t>Nueva Ola</t>
  </si>
  <si>
    <t>Tango</t>
  </si>
  <si>
    <t>Series</t>
  </si>
  <si>
    <t>Karaokes</t>
  </si>
  <si>
    <t>Reggaeton</t>
  </si>
  <si>
    <t>Folclor Argentina</t>
  </si>
  <si>
    <t>Folclor Perú</t>
  </si>
  <si>
    <r>
      <rPr>
        <b/>
        <sz val="8"/>
        <color theme="1"/>
        <rFont val="Verdana"/>
        <family val="2"/>
      </rPr>
      <t xml:space="preserve">1 </t>
    </r>
    <r>
      <rPr>
        <sz val="8"/>
        <color theme="1"/>
        <rFont val="Verdana"/>
        <family val="2"/>
      </rPr>
      <t>Las cifras consideradas en la tabla corresponden a descargas realizadas dentro y fuera de Chile.</t>
    </r>
  </si>
  <si>
    <r>
      <t>TABLA 14.37: LISTADO DE LOS DIEZ ARTISTAS MUSICALES MÁS DESCARGADOS DESDE EL SITIO WEB PORTALDISC. 2015</t>
    </r>
    <r>
      <rPr>
        <b/>
        <vertAlign val="superscript"/>
        <sz val="8"/>
        <color theme="1"/>
        <rFont val="Verdana"/>
        <family val="2"/>
      </rPr>
      <t>/1</t>
    </r>
  </si>
  <si>
    <t>N°</t>
  </si>
  <si>
    <t>Artista</t>
  </si>
  <si>
    <t>Cantidad de descargas</t>
  </si>
  <si>
    <t>Cantando aprendo a hablar</t>
  </si>
  <si>
    <t>Nano Stern</t>
  </si>
  <si>
    <t>Mazapán</t>
  </si>
  <si>
    <t>Inti Illimani</t>
  </si>
  <si>
    <t>Gepe</t>
  </si>
  <si>
    <t>Ana Tijoux</t>
  </si>
  <si>
    <t>Manuel Garcia</t>
  </si>
  <si>
    <t>Camila Moreno</t>
  </si>
  <si>
    <t>Inti Illimani Histórico</t>
  </si>
  <si>
    <t>31 Minutos</t>
  </si>
  <si>
    <r>
      <t>TABLA 14.38: CANTIDAD DE DISCOS MUSICALES MÁS DESCARGADOS DESDE EL SITIO WEB PORTALDISC. 2015</t>
    </r>
    <r>
      <rPr>
        <b/>
        <vertAlign val="superscript"/>
        <sz val="8"/>
        <color theme="1"/>
        <rFont val="Verdana"/>
        <family val="2"/>
      </rPr>
      <t>/1</t>
    </r>
  </si>
  <si>
    <t>Disco</t>
  </si>
  <si>
    <t>Genero</t>
  </si>
  <si>
    <t>Cantidad descargas</t>
  </si>
  <si>
    <t>Mil 500 Vueltas</t>
  </si>
  <si>
    <t>Fusión/Trova</t>
  </si>
  <si>
    <t>Teoría de Cuerdas</t>
  </si>
  <si>
    <t>Estilo Libre</t>
  </si>
  <si>
    <t>Vengo</t>
  </si>
  <si>
    <t>Antología - Disco 1</t>
  </si>
  <si>
    <t>Legado</t>
  </si>
  <si>
    <t>Mc Brow</t>
  </si>
  <si>
    <t>Mala Madre</t>
  </si>
  <si>
    <t>Cantando aprendo a hablar (vol1)</t>
  </si>
  <si>
    <t>Cantando Aprendo A Hablar</t>
  </si>
  <si>
    <t>Imágenes</t>
  </si>
  <si>
    <t>Tata Barahona</t>
  </si>
  <si>
    <t>Canta a Manns</t>
  </si>
  <si>
    <t>Inti-Illimani Histórico</t>
  </si>
  <si>
    <r>
      <t>TABLA 15.1: EVOLUCIÓN DE LA COBERTURA DE LAS BIBLIOTECAS CRA</t>
    </r>
    <r>
      <rPr>
        <b/>
        <vertAlign val="superscript"/>
        <sz val="8"/>
        <color indexed="8"/>
        <rFont val="Verdana"/>
        <family val="2"/>
      </rPr>
      <t>/1</t>
    </r>
    <r>
      <rPr>
        <b/>
        <sz val="8"/>
        <color indexed="8"/>
        <rFont val="Verdana"/>
        <family val="2"/>
      </rPr>
      <t xml:space="preserve"> POR ENSEÑANZA MEDIA (REGULAR). 1995-2015</t>
    </r>
    <r>
      <rPr>
        <b/>
        <vertAlign val="superscript"/>
        <sz val="8"/>
        <color indexed="8"/>
        <rFont val="Verdana"/>
        <family val="2"/>
      </rPr>
      <t>/2</t>
    </r>
  </si>
  <si>
    <r>
      <t>N° de Bibliotecas Implementadas</t>
    </r>
    <r>
      <rPr>
        <b/>
        <vertAlign val="superscript"/>
        <sz val="8"/>
        <color indexed="8"/>
        <rFont val="Verdana"/>
        <family val="2"/>
      </rPr>
      <t>/3</t>
    </r>
  </si>
  <si>
    <r>
      <t>1</t>
    </r>
    <r>
      <rPr>
        <sz val="8"/>
        <color indexed="8"/>
        <rFont val="Verdana"/>
        <family val="2"/>
      </rPr>
      <t xml:space="preserve"> Centro de Recursos para el Aprendizaje</t>
    </r>
  </si>
  <si>
    <r>
      <t>2</t>
    </r>
    <r>
      <rPr>
        <sz val="8"/>
        <color indexed="8"/>
        <rFont val="Verdana"/>
        <family val="2"/>
      </rPr>
      <t xml:space="preserve"> La serie de datos no considera los años 1996, 1998, 2002 y 2006 debido a que, en el caso de los dos primeros (1996 y 1998) se priorizó la entrega de material didáctico a los Liceos con CRA, y el fortalecimiento de los ya constituidos. En el caso de los dos segundos (2002 y 2006), no se implementaron nuevos CRA por razones presupuestarias.</t>
    </r>
  </si>
  <si>
    <r>
      <t>3</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</si>
  <si>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t>FUENTE: Datos de implementación programa MECE-Media y Componente Bibliotecas Escolares CRA, UCE-Mineduc.</t>
  </si>
  <si>
    <r>
      <t>TABLA 15.2: EVOLUCIÓN DE LA COBERTURA DE LAS BIBLIOTECAS CRA</t>
    </r>
    <r>
      <rPr>
        <b/>
        <vertAlign val="superscript"/>
        <sz val="8"/>
        <color indexed="8"/>
        <rFont val="Verdana"/>
        <family val="2"/>
      </rPr>
      <t>/1</t>
    </r>
    <r>
      <rPr>
        <b/>
        <sz val="8"/>
        <color indexed="8"/>
        <rFont val="Verdana"/>
        <family val="2"/>
      </rPr>
      <t xml:space="preserve"> POR ENSEÑANZA BÁSICA (REGULAR). 2005-2015</t>
    </r>
  </si>
  <si>
    <r>
      <t>N° de Bibliotecas Implementadas</t>
    </r>
    <r>
      <rPr>
        <b/>
        <vertAlign val="superscript"/>
        <sz val="8"/>
        <color indexed="8"/>
        <rFont val="Verdana"/>
        <family val="2"/>
      </rPr>
      <t>/2</t>
    </r>
  </si>
  <si>
    <r>
      <t>2</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</si>
  <si>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r>
      <t>TABLA 15.3: CANTIDAD DE ESTABLECIMIENTOS EDUCACIONALES CON BIBLIOTECAS CRA</t>
    </r>
    <r>
      <rPr>
        <b/>
        <vertAlign val="superscript"/>
        <sz val="8"/>
        <color indexed="8"/>
        <rFont val="Verdana"/>
        <family val="2"/>
      </rPr>
      <t>/1</t>
    </r>
    <r>
      <rPr>
        <b/>
        <sz val="8"/>
        <color indexed="8"/>
        <rFont val="Verdana"/>
        <family val="2"/>
      </rPr>
      <t xml:space="preserve"> POR NIVEL EDUCACIONAL, SEGÚN REGIONES. 2015</t>
    </r>
  </si>
  <si>
    <t>REGIONES</t>
  </si>
  <si>
    <r>
      <t>Nivel Educacional</t>
    </r>
    <r>
      <rPr>
        <b/>
        <vertAlign val="superscript"/>
        <sz val="8"/>
        <color indexed="8"/>
        <rFont val="Verdana"/>
        <family val="2"/>
      </rPr>
      <t>/2</t>
    </r>
  </si>
  <si>
    <t>Básica</t>
  </si>
  <si>
    <r>
      <t>Media</t>
    </r>
    <r>
      <rPr>
        <b/>
        <vertAlign val="superscript"/>
        <sz val="8"/>
        <color indexed="8"/>
        <rFont val="Verdana"/>
        <family val="2"/>
      </rPr>
      <t>/3</t>
    </r>
  </si>
  <si>
    <r>
      <t xml:space="preserve">2 </t>
    </r>
    <r>
      <rPr>
        <sz val="8"/>
        <color indexed="8"/>
        <rFont val="Verdana"/>
        <family val="2"/>
      </rPr>
      <t>Corresponde a establecimientos activos con biblioteca escolar CRA durante el 2015.</t>
    </r>
  </si>
  <si>
    <r>
      <t xml:space="preserve">3 </t>
    </r>
    <r>
      <rPr>
        <sz val="8"/>
        <color indexed="8"/>
        <rFont val="Verdana"/>
        <family val="2"/>
      </rPr>
      <t>Para Educación Media se consideran establecimientos Científico-Humanista y Técnicos profesionales.</t>
    </r>
  </si>
  <si>
    <r>
      <t>TABLA 15.4: NÚMERO DE ESTABLECIMIENTOS EDUCACIONALES Y ALUMNOS BENEFICIADOS CON BIBLIOTECAS CRA</t>
    </r>
    <r>
      <rPr>
        <b/>
        <vertAlign val="superscript"/>
        <sz val="8"/>
        <color indexed="8"/>
        <rFont val="Verdana"/>
        <family val="2"/>
      </rPr>
      <t xml:space="preserve">/1 </t>
    </r>
    <r>
      <rPr>
        <b/>
        <sz val="8"/>
        <color indexed="8"/>
        <rFont val="Verdana"/>
        <family val="2"/>
      </rPr>
      <t>POR ENSEÑANZA BÁSICA, SEGÚN REGIÓN. 2015</t>
    </r>
  </si>
  <si>
    <t xml:space="preserve">
REGIONES</t>
  </si>
  <si>
    <r>
      <t>Enseñanza básica</t>
    </r>
    <r>
      <rPr>
        <b/>
        <vertAlign val="superscript"/>
        <sz val="8"/>
        <color indexed="8"/>
        <rFont val="Verdana"/>
        <family val="2"/>
      </rPr>
      <t>/2</t>
    </r>
  </si>
  <si>
    <t>Establecimientos educacionales</t>
  </si>
  <si>
    <t>Alumnos</t>
  </si>
  <si>
    <t>FUENTE: Datos internos del Componente Bibliotecas Escolares CRA, UCE-Mineduc.</t>
  </si>
  <si>
    <r>
      <t>TABLA 15.5: NÚMERO DE ESTABLECIMIENTOS EDUCACIONALES Y DE ALUMNOS DE EDUCACIÓN MEDIA BENEFICIADOS POR BIBLIOTECAS CRA</t>
    </r>
    <r>
      <rPr>
        <b/>
        <vertAlign val="superscript"/>
        <sz val="8"/>
        <color indexed="8"/>
        <rFont val="Verdana"/>
        <family val="2"/>
      </rPr>
      <t>/1</t>
    </r>
    <r>
      <rPr>
        <b/>
        <sz val="8"/>
        <color indexed="8"/>
        <rFont val="Verdana"/>
        <family val="2"/>
      </rPr>
      <t>, POR MODALIDAD DEL ESTABLECIMIENTO</t>
    </r>
    <r>
      <rPr>
        <b/>
        <vertAlign val="superscript"/>
        <sz val="8"/>
        <color indexed="8"/>
        <rFont val="Verdana"/>
        <family val="2"/>
      </rPr>
      <t>/2</t>
    </r>
    <r>
      <rPr>
        <b/>
        <sz val="8"/>
        <color indexed="8"/>
        <rFont val="Verdana"/>
        <family val="2"/>
      </rPr>
      <t>, SEGÚN REGIÓN. 2015</t>
    </r>
  </si>
  <si>
    <t>Científico-Humanista</t>
  </si>
  <si>
    <t>Técnico Profesional</t>
  </si>
  <si>
    <t>Ambos</t>
  </si>
  <si>
    <t xml:space="preserve">
Establecimientos educacionales</t>
  </si>
  <si>
    <t xml:space="preserve">
Alumnos</t>
  </si>
  <si>
    <r>
      <t>TABLA 15.6: INVERSIÓN ANUAL MINEDUC EN COLECCIONES DE BÁSICA Y MEDIA. 2011-2015</t>
    </r>
    <r>
      <rPr>
        <b/>
        <sz val="8"/>
        <rFont val="Verdana"/>
        <family val="2"/>
      </rPr>
      <t xml:space="preserve"> (MM $2015)</t>
    </r>
  </si>
  <si>
    <t xml:space="preserve">
Año</t>
  </si>
  <si>
    <t xml:space="preserve">
Colección Básica</t>
  </si>
  <si>
    <t xml:space="preserve">
Colección Media</t>
  </si>
  <si>
    <r>
      <t>FUENTE: Sistema de Información para la Gestión Financiera del Estado (SIGFE)y datos internos del programa Bibliotecas Escolares CRA</t>
    </r>
    <r>
      <rPr>
        <vertAlign val="superscript"/>
        <sz val="8"/>
        <color indexed="8"/>
        <rFont val="Verdana"/>
        <family val="2"/>
      </rPr>
      <t>/1</t>
    </r>
    <r>
      <rPr>
        <sz val="8"/>
        <color indexed="8"/>
        <rFont val="Verdana"/>
        <family val="2"/>
      </rPr>
      <t>.</t>
    </r>
  </si>
  <si>
    <r>
      <t xml:space="preserve">TABLA 15.7: NÚMERO DE TÍTULOS DE LIBROS REGISTRADOS EN EL INTERNATIONAL STANDARD BOOK NUMBER (ISBN), SEGÚN REGIÓN. 2011-2015 </t>
    </r>
    <r>
      <rPr>
        <b/>
        <vertAlign val="superscript"/>
        <sz val="8"/>
        <rFont val="Verdana"/>
        <family val="2"/>
      </rPr>
      <t>/1</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</si>
  <si>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</si>
  <si>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</si>
  <si>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International Standard Book Number (ISBN). Informe estadístico, Cámara Chilena del Libro.</t>
  </si>
  <si>
    <r>
      <t>TABLA 15.8: NÚMERO DE PROYECTOS Y MONTOS ADJUDICADOS POR EL FONDO DEL LIBRO, POR LÍNEA DE CONCURSO, SEGÚN REGIÓN DE DOMICILIO DEL PARTICIPANTE. AÑO 2015</t>
    </r>
    <r>
      <rPr>
        <b/>
        <vertAlign val="superscript"/>
        <sz val="8"/>
        <color indexed="8"/>
        <rFont val="Verdana"/>
        <family val="2"/>
      </rPr>
      <t xml:space="preserve"> /1/2</t>
    </r>
  </si>
  <si>
    <t xml:space="preserve">
Creación</t>
  </si>
  <si>
    <t xml:space="preserve">
Fomento a la industria</t>
  </si>
  <si>
    <t xml:space="preserve">
Fomento de la lectura</t>
  </si>
  <si>
    <r>
      <t xml:space="preserve">  Apoyo, difusión y promoción de la creación e investigación de autores, obras e industria editorial</t>
    </r>
    <r>
      <rPr>
        <b/>
        <vertAlign val="superscript"/>
        <sz val="8"/>
        <color indexed="8"/>
        <rFont val="Verdana"/>
        <family val="2"/>
      </rPr>
      <t>/2</t>
    </r>
  </si>
  <si>
    <r>
      <t>Programa de apoyo a la traducción</t>
    </r>
    <r>
      <rPr>
        <b/>
        <vertAlign val="superscript"/>
        <sz val="8"/>
        <color indexed="8"/>
        <rFont val="Verdana"/>
        <family val="2"/>
      </rPr>
      <t>/3</t>
    </r>
  </si>
  <si>
    <r>
      <t>Otro</t>
    </r>
    <r>
      <rPr>
        <vertAlign val="superscript"/>
        <sz val="8"/>
        <color indexed="8"/>
        <rFont val="Verdana"/>
        <family val="2"/>
      </rPr>
      <t>/4</t>
    </r>
  </si>
  <si>
    <r>
      <t xml:space="preserve">1 </t>
    </r>
    <r>
      <rPr>
        <sz val="8"/>
        <color indexed="8"/>
        <rFont val="Verdana"/>
        <family val="2"/>
      </rPr>
      <t>Este fondo cuenta sólo con una instancia de selección nacional. Se considera la proporción poblacional de la región como criterio para la distribución regional de los seleccionados a partir de la dirección inscrita por el postulante.</t>
    </r>
  </si>
  <si>
    <r>
      <t>2</t>
    </r>
    <r>
      <rPr>
        <sz val="8"/>
        <color indexed="8"/>
        <rFont val="Verdana"/>
        <family val="2"/>
      </rPr>
      <t xml:space="preserve"> El número de proyectos y de monto adjudicado por línea, corresponden a la suma total de los concursos durante el año.</t>
    </r>
  </si>
  <si>
    <r>
      <t xml:space="preserve">3 </t>
    </r>
    <r>
      <rPr>
        <sz val="8"/>
        <color indexed="8"/>
        <rFont val="Verdana"/>
        <family val="2"/>
      </rPr>
      <t>Ventanilla abierta, concurso de convocatoria permanente hasta que se adjudiquen los recursos disponibles.</t>
    </r>
  </si>
  <si>
    <r>
      <rPr>
        <b/>
        <sz val="8"/>
        <color indexed="8"/>
        <rFont val="Verdana"/>
        <family val="2"/>
      </rPr>
      <t>4</t>
    </r>
    <r>
      <rPr>
        <sz val="8"/>
        <color indexed="8"/>
        <rFont val="Verdana"/>
        <family val="2"/>
      </rPr>
      <t xml:space="preserve"> La categoría "Otro" incluye a proyectos cuyos postulantes tienen domicilio en el extranjero.</t>
    </r>
  </si>
  <si>
    <t>TABLA 15.9: NÚMERO DE SOCIOS DE LA SOCIEDAD DE DERECHOS LITERARIOS (SADEL), SEGÚN STATUS DE AFILIACIÓN Y SEXO. 2011-2015</t>
  </si>
  <si>
    <t>STATUS DE FILIACIÓN</t>
  </si>
  <si>
    <t>Socios</t>
  </si>
  <si>
    <r>
      <t>2011</t>
    </r>
    <r>
      <rPr>
        <b/>
        <vertAlign val="superscript"/>
        <sz val="8"/>
        <rFont val="Verdana"/>
        <family val="2"/>
      </rPr>
      <t>/R</t>
    </r>
  </si>
  <si>
    <r>
      <t>2012</t>
    </r>
    <r>
      <rPr>
        <b/>
        <vertAlign val="superscript"/>
        <sz val="8"/>
        <rFont val="Verdana"/>
        <family val="2"/>
      </rPr>
      <t>/R</t>
    </r>
  </si>
  <si>
    <r>
      <t>2013</t>
    </r>
    <r>
      <rPr>
        <b/>
        <vertAlign val="superscript"/>
        <sz val="8"/>
        <rFont val="Verdana"/>
        <family val="2"/>
      </rPr>
      <t>/R</t>
    </r>
  </si>
  <si>
    <r>
      <t>2014</t>
    </r>
    <r>
      <rPr>
        <b/>
        <vertAlign val="superscript"/>
        <sz val="8"/>
        <rFont val="Verdana"/>
        <family val="2"/>
      </rPr>
      <t>/R</t>
    </r>
  </si>
  <si>
    <t>Personas naturales</t>
  </si>
  <si>
    <t>Personas jurídicas</t>
  </si>
  <si>
    <r>
      <t xml:space="preserve">R </t>
    </r>
    <r>
      <rPr>
        <sz val="8"/>
        <rFont val="Verdana"/>
        <family val="2"/>
      </rPr>
      <t xml:space="preserve">Cifras rectificadas por el informante para los años de esta serie. </t>
    </r>
  </si>
  <si>
    <t>FUENTE: Sociedad de Derechos Literarios (Sadel).</t>
  </si>
  <si>
    <t>TABLA 15.10: NÚMERO DE SOCIOS INCORPORADOS A LA SOCIEDAD DE DERECHOS LITERARIOS (SADEL), SEGÚN STATUS DE AFILIACIÓN. 2015</t>
  </si>
  <si>
    <r>
      <rPr>
        <b/>
        <sz val="8"/>
        <rFont val="Verdana"/>
        <family val="2"/>
      </rPr>
      <t xml:space="preserve">R </t>
    </r>
    <r>
      <rPr>
        <sz val="8"/>
        <rFont val="Verdana"/>
        <family val="2"/>
      </rPr>
      <t xml:space="preserve">Cifras rectificadas por el informante para los años de esta serie. </t>
    </r>
  </si>
  <si>
    <r>
      <t xml:space="preserve">TABLA 15.11: NÚMERO DE TÍTULOS DE LIBROS REGISTRADOS EN EL INTERNATIONAL STANDARD BOOK NUMBER (ISBN), SEGÚN NÚMERO DE EDICIÓN. 2011-2015 </t>
    </r>
    <r>
      <rPr>
        <b/>
        <vertAlign val="superscript"/>
        <sz val="8"/>
        <rFont val="Verdana"/>
        <family val="2"/>
      </rPr>
      <t>/1</t>
    </r>
  </si>
  <si>
    <t>NÚMERO DE EDICIÓN</t>
  </si>
  <si>
    <t>1era edición</t>
  </si>
  <si>
    <t>2da edición</t>
  </si>
  <si>
    <t>3era y más ediciones</t>
  </si>
  <si>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</si>
  <si>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</si>
  <si>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</si>
  <si>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</si>
  <si>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</si>
  <si>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</si>
  <si>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</si>
  <si>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</si>
  <si>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</si>
  <si>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</si>
  <si>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</si>
  <si>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</si>
  <si>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</si>
  <si>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</si>
  <si>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</si>
  <si>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</si>
  <si>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t>Narrativa</t>
  </si>
  <si>
    <t>Literatura infantil</t>
  </si>
  <si>
    <t>Ensayos</t>
  </si>
  <si>
    <t>SOPORTE</t>
  </si>
  <si>
    <t>CD-ROM</t>
  </si>
  <si>
    <t>CD-Audio</t>
  </si>
  <si>
    <t>DVD-Video</t>
  </si>
  <si>
    <t>E-Book</t>
  </si>
  <si>
    <t>Pendrive</t>
  </si>
  <si>
    <r>
      <t>TABLA 15.15: NÚMERO DE TÍTULOS AUTOEDITADOS REGISTRADOS EN EL INTERNATIONAL STANDARD BOOK NUMBER (ISBN). 1994-2015</t>
    </r>
    <r>
      <rPr>
        <b/>
        <sz val="8"/>
        <rFont val="Verdana"/>
        <family val="2"/>
      </rPr>
      <t xml:space="preserve"> </t>
    </r>
    <r>
      <rPr>
        <b/>
        <vertAlign val="superscript"/>
        <sz val="8"/>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</si>
  <si>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</si>
  <si>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</si>
  <si>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t>
    </r>
  </si>
  <si>
    <r>
      <rPr>
        <b/>
        <sz val="8"/>
        <color indexed="8"/>
        <rFont val="Verdana"/>
        <family val="2"/>
      </rPr>
      <t xml:space="preserve">3 </t>
    </r>
    <r>
      <rPr>
        <sz val="8"/>
        <color indexed="8"/>
        <rFont val="Verdana"/>
        <family val="2"/>
      </rPr>
      <t>Los datos se refieren al porcentaje de autoediciones en relación al total de títulos registrados cada año.</t>
    </r>
  </si>
  <si>
    <t>RANGOS DE PRODUCCIÓN</t>
  </si>
  <si>
    <t xml:space="preserve">      1-500</t>
  </si>
  <si>
    <t xml:space="preserve">  501-1000</t>
  </si>
  <si>
    <t>1001-1500</t>
  </si>
  <si>
    <t>1501-2000</t>
  </si>
  <si>
    <t>2001-2500</t>
  </si>
  <si>
    <t>2501-3000</t>
  </si>
  <si>
    <t>3001-3500</t>
  </si>
  <si>
    <t>3501-4000</t>
  </si>
  <si>
    <t>4001-4500</t>
  </si>
  <si>
    <t>4501-5000</t>
  </si>
  <si>
    <t>5001 y más</t>
  </si>
  <si>
    <r>
      <t xml:space="preserve">TABLA 15.17: NÚMERO Y PORCENTAJE DE TRADUCCIONES REGISTRADAS EN EL INTERNATIONAL STANDARD BOOK NUMBER (ISBN), SEGÚN IDIOMA DE ORÍGEN E IDIOMA TRADUCIDO. 2011-2015 </t>
    </r>
    <r>
      <rPr>
        <b/>
        <vertAlign val="superscript"/>
        <sz val="8"/>
        <rFont val="Verdana"/>
        <family val="2"/>
      </rPr>
      <t>/1</t>
    </r>
  </si>
  <si>
    <t>IDIOMA DE ORÍGEN</t>
  </si>
  <si>
    <t>IDIOMA TRADUCIDO</t>
  </si>
  <si>
    <t>Alemán</t>
  </si>
  <si>
    <t xml:space="preserve">Español       </t>
  </si>
  <si>
    <t xml:space="preserve">Alemán    </t>
  </si>
  <si>
    <t xml:space="preserve">Inglés      </t>
  </si>
  <si>
    <t>Italiano</t>
  </si>
  <si>
    <t>Árabe</t>
  </si>
  <si>
    <t>Español</t>
  </si>
  <si>
    <t>Francés</t>
  </si>
  <si>
    <t>Catalán</t>
  </si>
  <si>
    <t>Chino</t>
  </si>
  <si>
    <t>Croata</t>
  </si>
  <si>
    <t>Danés</t>
  </si>
  <si>
    <t>Eslovaco</t>
  </si>
  <si>
    <t>Inglés</t>
  </si>
  <si>
    <t>Aymara</t>
  </si>
  <si>
    <t>Japonés</t>
  </si>
  <si>
    <t>Mapudungun</t>
  </si>
  <si>
    <t>Multilingue</t>
  </si>
  <si>
    <t>Polaco</t>
  </si>
  <si>
    <t>Portugués</t>
  </si>
  <si>
    <t>Quechua</t>
  </si>
  <si>
    <t>Rapanui</t>
  </si>
  <si>
    <t>Sueco</t>
  </si>
  <si>
    <t>Finlandés</t>
  </si>
  <si>
    <t>Griego</t>
  </si>
  <si>
    <t>Hebreo</t>
  </si>
  <si>
    <t>Holandés</t>
  </si>
  <si>
    <t>Latín</t>
  </si>
  <si>
    <t>Noruego</t>
  </si>
  <si>
    <t>Rumano</t>
  </si>
  <si>
    <t>Ruso</t>
  </si>
  <si>
    <t>Turco</t>
  </si>
  <si>
    <t>Editores</t>
  </si>
  <si>
    <r>
      <t xml:space="preserve">TABLA 15.19: NÚMERO Y PORCENTAJE DE TÍTULOS REGISTRADOS EN EL INTERNATIONAL STANDARD BOOK NUMBER (ISBN), SEGÚN MES DE PRODUCCIÓN. 2011-2015 </t>
    </r>
    <r>
      <rPr>
        <b/>
        <vertAlign val="superscript"/>
        <sz val="8"/>
        <rFont val="Verdana"/>
        <family val="2"/>
      </rPr>
      <t>/1</t>
    </r>
  </si>
  <si>
    <t>MES</t>
  </si>
  <si>
    <r>
      <t xml:space="preserve">TABLA 15.20: NÚMERO DE TÍTULOS REGISTRADOS EN EL INTERNATIONAL STANDARD BOOK NUMBER (ISBN) POR UNIVERSIDADES CHILENAS. 2011-2015 </t>
    </r>
    <r>
      <rPr>
        <b/>
        <vertAlign val="superscript"/>
        <sz val="8"/>
        <rFont val="Verdana"/>
        <family val="2"/>
      </rPr>
      <t>/1 /2</t>
    </r>
  </si>
  <si>
    <t xml:space="preserve">Universidad </t>
  </si>
  <si>
    <t>Registros</t>
  </si>
  <si>
    <t xml:space="preserve">Universidad Católica de Chile </t>
  </si>
  <si>
    <t>Universidad Alberto Hurtado</t>
  </si>
  <si>
    <t>Pontificia Universidad Católica de Chile</t>
  </si>
  <si>
    <t xml:space="preserve">Pontificia Universidad Católica de Chile </t>
  </si>
  <si>
    <t>Universidad de Chile</t>
  </si>
  <si>
    <t>Universidad Diego Portales</t>
  </si>
  <si>
    <t>Universidad de Santiago</t>
  </si>
  <si>
    <t>Ediciones Universitarias Universidad Católica de Valparaíso</t>
  </si>
  <si>
    <t>Universidad Católica de Temuco</t>
  </si>
  <si>
    <t>Universidad de Concepción</t>
  </si>
  <si>
    <t>Ediciones Universitarias U. Católica de Valparaíso</t>
  </si>
  <si>
    <t>Universidad de Santiago de Chile</t>
  </si>
  <si>
    <t>Universidad Técnica Federico Santa María</t>
  </si>
  <si>
    <t>Universidad del Bío Bío</t>
  </si>
  <si>
    <t>Universidad de La Frontera</t>
  </si>
  <si>
    <t>Universidad Austral</t>
  </si>
  <si>
    <t xml:space="preserve">Universidad Austral de Chile </t>
  </si>
  <si>
    <t>Universidad de Valparaíso</t>
  </si>
  <si>
    <t>UNIversidad Católica del Norte</t>
  </si>
  <si>
    <t xml:space="preserve">Universidad de Talca </t>
  </si>
  <si>
    <t>Universidad de Playa Ancha</t>
  </si>
  <si>
    <t>Universidad de Los Andes</t>
  </si>
  <si>
    <t>Universidad de la Frontera</t>
  </si>
  <si>
    <t>Universidad Arturo Prat</t>
  </si>
  <si>
    <t>Universidad de La Serena</t>
  </si>
  <si>
    <t>Universidad Austral de Chile</t>
  </si>
  <si>
    <t>Universidad Finis Terrae</t>
  </si>
  <si>
    <t>Universidad Católica del Norte</t>
  </si>
  <si>
    <t>Universida Católica Cardenal Raúl Silva Henríquez</t>
  </si>
  <si>
    <t>Universidad Católica Cardenal Raúl Silva Henríquez</t>
  </si>
  <si>
    <t>Universidad de Los Lagos</t>
  </si>
  <si>
    <t>Universidad del Desarrollo</t>
  </si>
  <si>
    <t>Universidad de Talca</t>
  </si>
  <si>
    <t>Universidad Central</t>
  </si>
  <si>
    <t>Universidad de Tarapacá</t>
  </si>
  <si>
    <t xml:space="preserve">Universidad de Los Lagos </t>
  </si>
  <si>
    <t>Universidad de Playa Ancha de Ciencias de la Educación</t>
  </si>
  <si>
    <t>Universidad Católica de la Santísima Concepción</t>
  </si>
  <si>
    <t>Universidad Tecnológica de Chile (INACAP)</t>
  </si>
  <si>
    <t>Universidad Santo Tomás</t>
  </si>
  <si>
    <t xml:space="preserve">Universidad de Tarapacá </t>
  </si>
  <si>
    <t>Universidad Católica del Maule</t>
  </si>
  <si>
    <t>Universidad de Magallanes</t>
  </si>
  <si>
    <t>Universidad Andrés Bello</t>
  </si>
  <si>
    <t>Universidad San Sebastián</t>
  </si>
  <si>
    <t xml:space="preserve">Universidad San Sebastián </t>
  </si>
  <si>
    <t>Universidad Adolfo Ibáñez</t>
  </si>
  <si>
    <t>Universidad de Las Américas</t>
  </si>
  <si>
    <t>Universidad Metropolitana de Ciencias de la Educación</t>
  </si>
  <si>
    <t>Universidad Arcis</t>
  </si>
  <si>
    <t xml:space="preserve">Universidad Tecnológica Metropolitana </t>
  </si>
  <si>
    <t>Universidad Bolivariana</t>
  </si>
  <si>
    <t>Universidad Tecnológica Metropolitana</t>
  </si>
  <si>
    <t>Universidad Mayor</t>
  </si>
  <si>
    <t xml:space="preserve">Universidad de Playa Ancha </t>
  </si>
  <si>
    <t>Universidad Autónoma de Chile</t>
  </si>
  <si>
    <t>Universidad Tecnológica de Chile</t>
  </si>
  <si>
    <t xml:space="preserve">Universidad Tecnológica de Chile - INACAP </t>
  </si>
  <si>
    <t>Universidad Academia de Humanismo Cristiano</t>
  </si>
  <si>
    <t>Universidad Miguel de Cervantes</t>
  </si>
  <si>
    <t>Universidad Gabriela Mistral</t>
  </si>
  <si>
    <t>Universidad Adventista de Chile</t>
  </si>
  <si>
    <t>Universidad de Artes y Ciencias Sociales</t>
  </si>
  <si>
    <t>Universidad de Ciencias de la Informática</t>
  </si>
  <si>
    <t>Universidad de Artes, Ciencias y Comunicación</t>
  </si>
  <si>
    <t>Universidad Bernardo O'Higgins</t>
  </si>
  <si>
    <t>Universidad Bernardo O´Higgins</t>
  </si>
  <si>
    <t>Universidad del Pacífico</t>
  </si>
  <si>
    <t>Universidad Internacional Sek</t>
  </si>
  <si>
    <t>Universidad de Antofagasta</t>
  </si>
  <si>
    <t>Universidad Tecnológica Matropolitana</t>
  </si>
  <si>
    <t>Universidad de Atacama</t>
  </si>
  <si>
    <t>Universidad Internacional SEK</t>
  </si>
  <si>
    <t xml:space="preserve">Universidad Miguel de Cervantes </t>
  </si>
  <si>
    <r>
      <rPr>
        <b/>
        <sz val="8"/>
        <rFont val="Verdana"/>
        <family val="2"/>
      </rPr>
      <t xml:space="preserve">1 </t>
    </r>
    <r>
      <rPr>
        <sz val="8"/>
        <rFont val="Verdana"/>
        <family val="2"/>
      </rPr>
      <t>Fueron consideradas por año, todas aquellas universidades que registraron a su nombre, al menos un título.</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</si>
  <si>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</si>
  <si>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TABLA 15.21: RECAUDACIÓN DE LA SOCIEDAD DE DERECHOS LITERARIOS (SADEL) POR CONCEPTO DE LICENCIAS REPROGRÁFICAS. 2011-2015</t>
  </si>
  <si>
    <t>TABLA 15.22: RED DE BIBLIOTECAS PÚBLICAS, NÚMERO DE BIBLIOTECAS DEPENDIENTES O EN CONVENIOS CON LA DIRECCIÓN DE BIBLIOTECAS, ARCHIVOS Y MUSEOS (DIBAM), SEGÚN REGIÓN. 2015</t>
  </si>
  <si>
    <r>
      <t>Total bibliotecas públicas</t>
    </r>
    <r>
      <rPr>
        <b/>
        <vertAlign val="superscript"/>
        <sz val="8"/>
        <rFont val="Verdana"/>
        <family val="2"/>
      </rPr>
      <t>/1 /2</t>
    </r>
  </si>
  <si>
    <t>Bibliotecas centrales</t>
  </si>
  <si>
    <t>Bibliotecas filiales</t>
  </si>
  <si>
    <r>
      <rPr>
        <b/>
        <sz val="8"/>
        <rFont val="Verdana"/>
        <family val="2"/>
      </rPr>
      <t>1</t>
    </r>
    <r>
      <rPr>
        <sz val="8"/>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</si>
  <si>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8"/>
        <rFont val="Verdana"/>
        <family val="2"/>
      </rPr>
      <t xml:space="preserve">2 </t>
    </r>
    <r>
      <rPr>
        <sz val="8"/>
        <rFont val="Verdana"/>
        <family val="2"/>
      </rPr>
      <t>En esta tabla se contabilizan las bibliotecas operativas o activas del sistema, por tanto pueden existir diferencias con la cifras presentadas el año anterior, debido a cierres y cambios.</t>
    </r>
  </si>
  <si>
    <t>TABLA 15.23: NÚMERO DE SERVICIOS MÓVILES DE LA DIRECCIÓN DE BIBLIOTECAS, ARCHIVOS Y MUSEOS (DIBAM), SEGÚN REGIÓN. 2011-2015</t>
  </si>
  <si>
    <r>
      <t>Servicios móviles</t>
    </r>
    <r>
      <rPr>
        <b/>
        <vertAlign val="superscript"/>
        <sz val="8"/>
        <rFont val="Verdana"/>
        <family val="2"/>
      </rPr>
      <t>/1</t>
    </r>
  </si>
  <si>
    <r>
      <rPr>
        <b/>
        <sz val="8"/>
        <rFont val="Verdana"/>
        <family val="2"/>
      </rPr>
      <t xml:space="preserve">1 </t>
    </r>
    <r>
      <rPr>
        <sz val="8"/>
        <rFont val="Verdana"/>
        <family val="2"/>
      </rPr>
      <t>Medios de transporte acondicionados para ofrecer los servicios de biblioteca pública.</t>
    </r>
  </si>
  <si>
    <t>TABLA 15.24: NÚMERO DE BIBLIOTECAS PÚBLICAS DE LA DIRECCIÓN DE BIBLIOTECAS, ARCHIVOS Y MUSEOS (DIBAM) CON ACCESO GRATUITO A INTERNET. 2011-2015</t>
  </si>
  <si>
    <t>Bibliotecas con internet</t>
  </si>
  <si>
    <r>
      <t>2013</t>
    </r>
    <r>
      <rPr>
        <vertAlign val="superscript"/>
        <sz val="8"/>
        <rFont val="Verdana"/>
        <family val="2"/>
      </rPr>
      <t>/1</t>
    </r>
  </si>
  <si>
    <r>
      <t>1</t>
    </r>
    <r>
      <rPr>
        <sz val="8"/>
        <rFont val="Verdana"/>
        <family val="2"/>
      </rPr>
      <t xml:space="preserve"> Se incorporan para este conteo, servicios de internet pertenecientes a cárceles, laboratorios de capacitación Dibam y bibliotecas con acceso wifi incoporadas durante el año 2015. Todos estos servicios dan acceso a internet y se consideran para el conteo de las metas institucionales del año 2015.</t>
    </r>
  </si>
  <si>
    <t>TABLA 15.25: NÚMERO DE EJEMPLARES INGRESADOS EN BIBLIOTECAS PÚBLICAS DE LA DIRECCIÓN DE BIBLIOTECAS, ARCHIVOS Y MUSEOS (DIBAM), SEGÚN TIPO DE COLECCIÓN. 2011-2015</t>
  </si>
  <si>
    <r>
      <t>TIPO DE COLECCIÓN</t>
    </r>
    <r>
      <rPr>
        <b/>
        <vertAlign val="superscript"/>
        <sz val="8"/>
        <rFont val="Verdana"/>
        <family val="2"/>
      </rPr>
      <t>/1</t>
    </r>
  </si>
  <si>
    <r>
      <t>Ejemplares</t>
    </r>
    <r>
      <rPr>
        <b/>
        <vertAlign val="superscript"/>
        <sz val="8"/>
        <rFont val="Verdana"/>
        <family val="2"/>
      </rPr>
      <t>/2</t>
    </r>
  </si>
  <si>
    <r>
      <t>2012</t>
    </r>
    <r>
      <rPr>
        <b/>
        <vertAlign val="superscript"/>
        <sz val="8"/>
        <rFont val="Verdana"/>
        <family val="2"/>
      </rPr>
      <t>/3</t>
    </r>
  </si>
  <si>
    <r>
      <t>2014</t>
    </r>
    <r>
      <rPr>
        <b/>
        <vertAlign val="superscript"/>
        <sz val="8"/>
        <rFont val="Verdana"/>
        <family val="2"/>
      </rPr>
      <t>/3</t>
    </r>
  </si>
  <si>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</si>
  <si>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</si>
  <si>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</si>
  <si>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</si>
  <si>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</si>
  <si>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</si>
  <si>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</si>
  <si>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</si>
  <si>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</si>
  <si>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</si>
  <si>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r>
      <rPr>
        <b/>
        <sz val="8"/>
        <rFont val="Verdana"/>
        <family val="2"/>
      </rPr>
      <t xml:space="preserve">1 </t>
    </r>
    <r>
      <rPr>
        <sz val="8"/>
        <rFont val="Verdana"/>
        <family val="2"/>
      </rPr>
      <t>Colecciones itemizadas por las bibliotecas públicas automatizadas.</t>
    </r>
  </si>
  <si>
    <r>
      <rPr>
        <b/>
        <sz val="8"/>
        <rFont val="Verdana"/>
        <family val="2"/>
      </rPr>
      <t>2</t>
    </r>
    <r>
      <rPr>
        <sz val="8"/>
        <rFont val="Verdana"/>
        <family val="2"/>
      </rPr>
      <t xml:space="preserve"> Ejemplares: es la cantidad de volúmenes que se imprime, adquiere, distribuye  de un título u obra. </t>
    </r>
  </si>
  <si>
    <r>
      <rPr>
        <b/>
        <sz val="8"/>
        <rFont val="Verdana"/>
        <family val="2"/>
      </rPr>
      <t>3</t>
    </r>
    <r>
      <rPr>
        <sz val="8"/>
        <rFont val="Verdana"/>
        <family val="2"/>
      </rPr>
      <t xml:space="preserve"> Cifras de la serie rectificadas por el informante.</t>
    </r>
  </si>
  <si>
    <t>TABLA 15.26: NÚMERO DE EJEMPLARES EN BIBLIOTECAS PÚBLICAS DE LA DIRECCIÓN DE BIBLIOTECAS, ARCHIVOS Y MUSEOS (DIBAM), SEGÚN MATERIA. 2011-2015</t>
  </si>
  <si>
    <r>
      <t>Ejemplares</t>
    </r>
    <r>
      <rPr>
        <b/>
        <vertAlign val="superscript"/>
        <sz val="8"/>
        <rFont val="Verdana"/>
        <family val="2"/>
      </rPr>
      <t>/1</t>
    </r>
  </si>
  <si>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</si>
  <si>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</si>
  <si>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</si>
  <si>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</si>
  <si>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</si>
  <si>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</si>
  <si>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</si>
  <si>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</si>
  <si>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</si>
  <si>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</si>
  <si>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r>
      <rPr>
        <b/>
        <sz val="8"/>
        <rFont val="Verdana"/>
        <family val="2"/>
      </rPr>
      <t>1</t>
    </r>
    <r>
      <rPr>
        <sz val="8"/>
        <rFont val="Verdana"/>
        <family val="2"/>
      </rPr>
      <t xml:space="preserve"> Ejemplares ingresados al sistema Aleph de las bibliotecas públicas que se encuentran circulando automatizadas por materia al 2015.</t>
    </r>
  </si>
  <si>
    <t>TABLA 15.27: NÚMERO DE EJEMPLARES EN BIBLIOTECAS PÚBLICAS DE LA DIRECCIÓN DE BIBLIOTECAS, ARCHIVOS Y MUSEOS (DIBAM), SEGÚN COLECCIÓN. 2011-2015</t>
  </si>
  <si>
    <r>
      <t>2013</t>
    </r>
    <r>
      <rPr>
        <b/>
        <vertAlign val="superscript"/>
        <sz val="8"/>
        <rFont val="Verdana"/>
        <family val="2"/>
      </rPr>
      <t>/2</t>
    </r>
  </si>
  <si>
    <r>
      <t>2015</t>
    </r>
    <r>
      <rPr>
        <b/>
        <vertAlign val="superscript"/>
        <sz val="8"/>
        <rFont val="Verdana"/>
        <family val="2"/>
      </rPr>
      <t>/2</t>
    </r>
  </si>
  <si>
    <t>Tipo 9: Casero del libro/bibliobuses y otros</t>
  </si>
  <si>
    <r>
      <rPr>
        <b/>
        <sz val="8"/>
        <rFont val="Verdana"/>
        <family val="2"/>
      </rPr>
      <t>1</t>
    </r>
    <r>
      <rPr>
        <sz val="8"/>
        <rFont val="Verdana"/>
        <family val="2"/>
      </rPr>
      <t xml:space="preserve"> Ejemplares ingresados al sistema Aleph de las bibliotecas públicas que se encuentran circulando automatizadas por colección.</t>
    </r>
  </si>
  <si>
    <r>
      <rPr>
        <b/>
        <sz val="8"/>
        <rFont val="Verdana"/>
        <family val="2"/>
      </rPr>
      <t>2</t>
    </r>
    <r>
      <rPr>
        <sz val="8"/>
        <rFont val="Verdana"/>
        <family val="2"/>
      </rPr>
      <t xml:space="preserve"> Cifras de la serie rectificadas por el informante.</t>
    </r>
  </si>
  <si>
    <r>
      <t>TABLA 15.28: NÚMERO D</t>
    </r>
    <r>
      <rPr>
        <b/>
        <sz val="8"/>
        <color theme="1"/>
        <rFont val="Verdana"/>
        <family val="2"/>
      </rPr>
      <t>E OBJETOS</t>
    </r>
    <r>
      <rPr>
        <b/>
        <sz val="8"/>
        <color rgb="FF0000FF"/>
        <rFont val="Verdana"/>
        <family val="2"/>
      </rPr>
      <t xml:space="preserve"> </t>
    </r>
    <r>
      <rPr>
        <b/>
        <sz val="8"/>
        <rFont val="Verdana"/>
        <family val="2"/>
      </rPr>
      <t>DIGITALES EN PLATAFORMA DESCUBRE. 2015</t>
    </r>
    <r>
      <rPr>
        <b/>
        <vertAlign val="superscript"/>
        <sz val="8"/>
        <rFont val="Verdana"/>
        <family val="2"/>
      </rPr>
      <t>/1</t>
    </r>
  </si>
  <si>
    <t>NÚMERO DE OBJETOS DIGITALES EN PLATAFORMA DESCUBRE</t>
  </si>
  <si>
    <t xml:space="preserve">Objetos Digitales disponibles en Plataforma Descubre </t>
  </si>
  <si>
    <r>
      <rPr>
        <b/>
        <sz val="8"/>
        <rFont val="Verdana"/>
        <family val="2"/>
      </rPr>
      <t>1</t>
    </r>
    <r>
      <rPr>
        <sz val="8"/>
        <rFont val="Verdana"/>
        <family val="2"/>
      </rPr>
      <t xml:space="preserve"> Desde 2014 los registros digitales se consultan a través de la Plataforma Decubre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</si>
  <si>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t xml:space="preserve"> - Información no disponible</t>
  </si>
  <si>
    <t>TABLA 15.29: NÚMERO DE USUARIOS REGISTRADOS EN BIBLIOTECAS PÚBLICAS Y BIBLIOREDES. 2011-2015</t>
  </si>
  <si>
    <t>USUARIOS REGISTRADOS</t>
  </si>
  <si>
    <r>
      <t>Número de usuarios nuevos registrados en bibliotecas públicas</t>
    </r>
    <r>
      <rPr>
        <vertAlign val="superscript"/>
        <sz val="8"/>
        <rFont val="Verdana"/>
        <family val="2"/>
      </rPr>
      <t>/2</t>
    </r>
  </si>
  <si>
    <r>
      <t>Número de usuarios registrados en bibliotecas públicas (total acumulado)</t>
    </r>
    <r>
      <rPr>
        <vertAlign val="superscript"/>
        <sz val="8"/>
        <rFont val="Verdana"/>
        <family val="2"/>
      </rPr>
      <t>/3</t>
    </r>
  </si>
  <si>
    <r>
      <t>Número de usuarios nuevos registrados en Programa BiblioRedes</t>
    </r>
    <r>
      <rPr>
        <vertAlign val="superscript"/>
        <sz val="8"/>
        <rFont val="Verdana"/>
        <family val="2"/>
      </rPr>
      <t>/4</t>
    </r>
  </si>
  <si>
    <r>
      <t>Número de usuarios registrados en biblioredes (total acumulado)</t>
    </r>
    <r>
      <rPr>
        <vertAlign val="superscript"/>
        <sz val="8"/>
        <rFont val="Verdana"/>
        <family val="2"/>
      </rPr>
      <t>/3</t>
    </r>
  </si>
  <si>
    <r>
      <rPr>
        <b/>
        <sz val="8"/>
        <rFont val="Verdana"/>
        <family val="2"/>
      </rPr>
      <t>1</t>
    </r>
    <r>
      <rPr>
        <sz val="8"/>
        <rFont val="Verdana"/>
        <family val="2"/>
      </rPr>
      <t xml:space="preserve"> Cifras de la serie rectificadas por el informante.</t>
    </r>
  </si>
  <si>
    <r>
      <rPr>
        <b/>
        <sz val="8"/>
        <rFont val="Verdana"/>
        <family val="2"/>
      </rPr>
      <t>2</t>
    </r>
    <r>
      <rPr>
        <sz val="8"/>
        <rFont val="Verdana"/>
        <family val="2"/>
      </rPr>
      <t xml:space="preserve"> Corresponde a registrados por año en la red de bibliotecas públicas el 2015.</t>
    </r>
  </si>
  <si>
    <r>
      <rPr>
        <b/>
        <sz val="8"/>
        <rFont val="Verdana"/>
        <family val="2"/>
      </rPr>
      <t>3</t>
    </r>
    <r>
      <rPr>
        <sz val="8"/>
        <rFont val="Verdana"/>
        <family val="2"/>
      </rPr>
      <t xml:space="preserve"> Total de registrados; Acumulados por año.</t>
    </r>
  </si>
  <si>
    <r>
      <rPr>
        <b/>
        <sz val="8"/>
        <rFont val="Verdana"/>
        <family val="2"/>
      </rPr>
      <t>4</t>
    </r>
    <r>
      <rPr>
        <sz val="8"/>
        <rFont val="Verdana"/>
        <family val="2"/>
      </rPr>
      <t xml:space="preserve"> Corresponde a Registrados por año en Programa biblioredes.</t>
    </r>
  </si>
  <si>
    <r>
      <t>TABLA 15.30: NÚMERO DE SESIONES DE ACCESO GRATUITO A INTERNET EN LAS BIBLIOTECAS PÚBLICAS DE LA DIRECCIÓN DE BIBLIOTECAS, ARCHIVOS Y MUSEOS (DIBAM). 2011-2015</t>
    </r>
    <r>
      <rPr>
        <b/>
        <vertAlign val="superscript"/>
        <sz val="8"/>
        <rFont val="Verdana"/>
        <family val="2"/>
      </rPr>
      <t>/1 /2</t>
    </r>
  </si>
  <si>
    <t>SESIONES DE ACCESO GRATUITO A INTERNET</t>
  </si>
  <si>
    <r>
      <rPr>
        <b/>
        <sz val="8"/>
        <rFont val="Verdana"/>
        <family val="2"/>
      </rPr>
      <t>1</t>
    </r>
    <r>
      <rPr>
        <sz val="8"/>
        <rFont val="Verdana"/>
        <family val="2"/>
      </rPr>
      <t xml:space="preserve"> Corresponde a las sesiones de internet realizadas durante el año, por los usuarios del programa biblioredes en las bibliotecas públicas en convenio con la Dibam.</t>
    </r>
  </si>
  <si>
    <r>
      <rPr>
        <b/>
        <sz val="8"/>
        <rFont val="Verdana"/>
        <family val="2"/>
      </rPr>
      <t>2</t>
    </r>
    <r>
      <rPr>
        <sz val="8"/>
        <rFont val="Verdana"/>
        <family val="2"/>
      </rPr>
      <t xml:space="preserve"> Corresponde a sesiones presenciales y wifi en bibliotecas de todo Chile</t>
    </r>
  </si>
  <si>
    <r>
      <t>TABLA 15.31: NÚMERO DE VISITAS A PORTALES DE BIBLIOREDES. 2011-2015</t>
    </r>
    <r>
      <rPr>
        <b/>
        <vertAlign val="superscript"/>
        <sz val="8"/>
        <rFont val="Verdana"/>
        <family val="2"/>
      </rPr>
      <t>/1</t>
    </r>
  </si>
  <si>
    <t>VISITAS A PORTALES DE BIBLIOREDES</t>
  </si>
  <si>
    <r>
      <rPr>
        <b/>
        <sz val="8"/>
        <rFont val="Verdana"/>
        <family val="2"/>
      </rPr>
      <t xml:space="preserve">1 </t>
    </r>
    <r>
      <rPr>
        <sz val="8"/>
        <rFont val="Verdana"/>
        <family val="2"/>
      </rPr>
      <t>Corresponde a las sesiones de internet presenciales y wifi, realizadas durante el año, por los usuarios del programa biblioredes en las bibliotecas públicas en convenio con la Dibam.</t>
    </r>
  </si>
  <si>
    <r>
      <t>TABLA 15.32: NÚMERO DE CONSULTAS POR INTERNET A SITIOS WEB DE LA DIRECCIÓN DE BIBLIOTECAS, ARCHIVOS Y MUSEOS (DIBAM). 2011-2015</t>
    </r>
    <r>
      <rPr>
        <b/>
        <vertAlign val="superscript"/>
        <sz val="8"/>
        <rFont val="Verdana"/>
        <family val="2"/>
      </rPr>
      <t>/1</t>
    </r>
  </si>
  <si>
    <t>SITIO WEB</t>
  </si>
  <si>
    <t>Consultas</t>
  </si>
  <si>
    <r>
      <t>Número de consultas remotas Plataforma Descubre</t>
    </r>
    <r>
      <rPr>
        <vertAlign val="superscript"/>
        <sz val="8"/>
        <color rgb="FF000000"/>
        <rFont val="Verdana"/>
        <family val="2"/>
      </rPr>
      <t>/3</t>
    </r>
  </si>
  <si>
    <r>
      <t>Número de consultas remotas al Catálogo Bibliográfico DIBAM</t>
    </r>
    <r>
      <rPr>
        <vertAlign val="superscript"/>
        <sz val="8"/>
        <color rgb="FF000000"/>
        <rFont val="Verdana"/>
        <family val="2"/>
      </rPr>
      <t>/4</t>
    </r>
  </si>
  <si>
    <r>
      <t>Memorias del Siglo XX</t>
    </r>
    <r>
      <rPr>
        <vertAlign val="superscript"/>
        <sz val="8"/>
        <color rgb="FF000000"/>
        <rFont val="Verdana"/>
        <family val="2"/>
      </rPr>
      <t>/5</t>
    </r>
  </si>
  <si>
    <r>
      <t>Memorias del Siglo XX</t>
    </r>
    <r>
      <rPr>
        <vertAlign val="superscript"/>
        <sz val="8"/>
        <color rgb="FF000000"/>
        <rFont val="Verdana"/>
        <family val="2"/>
      </rPr>
      <t>/6</t>
    </r>
  </si>
  <si>
    <r>
      <t>Portal Dibam</t>
    </r>
    <r>
      <rPr>
        <vertAlign val="superscript"/>
        <sz val="8"/>
        <color rgb="FF000000"/>
        <rFont val="Verdana"/>
        <family val="2"/>
      </rPr>
      <t>/5</t>
    </r>
  </si>
  <si>
    <r>
      <t>Portal Dibam</t>
    </r>
    <r>
      <rPr>
        <vertAlign val="superscript"/>
        <sz val="8"/>
        <color rgb="FF000000"/>
        <rFont val="Verdana"/>
        <family val="2"/>
      </rPr>
      <t>/6</t>
    </r>
  </si>
  <si>
    <r>
      <t xml:space="preserve">1 </t>
    </r>
    <r>
      <rPr>
        <sz val="8"/>
        <rFont val="Verdana"/>
        <family val="2"/>
      </rPr>
      <t>La estructura de la tabla cambia a la presentada el 2013, de acuerdo a lo sugerido por el informante.</t>
    </r>
  </si>
  <si>
    <r>
      <t xml:space="preserve">2 </t>
    </r>
    <r>
      <rPr>
        <sz val="8"/>
        <rFont val="Verdana"/>
        <family val="2"/>
      </rPr>
      <t>Cifras de la serie rectificadas por el informante.</t>
    </r>
  </si>
  <si>
    <r>
      <rPr>
        <b/>
        <sz val="8"/>
        <rFont val="Verdana"/>
        <family val="2"/>
      </rPr>
      <t>3</t>
    </r>
    <r>
      <rPr>
        <sz val="8"/>
        <rFont val="Verdana"/>
        <family val="2"/>
      </rPr>
      <t xml:space="preserve"> Agrupa las consultas a los catálogos: Bibliográfico BN, Digital BN y Mini Sitios de Memoria Chilena</t>
    </r>
  </si>
  <si>
    <r>
      <rPr>
        <b/>
        <sz val="8"/>
        <rFont val="Verdana"/>
        <family val="2"/>
      </rPr>
      <t>4</t>
    </r>
    <r>
      <rPr>
        <sz val="8"/>
        <rFont val="Verdana"/>
        <family val="2"/>
      </rPr>
      <t xml:space="preserve"> Consultas remotas al sitio www.bncatalogo.cl que agrupa todos los catálogos bibliográficos de DIBAM</t>
    </r>
  </si>
  <si>
    <r>
      <rPr>
        <b/>
        <sz val="8"/>
        <rFont val="Verdana"/>
        <family val="2"/>
      </rPr>
      <t>5</t>
    </r>
    <r>
      <rPr>
        <sz val="8"/>
        <rFont val="Verdana"/>
        <family val="2"/>
      </rPr>
      <t xml:space="preserve"> Páginas visitadas.</t>
    </r>
  </si>
  <si>
    <r>
      <rPr>
        <b/>
        <sz val="8"/>
        <rFont val="Verdana"/>
        <family val="2"/>
      </rPr>
      <t>6</t>
    </r>
    <r>
      <rPr>
        <sz val="8"/>
        <rFont val="Verdana"/>
        <family val="2"/>
      </rPr>
      <t xml:space="preserve"> IP o usuarios únicos.</t>
    </r>
  </si>
  <si>
    <t>TABLA 15.33: NÚMERO DE VISITANTES ESTIMADOS Y ARCHIVOS DESCARGADOS DESDE SITIOS WEB DE LA DIRECCIÓN DE BIBLIOTECAS, ARCHIVOS Y MUSEOS (DIBAM), SEGÚN SITIO WEB. 2011-2015</t>
  </si>
  <si>
    <t>Visitantes estimados</t>
  </si>
  <si>
    <t>Archivos descargados</t>
  </si>
  <si>
    <r>
      <t>Memoria Chilena</t>
    </r>
    <r>
      <rPr>
        <vertAlign val="superscript"/>
        <sz val="8"/>
        <rFont val="Verdana"/>
        <family val="2"/>
      </rPr>
      <t>/2</t>
    </r>
  </si>
  <si>
    <r>
      <t>Chile para Niños</t>
    </r>
    <r>
      <rPr>
        <vertAlign val="superscript"/>
        <sz val="8"/>
        <rFont val="Verdana"/>
        <family val="2"/>
      </rPr>
      <t>/3</t>
    </r>
  </si>
  <si>
    <r>
      <t>Museo Nacional de Bellas Artes</t>
    </r>
    <r>
      <rPr>
        <vertAlign val="superscript"/>
        <sz val="8"/>
        <rFont val="Verdana"/>
        <family val="2"/>
      </rPr>
      <t>/4</t>
    </r>
  </si>
  <si>
    <t xml:space="preserve"> …  </t>
  </si>
  <si>
    <r>
      <t>Artistas Plásticos Chilenos</t>
    </r>
    <r>
      <rPr>
        <vertAlign val="superscript"/>
        <sz val="8"/>
        <rFont val="Verdana"/>
        <family val="2"/>
      </rPr>
      <t>/5</t>
    </r>
  </si>
  <si>
    <r>
      <t>Fotografía Patrimonial</t>
    </r>
    <r>
      <rPr>
        <vertAlign val="superscript"/>
        <sz val="8"/>
        <rFont val="Verdana"/>
        <family val="2"/>
      </rPr>
      <t>/6</t>
    </r>
  </si>
  <si>
    <r>
      <t>Zona Didáctica Museos</t>
    </r>
    <r>
      <rPr>
        <vertAlign val="superscript"/>
        <sz val="8"/>
        <rFont val="Verdana"/>
        <family val="2"/>
      </rPr>
      <t>/7</t>
    </r>
  </si>
  <si>
    <r>
      <rPr>
        <b/>
        <sz val="8"/>
        <rFont val="Verdana"/>
        <family val="2"/>
      </rPr>
      <t xml:space="preserve">2 </t>
    </r>
    <r>
      <rPr>
        <sz val="8"/>
        <rFont val="Verdana"/>
        <family val="2"/>
      </rPr>
      <t>Sitio web: www.memoriachilena.cl</t>
    </r>
  </si>
  <si>
    <r>
      <rPr>
        <b/>
        <sz val="8"/>
        <rFont val="Verdana"/>
        <family val="2"/>
      </rPr>
      <t xml:space="preserve">3 </t>
    </r>
    <r>
      <rPr>
        <sz val="8"/>
        <rFont val="Verdana"/>
        <family val="2"/>
      </rPr>
      <t>Sitio web: www.chileparaninos.cl</t>
    </r>
  </si>
  <si>
    <r>
      <rPr>
        <b/>
        <sz val="8"/>
        <rFont val="Verdana"/>
        <family val="2"/>
      </rPr>
      <t xml:space="preserve">4 </t>
    </r>
    <r>
      <rPr>
        <sz val="8"/>
        <rFont val="Verdana"/>
        <family val="2"/>
      </rPr>
      <t>Sitio web: www.mnba.cl</t>
    </r>
  </si>
  <si>
    <r>
      <rPr>
        <b/>
        <sz val="8"/>
        <rFont val="Verdana"/>
        <family val="2"/>
      </rPr>
      <t xml:space="preserve">5 </t>
    </r>
    <r>
      <rPr>
        <sz val="8"/>
        <rFont val="Verdana"/>
        <family val="2"/>
      </rPr>
      <t>Sitio web: www.artistasplasticoschilenos.cl</t>
    </r>
  </si>
  <si>
    <r>
      <rPr>
        <b/>
        <sz val="8"/>
        <rFont val="Verdana"/>
        <family val="2"/>
      </rPr>
      <t xml:space="preserve">6 </t>
    </r>
    <r>
      <rPr>
        <sz val="8"/>
        <rFont val="Verdana"/>
        <family val="2"/>
      </rPr>
      <t>Sitio web: www.fotografiapatrimonial.cl</t>
    </r>
  </si>
  <si>
    <r>
      <rPr>
        <b/>
        <sz val="8"/>
        <rFont val="Verdana"/>
        <family val="2"/>
      </rPr>
      <t xml:space="preserve">7 </t>
    </r>
    <r>
      <rPr>
        <sz val="8"/>
        <rFont val="Verdana"/>
        <family val="2"/>
      </rPr>
      <t>Sitio web: www.zonadidacticamuseos.cl</t>
    </r>
  </si>
  <si>
    <r>
      <t>TABLA 15.34: NÚMERO DE USUARIOS DE BIBLIOTECAS PÚBLICAS DE LA DIRECCIÓN DE BIBLIOTECAS, ARCHIVOS Y MUSEOS (DIBAM) QUE CIRCULAN AUTOMATIZADAS POR GRUPOS DE EDAD, SEGÚN REGIÓN. 2015</t>
    </r>
    <r>
      <rPr>
        <b/>
        <vertAlign val="superscript"/>
        <sz val="8"/>
        <rFont val="Verdana"/>
        <family val="2"/>
      </rPr>
      <t>/1</t>
    </r>
  </si>
  <si>
    <r>
      <t>Total</t>
    </r>
    <r>
      <rPr>
        <b/>
        <vertAlign val="superscript"/>
        <sz val="8"/>
        <rFont val="Verdana"/>
        <family val="2"/>
      </rPr>
      <t>/2/3</t>
    </r>
  </si>
  <si>
    <t xml:space="preserve"> 0-14 años</t>
  </si>
  <si>
    <t xml:space="preserve"> 15-29 años</t>
  </si>
  <si>
    <t xml:space="preserve"> 30-59 años</t>
  </si>
  <si>
    <t>Mayores de 60 años</t>
  </si>
  <si>
    <r>
      <t>Sin Información</t>
    </r>
    <r>
      <rPr>
        <b/>
        <vertAlign val="superscript"/>
        <sz val="8"/>
        <rFont val="Verdana"/>
        <family val="2"/>
      </rPr>
      <t>/4</t>
    </r>
  </si>
  <si>
    <r>
      <t>Sin Información</t>
    </r>
    <r>
      <rPr>
        <vertAlign val="superscript"/>
        <sz val="8"/>
        <rFont val="Verdana"/>
        <family val="2"/>
      </rPr>
      <t>/4</t>
    </r>
  </si>
  <si>
    <r>
      <rPr>
        <b/>
        <sz val="8"/>
        <rFont val="Verdana"/>
        <family val="2"/>
      </rPr>
      <t>1</t>
    </r>
    <r>
      <rPr>
        <sz val="8"/>
        <rFont val="Verdana"/>
        <family val="2"/>
      </rPr>
      <t xml:space="preserve"> Cifras no son comparables con las publicadas en años anteriores, debido a cambios en la metodología de captura de los datos.</t>
    </r>
  </si>
  <si>
    <r>
      <rPr>
        <b/>
        <sz val="8"/>
        <rFont val="Verdana"/>
        <family val="2"/>
      </rPr>
      <t>2</t>
    </r>
    <r>
      <rPr>
        <sz val="8"/>
        <rFont val="Verdana"/>
        <family val="2"/>
      </rPr>
      <t xml:space="preserve"> Se informan usuarios activos, los que corresponden a los usuarios registrados que han solicitado un préstamo durante el año 2015.</t>
    </r>
  </si>
  <si>
    <r>
      <rPr>
        <b/>
        <sz val="8"/>
        <rFont val="Verdana"/>
        <family val="2"/>
      </rPr>
      <t xml:space="preserve">3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</si>
  <si>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4</t>
    </r>
    <r>
      <rPr>
        <sz val="8"/>
        <rFont val="Verdana"/>
        <family val="2"/>
      </rPr>
      <t xml:space="preserve"> La categoría "Sin Información" significa que no se ha podido asociar el préstamos territorialmente y porque no se cuenta con la información de edad del usuario.</t>
    </r>
  </si>
  <si>
    <r>
      <t>TABLA 15.34(R): NÚMERO DE USUARIOS DE BIBLIOTECAS PÚBLICAS DE LA DIRECCIÓN DE BIBLIOTECAS, ARCHIVOS Y MUSEOS (DIBAM) QUE CIRCULAN AUTOMATIZADAS POR GRUPOS DE EDAD, SEGÚN REGIÓN. 2014</t>
    </r>
    <r>
      <rPr>
        <b/>
        <vertAlign val="superscript"/>
        <sz val="8"/>
        <color theme="1"/>
        <rFont val="Verdana"/>
        <family val="2"/>
      </rPr>
      <t>/1</t>
    </r>
  </si>
  <si>
    <r>
      <rPr>
        <b/>
        <sz val="8"/>
        <rFont val="Verdana"/>
        <family val="2"/>
      </rPr>
      <t>1</t>
    </r>
    <r>
      <rPr>
        <sz val="8"/>
        <rFont val="Verdana"/>
        <family val="2"/>
      </rPr>
      <t xml:space="preserve"> Cifras para el año 2014 rectificadas por el informante.</t>
    </r>
  </si>
  <si>
    <r>
      <rPr>
        <b/>
        <sz val="8"/>
        <rFont val="Verdana"/>
        <family val="2"/>
      </rPr>
      <t>2</t>
    </r>
    <r>
      <rPr>
        <sz val="8"/>
        <rFont val="Verdana"/>
        <family val="2"/>
      </rPr>
      <t xml:space="preserve"> Se informan usuarios activos, los que corresponden a los usuarios registrados que han solicitado un préstamo durante el año 2014.</t>
    </r>
  </si>
  <si>
    <t>TABLA 15.35: NÚMERO DE USUARIOS DE BIBLIOTECA NACIONAL, BIBLIOTECA DE SANTIAGO, BIBLIOMETRO. 2011-2015</t>
  </si>
  <si>
    <t>Años</t>
  </si>
  <si>
    <r>
      <t>Número de visitas presenciales Biblioteca Nacional</t>
    </r>
    <r>
      <rPr>
        <vertAlign val="superscript"/>
        <sz val="8"/>
        <color theme="1"/>
        <rFont val="Verdana"/>
        <family val="2"/>
      </rPr>
      <t>/1</t>
    </r>
  </si>
  <si>
    <r>
      <t>Número de usuarios que asiste a actividades culturales en la Biblioteca Nacional</t>
    </r>
    <r>
      <rPr>
        <vertAlign val="superscript"/>
        <sz val="8"/>
        <rFont val="Verdana"/>
        <family val="2"/>
      </rPr>
      <t>/2</t>
    </r>
  </si>
  <si>
    <t xml:space="preserve">Número de usuarios presenciales de la Biblioteca de Santiago </t>
  </si>
  <si>
    <t>Número de socios del Programa Bibliometro</t>
  </si>
  <si>
    <r>
      <rPr>
        <b/>
        <sz val="8"/>
        <rFont val="Verdana"/>
        <family val="2"/>
      </rPr>
      <t xml:space="preserve">1 </t>
    </r>
    <r>
      <rPr>
        <sz val="8"/>
        <rFont val="Verdana"/>
        <family val="2"/>
      </rPr>
      <t xml:space="preserve">Desde 2014 se implementaron contadores de tránsito en los ingresos del edificio, que cuentan </t>
    </r>
    <r>
      <rPr>
        <sz val="8"/>
        <color rgb="FF0000FF"/>
        <rFont val="Verdana"/>
        <family val="2"/>
      </rPr>
      <t>"</t>
    </r>
    <r>
      <rPr>
        <sz val="8"/>
        <rFont val="Verdana"/>
        <family val="2"/>
      </rPr>
      <t>cantidad de visitas". Este dato incluye los asistentes a actividades de Extensión Cultural y descuenta un promedio de tres ingresos diarios para el personal que trabaja en el edificio. Esta cifra NO es comparable con el año anterior, porque en años anteriores se ha contabilizado la cantidad de usuarios/as que consultaron material bibliográfico en los salones de la BN.</t>
    </r>
  </si>
  <si>
    <r>
      <rPr>
        <b/>
        <sz val="8"/>
        <rFont val="Verdana"/>
        <family val="2"/>
      </rPr>
      <t xml:space="preserve">2 </t>
    </r>
    <r>
      <rPr>
        <sz val="8"/>
        <rFont val="Verdana"/>
        <family val="2"/>
      </rPr>
      <t>Para el año 2013, sólo fueron considerados los asistentes a las actividades realizadas en la Sala América, Sala  Ercilla y visitas guiadas de la Biblioteca Nacional. No se incluye los asistentes a las exposiciones o visitantes del edificio, debido a que no se cuenta con cifras exactas.</t>
    </r>
  </si>
  <si>
    <r>
      <t>TABLA 15.36: PRÉSTAMOS DE MATERIAL BIBLIOGRÁFICO DE BIBLIOTECAS PÚBLICAS Y PUNTOS DE PRÉSTAMOS ASOCIADOS DEL SISTEMA NACIONAL DE BIBLIOTECAS PÚBLICAS (SNBP) DEPENDIENTES DE LA DIRECCIÓN DE BIBLIOTECAS, ARCHIVOS Y MUSEOS (DIBAM) A DOMICILIO, SEGÚN REGIÓN. 2011-2015</t>
    </r>
    <r>
      <rPr>
        <b/>
        <vertAlign val="superscript"/>
        <sz val="8"/>
        <rFont val="Verdana"/>
        <family val="2"/>
      </rPr>
      <t>/1</t>
    </r>
  </si>
  <si>
    <r>
      <t>2011</t>
    </r>
    <r>
      <rPr>
        <b/>
        <vertAlign val="superscript"/>
        <sz val="8"/>
        <rFont val="Verdana"/>
        <family val="2"/>
      </rPr>
      <t>/2</t>
    </r>
  </si>
  <si>
    <r>
      <t>Sin información</t>
    </r>
    <r>
      <rPr>
        <vertAlign val="superscript"/>
        <sz val="8"/>
        <rFont val="Verdana"/>
        <family val="2"/>
      </rPr>
      <t>/3</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</si>
  <si>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</si>
  <si>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3</t>
    </r>
    <r>
      <rPr>
        <sz val="8"/>
        <rFont val="Verdana"/>
        <family val="2"/>
      </rPr>
      <t xml:space="preserve"> La categoría "Sin Información" significa que no ha sido posible vincular el préstamo con la Biblioteca. </t>
    </r>
  </si>
  <si>
    <r>
      <t>TABLA 15.37: PRÉSTAMOS DE MATERIAL BIBLIOGRÁFICO DE BIBLIOTECAS PÚBLICAS Y PUNTOS DE PRÉSTAMOS ASOCIADOS DEL SISTEMA NACIONAL DE BIBLIOTECAS PÚBLICAS (SNBP) DEPENDIENTES DE LA DIRECCIÓN DE BIBLIOTECAS, ARCHIVOS Y MUSEOS (DIBAM) A DOMICILIO, SEGÚN MES. 2011-2015</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</si>
  <si>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Conveniadas, Bibliotecas Regionales, Biblioteca de Santiago, Programa Bibliometro y Puntos de Préstamos asociados.</t>
    </r>
  </si>
  <si>
    <r>
      <t>TABLA 15.38: PRÉSTAMOS DE MATERIAL BIBLIOGRÁFICO EN FORMATO DIGITAL. 2015</t>
    </r>
    <r>
      <rPr>
        <b/>
        <vertAlign val="superscript"/>
        <sz val="8"/>
        <rFont val="Verdana"/>
        <family val="2"/>
      </rPr>
      <t>/1/2</t>
    </r>
  </si>
  <si>
    <t>N° DE PRÉSTAMOS EN FORMATO DIGITAL</t>
  </si>
  <si>
    <r>
      <rPr>
        <b/>
        <sz val="8"/>
        <rFont val="Verdana"/>
        <family val="2"/>
      </rPr>
      <t>1</t>
    </r>
    <r>
      <rPr>
        <sz val="8"/>
        <rFont val="Verdana"/>
        <family val="2"/>
      </rPr>
      <t xml:space="preserve"> La BP Digital es un servicio distinto al entregado en las bibliotecas públicas de regiones, que no considera una distribución regional.</t>
    </r>
  </si>
  <si>
    <r>
      <rPr>
        <b/>
        <sz val="8"/>
        <rFont val="Verdana"/>
        <family val="2"/>
      </rPr>
      <t>2</t>
    </r>
    <r>
      <rPr>
        <sz val="8"/>
        <rFont val="Verdana"/>
        <family val="2"/>
      </rPr>
      <t xml:space="preserve"> Corresponde al N° de préstamos en formato digital (EPUB, PDF o MOBI con o sin DMR), realizados por la Biblioteca Pública Digital de la DIBAM (http://www.bpdigital.cl )</t>
    </r>
  </si>
  <si>
    <r>
      <t>TABLA 15.39: NÚMERO DE FUNCIONES Y ASISTENTES A RECITALES DE POESÍA. 2011-2015</t>
    </r>
    <r>
      <rPr>
        <b/>
        <vertAlign val="superscript"/>
        <sz val="8"/>
        <color indexed="8"/>
        <rFont val="Verdana"/>
        <family val="2"/>
      </rPr>
      <t>/1</t>
    </r>
  </si>
  <si>
    <t>Recitales de poesía</t>
  </si>
  <si>
    <t>Total asistencia</t>
  </si>
  <si>
    <t>Asistencia</t>
  </si>
  <si>
    <t xml:space="preserve">
Entradas pagadas</t>
  </si>
  <si>
    <t xml:space="preserve">
Entradas gratuitas</t>
  </si>
  <si>
    <r>
      <t>TABLA 15.40: NÚMERO DE FUNCIONES Y ASISTENCIA A RECITALES DE POESÍA, SEGÚN REGIÓN. 2015</t>
    </r>
    <r>
      <rPr>
        <b/>
        <vertAlign val="superscript"/>
        <sz val="8"/>
        <color indexed="8"/>
        <rFont val="Verdana"/>
        <family val="2"/>
      </rPr>
      <t>/1</t>
    </r>
  </si>
  <si>
    <t>Tipo de entrada</t>
  </si>
  <si>
    <t>Entradas pagadas</t>
  </si>
  <si>
    <t>Entradas gratuitas</t>
  </si>
  <si>
    <r>
      <t>TABLA 15.41: NÚMERO DE ESPECTADORES A RECITALES DE POESÍA, CON ENTRADA GRATUITA Y PAGADA POR MES, SEGÚN REGIÓN. 2015</t>
    </r>
    <r>
      <rPr>
        <b/>
        <vertAlign val="superscript"/>
        <sz val="8"/>
        <color indexed="8"/>
        <rFont val="Verdana"/>
        <family val="2"/>
      </rPr>
      <t>/1</t>
    </r>
  </si>
  <si>
    <t>Entradas pagadas y gratuitas</t>
  </si>
  <si>
    <r>
      <t>TABLA 15.42: NÚMERO DE SOCIOS DE LA ASOCIACIÓN NACIONAL DE LA PRENSA (ANP), POR SOPORTE DE PUBLICACIÓN</t>
    </r>
    <r>
      <rPr>
        <b/>
        <sz val="8"/>
        <color indexed="8"/>
        <rFont val="Verdana"/>
        <family val="2"/>
      </rPr>
      <t>, SEGÚN REGIÓN DE CASA MATRIZ. 2015</t>
    </r>
  </si>
  <si>
    <t>REGIÓN DE CASA MATRIZ</t>
  </si>
  <si>
    <t>Diarios</t>
  </si>
  <si>
    <t xml:space="preserve">Revistas
</t>
  </si>
  <si>
    <t>FUENTE: Asociación Nacional de la Prensa (ANP).</t>
  </si>
  <si>
    <t>REGIÓN/SEXO/GRUPO DE EDAD</t>
  </si>
  <si>
    <t>Postulantes</t>
  </si>
  <si>
    <t>Ganadores</t>
  </si>
  <si>
    <t>Grupo de Edad</t>
  </si>
  <si>
    <t>Entre 6-10 años</t>
  </si>
  <si>
    <t>Entre 11-14 años</t>
  </si>
  <si>
    <t>TABLA 15.44: OLIMPIADAS DE ACTUALIDAD POR NÚMERO DE COLEGIOS Y DE REGIONES PARTICIPANTES. 2011-2015</t>
  </si>
  <si>
    <r>
      <t>Número de Colegios</t>
    </r>
    <r>
      <rPr>
        <b/>
        <vertAlign val="superscript"/>
        <sz val="8"/>
        <color indexed="8"/>
        <rFont val="Verdana"/>
        <family val="2"/>
      </rPr>
      <t>/1</t>
    </r>
  </si>
  <si>
    <t>Número de regiones participantes</t>
  </si>
  <si>
    <r>
      <rPr>
        <b/>
        <sz val="8"/>
        <rFont val="Verdana"/>
        <family val="2"/>
      </rPr>
      <t>1</t>
    </r>
    <r>
      <rPr>
        <sz val="8"/>
        <rFont val="Verdana"/>
        <family val="2"/>
      </rPr>
      <t xml:space="preserve"> No se dispone de desagregación por tipo de administración del establecimiento. A saber: municipal, subvencionado o privado.</t>
    </r>
  </si>
  <si>
    <t>BIBLIOTECA</t>
  </si>
  <si>
    <r>
      <t>Visitas</t>
    </r>
    <r>
      <rPr>
        <b/>
        <vertAlign val="superscript"/>
        <sz val="8"/>
        <color theme="1"/>
        <rFont val="Verdana"/>
        <family val="2"/>
      </rPr>
      <t>/1</t>
    </r>
  </si>
  <si>
    <r>
      <t>Socios</t>
    </r>
    <r>
      <rPr>
        <b/>
        <vertAlign val="superscript"/>
        <sz val="8"/>
        <color theme="1"/>
        <rFont val="Verdana"/>
        <family val="2"/>
      </rPr>
      <t>/2</t>
    </r>
  </si>
  <si>
    <t>Material bibliográfico disponible</t>
  </si>
  <si>
    <t>Préstamos</t>
  </si>
  <si>
    <r>
      <t>N° de asistentes a actividades de extensión</t>
    </r>
    <r>
      <rPr>
        <b/>
        <vertAlign val="superscript"/>
        <sz val="8"/>
        <color theme="1"/>
        <rFont val="Verdana"/>
        <family val="2"/>
      </rPr>
      <t xml:space="preserve">/3 </t>
    </r>
  </si>
  <si>
    <t>TOTAL ZONA NORTE</t>
  </si>
  <si>
    <t>BV Antofagasta</t>
  </si>
  <si>
    <r>
      <t>BV La Serena</t>
    </r>
    <r>
      <rPr>
        <vertAlign val="superscript"/>
        <sz val="8"/>
        <color theme="1"/>
        <rFont val="Verdana"/>
        <family val="2"/>
      </rPr>
      <t>/4</t>
    </r>
  </si>
  <si>
    <t>TOTAL ZONA METROPOLITANA</t>
  </si>
  <si>
    <t>BV Vespucio</t>
  </si>
  <si>
    <t>BV Sur</t>
  </si>
  <si>
    <t>BV Tobalaba</t>
  </si>
  <si>
    <r>
      <t>BV Oeste</t>
    </r>
    <r>
      <rPr>
        <vertAlign val="superscript"/>
        <sz val="8"/>
        <color theme="1"/>
        <rFont val="Verdana"/>
        <family val="2"/>
      </rPr>
      <t>/4</t>
    </r>
  </si>
  <si>
    <r>
      <t>BV Alameda</t>
    </r>
    <r>
      <rPr>
        <vertAlign val="superscript"/>
        <sz val="8"/>
        <color theme="1"/>
        <rFont val="Verdana"/>
        <family val="2"/>
      </rPr>
      <t>/5</t>
    </r>
  </si>
  <si>
    <t>BV Norte</t>
  </si>
  <si>
    <r>
      <t>BV Egaña</t>
    </r>
    <r>
      <rPr>
        <vertAlign val="superscript"/>
        <sz val="8"/>
        <color theme="1"/>
        <rFont val="Verdana"/>
        <family val="2"/>
      </rPr>
      <t>/6</t>
    </r>
  </si>
  <si>
    <t>TOTAL ZONA SUR</t>
  </si>
  <si>
    <t>BV Los Ángeles</t>
  </si>
  <si>
    <t>BV Biobío</t>
  </si>
  <si>
    <r>
      <t>BV Trébol</t>
    </r>
    <r>
      <rPr>
        <vertAlign val="superscript"/>
        <sz val="8"/>
        <color theme="1"/>
        <rFont val="Verdana"/>
        <family val="2"/>
      </rPr>
      <t>/7</t>
    </r>
  </si>
  <si>
    <r>
      <rPr>
        <b/>
        <sz val="8"/>
        <color theme="1"/>
        <rFont val="Verdana"/>
        <family val="2"/>
      </rPr>
      <t>1</t>
    </r>
    <r>
      <rPr>
        <sz val="8"/>
        <color theme="1"/>
        <rFont val="Verdana"/>
        <family val="2"/>
      </rPr>
      <t xml:space="preserve"> Cantidad de personas que entran a la biblioteca (medido con sensor).</t>
    </r>
  </si>
  <si>
    <r>
      <rPr>
        <b/>
        <sz val="8"/>
        <rFont val="Verdana"/>
        <family val="2"/>
      </rPr>
      <t>2</t>
    </r>
    <r>
      <rPr>
        <sz val="8"/>
        <rFont val="Verdana"/>
        <family val="2"/>
      </rPr>
      <t xml:space="preserve"> Personas inscritas por año (incluye nuevos inscritos y socios renovados).</t>
    </r>
  </si>
  <si>
    <r>
      <rPr>
        <b/>
        <sz val="8"/>
        <color theme="1"/>
        <rFont val="Verdana"/>
        <family val="2"/>
      </rPr>
      <t>3</t>
    </r>
    <r>
      <rPr>
        <sz val="8"/>
        <color theme="1"/>
        <rFont val="Verdana"/>
        <family val="2"/>
      </rPr>
      <t xml:space="preserve"> Esta categoría incluye animaciones lectoras, cuenta cuentos, talleres, exposiciones, ciclos de cine, visitas guiadas.</t>
    </r>
  </si>
  <si>
    <r>
      <rPr>
        <b/>
        <sz val="8"/>
        <color theme="1"/>
        <rFont val="Verdana"/>
        <family val="2"/>
      </rPr>
      <t>4</t>
    </r>
    <r>
      <rPr>
        <sz val="8"/>
        <color theme="1"/>
        <rFont val="Verdana"/>
        <family val="2"/>
      </rPr>
      <t xml:space="preserve"> Bibliotecas cerradas por remodelaciones, se volverá a abrir en fecha aún no determinada.</t>
    </r>
  </si>
  <si>
    <r>
      <rPr>
        <b/>
        <sz val="8"/>
        <color theme="1"/>
        <rFont val="Verdana"/>
        <family val="2"/>
      </rPr>
      <t>5</t>
    </r>
    <r>
      <rPr>
        <sz val="8"/>
        <color theme="1"/>
        <rFont val="Verdana"/>
        <family val="2"/>
      </rPr>
      <t xml:space="preserve"> Biblioteca Viva Alameda se cerró definitivamente.</t>
    </r>
  </si>
  <si>
    <r>
      <t xml:space="preserve">6 </t>
    </r>
    <r>
      <rPr>
        <sz val="8"/>
        <color theme="1"/>
        <rFont val="Verdana"/>
        <family val="2"/>
      </rPr>
      <t>Biblioteca Viva Plaza Egaña se inauguró el año 2015</t>
    </r>
  </si>
  <si>
    <r>
      <t>7</t>
    </r>
    <r>
      <rPr>
        <sz val="8"/>
        <color theme="1"/>
        <rFont val="Verdana"/>
        <family val="2"/>
      </rPr>
      <t xml:space="preserve"> Biblioteca Viva Trébol fue cerrada en el 2014 por remodelación y se reabrió el 2015.  </t>
    </r>
  </si>
  <si>
    <t>FUENTE: Fundación La Fuente</t>
  </si>
  <si>
    <r>
      <t>Material bibliográfico disponible</t>
    </r>
    <r>
      <rPr>
        <sz val="10"/>
        <rFont val="Arial"/>
        <family val="2"/>
      </rPr>
      <t/>
    </r>
  </si>
  <si>
    <r>
      <t>N° de asistentes a actividades de extensión</t>
    </r>
    <r>
      <rPr>
        <b/>
        <vertAlign val="superscript"/>
        <sz val="8"/>
        <color theme="1"/>
        <rFont val="Verdana"/>
        <family val="2"/>
      </rPr>
      <t>/3</t>
    </r>
    <r>
      <rPr>
        <b/>
        <sz val="8"/>
        <color theme="1"/>
        <rFont val="Verdana"/>
        <family val="2"/>
      </rPr>
      <t xml:space="preserve"> </t>
    </r>
  </si>
  <si>
    <t>TOTAL SEXO</t>
  </si>
  <si>
    <t>Sin información</t>
  </si>
  <si>
    <t>TOTAL GRUPO DE EDAD</t>
  </si>
  <si>
    <t>Niño</t>
  </si>
  <si>
    <t>Estudiante</t>
  </si>
  <si>
    <t>Adulto</t>
  </si>
  <si>
    <t>Adulto mayor</t>
  </si>
  <si>
    <t>Súper socio</t>
  </si>
  <si>
    <t>Socios convenio</t>
  </si>
  <si>
    <t>Funcionarios fundación</t>
  </si>
  <si>
    <t>Proyectos</t>
  </si>
  <si>
    <t>Total de bibliotecas creadas</t>
  </si>
  <si>
    <t>Total de libros donados</t>
  </si>
  <si>
    <r>
      <t>Proyecto Bibliotecas Escolares Viva Leer</t>
    </r>
    <r>
      <rPr>
        <b/>
        <vertAlign val="superscript"/>
        <sz val="8"/>
        <rFont val="Verdana"/>
        <family val="2"/>
      </rPr>
      <t>/1</t>
    </r>
  </si>
  <si>
    <t>Cantidad de bibliotecas creadas</t>
  </si>
  <si>
    <r>
      <t>Cantidad de libros donados</t>
    </r>
    <r>
      <rPr>
        <vertAlign val="superscript"/>
        <sz val="8"/>
        <rFont val="Verdana"/>
        <family val="2"/>
      </rPr>
      <t>/2</t>
    </r>
  </si>
  <si>
    <t>Préstamos anuales</t>
  </si>
  <si>
    <t>Estudiantes beneficiados</t>
  </si>
  <si>
    <r>
      <t>Proyecto Biblioteca Pública de Constitución</t>
    </r>
    <r>
      <rPr>
        <b/>
        <vertAlign val="superscript"/>
        <sz val="8"/>
        <rFont val="Verdana"/>
        <family val="2"/>
      </rPr>
      <t>/3</t>
    </r>
  </si>
  <si>
    <t>Cantidad de libros donados</t>
  </si>
  <si>
    <r>
      <t>Proyecto Bibliomóvil de Teno</t>
    </r>
    <r>
      <rPr>
        <b/>
        <vertAlign val="superscript"/>
        <sz val="8"/>
        <rFont val="Verdana"/>
        <family val="2"/>
      </rPr>
      <t>/4</t>
    </r>
  </si>
  <si>
    <r>
      <rPr>
        <b/>
        <sz val="8"/>
        <rFont val="Verdana"/>
        <family val="2"/>
      </rPr>
      <t>1</t>
    </r>
    <r>
      <rPr>
        <sz val="8"/>
        <rFont val="Verdana"/>
        <family val="2"/>
      </rPr>
      <t xml:space="preserve"> El proyecto consiste en la donación anual de una biblioteca a una escuela de cada región entre el 2011 y el 2015.</t>
    </r>
  </si>
  <si>
    <r>
      <rPr>
        <b/>
        <sz val="8"/>
        <rFont val="Verdana"/>
        <family val="2"/>
      </rPr>
      <t>2</t>
    </r>
    <r>
      <rPr>
        <sz val="8"/>
        <rFont val="Verdana"/>
        <family val="2"/>
      </rPr>
      <t xml:space="preserve"> La cantidad de libros donados no se corresponde con el total de libros de la biblioteca debido a que las donaciones se complementa con el material bibliográfico entregado por MINEDUC a las bibliotecas CRA.</t>
    </r>
  </si>
  <si>
    <r>
      <rPr>
        <b/>
        <sz val="8"/>
        <rFont val="Verdana"/>
        <family val="2"/>
      </rPr>
      <t>3</t>
    </r>
    <r>
      <rPr>
        <sz val="8"/>
        <rFont val="Verdana"/>
        <family val="2"/>
      </rPr>
      <t xml:space="preserve"> El proyecto consiste en la donación de una biblioteca, incluyendo infraestructura y material, a la Municipalidad de Constitución.</t>
    </r>
  </si>
  <si>
    <r>
      <rPr>
        <b/>
        <sz val="8"/>
        <rFont val="Verdana"/>
        <family val="2"/>
      </rPr>
      <t>4</t>
    </r>
    <r>
      <rPr>
        <sz val="8"/>
        <rFont val="Verdana"/>
        <family val="2"/>
      </rPr>
      <t xml:space="preserve"> El proyecto consiste en la donación de una biblioteca móvil a la Municipalidad de Teno.</t>
    </r>
  </si>
  <si>
    <t>Descripción material bibliográfico</t>
  </si>
  <si>
    <t>Tipo de material bibliográfico</t>
  </si>
  <si>
    <t>Audiovisual</t>
  </si>
  <si>
    <t>Revista</t>
  </si>
  <si>
    <t>VHS</t>
  </si>
  <si>
    <t>e-Books</t>
  </si>
  <si>
    <t>Clasificación material bibliográfico</t>
  </si>
  <si>
    <t>Textos informativos</t>
  </si>
  <si>
    <t>Películas, documentales</t>
  </si>
  <si>
    <t>Autoayuda y esoterismo</t>
  </si>
  <si>
    <t>Cómics</t>
  </si>
  <si>
    <t>Manualidades</t>
  </si>
  <si>
    <t>Revistas</t>
  </si>
  <si>
    <t>Teatro y guiones</t>
  </si>
  <si>
    <t>Otra clasificación</t>
  </si>
  <si>
    <t>Escolar</t>
  </si>
  <si>
    <t>General</t>
  </si>
  <si>
    <t>Juvenil</t>
  </si>
  <si>
    <t>Prensa</t>
  </si>
  <si>
    <t>Referencia</t>
  </si>
  <si>
    <t>FUENTE: Fundación la Fuente</t>
  </si>
  <si>
    <t>Cantidad de préstamos virtuales realizados en Biblioteca Viva</t>
  </si>
  <si>
    <r>
      <t>TABLA 16.1: NÚMERO DE PROYECTOS Y MONTOS ADJUDICADOS POR EL FONDO AUDIOVISUAL, POR LÍNEA DE CONCURSO, SEGÚN REGIÓN DE DOMICILIO DEL PARTICIPANTE. AÑO 2015</t>
    </r>
    <r>
      <rPr>
        <b/>
        <vertAlign val="superscript"/>
        <sz val="8"/>
        <color indexed="8"/>
        <rFont val="Verdana"/>
        <family val="2"/>
      </rPr>
      <t>/1</t>
    </r>
  </si>
  <si>
    <t xml:space="preserve">
Guión</t>
  </si>
  <si>
    <t xml:space="preserve">
Apoyo a la exhibición del cine nacional</t>
  </si>
  <si>
    <t xml:space="preserve">
Difusión e implementación</t>
  </si>
  <si>
    <t xml:space="preserve">
Producción audiovisual</t>
  </si>
  <si>
    <t>Programa de apoyo a festivales de trayectoria</t>
  </si>
  <si>
    <t>Producción audiovisual regional</t>
  </si>
  <si>
    <t>Programa de apoyo para la participación en festivales y premios internacionales</t>
  </si>
  <si>
    <r>
      <t>Otro</t>
    </r>
    <r>
      <rPr>
        <vertAlign val="superscript"/>
        <sz val="8"/>
        <color indexed="8"/>
        <rFont val="Verdana"/>
        <family val="2"/>
      </rPr>
      <t xml:space="preserve"> /2</t>
    </r>
  </si>
  <si>
    <r>
      <rPr>
        <b/>
        <sz val="8"/>
        <color indexed="8"/>
        <rFont val="Verdana"/>
        <family val="2"/>
      </rPr>
      <t>1</t>
    </r>
    <r>
      <rPr>
        <sz val="8"/>
        <color indexed="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</si>
  <si>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color indexed="8"/>
        <rFont val="Verdana"/>
        <family val="2"/>
      </rPr>
      <t>La categoría "Otro" incluye a proyectos cuyos postulantes tienen domicilio en el extranjero.</t>
    </r>
  </si>
  <si>
    <t>TABLA 16.2: NÚMERO DE EMISORAS DE FRECUENCIA MODULADA (FM), AMPLITUD MODULADA (AM) Y MÍNIMA COBERTURA (MC) REGISTRADAS EN LA SUBSECRETARÍA DE TELECOMUNICACIONES (SUBTEL). 2011-2015</t>
  </si>
  <si>
    <t>AM</t>
  </si>
  <si>
    <t>FM</t>
  </si>
  <si>
    <t>MC</t>
  </si>
  <si>
    <r>
      <t>RC</t>
    </r>
    <r>
      <rPr>
        <b/>
        <vertAlign val="superscript"/>
        <sz val="8"/>
        <rFont val="Verdana"/>
        <family val="2"/>
      </rPr>
      <t>/1</t>
    </r>
  </si>
  <si>
    <r>
      <t xml:space="preserve">Los Ríos </t>
    </r>
    <r>
      <rPr>
        <vertAlign val="superscript"/>
        <sz val="8"/>
        <rFont val="Verdana"/>
        <family val="2"/>
      </rPr>
      <t>/R</t>
    </r>
  </si>
  <si>
    <r>
      <rPr>
        <b/>
        <sz val="8"/>
        <rFont val="Verdana"/>
        <family val="2"/>
      </rPr>
      <t>1</t>
    </r>
    <r>
      <rPr>
        <sz val="8"/>
        <rFont val="Verdana"/>
        <family val="2"/>
      </rPr>
      <t xml:space="preserve"> Subtel indica que a raíz de un cambio normativo, se está en proceso de migración “total” desde la clasificación de radio de mínima cobertura a radio comunitaria. La principal normativa es la Ley N° 20.433 del 04/05/2010, que crea los servicios de radiodifusión comunitaria ciudadana. Se realizó la mayor parte del traspaso, pero todavía queda un conjunto. Por eso aparecen alrededor de 100 radios en mínima cobertura en el 2015. Las diferencias entre radios de mínima cobertura y radios comunitarias son:
      El otorgamiento y vigencia de la concesión pasa de 3 a 10 años, desde la de mínima cobertura (MC) hasta las radios comunitarias (RC).
      La potencia pasa de 1 Watt en MC hasta el rango 1-25 Watt en RC.
      La altura máxima del mástil de la Antena pasa desde 6 metros en MC hasta 18 metros en RC.
</t>
    </r>
  </si>
  <si>
    <t>FUENTE: Subsecretaría de Telecomunicaciones (Subtel).</t>
  </si>
  <si>
    <t>TABLA 16.3: SOPORTE PARA DIFUSIÓN Y COMERCIALIZACIÓN SEGÚN REGISTROS DE LA SOCIEDAD CHILENA DEL DERECHO DE AUTOR (SCD). 2015</t>
  </si>
  <si>
    <t>N° RADIOEMISORAS Y SITIOS VENTA ONLINE</t>
  </si>
  <si>
    <r>
      <t>N° de radios con transmisión exclusiva online</t>
    </r>
    <r>
      <rPr>
        <vertAlign val="superscript"/>
        <sz val="8"/>
        <rFont val="Verdana"/>
        <family val="2"/>
      </rPr>
      <t>/1</t>
    </r>
  </si>
  <si>
    <r>
      <t>N° de radios de frecuencia AM/FM con señal online</t>
    </r>
    <r>
      <rPr>
        <vertAlign val="superscript"/>
        <sz val="8"/>
        <rFont val="Verdana"/>
        <family val="2"/>
      </rPr>
      <t>/2</t>
    </r>
  </si>
  <si>
    <r>
      <t>N° de sitios de venta de música online</t>
    </r>
    <r>
      <rPr>
        <vertAlign val="superscript"/>
        <sz val="8"/>
        <rFont val="Verdana"/>
        <family val="2"/>
      </rPr>
      <t>/3</t>
    </r>
  </si>
  <si>
    <r>
      <rPr>
        <b/>
        <sz val="8"/>
        <rFont val="Verdana"/>
        <family val="2"/>
      </rPr>
      <t>1</t>
    </r>
    <r>
      <rPr>
        <sz val="8"/>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</si>
  <si>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8"/>
        <rFont val="Verdana"/>
        <family val="2"/>
      </rPr>
      <t>2</t>
    </r>
    <r>
      <rPr>
        <sz val="8"/>
        <rFont val="Verdana"/>
        <family val="2"/>
      </rPr>
      <t xml:space="preserve"> 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</si>
  <si>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</si>
  <si>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TABLA 16.4: NÚMERO DE SEÑALES DE RADIODIFUSIÓN POR BANDA DE TRANSMISIÓN, SEGÚN REGIÓN. 2015</t>
  </si>
  <si>
    <r>
      <t>Señales de radiodifusión operativas</t>
    </r>
    <r>
      <rPr>
        <b/>
        <vertAlign val="superscript"/>
        <sz val="8"/>
        <rFont val="Verdana"/>
        <family val="2"/>
      </rPr>
      <t>/1</t>
    </r>
  </si>
  <si>
    <r>
      <t>Total</t>
    </r>
    <r>
      <rPr>
        <b/>
        <vertAlign val="superscript"/>
        <sz val="8"/>
        <rFont val="Verdana"/>
        <family val="2"/>
      </rPr>
      <t>/2</t>
    </r>
  </si>
  <si>
    <t>Amplitud Modulada</t>
  </si>
  <si>
    <t>Frecuencia Modulada</t>
  </si>
  <si>
    <r>
      <t>Radios Comunitarias Ciudadanas</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</si>
  <si>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</si>
  <si>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</si>
  <si>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</si>
  <si>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</si>
  <si>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</si>
  <si>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</si>
  <si>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Anual de Radios, declarando haber transmitido durante el año 2015.</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</si>
  <si>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</si>
  <si>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</si>
  <si>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Anual de Radios (EAR) 2015. Instituto Nacional de Estadísticas (INE).</t>
  </si>
  <si>
    <t>TABLA 16.5: NÚMERO DE SEÑALES DE RADIODIFUSIÓN, SEGÚN TRANSMISIÓN VIA INTERNET. 2015</t>
  </si>
  <si>
    <t>TRANSMISIÓN VÍA INTERNET</t>
  </si>
  <si>
    <r>
      <t>Señales de radiodifusión</t>
    </r>
    <r>
      <rPr>
        <b/>
        <vertAlign val="superscript"/>
        <sz val="8"/>
        <rFont val="Verdana"/>
        <family val="2"/>
      </rPr>
      <t>/1/2</t>
    </r>
  </si>
  <si>
    <t>Porcentaje (%)</t>
  </si>
  <si>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</si>
  <si>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</si>
  <si>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</si>
  <si>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</si>
  <si>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</si>
  <si>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Anual de Radios, declarando haber transmitido durante el año 2015.</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</si>
  <si>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</si>
  <si>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16.6: NÚMERO DE SEÑALES DE RADIODIFUSIÓN POR POTENCIA DE SUS TRANSMISIONES, SEGÚN BANDA DE TRANSMISIÓN Y REGIÓN. 2015</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</si>
  <si>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</si>
  <si>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</si>
  <si>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</si>
  <si>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</si>
  <si>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</si>
  <si>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</si>
  <si>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</si>
  <si>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</si>
  <si>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</si>
  <si>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</si>
  <si>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r>
      <t>Radios Comunitarias Ciudadanas (RCC)</t>
    </r>
    <r>
      <rPr>
        <b/>
        <vertAlign val="superscript"/>
        <sz val="8"/>
        <rFont val="Verdana"/>
        <family val="2"/>
      </rPr>
      <t>/3</t>
    </r>
  </si>
  <si>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</si>
  <si>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16.7: NÚMERO DE SEÑALES DE RADIODIFUSIÓN QUE EFECTUARON TRANSMISIONES POR INTERVALOS DE HORAS DE TRANSMISIÓN, SEGÚN DÍAS DE LA SEMANA Y REGIÓN. 2015</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</si>
  <si>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</si>
  <si>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</si>
  <si>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</si>
  <si>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</si>
  <si>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</si>
  <si>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</si>
  <si>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</si>
  <si>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</si>
  <si>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</si>
  <si>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2015</t>
  </si>
  <si>
    <t>BANDA DE TRANSMISIÓN Y DÍAS DE LA SEMANA</t>
  </si>
  <si>
    <r>
      <t>CONCESIONES DE RADIODIFUSIÓN OPERATIVAS</t>
    </r>
    <r>
      <rPr>
        <b/>
        <vertAlign val="superscript"/>
        <sz val="8"/>
        <rFont val="Verdana"/>
        <family val="2"/>
      </rPr>
      <t>/1</t>
    </r>
  </si>
  <si>
    <t>Intervalos de horas de transmisión diaria</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</si>
  <si>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</si>
  <si>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</si>
  <si>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</si>
  <si>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</si>
  <si>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</si>
  <si>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</si>
  <si>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</si>
  <si>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2015</t>
  </si>
  <si>
    <r>
      <t>Señales de radiodifusión operativas (%)</t>
    </r>
    <r>
      <rPr>
        <b/>
        <vertAlign val="superscript"/>
        <sz val="8"/>
        <rFont val="Verdana"/>
        <family val="2"/>
      </rPr>
      <t>/1/2</t>
    </r>
  </si>
  <si>
    <t>12 -17</t>
  </si>
  <si>
    <r>
      <t>Mínima Cobertura</t>
    </r>
    <r>
      <rPr>
        <b/>
        <vertAlign val="superscript"/>
        <sz val="8"/>
        <rFont val="Verdana"/>
        <family val="2"/>
      </rPr>
      <t>/4</t>
    </r>
  </si>
  <si>
    <r>
      <rPr>
        <b/>
        <sz val="8"/>
        <rFont val="Verdana"/>
        <family val="2"/>
      </rPr>
      <t>2</t>
    </r>
    <r>
      <rPr>
        <sz val="8"/>
        <rFont val="Verdana"/>
        <family val="2"/>
      </rPr>
      <t xml:space="preserve"> Los porcentajes de este cuadro están basados en los valores netos de la tabla 16.8.</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</si>
  <si>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</si>
  <si>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16.10: NÚMERO DE RADIOEMISORAS POR BANDA DE TRANSMISIÓN, SEGÚN TIPO DE PROGRAMA AL QUE LE ASIGNAN PRIMERA PRIORIDAD. 2015</t>
  </si>
  <si>
    <t>TIPO DE PROGRAMA AL QUE LE ASIGNAN PRIMERA PRIORIDAD</t>
  </si>
  <si>
    <t>Número de Radioemisoras</t>
  </si>
  <si>
    <r>
      <t>Total</t>
    </r>
    <r>
      <rPr>
        <b/>
        <vertAlign val="superscript"/>
        <sz val="8"/>
        <rFont val="Verdana"/>
        <family val="2"/>
      </rPr>
      <t>/1</t>
    </r>
  </si>
  <si>
    <t>Banda de transmisión</t>
  </si>
  <si>
    <r>
      <t>Radios Comunitarias Ciudadanas (RCC)</t>
    </r>
    <r>
      <rPr>
        <b/>
        <vertAlign val="superscript"/>
        <sz val="8"/>
        <rFont val="Verdana"/>
        <family val="2"/>
      </rPr>
      <t>/2</t>
    </r>
  </si>
  <si>
    <t>Noticieros e Informativos</t>
  </si>
  <si>
    <t>Educativos</t>
  </si>
  <si>
    <t>Ciencias y Tecnologías</t>
  </si>
  <si>
    <t>Artes y Cultura</t>
  </si>
  <si>
    <t>Música</t>
  </si>
  <si>
    <t>Deportivos</t>
  </si>
  <si>
    <t>Religiosos</t>
  </si>
  <si>
    <t>Publicidad</t>
  </si>
  <si>
    <t>Otros Recreativos</t>
  </si>
  <si>
    <t>Servicio público</t>
  </si>
  <si>
    <t>No clasificados</t>
  </si>
  <si>
    <r>
      <rPr>
        <b/>
        <sz val="8"/>
        <rFont val="Verdana"/>
        <family val="2"/>
      </rPr>
      <t>1</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</si>
  <si>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2</t>
    </r>
    <r>
      <rPr>
        <sz val="8"/>
        <rFont val="Verdana"/>
        <family val="2"/>
      </rPr>
      <t xml:space="preserve"> A contar del año 2010, las radioemisoras de Mínima Cobertura se rigen por la nueva Ley N° 20.433 que crea los Servicios de Radiodifusión Comunitaria Ciudadana.</t>
    </r>
  </si>
  <si>
    <r>
      <t>TABLA 16.11: NÚMERO DE RADIOEMISORAS POR BANDA DE TRANSMISIÓN, SEGÚN GRUPO DE EDAD DEL PÚBLICO AL QUE LE ASIGNAN PRIMERA PRIORIDAD. 2015</t>
    </r>
    <r>
      <rPr>
        <b/>
        <vertAlign val="superscript"/>
        <sz val="8"/>
        <rFont val="Verdana"/>
        <family val="2"/>
      </rPr>
      <t>/1</t>
    </r>
  </si>
  <si>
    <t>GRUPO DE EDAD DEL PÚBLICO AL QUE LE DAN PRIMERA PRIORIDAD</t>
  </si>
  <si>
    <t>Número de radioemisoras</t>
  </si>
  <si>
    <t>Menos de 15</t>
  </si>
  <si>
    <t>15 - 19</t>
  </si>
  <si>
    <t>20 - 24</t>
  </si>
  <si>
    <t>25 - 34</t>
  </si>
  <si>
    <t>35 - 44</t>
  </si>
  <si>
    <t>45 - 59</t>
  </si>
  <si>
    <t>60 y más</t>
  </si>
  <si>
    <r>
      <rPr>
        <b/>
        <sz val="8"/>
        <rFont val="Verdana"/>
        <family val="2"/>
      </rPr>
      <t xml:space="preserve">2 </t>
    </r>
    <r>
      <rPr>
        <sz val="8"/>
        <rFont val="Verdana"/>
        <family val="2"/>
      </rPr>
      <t>A contar del año 2010, las radioemisoras de Mínima Cobertura se rigen por la nueva Ley N° 20.433 que crea los Servicios de Radiodifusión Comunitaria Ciudadana.</t>
    </r>
  </si>
  <si>
    <t>TABLA 16.12: HORAS ANUALES Y PORCENTAJES DE TRANSMISIÓN DE LAS RADIOEMISORAS, SEGÚN TIPO DE PROGRAMA. 2015</t>
  </si>
  <si>
    <t>TIPO DE PROGRAMA</t>
  </si>
  <si>
    <t>Horas</t>
  </si>
  <si>
    <r>
      <t>TOTAL</t>
    </r>
    <r>
      <rPr>
        <b/>
        <vertAlign val="superscript"/>
        <sz val="8"/>
        <rFont val="Verdana"/>
        <family val="2"/>
      </rPr>
      <t>/1/2</t>
    </r>
  </si>
  <si>
    <r>
      <rPr>
        <b/>
        <sz val="8"/>
        <rFont val="Verdana"/>
        <family val="2"/>
      </rPr>
      <t xml:space="preserve">1 </t>
    </r>
    <r>
      <rPr>
        <sz val="8"/>
        <rFont val="Verdana"/>
        <family val="2"/>
      </rPr>
      <t>Corresponde a las emisoras que respondieron la Encuesta Anual de Radios, declarando haber transmitido durante el año 2015.</t>
    </r>
  </si>
  <si>
    <t>TABLA 16.13: PERSONAL DE LAS RADIOEMISORAS POR TIPO DE JORNADA, SEGÚN SEXO Y TIPO DE PERSONAL. 2015</t>
  </si>
  <si>
    <t>SEXO Y TIPO DE PERSONAL</t>
  </si>
  <si>
    <r>
      <t>Personal de las radioemisoras</t>
    </r>
    <r>
      <rPr>
        <b/>
        <vertAlign val="superscript"/>
        <sz val="8"/>
        <rFont val="Verdana"/>
        <family val="2"/>
      </rPr>
      <t>/1</t>
    </r>
  </si>
  <si>
    <t>Tipo de jornada</t>
  </si>
  <si>
    <t>Completa</t>
  </si>
  <si>
    <t>Parcial</t>
  </si>
  <si>
    <t>Directivos (gerentes y ejecutivos)</t>
  </si>
  <si>
    <t>Otros funcionarios</t>
  </si>
  <si>
    <t>TABLA 16.14: INGRESOS DE LAS RADIOEMISORAS, SEGÚN FUENTE. 2015</t>
  </si>
  <si>
    <t>FUENTE</t>
  </si>
  <si>
    <t>Ingresos de las radioemisoras (en pesos $)</t>
  </si>
  <si>
    <t>Arriendo de espacios</t>
  </si>
  <si>
    <t>Otros fondos</t>
  </si>
  <si>
    <t>TABLA 16.15: GASTOS DE LAS RADIOEMISORAS, SEGÚN ORIGEN. 2015</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</si>
  <si>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</si>
  <si>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</si>
  <si>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</si>
  <si>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</si>
  <si>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</si>
  <si>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</si>
  <si>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</si>
  <si>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</si>
  <si>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2015</t>
  </si>
  <si>
    <r>
      <t>TAMAÑO DE LA EMPRESA</t>
    </r>
    <r>
      <rPr>
        <b/>
        <vertAlign val="superscript"/>
        <sz val="8"/>
        <rFont val="Verdana"/>
        <family val="2"/>
      </rPr>
      <t>/1</t>
    </r>
  </si>
  <si>
    <t>Total de empresas</t>
  </si>
  <si>
    <t>Total ingresos</t>
  </si>
  <si>
    <t>Total  Gastos</t>
  </si>
  <si>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</si>
  <si>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</si>
  <si>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</si>
  <si>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</si>
  <si>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</si>
  <si>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16.17: NÚMERO DE CANALES DE TELEVISIÓN ABIERTA, SEGÚN COBERTURA. 2011 - 2015</t>
    </r>
    <r>
      <rPr>
        <b/>
        <vertAlign val="superscript"/>
        <sz val="8"/>
        <rFont val="Verdana"/>
        <family val="2"/>
      </rPr>
      <t>/1</t>
    </r>
  </si>
  <si>
    <t>COBERTURA</t>
  </si>
  <si>
    <t>Frecuencia</t>
  </si>
  <si>
    <t>Número de canales</t>
  </si>
  <si>
    <t>Regionales</t>
  </si>
  <si>
    <t>VHF</t>
  </si>
  <si>
    <r>
      <t>UHF</t>
    </r>
    <r>
      <rPr>
        <vertAlign val="superscript"/>
        <sz val="8"/>
        <rFont val="Verdana"/>
        <family val="2"/>
      </rPr>
      <t>/2</t>
    </r>
  </si>
  <si>
    <r>
      <rPr>
        <b/>
        <sz val="8"/>
        <rFont val="Verdana"/>
        <family val="2"/>
      </rPr>
      <t xml:space="preserve">1 </t>
    </r>
    <r>
      <rPr>
        <sz val="8"/>
        <rFont val="Verdana"/>
        <family val="2"/>
      </rPr>
      <t>La Ley vigente no contempla la distinción de coberturas geográficas para efectos de otorgar la concesión por lo que la categorización aquí presentada, no representa un criterio determinante, ya que solo responde al establecimiento de un orden interno para la categorización de las actuales concesiones.</t>
    </r>
  </si>
  <si>
    <r>
      <rPr>
        <b/>
        <sz val="8"/>
        <rFont val="Verdana"/>
        <family val="2"/>
      </rPr>
      <t xml:space="preserve">2 </t>
    </r>
    <r>
      <rPr>
        <sz val="8"/>
        <rFont val="Verdana"/>
        <family val="2"/>
      </rPr>
      <t>Sólo tiene cobertura regional.</t>
    </r>
  </si>
  <si>
    <t xml:space="preserve">FUENTE: Consejo Nacional de Televisión (CNTV). </t>
  </si>
  <si>
    <t>TABLA 16.18: NÚMERO DE PERMISIONARIOS DE SERVICIOS LIMITADOS DE TELEVISIÓN. 2011-2015</t>
  </si>
  <si>
    <t>Otorgado</t>
  </si>
  <si>
    <t xml:space="preserve">Otorgado </t>
  </si>
  <si>
    <t>TABLA 16.19: HORAS DE EMISIÓN DE PROGRAMACIÓN DE TELEVISIÓN ABIERTA, SEGÚN PÚBLICO OBJETIVO. 2011-2015</t>
  </si>
  <si>
    <t>PÚBLICO OBJETIVO</t>
  </si>
  <si>
    <r>
      <t>Oferta</t>
    </r>
    <r>
      <rPr>
        <b/>
        <vertAlign val="superscript"/>
        <sz val="8"/>
        <rFont val="Verdana"/>
        <family val="2"/>
      </rPr>
      <t>/1</t>
    </r>
  </si>
  <si>
    <t>Infantil 0-5</t>
  </si>
  <si>
    <t>Infantil 6-12</t>
  </si>
  <si>
    <t>Adolescente</t>
  </si>
  <si>
    <t>Otro (familiar/adulto)</t>
  </si>
  <si>
    <r>
      <rPr>
        <b/>
        <sz val="8"/>
        <rFont val="Verdana"/>
        <family val="2"/>
      </rPr>
      <t>1</t>
    </r>
    <r>
      <rPr>
        <sz val="8"/>
        <rFont val="Verdana"/>
        <family val="2"/>
      </rPr>
      <t xml:space="preserve"> Número de horas anuales emitidas. Este valor no incluye la categoría de género denominada “Continuidad”.</t>
    </r>
  </si>
  <si>
    <t>TABLA 16.20: HORAS DE EMISIÓN Y CONSUMO DE PROGRAMACIÓN DE TELEVISIÓN ABIERTA, SEGÚN GÉNERO TELEVISIVO. 2011 - 2015</t>
  </si>
  <si>
    <t>GÉNERO TELEVISIVO</t>
  </si>
  <si>
    <r>
      <t>Consumo</t>
    </r>
    <r>
      <rPr>
        <b/>
        <vertAlign val="superscript"/>
        <sz val="8"/>
        <rFont val="Verdana"/>
        <family val="2"/>
      </rPr>
      <t>/2</t>
    </r>
  </si>
  <si>
    <t>Conversación</t>
  </si>
  <si>
    <t>Informativos</t>
  </si>
  <si>
    <t>Instruccional-formativo</t>
  </si>
  <si>
    <t>Películas</t>
  </si>
  <si>
    <t>Reportajes</t>
  </si>
  <si>
    <t>Telerrealidad</t>
  </si>
  <si>
    <t>Series y miniseries</t>
  </si>
  <si>
    <t>Telenovelas</t>
  </si>
  <si>
    <t>Videoclips</t>
  </si>
  <si>
    <r>
      <t>Continuidad</t>
    </r>
    <r>
      <rPr>
        <vertAlign val="superscript"/>
        <sz val="8"/>
        <rFont val="Verdana"/>
        <family val="2"/>
      </rPr>
      <t>/3</t>
    </r>
  </si>
  <si>
    <r>
      <rPr>
        <b/>
        <sz val="8"/>
        <color indexed="8"/>
        <rFont val="Verdana"/>
        <family val="2"/>
      </rPr>
      <t>1</t>
    </r>
    <r>
      <rPr>
        <sz val="8"/>
        <color indexed="8"/>
        <rFont val="Verdana"/>
        <family val="2"/>
      </rPr>
      <t xml:space="preserve"> Corresponde al número total de horas anuales emitidas de acuerdo a cada género televisivo.</t>
    </r>
  </si>
  <si>
    <r>
      <rPr>
        <b/>
        <sz val="8"/>
        <color indexed="8"/>
        <rFont val="Verdana"/>
        <family val="2"/>
      </rPr>
      <t>2</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</si>
  <si>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r>
      <rPr>
        <b/>
        <sz val="8"/>
        <rFont val="Verdana"/>
        <family val="2"/>
      </rPr>
      <t xml:space="preserve">3 </t>
    </r>
    <r>
      <rPr>
        <sz val="8"/>
        <rFont val="Verdana"/>
        <family val="2"/>
      </rPr>
      <t>Durante el año 2015 no se midió la programación de continuidad.</t>
    </r>
  </si>
  <si>
    <r>
      <rPr>
        <b/>
        <sz val="8"/>
        <rFont val="Verdana"/>
        <family val="2"/>
      </rPr>
      <t xml:space="preserve">4 </t>
    </r>
    <r>
      <rPr>
        <sz val="8"/>
        <rFont val="Verdana"/>
        <family val="2"/>
      </rPr>
      <t>Para el año 2012, en el caso de la Oferta corresponde a Infomerciales y en el caso del Consumo corresponde a Publicidad.</t>
    </r>
  </si>
  <si>
    <r>
      <rPr>
        <b/>
        <sz val="8"/>
        <rFont val="Verdana"/>
        <family val="2"/>
      </rPr>
      <t xml:space="preserve">5 </t>
    </r>
    <r>
      <rPr>
        <sz val="8"/>
        <rFont val="Verdana"/>
        <family val="2"/>
      </rPr>
      <t>Para el año 2015 el género Infomerciales se encuentra contenida en la categoría de publicidad.</t>
    </r>
  </si>
  <si>
    <t>TABLA 16.21: HORAS DE EMISIÓN Y CONSUMO DE PROGRAMACIÓN DE TELEVISIÓN ABIERTA, SEGÚN PROCEDENCIA. 2011 - 2015</t>
  </si>
  <si>
    <t>PROCEDENCIA</t>
  </si>
  <si>
    <t>Extranjero</t>
  </si>
  <si>
    <r>
      <rPr>
        <b/>
        <sz val="8"/>
        <rFont val="Verdana"/>
        <family val="2"/>
      </rPr>
      <t xml:space="preserve">1 </t>
    </r>
    <r>
      <rPr>
        <sz val="8"/>
        <rFont val="Verdana"/>
        <family val="2"/>
      </rPr>
      <t>Número de horas anuales emitidas. Este valor no incluye la categoría de género denominada “Continuidad”.</t>
    </r>
  </si>
  <si>
    <r>
      <rPr>
        <b/>
        <sz val="8"/>
        <rFont val="Verdana"/>
        <family val="2"/>
      </rPr>
      <t xml:space="preserve">2 </t>
    </r>
    <r>
      <rPr>
        <sz val="8"/>
        <rFont val="Verdana"/>
        <family val="2"/>
      </rPr>
      <t>Número de horas promedio de consumo anual.</t>
    </r>
  </si>
  <si>
    <t>FUENTE: Consejo Nacional de Televisión (CNTV).</t>
  </si>
  <si>
    <t>TABLA 16.22: HORAS DE EMISIÓN DE PROGRAMACIÓN NACIONAL DE TELEVISIÓN ABIERTA, SEGÚN GÉNERO TELEVISIVO. 2011 - 2015</t>
  </si>
  <si>
    <t>Continuidad</t>
  </si>
  <si>
    <r>
      <rPr>
        <b/>
        <sz val="8"/>
        <rFont val="Verdana"/>
        <family val="2"/>
      </rPr>
      <t xml:space="preserve">1 </t>
    </r>
    <r>
      <rPr>
        <sz val="8"/>
        <rFont val="Verdana"/>
        <family val="2"/>
      </rPr>
      <t>Número de horas anuales emitidas.</t>
    </r>
  </si>
  <si>
    <r>
      <rPr>
        <b/>
        <sz val="8"/>
        <rFont val="Verdana"/>
        <family val="2"/>
      </rPr>
      <t>2</t>
    </r>
    <r>
      <rPr>
        <sz val="8"/>
        <rFont val="Verdana"/>
        <family val="2"/>
      </rPr>
      <t xml:space="preserve"> Número de horas promedio de consumo anual.</t>
    </r>
  </si>
  <si>
    <t>TABLA 16.23: HORAS DE EMISIÓN DE PROGRAMACIÓN EXTRANJERA DE TELEVISIÓN ABIERTA, SEGÚN GÉNERO TELEVISIVO. 2011 - 2015</t>
  </si>
  <si>
    <r>
      <rPr>
        <b/>
        <sz val="8"/>
        <rFont val="Verdana"/>
        <family val="2"/>
      </rPr>
      <t>1</t>
    </r>
    <r>
      <rPr>
        <sz val="8"/>
        <rFont val="Verdana"/>
        <family val="2"/>
      </rPr>
      <t xml:space="preserve"> Número de horas anuales emitidas.</t>
    </r>
  </si>
  <si>
    <r>
      <t xml:space="preserve">TABLA 16.24: HORAS DE EMISIÓN Y CONSUMO DE PROGRAMACIÓN INFANTIL PARA NIÑOS MENORES DE 12 AÑOS, SEGÚN CATEGORÍA. 2013 - 2015 </t>
    </r>
    <r>
      <rPr>
        <b/>
        <vertAlign val="superscript"/>
        <sz val="8"/>
        <rFont val="Verdana"/>
        <family val="2"/>
      </rPr>
      <t>/1</t>
    </r>
  </si>
  <si>
    <t>CATEGORÍA</t>
  </si>
  <si>
    <t>Programación para menores de 12 años</t>
  </si>
  <si>
    <r>
      <t>Oferta</t>
    </r>
    <r>
      <rPr>
        <b/>
        <vertAlign val="superscript"/>
        <sz val="8"/>
        <rFont val="Verdana"/>
        <family val="2"/>
      </rPr>
      <t>/2</t>
    </r>
  </si>
  <si>
    <r>
      <t>Consumo</t>
    </r>
    <r>
      <rPr>
        <b/>
        <vertAlign val="superscript"/>
        <sz val="8"/>
        <rFont val="Verdana"/>
        <family val="2"/>
      </rPr>
      <t>/3</t>
    </r>
  </si>
  <si>
    <r>
      <t>Horas</t>
    </r>
    <r>
      <rPr>
        <b/>
        <vertAlign val="superscript"/>
        <sz val="8"/>
        <rFont val="Verdana"/>
        <family val="2"/>
      </rPr>
      <t>/4</t>
    </r>
  </si>
  <si>
    <t xml:space="preserve">Infantil </t>
  </si>
  <si>
    <r>
      <rPr>
        <b/>
        <sz val="8"/>
        <rFont val="Verdana"/>
        <family val="2"/>
      </rPr>
      <t xml:space="preserve">1 </t>
    </r>
    <r>
      <rPr>
        <sz val="8"/>
        <rFont val="Verdana"/>
        <family val="2"/>
      </rPr>
      <t>No se tiene la desagregación para los años 2011 y 2012.</t>
    </r>
  </si>
  <si>
    <r>
      <rPr>
        <b/>
        <sz val="8"/>
        <rFont val="Verdana"/>
        <family val="2"/>
      </rPr>
      <t xml:space="preserve">2 </t>
    </r>
    <r>
      <rPr>
        <sz val="8"/>
        <rFont val="Verdana"/>
        <family val="2"/>
      </rPr>
      <t>Cantidad de horas anuales emitidas.</t>
    </r>
  </si>
  <si>
    <r>
      <rPr>
        <b/>
        <sz val="8"/>
        <rFont val="Verdana"/>
        <family val="2"/>
      </rPr>
      <t>3</t>
    </r>
    <r>
      <rPr>
        <sz val="8"/>
        <rFont val="Verdana"/>
        <family val="2"/>
      </rPr>
      <t xml:space="preserve"> Cantidad de horas promedio de consumo anual.</t>
    </r>
  </si>
  <si>
    <r>
      <rPr>
        <b/>
        <sz val="8"/>
        <rFont val="Verdana"/>
        <family val="2"/>
      </rPr>
      <t xml:space="preserve">4 </t>
    </r>
    <r>
      <rPr>
        <sz val="8"/>
        <rFont val="Verdana"/>
        <family val="2"/>
      </rPr>
      <t>El total de horas de oferta infantil no considerado programación adolescente, por cuanto dentro de las definiciones del estudio programación infantil, son espacio para menores de 12 años.</t>
    </r>
  </si>
  <si>
    <r>
      <t>TABLA 16.25: HORAS DE EMISIÓN DE PROGRAMACIÓN CULTURAL</t>
    </r>
    <r>
      <rPr>
        <b/>
        <vertAlign val="superscript"/>
        <sz val="8"/>
        <rFont val="Verdana"/>
        <family val="2"/>
      </rPr>
      <t>/1</t>
    </r>
    <r>
      <rPr>
        <b/>
        <sz val="8"/>
        <rFont val="Verdana"/>
        <family val="2"/>
      </rPr>
      <t xml:space="preserve"> EN TELEVISIÓN ABIERTA, SEGÚN GÉNERO TELEVISIVO. 2011-2015</t>
    </r>
  </si>
  <si>
    <r>
      <t>Oferta</t>
    </r>
    <r>
      <rPr>
        <b/>
        <vertAlign val="superscript"/>
        <sz val="8"/>
        <color theme="1"/>
        <rFont val="Verdana"/>
        <family val="2"/>
      </rPr>
      <t>/3</t>
    </r>
  </si>
  <si>
    <t>Programas culturales</t>
  </si>
  <si>
    <t>Otro tipo de programas</t>
  </si>
  <si>
    <r>
      <t>Consumo</t>
    </r>
    <r>
      <rPr>
        <b/>
        <vertAlign val="superscript"/>
        <sz val="8"/>
        <color theme="1"/>
        <rFont val="Verdana"/>
        <family val="2"/>
      </rPr>
      <t>/4</t>
    </r>
  </si>
  <si>
    <r>
      <rPr>
        <b/>
        <sz val="8"/>
        <rFont val="Verdana"/>
        <family val="2"/>
      </rPr>
      <t xml:space="preserve">1 </t>
    </r>
    <r>
      <rPr>
        <sz val="8"/>
        <rFont val="Verdana"/>
        <family val="2"/>
      </rPr>
      <t>La definición de lo que se entiende como programación cultural estuvo dada por la norma referida a dicha programación. Esta norma se modifica en octubre del 2014 y señalaba:
Normas sobre la obligación de las concesionarias de radiodifusión televisiva de libre recepción de transmitir un mínimo de programas culturales a la semana: […] Para los efectos de dar cumplimiento a esa norma, serán considerados culturales los programas de alta calidad que se refieran a las artes y las ciencias, así como aquellos destinados a promover y difundir el patrimonio universal, y en particular nuestro patrimonio e identidad nacional.
a. Por arte se entenderán todas las expresiones literarias, plásticas, audiovisuales, musicales y arquitectónicas, así como sus combinaciones.
b. Por ciencia se entenderán todos aquellos cuerpos de ideas y conocimientos contenidos en las llamadas ciencias exactas, naturales y sociales, incluyendo disciplinas como la historia, el derecho y la filosofía, tanto en sus expresiones propiamente científicas como tecnológicas.
c.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</si>
  <si>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r>
      <rPr>
        <b/>
        <sz val="8"/>
        <rFont val="Verdana"/>
        <family val="2"/>
      </rPr>
      <t xml:space="preserve">2 En octubre del 2014 el CNTV modifica la definición de lo que se entiende como programación cultural considerando las atribuciones constitucionales que posee. </t>
    </r>
    <r>
      <rPr>
        <sz val="8"/>
        <rFont val="Verdana"/>
        <family val="2"/>
      </rPr>
      <t>La definición de lo que se entiende como programación cultural está dada por la norma referida a dicha programación:
Normas sobre la obligación de las concesionarias de radiodifusión televisiva de libre recepción (canales de tv abierta) y los permisionarios de servicios limitados de televisión (operadores de cable satelitales) de transmitir un mínimo de 4 horas de programas culturales a la semana: […] Para los efectos de dar cumplimiento a esta norma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t>
    </r>
  </si>
  <si>
    <r>
      <rPr>
        <b/>
        <sz val="8"/>
        <color theme="1"/>
        <rFont val="Verdana"/>
        <family val="2"/>
      </rPr>
      <t xml:space="preserve">3 </t>
    </r>
    <r>
      <rPr>
        <sz val="8"/>
        <color theme="1"/>
        <rFont val="Verdana"/>
        <family val="2"/>
      </rPr>
      <t>Número de horas anuales emitidas.</t>
    </r>
  </si>
  <si>
    <r>
      <rPr>
        <b/>
        <sz val="8"/>
        <color theme="1"/>
        <rFont val="Verdana"/>
        <family val="2"/>
      </rPr>
      <t xml:space="preserve">4 </t>
    </r>
    <r>
      <rPr>
        <sz val="8"/>
        <color theme="1"/>
        <rFont val="Verdana"/>
        <family val="2"/>
      </rPr>
      <t>Número de horas promedio de consumo anual.</t>
    </r>
  </si>
  <si>
    <r>
      <t>TABLA 16.26: NÚMERO DE EXPLOTACIONES DE PRODUCCIONES NACIONALES Y EXTRANJERAS DE LA CORPORACIÓN DE ACTORES DE CHILE (CHILEACTORES), SEGÚN TIPO DE PRODUCCIÓN. 2011-2015</t>
    </r>
    <r>
      <rPr>
        <b/>
        <vertAlign val="superscript"/>
        <sz val="8"/>
        <color indexed="8"/>
        <rFont val="Verdana"/>
        <family val="2"/>
      </rPr>
      <t xml:space="preserve"> /1 3</t>
    </r>
  </si>
  <si>
    <t>TIPO DE PRODUCCIÓN</t>
  </si>
  <si>
    <t>Nacionales/extranjeras</t>
  </si>
  <si>
    <t>Extranjeras</t>
  </si>
  <si>
    <t xml:space="preserve">Teleseries </t>
  </si>
  <si>
    <t>Teatro</t>
  </si>
  <si>
    <t>Concurso</t>
  </si>
  <si>
    <t>Dibujo animados</t>
  </si>
  <si>
    <t>Documental</t>
  </si>
  <si>
    <t>Magazine</t>
  </si>
  <si>
    <t>Programas de humor</t>
  </si>
  <si>
    <t>Programas musicales</t>
  </si>
  <si>
    <r>
      <t xml:space="preserve">1 </t>
    </r>
    <r>
      <rPr>
        <sz val="8"/>
        <color indexed="8"/>
        <rFont val="Verdana"/>
        <family val="2"/>
      </rPr>
      <t>Dependiendo de la información obtenida, las explotaciones son consideradas por capítulos o como una sola explotación.</t>
    </r>
  </si>
  <si>
    <r>
      <rPr>
        <b/>
        <sz val="8"/>
        <rFont val="Verdana"/>
        <family val="2"/>
      </rPr>
      <t xml:space="preserve">2 </t>
    </r>
    <r>
      <rPr>
        <sz val="8"/>
        <rFont val="Verdana"/>
        <family val="2"/>
      </rPr>
      <t>Para el año 2011 no se dispone de información desagregada para diferenciar las producciones entre nacionales y extranjeras.</t>
    </r>
  </si>
  <si>
    <r>
      <rPr>
        <b/>
        <sz val="8"/>
        <rFont val="Verdana"/>
        <family val="2"/>
      </rPr>
      <t>3</t>
    </r>
    <r>
      <rPr>
        <sz val="8"/>
        <rFont val="Verdana"/>
        <family val="2"/>
      </rPr>
      <t xml:space="preserve"> Para el año 2015 esta tabla resume los datos que en el anuario anterior estaban contenidos en las tablas 16.27 y 16.28</t>
    </r>
  </si>
  <si>
    <r>
      <t>TABLA 16.27: RECAUDACIÓN Y DISTRIBUCIÓN DE DERECHOS DE COMUNICACIÓN PÚBLICA DE PRODUCCIONES NACIONALES Y EXTRANJERAS, SEGÚN MEDIO DE EMISIÓN.</t>
    </r>
    <r>
      <rPr>
        <b/>
        <vertAlign val="superscript"/>
        <sz val="8"/>
        <rFont val="Verdana"/>
        <family val="2"/>
      </rPr>
      <t>/1</t>
    </r>
    <r>
      <rPr>
        <b/>
        <sz val="8"/>
        <rFont val="Verdana"/>
        <family val="2"/>
      </rPr>
      <t xml:space="preserve"> 2011-2015</t>
    </r>
  </si>
  <si>
    <t>Medio de emisión</t>
  </si>
  <si>
    <t>Monto (pesos de cada año)</t>
  </si>
  <si>
    <r>
      <t>2013</t>
    </r>
    <r>
      <rPr>
        <b/>
        <vertAlign val="superscript"/>
        <sz val="8"/>
        <rFont val="Verdana"/>
        <family val="2"/>
      </rPr>
      <t>/4</t>
    </r>
  </si>
  <si>
    <r>
      <t>TOTAL RECAUDACIÓN</t>
    </r>
    <r>
      <rPr>
        <b/>
        <vertAlign val="superscript"/>
        <sz val="8"/>
        <rFont val="Verdana"/>
        <family val="2"/>
      </rPr>
      <t>/5</t>
    </r>
  </si>
  <si>
    <t>Total Recaudación Nacional</t>
  </si>
  <si>
    <t>Cable</t>
  </si>
  <si>
    <t>Canales Abiertos</t>
  </si>
  <si>
    <t xml:space="preserve">Otros </t>
  </si>
  <si>
    <t xml:space="preserve">Total Recaudación Extranjera </t>
  </si>
  <si>
    <t>Desde España</t>
  </si>
  <si>
    <r>
      <t>TOTAL DISTRIBUCIÓN</t>
    </r>
    <r>
      <rPr>
        <b/>
        <vertAlign val="superscript"/>
        <sz val="8"/>
        <rFont val="Verdana"/>
        <family val="2"/>
      </rPr>
      <t>/6</t>
    </r>
  </si>
  <si>
    <t>Obras con Interpretes nacionales</t>
  </si>
  <si>
    <t xml:space="preserve">Obras con Interpretes extranjeros </t>
  </si>
  <si>
    <r>
      <t>TOTAL DISTRIBUCIÓN</t>
    </r>
    <r>
      <rPr>
        <b/>
        <vertAlign val="superscript"/>
        <sz val="8"/>
        <color indexed="8"/>
        <rFont val="Verdana"/>
        <family val="2"/>
      </rPr>
      <t>/6/7</t>
    </r>
  </si>
  <si>
    <t>Obras liquidadas a Interpretes Nacionales</t>
  </si>
  <si>
    <t>Obras sin artistas de origen Nacional</t>
  </si>
  <si>
    <t>Obras liquidadas a Interpretes Extranjeros</t>
  </si>
  <si>
    <t>Obras sin artistas de origen Extranjero</t>
  </si>
  <si>
    <r>
      <rPr>
        <b/>
        <sz val="8"/>
        <rFont val="Verdana"/>
        <family val="2"/>
      </rPr>
      <t>1</t>
    </r>
    <r>
      <rPr>
        <sz val="8"/>
        <rFont val="Verdana"/>
        <family val="2"/>
      </rPr>
      <t xml:space="preserve"> Como medios de emisión se consideran: televisión abierta, televisión por cable, transporte, cine, hoteles y clínicas.</t>
    </r>
  </si>
  <si>
    <r>
      <rPr>
        <b/>
        <sz val="8"/>
        <rFont val="Verdana"/>
        <family val="2"/>
      </rPr>
      <t>2</t>
    </r>
    <r>
      <rPr>
        <sz val="8"/>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fue distribuido en Enero y  Diciembre de 2013.</t>
    </r>
  </si>
  <si>
    <r>
      <rPr>
        <b/>
        <sz val="8"/>
        <rFont val="Verdana"/>
        <family val="2"/>
      </rPr>
      <t>3</t>
    </r>
    <r>
      <rPr>
        <sz val="8"/>
        <rFont val="Verdana"/>
        <family val="2"/>
      </rPr>
      <t xml:space="preserve"> Desde el 2012 se incluye la composición de la recaudación según usuario de la comunicación.</t>
    </r>
  </si>
  <si>
    <r>
      <rPr>
        <b/>
        <sz val="8"/>
        <rFont val="Verdana"/>
        <family val="2"/>
      </rPr>
      <t>4</t>
    </r>
    <r>
      <rPr>
        <sz val="8"/>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</si>
  <si>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8"/>
        <rFont val="Verdana"/>
        <family val="2"/>
      </rPr>
      <t>5</t>
    </r>
    <r>
      <rPr>
        <sz val="8"/>
        <rFont val="Verdana"/>
        <family val="2"/>
      </rPr>
      <t xml:space="preserve"> Los ingresos por administración equivalen a una tasa de administración promedio obtenida una vez deducido el total de ingresos por inversiones.</t>
    </r>
  </si>
  <si>
    <r>
      <rPr>
        <b/>
        <sz val="8"/>
        <rFont val="Verdana"/>
        <family val="2"/>
      </rPr>
      <t>6</t>
    </r>
    <r>
      <rPr>
        <sz val="8"/>
        <rFont val="Verdana"/>
        <family val="2"/>
      </rPr>
      <t xml:space="preserve"> Distribuciones liquidadas a intérpretes.</t>
    </r>
  </si>
  <si>
    <r>
      <t>7</t>
    </r>
    <r>
      <rPr>
        <sz val="8"/>
        <rFont val="Verdana"/>
        <family val="2"/>
      </rPr>
      <t xml:space="preserve"> Desde el 2014  se presenta información de la distribución de acuerdo a la integración de los elencos en cada explotación emitida en los respectivos años.                                                                                                                                                                                          - </t>
    </r>
    <r>
      <rPr>
        <b/>
        <sz val="8"/>
        <rFont val="Verdana"/>
        <family val="2"/>
      </rPr>
      <t>Obras liquidadas a interpretes Nacionales o Extranjeros:</t>
    </r>
    <r>
      <rPr>
        <sz val="8"/>
        <rFont val="Verdana"/>
        <family val="2"/>
      </rPr>
      <t xml:space="preserve"> refiere a aquellos artistas chilenos que están formalmente identificados al momento de hacer la distribución de la recaudación.                                                                                                                                        -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 </t>
    </r>
  </si>
  <si>
    <t xml:space="preserve">   </t>
  </si>
  <si>
    <r>
      <t xml:space="preserve">TABLA 16.28: NÚMERO DE ACTORES FAVORECIDOS POR LA DISTRIBUCIÓN DE DERECHOS DE COMUNICACIÓN PÚBLICA DE LA CORPORACIÓN DE ACTORES DE CHILE (CHILEACTORES) POR </t>
    </r>
    <r>
      <rPr>
        <b/>
        <sz val="8"/>
        <rFont val="Verdana"/>
        <family val="2"/>
      </rPr>
      <t>TIPO</t>
    </r>
    <r>
      <rPr>
        <b/>
        <sz val="8"/>
        <color indexed="8"/>
        <rFont val="Verdana"/>
        <family val="2"/>
      </rPr>
      <t xml:space="preserve"> DE REPARTO Y SEXO, SEGÚN AFILIACIÓN. 2013-2015</t>
    </r>
  </si>
  <si>
    <t>AFILIACIÓN</t>
  </si>
  <si>
    <t>Primer reparto 2009-2011</t>
  </si>
  <si>
    <t>Segundo reparto año 2012</t>
  </si>
  <si>
    <t>Tercer reparto año 2013</t>
  </si>
  <si>
    <r>
      <t>Cuarto reparto año 2014</t>
    </r>
    <r>
      <rPr>
        <b/>
        <vertAlign val="superscript"/>
        <sz val="8"/>
        <color indexed="8"/>
        <rFont val="Verdana"/>
        <family val="2"/>
      </rPr>
      <t>/2</t>
    </r>
  </si>
  <si>
    <t>No socios</t>
  </si>
  <si>
    <r>
      <rPr>
        <b/>
        <sz val="8"/>
        <color indexed="8"/>
        <rFont val="Verdana"/>
        <family val="2"/>
      </rPr>
      <t>1</t>
    </r>
    <r>
      <rPr>
        <sz val="8"/>
        <color indexed="8"/>
        <rFont val="Verdana"/>
        <family val="2"/>
      </rPr>
      <t xml:space="preserve"> Durante el año 2013 se efectuaron dos repartos debido al cumplimiento efectivo de la Ley N° 20.243</t>
    </r>
    <r>
      <rPr>
        <b/>
        <sz val="8"/>
        <color indexed="8"/>
        <rFont val="Verdana"/>
        <family val="2"/>
      </rPr>
      <t xml:space="preserve"> </t>
    </r>
    <r>
      <rPr>
        <sz val="8"/>
        <color indexed="8"/>
        <rFont val="Verdana"/>
        <family val="2"/>
      </rPr>
      <t>que ordenó pagar derechos de comunicación generados desde la publicación de la ley en adelante. El acuerdo conseguido entre los canales y otros usuarios con Chileactores, les significó recaudar durante 2012 todo lo adeudado desde el noviembre del año 2009 hasta Diciembre de 2012, dinero que fue distribuido en Enero y Diciembre de 2013</t>
    </r>
  </si>
  <si>
    <r>
      <t>2</t>
    </r>
    <r>
      <rPr>
        <sz val="8"/>
        <color indexed="8"/>
        <rFont val="Verdana"/>
        <family val="2"/>
      </rPr>
      <t xml:space="preserve"> El aumento en el número de beneficiados con el reparto se produce principalmente por el incremento en el número de explotaciones emitidas y/o exhibidas durante el año 2014.</t>
    </r>
  </si>
  <si>
    <t>TABLA 16.29: CONSUMO PROMEDIO ANUAL DE TELEVISIÓN ABIERTA POR HORAS, SEGÚN RANGO ETARIO. 2011 - 2015</t>
  </si>
  <si>
    <t>RANGO ETARIO</t>
  </si>
  <si>
    <r>
      <t>Horas</t>
    </r>
    <r>
      <rPr>
        <b/>
        <vertAlign val="superscript"/>
        <sz val="8"/>
        <rFont val="Verdana"/>
        <family val="2"/>
      </rPr>
      <t>/1</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</si>
  <si>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</si>
  <si>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</si>
  <si>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</si>
  <si>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</si>
  <si>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</si>
  <si>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</si>
  <si>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</si>
  <si>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t>
    </r>
  </si>
  <si>
    <r>
      <t xml:space="preserve">TABLA 16.30: CONSUMO PROMEDIO ANUAL DE TELEVISIÓN ABIERTA PARA NIÑOS DE 4 A 12 AÑOS DE EDAD, SEGÚN GÉNERO TELEVISIVO. 2013 - 2015 </t>
    </r>
    <r>
      <rPr>
        <b/>
        <vertAlign val="superscript"/>
        <sz val="8"/>
        <rFont val="Verdana"/>
        <family val="2"/>
      </rPr>
      <t>/1</t>
    </r>
  </si>
  <si>
    <r>
      <t>Consumo infantil 4 - 12 años</t>
    </r>
    <r>
      <rPr>
        <b/>
        <vertAlign val="superscript"/>
        <sz val="8"/>
        <rFont val="Verdana"/>
        <family val="2"/>
      </rPr>
      <t>/2</t>
    </r>
  </si>
  <si>
    <r>
      <rPr>
        <b/>
        <sz val="8"/>
        <rFont val="Verdana"/>
        <family val="2"/>
      </rPr>
      <t xml:space="preserve">2 </t>
    </r>
    <r>
      <rPr>
        <sz val="8"/>
        <rFont val="Verdana"/>
        <family val="2"/>
      </rPr>
      <t>Cantidad de horas promedio de consumo anual.</t>
    </r>
  </si>
  <si>
    <r>
      <rPr>
        <b/>
        <sz val="8"/>
        <rFont val="Verdana"/>
        <family val="2"/>
      </rPr>
      <t>3</t>
    </r>
    <r>
      <rPr>
        <sz val="8"/>
        <rFont val="Verdana"/>
        <family val="2"/>
      </rPr>
      <t xml:space="preserve"> Las horas de consumo infantil se publican a con un decimal, pero se calculan con la totalidad de la cifra.</t>
    </r>
  </si>
  <si>
    <r>
      <t xml:space="preserve">TABLA 16.31: HORAS DE EMISIÓN DE PROGRAMACIÓN INFANTIL DE TELEVISIÓN ABIERTA, SEGÚN PROCEDENCIA. 2013 - 2015 </t>
    </r>
    <r>
      <rPr>
        <b/>
        <vertAlign val="superscript"/>
        <sz val="8"/>
        <rFont val="Verdana"/>
        <family val="2"/>
      </rPr>
      <t>/1</t>
    </r>
  </si>
  <si>
    <t>Sólo programación para niños entre 0 y 12 años</t>
  </si>
  <si>
    <t xml:space="preserve">Horas </t>
  </si>
  <si>
    <r>
      <t xml:space="preserve">TABLA 16.32: HORAS DE EMISIÓN ANUAL (TIEMPO Y PORCENTAJE DE OFERTA Y CONSUMO) FINANCIADAS POR EL FONDO DEL CONSEJO NACIONAL DE TELEVISIÓN (CNTV), SEGÚN TIPO DE PROGRAMACIÓN. 2013 - 2015 </t>
    </r>
    <r>
      <rPr>
        <b/>
        <vertAlign val="superscript"/>
        <sz val="8"/>
        <rFont val="Verdana"/>
        <family val="2"/>
      </rPr>
      <t>/1</t>
    </r>
  </si>
  <si>
    <t>Programación general</t>
  </si>
  <si>
    <t>Programación con fondos CNTV</t>
  </si>
  <si>
    <t>ORIGEN DE LA PELÍCULA</t>
  </si>
  <si>
    <t>NÚMERO DE PELÍCULAS</t>
  </si>
  <si>
    <t>Total general</t>
  </si>
  <si>
    <t>Coproducciones/Chile</t>
  </si>
  <si>
    <t>EE.UU</t>
  </si>
  <si>
    <t>Latinoamérica</t>
  </si>
  <si>
    <t>Otras procedencias</t>
  </si>
  <si>
    <r>
      <rPr>
        <b/>
        <sz val="8"/>
        <color theme="1"/>
        <rFont val="Verdana"/>
        <family val="2"/>
      </rPr>
      <t>1</t>
    </r>
    <r>
      <rPr>
        <sz val="8"/>
        <color theme="1"/>
        <rFont val="Verdana"/>
        <family val="2"/>
      </rPr>
      <t xml:space="preserve">  Las películas que corresponden a coproducciones se han clasificado según el país que tiene mayor participación en el proceso. </t>
    </r>
  </si>
  <si>
    <r>
      <rPr>
        <b/>
        <sz val="8"/>
        <color theme="1"/>
        <rFont val="Verdana"/>
        <family val="2"/>
      </rPr>
      <t>2</t>
    </r>
    <r>
      <rPr>
        <sz val="8"/>
        <color theme="1"/>
        <rFont val="Verdana"/>
        <family val="2"/>
      </rPr>
      <t xml:space="preserve">  Los datos se refieren a toda producción cinematográfica de coproducción donde se encuentre vínculado Chile.</t>
    </r>
  </si>
  <si>
    <r>
      <rPr>
        <b/>
        <sz val="8"/>
        <color theme="1"/>
        <rFont val="Verdana"/>
        <family val="2"/>
      </rPr>
      <t xml:space="preserve">Nota: </t>
    </r>
    <r>
      <rPr>
        <sz val="8"/>
        <color theme="1"/>
        <rFont val="Verdana"/>
        <family val="2"/>
      </rPr>
      <t>La tabla se realizó en basde a las peliculas exhibidas el año 2015. Las películas exhibidas consideran las películas estrenadas el año 2015 y las estrenadas en los meses finales del 2014 que contínuan siendo exhibidas el año siguiente.</t>
    </r>
  </si>
  <si>
    <t>Fuente: Estudio Oferta y consumo de cine en Chile (CNCA)</t>
  </si>
  <si>
    <t>TABLA 16.34: NÚMERO DE EMPRESAS DISTRIBUIDORAS DE CINE NACIONALES Y EXTRANJERAS, SEGÚN REGIÓN. 2015</t>
  </si>
  <si>
    <t>Distribuidora</t>
  </si>
  <si>
    <t>Extranjera</t>
  </si>
  <si>
    <t>FUENTE: Cámara de Distribuidores Cinematográficos (Cadic).</t>
  </si>
  <si>
    <t>TABLA 16.35:  NÚMERO DE TRABAJADORES AL AÑO EN DISTRIBUIDORAS DE CINE POR SEXO, SEGÚN REGIÓN. 2015</t>
  </si>
  <si>
    <t>Número de trabajadores</t>
  </si>
  <si>
    <t xml:space="preserve">Hombres </t>
  </si>
  <si>
    <t xml:space="preserve">Mujeres </t>
  </si>
  <si>
    <t>TABLA 16.36:  MONTOS RECAUDADOS DE PELÍCULAS ESTRENADAS Y EXHIBIDAS, SEGÚN ORIGEN DE LA PELÍCULA. 2015</t>
  </si>
  <si>
    <t>Recaudación Bruta</t>
  </si>
  <si>
    <r>
      <rPr>
        <b/>
        <sz val="8"/>
        <color theme="1"/>
        <rFont val="Verdana"/>
        <family val="2"/>
      </rPr>
      <t>Nota:</t>
    </r>
    <r>
      <rPr>
        <sz val="8"/>
        <color theme="1"/>
        <rFont val="Verdana"/>
        <family val="2"/>
      </rPr>
      <t xml:space="preserve">  La tabla se realizó en basde a las peliculas exhibidas el año 2015. Las películas exhibidas consideran las películas estrenadas el año 2015 y las estrenadas en los meses finales del 2014 que contínuan siendo exhibidas el año siguiente.</t>
    </r>
  </si>
  <si>
    <t>Fuente: Estudio Oferta y consumo de cine en Chile (CNCA).</t>
  </si>
  <si>
    <r>
      <t>TABLA 16.37: NÚMERO DE FUNCIONES DE CINE POR TIPO DE ASISTENCIA, SEGÚN REGIÓN. 2015</t>
    </r>
    <r>
      <rPr>
        <b/>
        <vertAlign val="superscript"/>
        <sz val="8"/>
        <color indexed="8"/>
        <rFont val="Verdana"/>
        <family val="2"/>
      </rPr>
      <t>/1</t>
    </r>
  </si>
  <si>
    <t xml:space="preserve">
Total </t>
  </si>
  <si>
    <r>
      <t>1</t>
    </r>
    <r>
      <rPr>
        <sz val="8"/>
        <color indexed="8"/>
        <rFont val="Verdana"/>
        <family val="2"/>
      </rPr>
      <t xml:space="preserve">  Los datos se refieren exclusivamente al movimiento registrado por los teatros, centros culturales y similares que respondieron la encuesta de Espectáculos Públicos realizada por el INE, declarando haber presentado espectáculos musicales por lo menos una vez en el año.</t>
    </r>
  </si>
  <si>
    <t>N° Salas</t>
  </si>
  <si>
    <t>N° Butacas</t>
  </si>
  <si>
    <t>Magallanes y Antártica Chilena</t>
  </si>
  <si>
    <r>
      <rPr>
        <b/>
        <sz val="8"/>
        <color theme="1"/>
        <rFont val="Verdana"/>
        <family val="2"/>
      </rPr>
      <t>Nota 1:</t>
    </r>
    <r>
      <rPr>
        <sz val="8"/>
        <color theme="1"/>
        <rFont val="Verdana"/>
        <family val="2"/>
      </rPr>
      <t xml:space="preserve"> La región de Aysén no cuenta con una sala formal de exhibición de películas. Hasta el 2014 se registraba en el anuario el teatro municipal de Aysén, el que en la actualidad es considerado un centro cultural por realizar distintas actividades artístico-culturales y no tener una programación exclusiva y contínua de películas.</t>
    </r>
  </si>
  <si>
    <r>
      <rPr>
        <b/>
        <sz val="8"/>
        <color theme="1"/>
        <rFont val="Verdana"/>
        <family val="2"/>
      </rPr>
      <t>Nota 2:</t>
    </r>
    <r>
      <rPr>
        <sz val="8"/>
        <color theme="1"/>
        <rFont val="Verdana"/>
        <family val="2"/>
      </rPr>
      <t xml:space="preserve">  La tabla se realizó en base a las peliculas exhibidas el año 2015. </t>
    </r>
  </si>
  <si>
    <t>Espectadores</t>
  </si>
  <si>
    <t>Lugar de origen de la película</t>
  </si>
  <si>
    <t xml:space="preserve"> EEUU</t>
  </si>
  <si>
    <t>Otros países</t>
  </si>
  <si>
    <t>TABLA 16.40: NÚMERO DE ESPECTADORES POR ORIGEN DE LA PELÍCULA SEGÚN REGIÓN. 2015</t>
  </si>
  <si>
    <t>ESPECTADORES</t>
  </si>
  <si>
    <r>
      <t xml:space="preserve">Coproducciones/Chile </t>
    </r>
    <r>
      <rPr>
        <b/>
        <vertAlign val="superscript"/>
        <sz val="8"/>
        <color theme="1"/>
        <rFont val="Verdana"/>
        <family val="2"/>
      </rPr>
      <t>/2</t>
    </r>
  </si>
  <si>
    <t>… Sin información</t>
  </si>
  <si>
    <t>CALIFICACIÓN CINEMATOGRÁFICA</t>
  </si>
  <si>
    <t>Mayores de 7 años</t>
  </si>
  <si>
    <t>13 años</t>
  </si>
  <si>
    <t>Mayores de 14 años</t>
  </si>
  <si>
    <t>Mayores de 18 años</t>
  </si>
  <si>
    <t>Todo espectador</t>
  </si>
  <si>
    <t>(SIN CLASIFICACIÓN)</t>
  </si>
  <si>
    <t xml:space="preserve">Fuente: Estudio Oferta y consumo de cine en Chile (CNCA). </t>
  </si>
  <si>
    <t>TABLA 16.42: NÚMERO DE ESPECTADORES ANUALES POR MES, SEGÚN REGIÓN. 2015</t>
  </si>
  <si>
    <t>Mes</t>
  </si>
  <si>
    <t>TABLA 16.43: NÚMERO DE ESPECTADORES A LAS VEINTE PELÍCULAS CON MAYOR VENTA DE ENTRADAS POR FECHA DE ESTRENO, CALIFICACIÓN, NÚMERO DE COPIAS VENDIDAS Y SEMANAS EN CARTELERA, SEGÚN TÍTULO DE LA PELÍCULA. 2015</t>
  </si>
  <si>
    <t>Títulos (en Chile y original)</t>
  </si>
  <si>
    <r>
      <t xml:space="preserve">RANKING DE VENTAS </t>
    </r>
    <r>
      <rPr>
        <b/>
        <vertAlign val="superscript"/>
        <sz val="8"/>
        <color theme="1"/>
        <rFont val="Verdana"/>
        <family val="2"/>
      </rPr>
      <t>/1</t>
    </r>
    <r>
      <rPr>
        <b/>
        <sz val="8"/>
        <color theme="1"/>
        <rFont val="Verdana"/>
        <family val="2"/>
      </rPr>
      <t xml:space="preserve"> </t>
    </r>
  </si>
  <si>
    <t>Nº Espectadores</t>
  </si>
  <si>
    <t>Fecha Estreno</t>
  </si>
  <si>
    <t>Género</t>
  </si>
  <si>
    <r>
      <t xml:space="preserve">Calificación </t>
    </r>
    <r>
      <rPr>
        <b/>
        <vertAlign val="superscript"/>
        <sz val="8"/>
        <color theme="1"/>
        <rFont val="Verdana"/>
        <family val="2"/>
      </rPr>
      <t>/2</t>
    </r>
  </si>
  <si>
    <t>Nº Copias</t>
  </si>
  <si>
    <t>Nº Semanas Cartelera</t>
  </si>
  <si>
    <t>País (es)</t>
  </si>
  <si>
    <t>Año Producción</t>
  </si>
  <si>
    <t>Minions</t>
  </si>
  <si>
    <t>TE</t>
  </si>
  <si>
    <t xml:space="preserve">EE.UU </t>
  </si>
  <si>
    <t>Intensa-mente</t>
  </si>
  <si>
    <t>Rápidos y Furiosos 7</t>
  </si>
  <si>
    <t>EE.UU, Japón</t>
  </si>
  <si>
    <t>Avengers: Era de Ultrón</t>
  </si>
  <si>
    <t>TE+7</t>
  </si>
  <si>
    <t>33, Los</t>
  </si>
  <si>
    <t>Jurassic Worl: Mundo Jurásico</t>
  </si>
  <si>
    <t>Terremoto: La falla de San Andrés</t>
  </si>
  <si>
    <t>Hotel Transylvania 2</t>
  </si>
  <si>
    <t>Star Wars: El despertar de la Fuerza</t>
  </si>
  <si>
    <t>Cincuenta sombras de Grey</t>
  </si>
  <si>
    <t>Juegos del hambre: Sinsajo-El Final, Los</t>
  </si>
  <si>
    <t>Gran Dinosaurio, Un</t>
  </si>
  <si>
    <t>Pinguinos de Madagascar, Los</t>
  </si>
  <si>
    <t>Home: No Hay lugar como el hogar</t>
  </si>
  <si>
    <t>Maze runner: Prueba de fuego</t>
  </si>
  <si>
    <t>Cenicienta, La</t>
  </si>
  <si>
    <t>Bob Esponja, Un héroes fuera del agua</t>
  </si>
  <si>
    <t>Busqueda Implacable 3</t>
  </si>
  <si>
    <t>Misión Rescate</t>
  </si>
  <si>
    <t>Insurgente</t>
  </si>
  <si>
    <r>
      <rPr>
        <b/>
        <sz val="8"/>
        <color theme="1"/>
        <rFont val="Verdana"/>
        <family val="2"/>
      </rPr>
      <t xml:space="preserve">1 </t>
    </r>
    <r>
      <rPr>
        <sz val="8"/>
        <color theme="1"/>
        <rFont val="Verdana"/>
        <family val="2"/>
      </rPr>
      <t xml:space="preserve"> Ranking de venta de entradas en orden descendente</t>
    </r>
  </si>
  <si>
    <r>
      <rPr>
        <b/>
        <sz val="8"/>
        <color theme="1"/>
        <rFont val="Verdana"/>
        <family val="2"/>
      </rPr>
      <t>2</t>
    </r>
    <r>
      <rPr>
        <sz val="8"/>
        <color theme="1"/>
        <rFont val="Verdana"/>
        <family val="2"/>
      </rPr>
      <t xml:space="preserve"> Calificación de películas, según edades: TE "Todo espectador", 14 "Mayores de 14 años", TE+7 "Todo Espectador y mayores de 7 años".</t>
    </r>
  </si>
  <si>
    <t xml:space="preserve">TABLA 16.44: NÚMERO DE ESPECTADORES A LAS TRES PELÍCULAS NACIONALES CON MAYOR VENTA DE ENTRADAS POR FECHA DE ESTRENO, CALIFICACIÓN, NÚMERO DE COPIAS VENDIDAS Y SEMANAS EN CARTELERA, SEGÚN TÍTULO DE LA PELÍCULA.2015 </t>
  </si>
  <si>
    <t>Bosque de Karadima, El</t>
  </si>
  <si>
    <t>Alma</t>
  </si>
  <si>
    <t>Chile, Argentina</t>
  </si>
  <si>
    <t>Memoria del agua, La</t>
  </si>
  <si>
    <t>Chile, España, Argentina, Alemania</t>
  </si>
  <si>
    <r>
      <t>TABLA 17.1: MATRÍCULA DE JÓVENES</t>
    </r>
    <r>
      <rPr>
        <b/>
        <vertAlign val="superscript"/>
        <sz val="8"/>
        <rFont val="Verdana"/>
        <family val="2"/>
      </rPr>
      <t>/1</t>
    </r>
    <r>
      <rPr>
        <b/>
        <sz val="8"/>
        <rFont val="Verdana"/>
        <family val="2"/>
      </rPr>
      <t xml:space="preserve"> CON ESPECIALIDAD CREATIVA EN ENSEÑANZA MEDIA TÉCNICA PROFESIONAL Y ARTÍSTICA POR NÚMERO DE ESTABLECIMIENTOS QUE LA IMPARTEN, SEGÚN REGIÓN. 2015</t>
    </r>
  </si>
  <si>
    <r>
      <t>Matrícula de jóvenes en EMTP</t>
    </r>
    <r>
      <rPr>
        <b/>
        <vertAlign val="superscript"/>
        <sz val="8"/>
        <rFont val="Verdana"/>
        <family val="2"/>
      </rPr>
      <t>/2</t>
    </r>
    <r>
      <rPr>
        <b/>
        <sz val="8"/>
        <rFont val="Verdana"/>
        <family val="2"/>
      </rPr>
      <t xml:space="preserve"> con especialidad creativa</t>
    </r>
  </si>
  <si>
    <t>Matrícula  de jóvenes en EMTP</t>
  </si>
  <si>
    <t>Número de establecimientos EMTP que imparten especialidades creativas</t>
  </si>
  <si>
    <t>Número de establecimientos EMTP</t>
  </si>
  <si>
    <r>
      <rPr>
        <b/>
        <sz val="8"/>
        <rFont val="Verdana"/>
        <family val="2"/>
      </rPr>
      <t xml:space="preserve">1 </t>
    </r>
    <r>
      <rPr>
        <sz val="8"/>
        <rFont val="Verdana"/>
        <family val="2"/>
      </rPr>
      <t>Por jóvenes se entiende a los alumnos matriculados de 15 a 29 años.</t>
    </r>
  </si>
  <si>
    <r>
      <rPr>
        <b/>
        <sz val="8"/>
        <rFont val="Verdana"/>
        <family val="2"/>
      </rPr>
      <t>2</t>
    </r>
    <r>
      <rPr>
        <sz val="8"/>
        <rFont val="Verdana"/>
        <family val="2"/>
      </rPr>
      <t xml:space="preserve"> Corresponde a Enseñanza Media Técnico Profesional y Artística.</t>
    </r>
  </si>
  <si>
    <t>FUENTE: Elaboración del Consejo Nacional de la Cultura y las Artes (CNCA), a partir de bases de datos del Ministerio de Educación (Mineduc).</t>
  </si>
  <si>
    <r>
      <t>TABLA 17.1 (R): MATRÍCULA DE JÓVENES</t>
    </r>
    <r>
      <rPr>
        <b/>
        <vertAlign val="superscript"/>
        <sz val="8"/>
        <rFont val="Verdana"/>
        <family val="2"/>
      </rPr>
      <t>/1</t>
    </r>
    <r>
      <rPr>
        <b/>
        <sz val="8"/>
        <rFont val="Verdana"/>
        <family val="2"/>
      </rPr>
      <t xml:space="preserve"> CON ESPECIALIDAD CREATIVA EN ENSEÑANZA MEDIA TÉCNICA PROFESIONAL Y ARTÍSTICA POR NÚMERO DE ESTABLECIMIENTOS QUE LA IMPARTEN, SEGÚN REGIÓN. 2014</t>
    </r>
  </si>
  <si>
    <r>
      <t>Matrícula de jóvenes en EMTP</t>
    </r>
    <r>
      <rPr>
        <b/>
        <vertAlign val="superscript"/>
        <sz val="8"/>
        <rFont val="Verdana"/>
        <family val="2"/>
      </rPr>
      <t>/R</t>
    </r>
  </si>
  <si>
    <r>
      <t>Número de establecimientos EMTP</t>
    </r>
    <r>
      <rPr>
        <b/>
        <vertAlign val="superscript"/>
        <sz val="8"/>
        <rFont val="Verdana"/>
        <family val="2"/>
      </rPr>
      <t>/R</t>
    </r>
  </si>
  <si>
    <r>
      <rPr>
        <b/>
        <sz val="8"/>
        <rFont val="Verdana"/>
        <family val="2"/>
      </rPr>
      <t xml:space="preserve">R </t>
    </r>
    <r>
      <rPr>
        <sz val="8"/>
        <rFont val="Verdana"/>
        <family val="2"/>
      </rPr>
      <t>Información rectificada</t>
    </r>
  </si>
  <si>
    <r>
      <t>TABLA 17.2: NÚMERO DE ALUMNOS MATRICULADOS EN ENSEÑANZA MEDIA TÉCNICA PROFESIONAL Y ARTÍSTICA, SEGÚN ESPECIALIDAD CREATIVA</t>
    </r>
    <r>
      <rPr>
        <b/>
        <vertAlign val="superscript"/>
        <sz val="8"/>
        <color theme="1"/>
        <rFont val="Verdana"/>
        <family val="2"/>
      </rPr>
      <t>/1</t>
    </r>
    <r>
      <rPr>
        <b/>
        <sz val="8"/>
        <color theme="1"/>
        <rFont val="Verdana"/>
        <family val="2"/>
      </rPr>
      <t>. 2015</t>
    </r>
  </si>
  <si>
    <t>ESPECIALIDAD CREATIVA</t>
  </si>
  <si>
    <t>Gráfica</t>
  </si>
  <si>
    <t>Dibujo técnico</t>
  </si>
  <si>
    <t>Textil</t>
  </si>
  <si>
    <t>Vestuario y Confección Textil</t>
  </si>
  <si>
    <t>Productos del cuero</t>
  </si>
  <si>
    <t>Artes Visuales</t>
  </si>
  <si>
    <t>Interpretación en Danza de Nivel Intermedio</t>
  </si>
  <si>
    <r>
      <rPr>
        <b/>
        <sz val="8"/>
        <rFont val="Verdana"/>
        <family val="2"/>
      </rPr>
      <t>1</t>
    </r>
    <r>
      <rPr>
        <sz val="8"/>
        <rFont val="Verdana"/>
        <family val="2"/>
      </rPr>
      <t xml:space="preserve"> Se consideraron 15 especialidades creativas de las cuales sólo 7 registraron movimiento en esta tabla. La 15 especialidades creativas consideradas son: Gráfica, Dibujo Técnico, Otra especialidad en sector Gráfica, Tejido, Textil, Vestuario y Confección Textil, Productos del cuero, Otra especialidad en sector Confección, Artes Visuales, Artes Audiovisuales, Diseño, Interpretación Teatral, Diseño Escénico, Interpretación en Danza de Nivel Intermedio y Monitoría de Danza.</t>
    </r>
  </si>
  <si>
    <t>TABLA 17.3: NÚMERO Y PORCENTAJE DE MATRÍCULAS DE JOVENES DE 15 A 29 AÑOS EN ENSEÑANZA MEDIA, SEGÚN ESPECIALIDAD CREATIVA O NO CREATIVA. 2014 - 2015</t>
  </si>
  <si>
    <t>ESPECIALIDAD</t>
  </si>
  <si>
    <t>No creativas</t>
  </si>
  <si>
    <r>
      <t>TABLA 17.4: NÚMERO DE CARRERAS IMPARTIDAS POR CENTROS DE EDUCACIÓN SUPERIOR POR TIPO DE CARRERA, SEGÚN DOMINIO Y SUBDOMINIO CULTURAL. 2015</t>
    </r>
    <r>
      <rPr>
        <b/>
        <vertAlign val="superscript"/>
        <sz val="8"/>
        <color theme="1"/>
        <rFont val="Verdana"/>
        <family val="2"/>
      </rPr>
      <t>/1</t>
    </r>
  </si>
  <si>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</si>
  <si>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</si>
  <si>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</si>
  <si>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</si>
  <si>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</si>
  <si>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</si>
  <si>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</si>
  <si>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Arquitectura, diseño y servicios creativos</t>
  </si>
  <si>
    <t>Arquitectura</t>
  </si>
  <si>
    <t>Diseño</t>
  </si>
  <si>
    <t>Servicios creativos digitales</t>
  </si>
  <si>
    <t>Artes escénicas</t>
  </si>
  <si>
    <t>Artes Escénicas</t>
  </si>
  <si>
    <t>Circo</t>
  </si>
  <si>
    <t>Danza</t>
  </si>
  <si>
    <t>Artes literarias, libros y prensa</t>
  </si>
  <si>
    <t>Editorial</t>
  </si>
  <si>
    <t>Artes musicales</t>
  </si>
  <si>
    <t>Postítulos en musicología y similares</t>
  </si>
  <si>
    <t>Producción musical</t>
  </si>
  <si>
    <t>Técnico música</t>
  </si>
  <si>
    <t>Artes visuales y fotografía</t>
  </si>
  <si>
    <t>Artes visuales</t>
  </si>
  <si>
    <t>Fotografía</t>
  </si>
  <si>
    <t>Artesanía</t>
  </si>
  <si>
    <t xml:space="preserve">Educación </t>
  </si>
  <si>
    <t>Pedagogía en artes escénicas</t>
  </si>
  <si>
    <t>Pedagogía en artes visuales</t>
  </si>
  <si>
    <t>Pedagogía en artes y cultura</t>
  </si>
  <si>
    <t>Pedagogía en educación tecnológica</t>
  </si>
  <si>
    <t>Pedagogía en literatura</t>
  </si>
  <si>
    <t>Pedagogía en música</t>
  </si>
  <si>
    <t>Pedagogía intercultural</t>
  </si>
  <si>
    <t>Pedagogía para la creatividad</t>
  </si>
  <si>
    <t>Estudios transversales</t>
  </si>
  <si>
    <t>Estudios transversales en artes</t>
  </si>
  <si>
    <t>Estudios transversales en cultura</t>
  </si>
  <si>
    <t>Gestión cultural</t>
  </si>
  <si>
    <t>Turismo Cultural</t>
  </si>
  <si>
    <t>Infraestructura y equipamiento</t>
  </si>
  <si>
    <t>Informática</t>
  </si>
  <si>
    <t xml:space="preserve">Innovación </t>
  </si>
  <si>
    <t>Robótica</t>
  </si>
  <si>
    <t>Medios audiovisuales e interactivos</t>
  </si>
  <si>
    <t>Animación y videojuegos</t>
  </si>
  <si>
    <t>Comunicación audiovisual y multimedia</t>
  </si>
  <si>
    <t>Locución</t>
  </si>
  <si>
    <t>Técnico audiovisual</t>
  </si>
  <si>
    <t>Patrimonio</t>
  </si>
  <si>
    <t>Arqueología</t>
  </si>
  <si>
    <t>Bibliotecología</t>
  </si>
  <si>
    <t>Conservación y restauración</t>
  </si>
  <si>
    <t>Estudios en patrimonio</t>
  </si>
  <si>
    <t>Interculturalidad</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</si>
  <si>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</si>
  <si>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FUENTE: Elaboración del Consejo Nacional de la Cultura y las Artes (CNCA) a partir de datos del Servicio de Información de Educación Superior (SIES) del MINEDUC. 2015</t>
  </si>
  <si>
    <r>
      <t>TABLA 17.5: NÚMERO DE MATRÍCULA EN INSTITUCIONES DE EDUCACIÓN SUPERIOR, POR SEXO, SEGÚN DOMINIO Y SUBDOMINIO CULTURAL. 2015</t>
    </r>
    <r>
      <rPr>
        <b/>
        <vertAlign val="superscript"/>
        <sz val="8"/>
        <rFont val="Verdana"/>
        <family val="2"/>
      </rPr>
      <t>/1</t>
    </r>
  </si>
  <si>
    <t>Matriculados ambos sexos</t>
  </si>
  <si>
    <t>Mujeres matriculadas</t>
  </si>
  <si>
    <t>Hombres matriculados</t>
  </si>
  <si>
    <r>
      <t>TABLA 17.6: NÚMERO DE CARRERAS IMPARTIDAS Y NÚMERO DE MATRICULADOS EN INSTITUCIONES DE EDUCACIÓN SUPERIOR POR REGIÓN, SEGÚN DOMINIO Y SUBDOMINO CULTURAL. 2015</t>
    </r>
    <r>
      <rPr>
        <b/>
        <vertAlign val="superscript"/>
        <sz val="8"/>
        <rFont val="Verdana"/>
        <family val="2"/>
      </rPr>
      <t>/1</t>
    </r>
  </si>
  <si>
    <t>Carreras creativas</t>
  </si>
  <si>
    <t>Matriculados</t>
  </si>
  <si>
    <t>Número de matriculados</t>
  </si>
  <si>
    <t>Turismo cultural</t>
  </si>
  <si>
    <r>
      <t>TABLA 17.7: NÚMERO DE CARRERAS CREATIVAS IMPARTIDAS EN INSTITUCIONES DE EDUCACIÓN SUPERIOR POR GRADO, SEGÚN DOMINIO Y SUBDOMINO CULTURAL. 2015</t>
    </r>
    <r>
      <rPr>
        <b/>
        <vertAlign val="superscript"/>
        <sz val="8"/>
        <rFont val="Verdana"/>
        <family val="2"/>
      </rPr>
      <t>/1</t>
    </r>
  </si>
  <si>
    <t>DOMINIO Y SUBDOMINIO</t>
  </si>
  <si>
    <t>Postgrado</t>
  </si>
  <si>
    <t>Postítulo</t>
  </si>
  <si>
    <t>Pregrado</t>
  </si>
  <si>
    <r>
      <t>TABLA 17.8: NÚMERO DE CARRERAS CREATIVAS POR DISCIPLINA, SEGÚN INSTITUCIÓN QUE LA IMPARTE EN CHILE. 2015</t>
    </r>
    <r>
      <rPr>
        <b/>
        <vertAlign val="superscript"/>
        <sz val="8"/>
        <color theme="1"/>
        <rFont val="Verdana"/>
        <family val="2"/>
      </rPr>
      <t>/1</t>
    </r>
  </si>
  <si>
    <t>NOMBRE INSTITUCIÓN</t>
  </si>
  <si>
    <t>CFT ALPES</t>
  </si>
  <si>
    <t>CFT ANDRÉS BELLO</t>
  </si>
  <si>
    <t>CFT BARROS ARANA</t>
  </si>
  <si>
    <t>CFT CEDUC - UCN</t>
  </si>
  <si>
    <t>CFT CENCO</t>
  </si>
  <si>
    <t>CFT CRECIC</t>
  </si>
  <si>
    <t>CFT DE ENAC</t>
  </si>
  <si>
    <t>CFT DE ENSEÑANZA DE ALTA COSTURA PAULINA DIARD</t>
  </si>
  <si>
    <t>CFT DE LA INDUSTRIA GRÁFICA - INGRAF</t>
  </si>
  <si>
    <t>CFT DEL MEDIO AMBIENTE</t>
  </si>
  <si>
    <t>CFT DUOC UC</t>
  </si>
  <si>
    <t>CFT ESCUELA CULINARIA FRANCESA - ECOLE</t>
  </si>
  <si>
    <t>CFT ESCUELA DE ARTES APLICADAS OFICIOS DEL FUEGO</t>
  </si>
  <si>
    <t>CFT ESTUDIO PROFESOR VALERO</t>
  </si>
  <si>
    <t>CFT ICEL</t>
  </si>
  <si>
    <t>CFT INACAP</t>
  </si>
  <si>
    <t>CFT INSTITUTO CENTRAL DE CAPACITACIÓN EDUCACIONAL ICCE</t>
  </si>
  <si>
    <t>CFT INSTITUTO TECNOLÓGICO DE CHILE - I.T.C.</t>
  </si>
  <si>
    <t>CFT JUAN BOHON</t>
  </si>
  <si>
    <t>CFT LOS LAGOS</t>
  </si>
  <si>
    <t>CFT LOTA-ARAUCO</t>
  </si>
  <si>
    <t>CFT PROANDES</t>
  </si>
  <si>
    <t>CFT SANTO TOMÁS</t>
  </si>
  <si>
    <t>CFT TEODORO WICKEL KLUWEN</t>
  </si>
  <si>
    <t>CFT U.VALPO.</t>
  </si>
  <si>
    <t>CFT UCEVALPO</t>
  </si>
  <si>
    <t>IP AIEP</t>
  </si>
  <si>
    <t>IP CARLOS CASANUEVA</t>
  </si>
  <si>
    <t>IP CIISA</t>
  </si>
  <si>
    <t>IP DE ARTE Y COMUNICACIÓN ARCOS</t>
  </si>
  <si>
    <t>IP DE ARTES ESCÉNICAS KAREN CONNOLLY</t>
  </si>
  <si>
    <t>IP DE CHILE</t>
  </si>
  <si>
    <t>IP DE CIENCIAS DE LA COMPUTACIÓN ACUARIO DATA</t>
  </si>
  <si>
    <t>IP DE CIENCIAS Y ARTES INCACEA</t>
  </si>
  <si>
    <t>IP DEL VALLE CENTRAL</t>
  </si>
  <si>
    <t>IP DIEGO PORTALES</t>
  </si>
  <si>
    <t>IP DR. VIRGINIO GÓMEZ G.</t>
  </si>
  <si>
    <t>IP DUOC UC</t>
  </si>
  <si>
    <t>IP ESCUELA DE CINE DE CHILE</t>
  </si>
  <si>
    <t>IP ESCUELA MODERNA DE MÚSICA</t>
  </si>
  <si>
    <t>IP ESUCOMEX</t>
  </si>
  <si>
    <t>IP INACAP</t>
  </si>
  <si>
    <t>IP INSTITUTO INTERNACIONAL DE ARTES CULINARIAS Y SERVICIOS</t>
  </si>
  <si>
    <t>IP INSTITUTO SUPERIOR DE ARTES Y CIENCIAS DE LA COMUNICACIÓN</t>
  </si>
  <si>
    <t>IP IPG</t>
  </si>
  <si>
    <t>IP LA ARAUCANA</t>
  </si>
  <si>
    <t>IP LATINOAMERICANO DE COMERCIO EXTERIOR</t>
  </si>
  <si>
    <t>IP LIBERTADOR DE LOS ANDES</t>
  </si>
  <si>
    <t>IP LOS LAGOS</t>
  </si>
  <si>
    <t>IP LOS LEONES</t>
  </si>
  <si>
    <t>IP PROJAZZ</t>
  </si>
  <si>
    <t>IP PROVIDENCIA</t>
  </si>
  <si>
    <t>IP SANTO TOMÁS</t>
  </si>
  <si>
    <t>PONTIFICIA UNIVERSIDAD CATÓLICA DE CHILE</t>
  </si>
  <si>
    <t>PONTIFICIA UNIVERSIDAD CATÓLICA DE VALPARAÍSO</t>
  </si>
  <si>
    <t>UNIVERSIDAD ACADEMIA DE HUMANISMO CRISTIANO</t>
  </si>
  <si>
    <t>UNIVERSIDAD ADOLFO IBAÑEZ</t>
  </si>
  <si>
    <t>UNIVERSIDAD ADVENTISTA DE CHILE</t>
  </si>
  <si>
    <t>UNIVERSIDAD ALBERTO HURTADO</t>
  </si>
  <si>
    <t>UNIVERSIDAD ANDRÉS BELLO</t>
  </si>
  <si>
    <t>UNIVERSIDAD ARTURO PRAT</t>
  </si>
  <si>
    <t>UNIVERSIDAD AUSTRAL DE CHILE</t>
  </si>
  <si>
    <t>UNIVERSIDAD AUTÓNOMA DE CHILE</t>
  </si>
  <si>
    <t>UNIVERSIDAD BERNARDO O'HIGGINS</t>
  </si>
  <si>
    <t>UNIVERSIDAD BOLIVARIANA</t>
  </si>
  <si>
    <t>UNIVERSIDAD CATÓLICA DE LA SANTÍSIMA CONCEPCIÓN</t>
  </si>
  <si>
    <t>UNIVERSIDAD CATÓLICA DE TEMUCO</t>
  </si>
  <si>
    <t>UNIVERSIDAD CATÓLICA DEL MAULE</t>
  </si>
  <si>
    <t>UNIVERSIDAD CATÓLICA DEL NORTE</t>
  </si>
  <si>
    <t>UNIVERSIDAD CATÓLICA SILVA HENRÍQUEZ</t>
  </si>
  <si>
    <t>UNIVERSIDAD CENTRAL DE CHILE</t>
  </si>
  <si>
    <t>UNIVERSIDAD DE ACONCAGUA</t>
  </si>
  <si>
    <t>UNIVERSIDAD DE ANTOFAGASTA</t>
  </si>
  <si>
    <t>UNIVERSIDAD DE ARTE Y CIENCIAS SOCIALES ARCIS</t>
  </si>
  <si>
    <t>UNIVERSIDAD DE ARTES, CIENCIAS Y COMUNICACIÓN - UNIACC</t>
  </si>
  <si>
    <t>UNIVERSIDAD DE ATACAMA</t>
  </si>
  <si>
    <t>UNIVERSIDAD DE CHILE</t>
  </si>
  <si>
    <t>UNIVERSIDAD DE CONCEPCIÓN</t>
  </si>
  <si>
    <t>UNIVERSIDAD DE LA FRONTERA</t>
  </si>
  <si>
    <t>UNIVERSIDAD DE LA SERENA</t>
  </si>
  <si>
    <t>UNIVERSIDAD DE LAS AMÉRICAS</t>
  </si>
  <si>
    <t>UNIVERSIDAD DE LOS ANDES</t>
  </si>
  <si>
    <t>UNIVERSIDAD DE LOS LAGOS</t>
  </si>
  <si>
    <t>UNIVERSIDAD DE MAGALLANES</t>
  </si>
  <si>
    <t>UNIVERSIDAD DE PLAYA ANCHA DE CIENCIAS DE LA EDUCACIÓN</t>
  </si>
  <si>
    <t>UNIVERSIDAD DE SANTIAGO DE CHILE</t>
  </si>
  <si>
    <t>UNIVERSIDAD DE TALCA</t>
  </si>
  <si>
    <t>UNIVERSIDAD DE TARAPACÁ</t>
  </si>
  <si>
    <t>UNIVERSIDAD DE VALPARAÍSO</t>
  </si>
  <si>
    <t>UNIVERSIDAD DE VIÑA DEL MAR</t>
  </si>
  <si>
    <t>UNIVERSIDAD DEL BÍO-BÍO</t>
  </si>
  <si>
    <t>UNIVERSIDAD DEL DESARROLLO</t>
  </si>
  <si>
    <t>UNIVERSIDAD DEL MAR</t>
  </si>
  <si>
    <t>UNIVERSIDAD DEL PACÍFICO</t>
  </si>
  <si>
    <t>UNIVERSIDAD DIEGO PORTALES</t>
  </si>
  <si>
    <t>UNIVERSIDAD FINIS TERRAE</t>
  </si>
  <si>
    <t>UNIVERSIDAD GABRIELA MISTRAL</t>
  </si>
  <si>
    <t>UNIVERSIDAD IBEROAMERICANA DE CIENCIAS Y TECNOLOGÍA, UNICYT</t>
  </si>
  <si>
    <t>UNIVERSIDAD LA ARAUCANA</t>
  </si>
  <si>
    <t>UNIVERSIDAD LOS LEONES</t>
  </si>
  <si>
    <t>UNIVERSIDAD MAYOR</t>
  </si>
  <si>
    <t>UNIVERSIDAD METROPOLITANA DE CIENCIAS DE LA EDUCACIÓN</t>
  </si>
  <si>
    <t>UNIVERSIDAD MIGUEL DE CERVANTES</t>
  </si>
  <si>
    <t>UNIVERSIDAD PEDRO DE VALDIVIA</t>
  </si>
  <si>
    <t>UNIVERSIDAD SAN SEBASTIÁN</t>
  </si>
  <si>
    <t>UNIVERSIDAD SANTO TOMÁS</t>
  </si>
  <si>
    <t>UNIVERSIDAD SEK</t>
  </si>
  <si>
    <t>UNIVERSIDAD TÉCNICA FEDERICO SANTA MARÍA</t>
  </si>
  <si>
    <t>UNIVERSIDAD TECNOLÓGICA DE CHILE INACAP</t>
  </si>
  <si>
    <t>UNIVERSIDAD TECNOLÓGICA METROPOLITANA</t>
  </si>
  <si>
    <t>UNIVERSIDAD UCINF</t>
  </si>
  <si>
    <r>
      <t>TABLA 17.9: NÚMERO TOTAL DE CARRERAS CREATIVAS Y NÚMERO TOTAL DE MATRICULADOS, SEGÚN CENTRO DE EDUCACIÓN SUPERIOR E INSTITUCIÓN QUE LA IMPARTE. 2015</t>
    </r>
    <r>
      <rPr>
        <b/>
        <vertAlign val="superscript"/>
        <sz val="8"/>
        <rFont val="Verdana"/>
        <family val="2"/>
      </rPr>
      <t>/1</t>
    </r>
  </si>
  <si>
    <t>TOTAL CARRERAS</t>
  </si>
  <si>
    <t>TOTAL MATRICULADOS</t>
  </si>
  <si>
    <t>CENTROS DE FORMACION TÉCNICA</t>
  </si>
  <si>
    <t>CFT ANDRES BELLO</t>
  </si>
  <si>
    <t>CFT DE LA INDUSTRIA GRAFICA - INGRAF</t>
  </si>
  <si>
    <t>CFT INSTITUTO TECNOLOGICO DE CHILE - I.T.C.</t>
  </si>
  <si>
    <t>INSTITUTO PROFESIONAL</t>
  </si>
  <si>
    <t>UNIVERSIDAD</t>
  </si>
  <si>
    <t>PONTIFICIA UNIVERSIDAD CATÓLICA DE VALPARAISO</t>
  </si>
  <si>
    <t>UNIVERSIDAD ADOLFO IBÁÑEZ</t>
  </si>
  <si>
    <r>
      <t>TABLA 18.1: NÚMERO DE EMPRESAS PROVEEDORAS DE CONEXIÓN A INTERNET POR MODALIDAD, SEGÚN REGIÓN. 2011-2015</t>
    </r>
    <r>
      <rPr>
        <b/>
        <vertAlign val="superscript"/>
        <sz val="8"/>
        <rFont val="Verdana"/>
        <family val="2"/>
      </rPr>
      <t>/1</t>
    </r>
  </si>
  <si>
    <r>
      <t>Modalidad fija</t>
    </r>
    <r>
      <rPr>
        <b/>
        <vertAlign val="superscript"/>
        <sz val="8"/>
        <rFont val="Verdana"/>
        <family val="2"/>
      </rPr>
      <t>/2</t>
    </r>
  </si>
  <si>
    <r>
      <t>Modalidadmóvil</t>
    </r>
    <r>
      <rPr>
        <b/>
        <vertAlign val="superscript"/>
        <sz val="8"/>
        <rFont val="Verdana"/>
        <family val="2"/>
      </rPr>
      <t>/3</t>
    </r>
  </si>
  <si>
    <r>
      <t>TOTAL</t>
    </r>
    <r>
      <rPr>
        <b/>
        <vertAlign val="superscript"/>
        <sz val="8"/>
        <rFont val="Verdana"/>
        <family val="2"/>
      </rPr>
      <t>/4</t>
    </r>
  </si>
  <si>
    <r>
      <t xml:space="preserve">1 </t>
    </r>
    <r>
      <rPr>
        <sz val="8"/>
        <rFont val="Verdana"/>
        <family val="2"/>
      </rPr>
      <t>Total de empresas que informaron a Subtel al mes de diciembre de cada año.</t>
    </r>
  </si>
  <si>
    <r>
      <t xml:space="preserve">2 </t>
    </r>
    <r>
      <rPr>
        <sz val="8"/>
        <rFont val="Verdana"/>
        <family val="2"/>
      </rPr>
      <t>La modalidad fija corresponde al número de clientes con conexión punto a punto, las tecnologías de acceso son DLS, cable módem y WLL, entre otros. Las empresas identificadas a nivel nacional no están presentes en todas las regiones.</t>
    </r>
  </si>
  <si>
    <r>
      <t>3</t>
    </r>
    <r>
      <rPr>
        <sz val="8"/>
        <rFont val="Verdana"/>
        <family val="2"/>
      </rPr>
      <t xml:space="preserve"> Las conexiones móviles (3G+4G) se encuentran disponibles</t>
    </r>
    <r>
      <rPr>
        <sz val="8"/>
        <color rgb="FFFF0000"/>
        <rFont val="Verdana"/>
        <family val="2"/>
      </rPr>
      <t xml:space="preserve"> </t>
    </r>
    <r>
      <rPr>
        <sz val="8"/>
        <rFont val="Verdana"/>
        <family val="2"/>
      </rPr>
      <t>sólo a nivel nacional, sin apertura por región.</t>
    </r>
  </si>
  <si>
    <r>
      <t>4</t>
    </r>
    <r>
      <rPr>
        <sz val="8"/>
        <color rgb="FFFF0000"/>
        <rFont val="Verdana"/>
        <family val="2"/>
      </rPr>
      <t xml:space="preserve"> </t>
    </r>
    <r>
      <rPr>
        <sz val="8"/>
        <rFont val="Verdana"/>
        <family val="2"/>
      </rPr>
      <t xml:space="preserve">Los totales presentados por cada modalidad, no corresponden a la suma de los valores regionales. Esta situación se debe a que una misma empresa puede prestar servicios en más de una región. </t>
    </r>
  </si>
  <si>
    <t>TABLA 18.2: NÚMERO DE CONEXIONES A INTERNET POR TIPO DE ACCESO, SEGÚN REGIÓN. 2015</t>
  </si>
  <si>
    <t>Número de conexiones a internet</t>
  </si>
  <si>
    <r>
      <t xml:space="preserve">Total </t>
    </r>
    <r>
      <rPr>
        <b/>
        <vertAlign val="superscript"/>
        <sz val="8"/>
        <rFont val="Verdana"/>
        <family val="2"/>
      </rPr>
      <t>/1</t>
    </r>
  </si>
  <si>
    <t>Tipo de acceso</t>
  </si>
  <si>
    <r>
      <t>Modalidad móvil 3G+4G</t>
    </r>
    <r>
      <rPr>
        <b/>
        <vertAlign val="superscript"/>
        <sz val="8"/>
        <rFont val="Verdana"/>
        <family val="2"/>
      </rPr>
      <t>/3</t>
    </r>
  </si>
  <si>
    <r>
      <t>1</t>
    </r>
    <r>
      <rPr>
        <sz val="8"/>
        <rFont val="Verdana"/>
        <family val="2"/>
      </rPr>
      <t xml:space="preserve"> El total vertical general no cuadra porque en él se incluyen las conexiones móviles (3G+4G), sin apertura por región.</t>
    </r>
  </si>
  <si>
    <r>
      <t xml:space="preserve">2 </t>
    </r>
    <r>
      <rPr>
        <sz val="8"/>
        <rFont val="Verdana"/>
        <family val="2"/>
      </rPr>
      <t>La modalidad fija corresponde al número de clientes con conexión punto a punto y las tecnologías de acceso por DLS, cable móden y WLL, entre otros. Las empresas identificadas a nivel nacional no están presentes en todas las regiones.</t>
    </r>
  </si>
  <si>
    <r>
      <rPr>
        <b/>
        <sz val="8"/>
        <rFont val="Verdana"/>
        <family val="2"/>
      </rPr>
      <t>3</t>
    </r>
    <r>
      <rPr>
        <sz val="8"/>
        <rFont val="Verdana"/>
        <family val="2"/>
      </rPr>
      <t xml:space="preserve"> Las conexiones móviles (3G+4G) se encuentran disponibles sólo a nivel nacional, sin apertura por región.</t>
    </r>
  </si>
  <si>
    <t>TABLA 18.3: NÚMERO DE CONEXIONES FIJAS, SEGÚN TIPO DE SUSCRIPTOR. 2011-2015</t>
  </si>
  <si>
    <t>TIPO DE SUSCRIPTOR</t>
  </si>
  <si>
    <t>Residenciales</t>
  </si>
  <si>
    <t>Comerciales</t>
  </si>
  <si>
    <t>Sin segmento</t>
  </si>
  <si>
    <t>FUENTE: Subsecretaría de Telecomunicaciones (Subtel) Series estadísticas.</t>
  </si>
  <si>
    <t>TABLA 18.4: TASA DE CONEXIONES FIJAS RESIDENCIALES POR CADA CIEN HABITANTES. 2011-2015</t>
  </si>
  <si>
    <t>País</t>
  </si>
  <si>
    <r>
      <t>Modalidad</t>
    </r>
    <r>
      <rPr>
        <b/>
        <vertAlign val="superscript"/>
        <sz val="8"/>
        <rFont val="Verdana"/>
        <family val="2"/>
      </rPr>
      <t>/1</t>
    </r>
  </si>
  <si>
    <t>Tasa conexiones residenciales por cada 100 habitantes</t>
  </si>
  <si>
    <r>
      <rPr>
        <b/>
        <sz val="8"/>
        <rFont val="Verdana"/>
        <family val="2"/>
      </rPr>
      <t>1</t>
    </r>
    <r>
      <rPr>
        <sz val="8"/>
        <rFont val="Verdana"/>
        <family val="2"/>
      </rPr>
      <t xml:space="preserve"> La modalidad fija corresponde al número de clientes con conexión punto a punto, las tecnologías de acceso son DLS, cable módem y WLL, entre otros. Las empresas identificadas a nivel nacional no están presentes en todas las regiones.</t>
    </r>
  </si>
  <si>
    <t>TABLA 18.5:  NÚMERO DE CONEXIONES RESIDENCIALES DE BANDA ANCHA A INTERNET. 2011-2015</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</si>
  <si>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</si>
  <si>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</si>
  <si>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</si>
  <si>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2011-2015</t>
  </si>
  <si>
    <t>Porcentaje de usuarios con internet</t>
  </si>
  <si>
    <t>Penetración (fija/población)</t>
  </si>
  <si>
    <t>FUENTE: Unión Internacional de Telecomunicaciones de las Naciones Unidas (UIT). Subsecretaría de Telecomunicaciones (Subtel).</t>
  </si>
  <si>
    <t>TABLA 18.7: PENETRACIÓN MUNDIAL DE INTERNET POR CADA CIEN HABITANTES, COMPARACIÓN DE VARIOS PAÍSES. 2011-2015</t>
  </si>
  <si>
    <t xml:space="preserve">
PAÍS
</t>
  </si>
  <si>
    <r>
      <t>PENETRACIÓN INTERNET (FIJO+MÓVIL)/POBL POR CADA 100 HABS.</t>
    </r>
    <r>
      <rPr>
        <b/>
        <vertAlign val="superscript"/>
        <sz val="8"/>
        <rFont val="Verdana"/>
        <family val="2"/>
      </rPr>
      <t>/1</t>
    </r>
  </si>
  <si>
    <t>JUNIO 2011</t>
  </si>
  <si>
    <t>JUNIO 2012</t>
  </si>
  <si>
    <t>JUNIO 2013</t>
  </si>
  <si>
    <t>JUNIO 2014</t>
  </si>
  <si>
    <t>JUNIO 2015</t>
  </si>
  <si>
    <t>Australia</t>
  </si>
  <si>
    <t>Austria</t>
  </si>
  <si>
    <t>Bélgica</t>
  </si>
  <si>
    <t>Canadá</t>
  </si>
  <si>
    <r>
      <t>Chile</t>
    </r>
    <r>
      <rPr>
        <b/>
        <vertAlign val="superscript"/>
        <sz val="8"/>
        <color rgb="FF222222"/>
        <rFont val="Verdana"/>
        <family val="2"/>
      </rPr>
      <t>/2</t>
    </r>
  </si>
  <si>
    <t>República Checa</t>
  </si>
  <si>
    <t>Dinamarca</t>
  </si>
  <si>
    <t>Estonia</t>
  </si>
  <si>
    <t>Finlandia</t>
  </si>
  <si>
    <t>Francia</t>
  </si>
  <si>
    <t>Alemania</t>
  </si>
  <si>
    <t>Grecia</t>
  </si>
  <si>
    <t>Hungría</t>
  </si>
  <si>
    <t>Islandia</t>
  </si>
  <si>
    <t>Irlanda</t>
  </si>
  <si>
    <t>Israel</t>
  </si>
  <si>
    <t>Italia</t>
  </si>
  <si>
    <t>Japón</t>
  </si>
  <si>
    <t>Corea</t>
  </si>
  <si>
    <t>Luxemburgo</t>
  </si>
  <si>
    <t>México</t>
  </si>
  <si>
    <t>Países Bajos</t>
  </si>
  <si>
    <t>Nueva Zelanda</t>
  </si>
  <si>
    <t>Noruega</t>
  </si>
  <si>
    <t>Polonia</t>
  </si>
  <si>
    <t>Portugal</t>
  </si>
  <si>
    <t>República Eslovaca</t>
  </si>
  <si>
    <t>Eslovenia</t>
  </si>
  <si>
    <t>España</t>
  </si>
  <si>
    <t>Suecia</t>
  </si>
  <si>
    <t>Suiza</t>
  </si>
  <si>
    <t>Turquía</t>
  </si>
  <si>
    <t>Reino Unido</t>
  </si>
  <si>
    <t>Estados Unidos</t>
  </si>
  <si>
    <r>
      <rPr>
        <b/>
        <sz val="8"/>
        <rFont val="Verdana"/>
        <family val="2"/>
      </rPr>
      <t>1</t>
    </r>
    <r>
      <rPr>
        <sz val="8"/>
        <rFont val="Verdana"/>
        <family val="2"/>
      </rPr>
      <t xml:space="preserve"> Los datos de penetraciones UIT (fijo+móvil) provienen de la suma de los indicadores:         1.5.1. OECD historical fixed broadband penetration rates y 1.5.2. OECD historical mobile broadband penetration rates.
</t>
    </r>
    <r>
      <rPr>
        <b/>
        <sz val="8"/>
        <rFont val="Verdana"/>
        <family val="2"/>
      </rPr>
      <t>Estadísticas de la OCDE de banda ancha</t>
    </r>
    <r>
      <rPr>
        <sz val="8"/>
        <rFont val="Verdana"/>
        <family val="2"/>
      </rPr>
      <t xml:space="preserve">
1.5.1. OECD historical fixed (wired) broadband penetration rates (cable) las tasas de penetración de banda ancha fija históricos de la OCDE
1.5.2. OECD historical wireless broadband penetration rates las tasas de penetración de banda ancha inalámbrica histórica de la OCDE
</t>
    </r>
  </si>
  <si>
    <r>
      <t xml:space="preserve">2 </t>
    </r>
    <r>
      <rPr>
        <sz val="8"/>
        <color indexed="8"/>
        <rFont val="Verdana"/>
        <family val="2"/>
      </rPr>
      <t>Los datos de Chile se encuentran actualizados de acuerdo a las series estadísticas existentes.</t>
    </r>
  </si>
  <si>
    <t>TABLA 19.1: NÚMERO DE PERSONAS CON RECONOCIMIENTO DE CALIDAD INDÍGENA (LEY 19.253) POR SEXO Y UNIDAD OPERATIVA, SEGÚN REGIÓN. 2013-2015</t>
  </si>
  <si>
    <t>Unidad operativa</t>
  </si>
  <si>
    <t>N° Certificados</t>
  </si>
  <si>
    <t xml:space="preserve">Hombre </t>
  </si>
  <si>
    <t xml:space="preserve">Mujer </t>
  </si>
  <si>
    <t>Dirección Regional Arica y Parinacota</t>
  </si>
  <si>
    <t>Subdirección Nacional Iquique</t>
  </si>
  <si>
    <t>Oficina de Asuntos Indígenas San Pedro de Atacama</t>
  </si>
  <si>
    <t>Oficina Conadi Copiapó</t>
  </si>
  <si>
    <t>Oficina de Asuntos Indígenas Santiago</t>
  </si>
  <si>
    <r>
      <t>Valparaíso (continental)</t>
    </r>
    <r>
      <rPr>
        <vertAlign val="superscript"/>
        <sz val="8"/>
        <color indexed="8"/>
        <rFont val="Verdana"/>
        <family val="2"/>
      </rPr>
      <t>/1</t>
    </r>
  </si>
  <si>
    <r>
      <t>Valparaíso (insular)</t>
    </r>
    <r>
      <rPr>
        <vertAlign val="superscript"/>
        <sz val="8"/>
        <color indexed="8"/>
        <rFont val="Verdana"/>
        <family val="2"/>
      </rPr>
      <t>/2</t>
    </r>
  </si>
  <si>
    <t>Oficina de Asuntos Indígenas Isla de Pascua</t>
  </si>
  <si>
    <t>Dirección Regional Cañete</t>
  </si>
  <si>
    <t>Subdirección Nacional Temuco</t>
  </si>
  <si>
    <t>Dirección Regional Valdivia</t>
  </si>
  <si>
    <t>Dirección Regional Osorno</t>
  </si>
  <si>
    <t>Oficina CONADI Coyhaique</t>
  </si>
  <si>
    <t>Oficina de Asuntos Indígenas Punta Arenas</t>
  </si>
  <si>
    <r>
      <t>1</t>
    </r>
    <r>
      <rPr>
        <sz val="8"/>
        <color indexed="8"/>
        <rFont val="Verdana"/>
        <family val="2"/>
      </rPr>
      <t xml:space="preserve"> Excluye la comuna de Isla de Pascua.</t>
    </r>
  </si>
  <si>
    <r>
      <t>2</t>
    </r>
    <r>
      <rPr>
        <sz val="8"/>
        <color indexed="8"/>
        <rFont val="Verdana"/>
        <family val="2"/>
      </rPr>
      <t xml:space="preserve"> Sólo considera la comuna de Isla de Pascua.</t>
    </r>
  </si>
  <si>
    <t>FUENTE: Corporación Nacional de Desarrollo Indígena (Conadi).</t>
  </si>
  <si>
    <t>TABLA 19.2: DISTRIBUCIÓN DE POBLACIÓN POR PUEBLO ORIGINARIO, SEGÚN RECONOCIMIENTO DE PUEBLOS ORIGINARIOS (LEY N° 19.253). 2012-2015</t>
  </si>
  <si>
    <t>PUEBLO INDÍGENA</t>
  </si>
  <si>
    <t>Población por pueblo</t>
  </si>
  <si>
    <t>Mapuche</t>
  </si>
  <si>
    <t>Rapa Nui</t>
  </si>
  <si>
    <t>Atacameño</t>
  </si>
  <si>
    <t>Colla</t>
  </si>
  <si>
    <t>Diaguita</t>
  </si>
  <si>
    <t>Kawashkar</t>
  </si>
  <si>
    <t>Yagán</t>
  </si>
  <si>
    <t>TABLA 19.3: NÚMERO DE BECAS INDÍGENAS OTORGADAS POR NIVEL DE EDUCACIÓN Y SEXO SEGÚN REGIÓN.  2011-2015</t>
  </si>
  <si>
    <t>Total Regional
2011</t>
  </si>
  <si>
    <t>Educación básica</t>
  </si>
  <si>
    <t>Educación media</t>
  </si>
  <si>
    <t>Educación superior</t>
  </si>
  <si>
    <t>Total Regional
2012</t>
  </si>
  <si>
    <t>Cobertura</t>
  </si>
  <si>
    <t>FUENTE: Corporación Nacional de Desarrollo Indígena (Conadi) - Junta Nacional de Auxilio Escolar y Becas (Junaeb).</t>
  </si>
  <si>
    <t>(CONTINUACIÓN TABLA 19.3)</t>
  </si>
  <si>
    <t>Total Regional
2013</t>
  </si>
  <si>
    <t>Total Regional
2014</t>
  </si>
  <si>
    <t>FUENTE: Corporación Nacional de Desarrollo Indígena (Conadi). Junta Nacional de Auxilio Escolar y Becas (Junaeb).</t>
  </si>
  <si>
    <t>Total Regional
2015</t>
  </si>
  <si>
    <t>TABLA 19.4: MONTO DE LA INVERSIÓN EN BECAS INDÍGENAS POR NIVEL DE EDUCACIÓN, SEGÚN REGIÓN. 2011-2015</t>
  </si>
  <si>
    <t>Total regional 2011</t>
  </si>
  <si>
    <t>Nivel de educación</t>
  </si>
  <si>
    <t>Total regional 2012</t>
  </si>
  <si>
    <t>Total regional 2013</t>
  </si>
  <si>
    <t>Media</t>
  </si>
  <si>
    <t>Superior</t>
  </si>
  <si>
    <t>(CONTINUACIÓN TABLA 19.4)</t>
  </si>
  <si>
    <t>Total regional 2014</t>
  </si>
  <si>
    <t>Total regional 2015</t>
  </si>
  <si>
    <t>TABLA 19.5: NÚMERO DE ALUMNOS INDÍGENAS BENEFICIARIOS DE BECAS INDÍGENAS POR NIVEL DE EDUCACIÓN, SEGÚN PUEBLO ORIGINARIO Y NIVEL DE EDUCACIÓN. 2011-2015</t>
  </si>
  <si>
    <t>PUEBLO ORIGINARIO</t>
  </si>
  <si>
    <t xml:space="preserve">Educación superior </t>
  </si>
  <si>
    <t>Kawhaskar</t>
  </si>
  <si>
    <t>Yagan</t>
  </si>
  <si>
    <t>TABLA 19.6: NÚMERO DE BECAS OTORGADAS EN POST-GRADO POR SEXO, SEGÚN REGIÓN. 2011-2015</t>
  </si>
  <si>
    <r>
      <rPr>
        <b/>
        <sz val="8"/>
        <color indexed="8"/>
        <rFont val="Verdana"/>
        <family val="2"/>
      </rPr>
      <t xml:space="preserve">R </t>
    </r>
    <r>
      <rPr>
        <sz val="8"/>
        <color indexed="8"/>
        <rFont val="Verdana"/>
        <family val="2"/>
      </rPr>
      <t>Cifras rectificadas por el informante.</t>
    </r>
  </si>
  <si>
    <t>FUENTE: Corporación Nacional de Desarrollo Indígena (Conadi). Unidad de Cultura y Educación.</t>
  </si>
  <si>
    <t>TABLA 19.7: NÚMERO DE PROGRAMAS FONDO DE CULTURA POR UNIDAD OPERATIVA Y MONTO DE LA INVERSIÓN, SEGÚN REGIÓN. 2011-2015</t>
  </si>
  <si>
    <t>CULTURA 2011</t>
  </si>
  <si>
    <t>CULTURA 2012</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</si>
  <si>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</si>
  <si>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</si>
  <si>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</si>
  <si>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</si>
  <si>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</si>
  <si>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</si>
  <si>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</si>
  <si>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</si>
  <si>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t>Tarapacá / Atacama</t>
  </si>
  <si>
    <t>Coquimbo / Valparaíso cont. / Metropolitana / O'Higgins</t>
  </si>
  <si>
    <t>Cañete</t>
  </si>
  <si>
    <t>Los Lagos / Aysén</t>
  </si>
  <si>
    <r>
      <t>Varias</t>
    </r>
    <r>
      <rPr>
        <vertAlign val="superscript"/>
        <sz val="8"/>
        <color indexed="8"/>
        <rFont val="Verdana"/>
        <family val="2"/>
      </rPr>
      <t>/4</t>
    </r>
  </si>
  <si>
    <t>Dirección Nacional</t>
  </si>
  <si>
    <t>(CONTINUACIÓN TABLA 19.7)</t>
  </si>
  <si>
    <t>CULTURA 2013</t>
  </si>
  <si>
    <t>CULTURA 2014</t>
  </si>
  <si>
    <t>Dirección nacional</t>
  </si>
  <si>
    <t>CULTURA 2015</t>
  </si>
  <si>
    <t>DIF /1</t>
  </si>
  <si>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</si>
  <si>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</si>
  <si>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</si>
  <si>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PAT</t>
    </r>
    <r>
      <rPr>
        <b/>
        <vertAlign val="superscript"/>
        <sz val="8"/>
        <color indexed="8"/>
        <rFont val="Verdana"/>
        <family val="2"/>
      </rPr>
      <t xml:space="preserve"> /3</t>
    </r>
  </si>
  <si>
    <r>
      <t xml:space="preserve">PAT ($) </t>
    </r>
    <r>
      <rPr>
        <b/>
        <vertAlign val="superscript"/>
        <sz val="8"/>
        <color indexed="8"/>
        <rFont val="Verdana"/>
        <family val="2"/>
      </rPr>
      <t>/3</t>
    </r>
  </si>
  <si>
    <r>
      <t>1</t>
    </r>
    <r>
      <rPr>
        <sz val="8"/>
        <color indexed="8"/>
        <rFont val="Verdana"/>
        <family val="2"/>
      </rPr>
      <t xml:space="preserve"> DIF: Programa de Difusión y Fomento de las Culturas Indígenas.</t>
    </r>
  </si>
  <si>
    <r>
      <t>2</t>
    </r>
    <r>
      <rPr>
        <sz val="8"/>
        <color indexed="8"/>
        <rFont val="Verdana"/>
        <family val="2"/>
      </rPr>
      <t xml:space="preserve"> LEN: Programa de Recuperación y Revitalización de las Lenguas Indígenas.</t>
    </r>
  </si>
  <si>
    <r>
      <t>3</t>
    </r>
    <r>
      <rPr>
        <sz val="8"/>
        <color indexed="8"/>
        <rFont val="Verdana"/>
        <family val="2"/>
      </rPr>
      <t xml:space="preserve"> PAT: Programa Manejo y Protección del Patrimonio Cultural Indígena.</t>
    </r>
  </si>
  <si>
    <t>TABLA 19.8: NÚMERO DE PROGRAMAS DE FONDO DE EDUCACIÓN POR UNIDAD OPERATIVA Y MONTO DE LA INVERSIÓN, SEGÚN REGIÓN. 2011-2015</t>
  </si>
  <si>
    <t>EDUCACIÓN 2011</t>
  </si>
  <si>
    <t>EDUCACIÓN 2012</t>
  </si>
  <si>
    <r>
      <t>EIB</t>
    </r>
    <r>
      <rPr>
        <b/>
        <vertAlign val="superscript"/>
        <sz val="8"/>
        <rFont val="Verdana"/>
        <family val="2"/>
      </rPr>
      <t>/1</t>
    </r>
  </si>
  <si>
    <r>
      <t>EIB</t>
    </r>
    <r>
      <rPr>
        <b/>
        <vertAlign val="superscript"/>
        <sz val="8"/>
        <rFont val="Verdana"/>
        <family val="2"/>
      </rPr>
      <t>/1</t>
    </r>
    <r>
      <rPr>
        <b/>
        <sz val="8"/>
        <rFont val="Verdana"/>
        <family val="2"/>
      </rPr>
      <t xml:space="preserve"> ($)</t>
    </r>
  </si>
  <si>
    <r>
      <t>CAP</t>
    </r>
    <r>
      <rPr>
        <b/>
        <vertAlign val="superscript"/>
        <sz val="8"/>
        <rFont val="Verdana"/>
        <family val="2"/>
      </rPr>
      <t>/2</t>
    </r>
  </si>
  <si>
    <r>
      <t>CAP</t>
    </r>
    <r>
      <rPr>
        <b/>
        <vertAlign val="superscript"/>
        <sz val="8"/>
        <rFont val="Verdana"/>
        <family val="2"/>
      </rPr>
      <t>/2</t>
    </r>
    <r>
      <rPr>
        <b/>
        <sz val="8"/>
        <rFont val="Verdana"/>
        <family val="2"/>
      </rPr>
      <t xml:space="preserve"> ($)</t>
    </r>
  </si>
  <si>
    <t>Varias</t>
  </si>
  <si>
    <t>(CONTINUACIÓN TABLA 19.8)</t>
  </si>
  <si>
    <t>EDUCACIÓN 2013</t>
  </si>
  <si>
    <t>EDUCACIÓN 2014</t>
  </si>
  <si>
    <t>EDUCACIÓN 2015</t>
  </si>
  <si>
    <r>
      <t xml:space="preserve">EIB </t>
    </r>
    <r>
      <rPr>
        <b/>
        <vertAlign val="superscript"/>
        <sz val="8"/>
        <color indexed="8"/>
        <rFont val="Verdana"/>
        <family val="2"/>
      </rPr>
      <t>/1</t>
    </r>
  </si>
  <si>
    <r>
      <t xml:space="preserve">EIB ($) </t>
    </r>
    <r>
      <rPr>
        <b/>
        <vertAlign val="superscript"/>
        <sz val="8"/>
        <color indexed="8"/>
        <rFont val="Verdana"/>
        <family val="2"/>
      </rPr>
      <t>/1</t>
    </r>
  </si>
  <si>
    <r>
      <t>CAP</t>
    </r>
    <r>
      <rPr>
        <b/>
        <vertAlign val="superscript"/>
        <sz val="8"/>
        <color indexed="8"/>
        <rFont val="Verdana"/>
        <family val="2"/>
      </rPr>
      <t xml:space="preserve"> /2</t>
    </r>
  </si>
  <si>
    <r>
      <t xml:space="preserve">CAP ($) </t>
    </r>
    <r>
      <rPr>
        <b/>
        <vertAlign val="superscript"/>
        <sz val="8"/>
        <color indexed="8"/>
        <rFont val="Verdana"/>
        <family val="2"/>
      </rPr>
      <t>/2</t>
    </r>
  </si>
  <si>
    <r>
      <t>1</t>
    </r>
    <r>
      <rPr>
        <sz val="8"/>
        <color indexed="8"/>
        <rFont val="Verdana"/>
        <family val="2"/>
      </rPr>
      <t xml:space="preserve"> EIB: Programa de Aplicación del Diseño Curricular y pedagógico Intercultural Bilingüe (EIB).</t>
    </r>
  </si>
  <si>
    <r>
      <t>2</t>
    </r>
    <r>
      <rPr>
        <sz val="8"/>
        <color indexed="8"/>
        <rFont val="Verdana"/>
        <family val="2"/>
      </rPr>
      <t xml:space="preserve"> CAP: Programa Subsidio a la Capacitación y Especialización de Indígenas.</t>
    </r>
  </si>
  <si>
    <t>TABLA 19.9: DISTRIBUCIÓN REGIONAL DE FONDOS CONCURSABLES PARA SUBSIDIOS DE CAPACITACIÓN Y ESPECIALIZACIÓN DE PROFESIONALES Y TÉCNICOS INDÍGENAS POR SEXO, SEGÚN REGIÓN. 2011-2015</t>
  </si>
  <si>
    <t>Monto ($)</t>
  </si>
  <si>
    <r>
      <t>Hombre</t>
    </r>
    <r>
      <rPr>
        <b/>
        <vertAlign val="superscript"/>
        <sz val="8"/>
        <rFont val="Verdana"/>
        <family val="2"/>
      </rPr>
      <t>/1</t>
    </r>
  </si>
  <si>
    <t>(CONTINUACIÓN TABLA 19.9)</t>
  </si>
  <si>
    <r>
      <t>2014</t>
    </r>
    <r>
      <rPr>
        <b/>
        <vertAlign val="superscript"/>
        <sz val="8"/>
        <rFont val="Verdana"/>
        <family val="2"/>
      </rPr>
      <t>/ R</t>
    </r>
  </si>
  <si>
    <r>
      <t xml:space="preserve">R </t>
    </r>
    <r>
      <rPr>
        <sz val="8"/>
        <color indexed="8"/>
        <rFont val="Verdana"/>
        <family val="2"/>
      </rPr>
      <t>Cifras rectificadas por el informante.</t>
    </r>
  </si>
  <si>
    <t>TABLA 19.10: NÚMERO DE PROYECTOS DEL FONDO DE DESARROLLO INDÍGENA (FDI) Y MONTO DE LA INVERSIÓN, SEGÚN REGIÓN Y UNIDAD OPERATIVA. 2011-2015</t>
  </si>
  <si>
    <t>N° proyectos</t>
  </si>
  <si>
    <t>Tarapacá/Atacama</t>
  </si>
  <si>
    <t>Coquimbo/ Valparaíso cont./ Metropolitana/ O'Higgins</t>
  </si>
  <si>
    <t>Los Lagos/Aysén</t>
  </si>
  <si>
    <t>TABLA 19.11: NÚMERO DE INSCRIPCIONES EN EL REGISTRO PÚBLICO DE TIERRAS INDÍGENAS EMITIDOS, SEGÚN REGISTRO PÚBLICO Y REGIÓN. 2011-2015</t>
  </si>
  <si>
    <t>REGISTRO PÚBLICO Y REGIÓN</t>
  </si>
  <si>
    <r>
      <t>Comunidad</t>
    </r>
    <r>
      <rPr>
        <b/>
        <vertAlign val="superscript"/>
        <sz val="8"/>
        <rFont val="Verdana"/>
        <family val="2"/>
      </rPr>
      <t>/1</t>
    </r>
  </si>
  <si>
    <t>Norte</t>
  </si>
  <si>
    <t>Registro Insular</t>
  </si>
  <si>
    <r>
      <t>Insular Rapa Nui</t>
    </r>
    <r>
      <rPr>
        <vertAlign val="superscript"/>
        <sz val="8"/>
        <color indexed="8"/>
        <rFont val="Verdana"/>
        <family val="2"/>
      </rPr>
      <t>/2</t>
    </r>
  </si>
  <si>
    <t>Centro Sur</t>
  </si>
  <si>
    <t>Sur</t>
  </si>
  <si>
    <t>Magallanes y Aysén</t>
  </si>
  <si>
    <r>
      <rPr>
        <b/>
        <sz val="8"/>
        <color indexed="8"/>
        <rFont val="Verdana"/>
        <family val="2"/>
      </rPr>
      <t>R</t>
    </r>
    <r>
      <rPr>
        <sz val="8"/>
        <color indexed="8"/>
        <rFont val="Verdana"/>
        <family val="2"/>
      </rPr>
      <t xml:space="preserve"> Cifras rectificadas por el informante para los años de esta serie. </t>
    </r>
  </si>
  <si>
    <r>
      <rPr>
        <b/>
        <sz val="8"/>
        <rFont val="Verdana"/>
        <family val="2"/>
      </rPr>
      <t>1</t>
    </r>
    <r>
      <rPr>
        <sz val="8"/>
        <rFont val="Verdana"/>
        <family val="2"/>
      </rPr>
      <t xml:space="preserve"> La categoría Comunidad incluye el número de inscripciones de la totalidad de una Comunidades, parte de Comunidades, Sucesiones.</t>
    </r>
  </si>
  <si>
    <r>
      <rPr>
        <b/>
        <sz val="8"/>
        <color indexed="8"/>
        <rFont val="Verdana"/>
        <family val="2"/>
      </rPr>
      <t>2</t>
    </r>
    <r>
      <rPr>
        <sz val="8"/>
        <color indexed="8"/>
        <rFont val="Verdana"/>
        <family val="2"/>
      </rPr>
      <t xml:space="preserve"> EL RPTI Insular Rapa Nui, comprende las tierras correspondientes a la provincia Isla de Pascua de la Región de Valparaíso.</t>
    </r>
  </si>
  <si>
    <r>
      <t xml:space="preserve">TABLA 20.1: NÚMERO DE RECINTOS ENTREGADOS POR ENCARGO DE GESTIÓN </t>
    </r>
    <r>
      <rPr>
        <b/>
        <vertAlign val="superscript"/>
        <sz val="8"/>
        <color indexed="8"/>
        <rFont val="Verdana"/>
        <family val="2"/>
      </rPr>
      <t>/1</t>
    </r>
    <r>
      <rPr>
        <b/>
        <sz val="8"/>
        <color indexed="8"/>
        <rFont val="Verdana"/>
        <family val="2"/>
      </rPr>
      <t>, SEGÚN REGIÓN. 2011-2015</t>
    </r>
  </si>
  <si>
    <t>FUENTE: Instituto Nacional de Deportes (IND). Departamento de Gestión de Recintos Deportivos.</t>
  </si>
  <si>
    <t>TABLA 20.2: NÚMERO DE PROYECTOS DEL FONDO NACIONAL DE FOMENTO PARA EL DEPORTE APROBADOS Y MONTOS, SEGÚN MODALIDAD DE ASIGNACIÓN. 2015</t>
  </si>
  <si>
    <t>MODALIDAD DE ASIGNACIÓN</t>
  </si>
  <si>
    <t>Inscritos</t>
  </si>
  <si>
    <t>Proyectos (N°)</t>
  </si>
  <si>
    <t>Monto (M$)</t>
  </si>
  <si>
    <t>Asignación directa</t>
  </si>
  <si>
    <t>Concurso artículo 48</t>
  </si>
  <si>
    <t>FUENTE: Instituto Nacional de Deportes (IND). Sistema de administración de proyectos (Sisap) 2014.</t>
  </si>
  <si>
    <t>TABLA 20.3: NÚMERO DE PROYECTOS DEL FONDO NACIONAL DE FOMENTO PARA EL DEPORTE APROBADOS Y MONTO, SEGÚN CATEGORÍA DEPORTIVA. 2015</t>
  </si>
  <si>
    <t>CATEGORÍA DEPORTIVA</t>
  </si>
  <si>
    <t>Formación para el deporte</t>
  </si>
  <si>
    <t>Deporte recreativo</t>
  </si>
  <si>
    <t>Deporte de competición</t>
  </si>
  <si>
    <t>Infraestructura (obra menor)</t>
  </si>
  <si>
    <t>Ciencias del deporte</t>
  </si>
  <si>
    <t>Deporte de alto rendimiento</t>
  </si>
  <si>
    <t>TABLA 20.4: NÚMERO DE PROYECTOS APROBADOS POR EL REGISTRO NACIONAL DE DONACIONES CON FINES DEPORTIVOS A TRAVÉS DEL SISTEMA DE FRANQUICIA TRIBUTARIA Y MONTO TOTAL DEL FINANCIAMIENTO EJECUTADO. 2011-2015</t>
  </si>
  <si>
    <t>PROYECTOS FINANCIADOS Y MONTO EJECUTADO</t>
  </si>
  <si>
    <t>Número de proyectos aprobados</t>
  </si>
  <si>
    <r>
      <t>2015</t>
    </r>
    <r>
      <rPr>
        <b/>
        <vertAlign val="superscript"/>
        <sz val="8"/>
        <color indexed="8"/>
        <rFont val="Verdana"/>
        <family val="2"/>
      </rPr>
      <t>/1</t>
    </r>
  </si>
  <si>
    <t>N° de proyectos financiados</t>
  </si>
  <si>
    <t>Monto ejecutado MM$</t>
  </si>
  <si>
    <r>
      <rPr>
        <b/>
        <sz val="8"/>
        <rFont val="Verdana"/>
        <family val="2"/>
      </rPr>
      <t>1</t>
    </r>
    <r>
      <rPr>
        <sz val="8"/>
        <rFont val="Verdana"/>
        <family val="2"/>
      </rPr>
      <t xml:space="preserve"> El año 2015 contempló tres periodos de postulación y no cuatro como en el año 2014.</t>
    </r>
  </si>
  <si>
    <t xml:space="preserve">FUENTE: Instituto Nacional de Deportes (IND). </t>
  </si>
  <si>
    <t>TABLA 20.5: NÚMERO DE ORGANIZACIONES DEPORTIVAS INSCRITAS EN EL REGISTRO NACIONAL DE ORGANIZACIONES DEPORTIVAS (RNO), SEGÚN REGIÓN. 2011-2015</t>
  </si>
  <si>
    <t>Organizaciones deportivas inscritas</t>
  </si>
  <si>
    <r>
      <rPr>
        <b/>
        <sz val="8"/>
        <rFont val="Verdana"/>
        <family val="2"/>
      </rPr>
      <t xml:space="preserve">1 </t>
    </r>
    <r>
      <rPr>
        <sz val="8"/>
        <rFont val="Verdana"/>
        <family val="2"/>
      </rPr>
      <t>La cifra reportada el año 2011, contiene información del RNO hasta el mes de junio del año 2012.</t>
    </r>
  </si>
  <si>
    <r>
      <rPr>
        <b/>
        <sz val="8"/>
        <rFont val="Verdana"/>
        <family val="2"/>
      </rPr>
      <t xml:space="preserve">2 </t>
    </r>
    <r>
      <rPr>
        <sz val="8"/>
        <rFont val="Verdana"/>
        <family val="2"/>
      </rPr>
      <t>La cifra reportada el año 2012, contiene información del RNO hasta el mes de abril del año 2013.</t>
    </r>
  </si>
  <si>
    <r>
      <rPr>
        <b/>
        <sz val="8"/>
        <rFont val="Verdana"/>
        <family val="2"/>
      </rPr>
      <t>3</t>
    </r>
    <r>
      <rPr>
        <sz val="8"/>
        <rFont val="Verdana"/>
        <family val="2"/>
      </rPr>
      <t xml:space="preserve"> La cifra reportada el año 2013, contiene información del RNO de 14 de mayo de 2014.</t>
    </r>
  </si>
  <si>
    <r>
      <rPr>
        <b/>
        <sz val="8"/>
        <rFont val="Verdana"/>
        <family val="2"/>
      </rPr>
      <t>4</t>
    </r>
    <r>
      <rPr>
        <sz val="8"/>
        <rFont val="Verdana"/>
        <family val="2"/>
      </rPr>
      <t xml:space="preserve"> La cifra reportada el año 2014, contiene información del RNO de 01 de abril de 2015.</t>
    </r>
  </si>
  <si>
    <r>
      <rPr>
        <b/>
        <sz val="8"/>
        <rFont val="Verdana"/>
        <family val="2"/>
      </rPr>
      <t>5</t>
    </r>
    <r>
      <rPr>
        <sz val="8"/>
        <rFont val="Verdana"/>
        <family val="2"/>
      </rPr>
      <t xml:space="preserve"> La cifra reportada el año 2015, contiene información del RNO de 23 de diciembre de 2015.</t>
    </r>
  </si>
  <si>
    <t>FUENTE: Instituto Nacional de Deportes (IND). Departamento de organizaciones deportivas.</t>
  </si>
  <si>
    <t>TABLA 20.6: NÚMERO DE PERSONAS BENEFICIADAS CON LOS PROYECTOS APROBADOS POR SEXO, SEGÚN MODALIDAD DE ASIGNACIÓN. 2015</t>
  </si>
  <si>
    <t>Personas beneficiadas</t>
  </si>
  <si>
    <t>Concurso art 48</t>
  </si>
  <si>
    <t>TABLA 20.7: NÚMERO DE COMUNAS BENEFICIADAS CON LOS PROYECTOS APROBADOS, SEGÚN MODALIDAD DE ASIGNACIÓN. 2011-2015</t>
  </si>
  <si>
    <t>Número de comunas beneficiadas</t>
  </si>
  <si>
    <t>TABLA 20.8: NÚMERO DE COMPETENCIAS, SEGÚN PROGRAMA DE DEPORTE MASIVO. 2012-2015</t>
  </si>
  <si>
    <t>PROGRAMA DE DEPORTE MASIVO</t>
  </si>
  <si>
    <t>Número de competencias</t>
  </si>
  <si>
    <t>Ligas deportivas escolares</t>
  </si>
  <si>
    <t>Juegos deportivos escolares</t>
  </si>
  <si>
    <t>Ligas deportivas de educación superior</t>
  </si>
  <si>
    <r>
      <t>Juegos deportivos nacionales</t>
    </r>
    <r>
      <rPr>
        <vertAlign val="superscript"/>
        <sz val="8"/>
        <color indexed="8"/>
        <rFont val="Verdana"/>
        <family val="2"/>
      </rPr>
      <t>/2</t>
    </r>
  </si>
  <si>
    <t>Sudamericano escolar</t>
  </si>
  <si>
    <t>Juegos de integración</t>
  </si>
  <si>
    <r>
      <rPr>
        <b/>
        <sz val="8"/>
        <rFont val="Verdana"/>
        <family val="2"/>
      </rPr>
      <t>1</t>
    </r>
    <r>
      <rPr>
        <sz val="8"/>
        <rFont val="Verdana"/>
        <family val="2"/>
      </rPr>
      <t xml:space="preserve"> Durante el 2015 el n° de competencias aumento en un 58% respecto al año 2014. Lo anterior, se debe al aumento de acciones ejecutadas para los distintos componentes del Sistema Nacional de Competencias Deportivas, según el detalle que se describe a continuación: 
1.- Ligas deportivas Escolares (Juegos Pre deportivos Escolares), se generaron ligas deportivas (por disciplina) en vez de eventos deportivos lo que produjo mayor cantidad de competencias de forma sistemática por tener más partidos. 
2.- Juegos Deportivos Escolares, en el caso de la competencia en la etapa nacional se sumo el género femenino en la disciplina de fútbol, lo que produjo mayor participación y n° de competencias, además de una modificación en fixture para aumentar la cantidad de partidos por colegio en algunas etapas.
3.- Ligas de Educación Superior, se modificaron los fixture a modo de asegurar a los deportistas una mayor cantidad de partidos en la fase regular de las etapas Regional y Nacional.
4.- Juegos Deportivos Nacionales, no fueron ejecutados durante el año 2014, por lo tanto el incremento respecto al año anterior es lógico.
5.- Juegos de Integración, en los deportes colectivos se estableció generar campeonato que asegurarán a lo menos tres partidos a cada equipo para la etapa de selección, y también para los deportes individuales campeonatos de a lo menos dos fechas. Lo anterior, produjo un aumento considerable en el n° de competencias realizadas respecto al periodo anterior (2014).
</t>
    </r>
  </si>
  <si>
    <r>
      <rPr>
        <b/>
        <sz val="8"/>
        <color indexed="8"/>
        <rFont val="Verdana"/>
        <family val="2"/>
      </rPr>
      <t xml:space="preserve">2 </t>
    </r>
    <r>
      <rPr>
        <sz val="8"/>
        <color indexed="8"/>
        <rFont val="Verdana"/>
        <family val="2"/>
      </rPr>
      <t>No se dispone de información para el programa juegos deportivos nacionales durante el año 2012, debido a que comenzó a implementarse en el año 2013.</t>
    </r>
  </si>
  <si>
    <r>
      <rPr>
        <b/>
        <sz val="8"/>
        <rFont val="Verdana"/>
        <family val="2"/>
      </rPr>
      <t>Nota:</t>
    </r>
    <r>
      <rPr>
        <sz val="8"/>
        <rFont val="Verdana"/>
        <family val="2"/>
      </rPr>
      <t xml:space="preserve"> Esta misma información forma parte de la Memoria 2015 del departamento de Deporte Competitivo del IND, instancia donde radica la responsabilidad del Sistema Nacional de Competencia.</t>
    </r>
  </si>
  <si>
    <r>
      <t>TABLA 20.9: NÚMERO DE PERSONAS PARTICIPANTES EN PROGRAMAS DE DEPORTE MASIVO</t>
    </r>
    <r>
      <rPr>
        <b/>
        <vertAlign val="superscript"/>
        <sz val="8"/>
        <color indexed="8"/>
        <rFont val="Verdana"/>
        <family val="2"/>
      </rPr>
      <t>/1</t>
    </r>
    <r>
      <rPr>
        <b/>
        <sz val="8"/>
        <color indexed="8"/>
        <rFont val="Verdana"/>
        <family val="2"/>
      </rPr>
      <t>, SEGÚN TIPO DE COMPETENCIAS. 2011-2015</t>
    </r>
  </si>
  <si>
    <r>
      <t>TIPO DE COMPETENCIAS</t>
    </r>
    <r>
      <rPr>
        <b/>
        <vertAlign val="superscript"/>
        <sz val="8"/>
        <color indexed="8"/>
        <rFont val="Verdana"/>
        <family val="2"/>
      </rPr>
      <t>/2</t>
    </r>
  </si>
  <si>
    <t>Número de personas participantes</t>
  </si>
  <si>
    <t xml:space="preserve">Juegos de integración </t>
  </si>
  <si>
    <t>Juegos sudamericanos</t>
  </si>
  <si>
    <t>Juegos deportivos nacionales</t>
  </si>
  <si>
    <t>Tour IND</t>
  </si>
  <si>
    <t>Hijos de mujeres temporeras</t>
  </si>
  <si>
    <t xml:space="preserve">Recintos nuestros </t>
  </si>
  <si>
    <r>
      <t xml:space="preserve">Escuela deportiva integral </t>
    </r>
    <r>
      <rPr>
        <vertAlign val="superscript"/>
        <sz val="8"/>
        <color indexed="8"/>
        <rFont val="Verdana"/>
        <family val="2"/>
      </rPr>
      <t>/3</t>
    </r>
  </si>
  <si>
    <t>Seguridad en el agua</t>
  </si>
  <si>
    <t>Jóvenes en movimiento</t>
  </si>
  <si>
    <r>
      <t xml:space="preserve">Parques públicos </t>
    </r>
    <r>
      <rPr>
        <vertAlign val="superscript"/>
        <sz val="8"/>
        <color indexed="8"/>
        <rFont val="Verdana"/>
        <family val="2"/>
      </rPr>
      <t>/4</t>
    </r>
  </si>
  <si>
    <t>Recintos militares</t>
  </si>
  <si>
    <t>Senderismo</t>
  </si>
  <si>
    <t xml:space="preserve">Mujer y deportes </t>
  </si>
  <si>
    <t>Escuelas de fútbol</t>
  </si>
  <si>
    <t>Adulto mayor en movimiento</t>
  </si>
  <si>
    <t>Deporte en tu calle</t>
  </si>
  <si>
    <t xml:space="preserve">Encuentros deportivos de verano </t>
  </si>
  <si>
    <r>
      <t xml:space="preserve">Interescolar de atletismo </t>
    </r>
    <r>
      <rPr>
        <vertAlign val="superscript"/>
        <sz val="8"/>
        <color indexed="8"/>
        <rFont val="Verdana"/>
        <family val="2"/>
      </rPr>
      <t>/5</t>
    </r>
  </si>
  <si>
    <t>Competencias gestionadas por direcciones regionales</t>
  </si>
  <si>
    <r>
      <t xml:space="preserve">Vuelta ciclística </t>
    </r>
    <r>
      <rPr>
        <vertAlign val="superscript"/>
        <sz val="8"/>
        <color indexed="8"/>
        <rFont val="Verdana"/>
        <family val="2"/>
      </rPr>
      <t>/5</t>
    </r>
  </si>
  <si>
    <r>
      <rPr>
        <b/>
        <sz val="8"/>
        <color indexed="8"/>
        <rFont val="Verdana"/>
        <family val="2"/>
      </rPr>
      <t>1</t>
    </r>
    <r>
      <rPr>
        <sz val="8"/>
        <color indexed="8"/>
        <rFont val="Verdana"/>
        <family val="2"/>
      </rPr>
      <t xml:space="preserve"> En el año 2012 cambió de nombre de &lt;&lt;deporte competitivo&gt;&gt; a &lt;&lt;deporte masivo&gt;&gt;, aumentando las categorías existentes al año 2011.</t>
    </r>
  </si>
  <si>
    <r>
      <rPr>
        <b/>
        <sz val="8"/>
        <color indexed="8"/>
        <rFont val="Verdana"/>
        <family val="2"/>
      </rPr>
      <t>2</t>
    </r>
    <r>
      <rPr>
        <sz val="8"/>
        <color indexed="8"/>
        <rFont val="Verdana"/>
        <family val="2"/>
      </rPr>
      <t xml:space="preserve"> En el año 2013, se implementan los programas "juegos deportivos nacionales" y "encuentros deportivos de verano".</t>
    </r>
  </si>
  <si>
    <r>
      <rPr>
        <b/>
        <sz val="8"/>
        <rFont val="Verdana"/>
        <family val="2"/>
      </rPr>
      <t>3</t>
    </r>
    <r>
      <rPr>
        <sz val="8"/>
        <rFont val="Verdana"/>
        <family val="2"/>
      </rPr>
      <t xml:space="preserve"> En el año 2015 cambio de nombre a "Escuela deportiva integral" incorporando a seguridad en el agua, escuelas de Fútbol, Encuentros deportivos de verano.</t>
    </r>
  </si>
  <si>
    <r>
      <rPr>
        <b/>
        <sz val="8"/>
        <rFont val="Verdana"/>
        <family val="2"/>
      </rPr>
      <t>4</t>
    </r>
    <r>
      <rPr>
        <sz val="8"/>
        <rFont val="Verdana"/>
        <family val="2"/>
      </rPr>
      <t xml:space="preserve"> En el año 2015 Parques Públicos incorpora Senderismo, Tour IND, Recintos militares y competencias gestionadas por Direcciones Regionales.</t>
    </r>
  </si>
  <si>
    <r>
      <rPr>
        <b/>
        <sz val="8"/>
        <rFont val="Verdana"/>
        <family val="2"/>
      </rPr>
      <t>5</t>
    </r>
    <r>
      <rPr>
        <sz val="8"/>
        <rFont val="Verdana"/>
        <family val="2"/>
      </rPr>
      <t xml:space="preserve"> En el año 2015 la vuelta ciclística y el interescolar de atletismo no presentaron ejecución durante el año.</t>
    </r>
  </si>
  <si>
    <t>TABLA 20.10: NÚMERO DE DEPORTISTAS EN PROGRAMAS DE ALTO RENDIMIENTO (PRODDAR), POR SEXO, SEGÚN REGIÓN Y DISCIPLINA. 2015</t>
  </si>
  <si>
    <t>REGIÓN Y DISCIPLINA</t>
  </si>
  <si>
    <t>Deportistas en programa PRODDAR</t>
  </si>
  <si>
    <t>Atletismo</t>
  </si>
  <si>
    <t>Levantamiento de pesas</t>
  </si>
  <si>
    <t>Judo</t>
  </si>
  <si>
    <t>Ciclismo</t>
  </si>
  <si>
    <t>Tiro al blanco</t>
  </si>
  <si>
    <t>Balonmano</t>
  </si>
  <si>
    <t>Gimnasia</t>
  </si>
  <si>
    <t>Navegación a vela</t>
  </si>
  <si>
    <t>Remo</t>
  </si>
  <si>
    <t xml:space="preserve">Canotaje </t>
  </si>
  <si>
    <t>Basquetbol</t>
  </si>
  <si>
    <t>Boxeo</t>
  </si>
  <si>
    <t>Canotaje</t>
  </si>
  <si>
    <t>Ecuestre</t>
  </si>
  <si>
    <t>Esgrima</t>
  </si>
  <si>
    <t>Esquí náutico</t>
  </si>
  <si>
    <t>Golf</t>
  </si>
  <si>
    <t>Hockey césped</t>
  </si>
  <si>
    <t>Hockey y patinaje</t>
  </si>
  <si>
    <t>Kárate</t>
  </si>
  <si>
    <t>Lucha</t>
  </si>
  <si>
    <t>Natación</t>
  </si>
  <si>
    <t>Pentathlón</t>
  </si>
  <si>
    <t>Paralímpica</t>
  </si>
  <si>
    <t>Racquetball</t>
  </si>
  <si>
    <t>Ski y Snowboard</t>
  </si>
  <si>
    <t>Taekwondo</t>
  </si>
  <si>
    <t>Tenis de mesa</t>
  </si>
  <si>
    <t>Tenis</t>
  </si>
  <si>
    <t>Tiro al vuelo</t>
  </si>
  <si>
    <t>Tiro con arco</t>
  </si>
  <si>
    <t>Triatlón</t>
  </si>
  <si>
    <t>Voleibol</t>
  </si>
  <si>
    <t>Básquetbol</t>
  </si>
  <si>
    <t>Deportes Acuáticos</t>
  </si>
  <si>
    <r>
      <t>TABLA 20.11: NÚMERO DE FUNCIONES DE ESPECTÁCULOS PÚBLICOS DEPORTIVOS, POR TIPO DE ESPECTÁCULO. 2015</t>
    </r>
    <r>
      <rPr>
        <b/>
        <vertAlign val="superscript"/>
        <sz val="8"/>
        <color indexed="8"/>
        <rFont val="Verdana"/>
        <family val="2"/>
      </rPr>
      <t>/1</t>
    </r>
  </si>
  <si>
    <t xml:space="preserve">
Fútbol amateur</t>
  </si>
  <si>
    <t xml:space="preserve">
Fútbol profesional</t>
  </si>
  <si>
    <t xml:space="preserve">
Babyfútbol</t>
  </si>
  <si>
    <t xml:space="preserve">
Básquetbol</t>
  </si>
  <si>
    <t xml:space="preserve">
Vóleibol</t>
  </si>
  <si>
    <t xml:space="preserve">
Gimnasia</t>
  </si>
  <si>
    <t xml:space="preserve">
Atletismo</t>
  </si>
  <si>
    <t xml:space="preserve">
Tenis</t>
  </si>
  <si>
    <r>
      <t xml:space="preserve">
Artes Marciales/</t>
    </r>
    <r>
      <rPr>
        <b/>
        <sz val="6"/>
        <color indexed="8"/>
        <rFont val="Verdana"/>
        <family val="2"/>
      </rPr>
      <t>2</t>
    </r>
  </si>
  <si>
    <t xml:space="preserve">
Otros</t>
  </si>
  <si>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</si>
  <si>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 xml:space="preserve">2 </t>
    </r>
    <r>
      <rPr>
        <sz val="8"/>
        <color indexed="8"/>
        <rFont val="Verdana"/>
        <family val="2"/>
      </rPr>
      <t>No registra actividad durante los años 2010- 2013, debido a que no se consideraba este espectáculo dentro de la encuesta. Se incorpora por primera vez el año 2014.</t>
    </r>
  </si>
  <si>
    <r>
      <t>TABLA 20.12: FUNCIONES DE ESPECTÁCULOS PÚBLICOS DEPORTIVOS POR TIPO DE ESPECTÁCULO, SEGÚN REGIÓN. 2015</t>
    </r>
    <r>
      <rPr>
        <b/>
        <vertAlign val="superscript"/>
        <sz val="8"/>
        <color indexed="8"/>
        <rFont val="Verdana"/>
        <family val="2"/>
      </rPr>
      <t>/1</t>
    </r>
  </si>
  <si>
    <t xml:space="preserve">
Gimnasia (exhibición)</t>
  </si>
  <si>
    <t xml:space="preserve">
Artes Marciales</t>
  </si>
  <si>
    <t xml:space="preserve">
Otros deportes</t>
  </si>
  <si>
    <r>
      <t>TABLA 20.13: NÚMERO DE ESPECTADORES QUE ASISTEN A LA REALIZACIÓN DE ESPECTÁCULOS PÚBLICOS DEPORTIVOS PAGANDO ENTRADA POR TIPO DE ESPECTÁCULO DEPORTIVO, SEGÚN REGIÓN. 2015</t>
    </r>
    <r>
      <rPr>
        <b/>
        <vertAlign val="superscript"/>
        <sz val="8"/>
        <color indexed="8"/>
        <rFont val="Verdana"/>
        <family val="2"/>
      </rPr>
      <t>/1</t>
    </r>
  </si>
  <si>
    <t>Pagando entrada</t>
  </si>
  <si>
    <r>
      <t>TABLA 20.14: NÚMERO DE ESPECTADORES  QUE ASISTEN A LA REALIZACIÓN DE ESPECTÁCULOS PÚBLICOS DEPORTIVOS CON ENTRADA GRATUITA POR TIPO DE ESPECTÁCULO DEPORTIVO, SEGÚN REGIÓN. 2015</t>
    </r>
    <r>
      <rPr>
        <b/>
        <vertAlign val="superscript"/>
        <sz val="8"/>
        <color indexed="8"/>
        <rFont val="Verdana"/>
        <family val="2"/>
      </rPr>
      <t>/1</t>
    </r>
  </si>
  <si>
    <t>Fútbol amateur</t>
  </si>
  <si>
    <t>Fútbol profesional</t>
  </si>
  <si>
    <t>Babyfútbol</t>
  </si>
  <si>
    <t>Vóleibol</t>
  </si>
  <si>
    <t>Gimnasia (exhibición)</t>
  </si>
  <si>
    <t>Artes Marciales</t>
  </si>
  <si>
    <t>Otros deportes</t>
  </si>
  <si>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</si>
  <si>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20.15: NÚMERO DE ESPECTADORES QUE ASISTEN A LA REALIZACIÓN DE ESPECTÁCULOS PÚBLICOS DEPORTIVOS ENTRADA GRATUITA Y PAGADA POR TIPO DE ESPECTÁCULO DEPORTIVO, SEGÚN REGIÓN. 2015</t>
    </r>
    <r>
      <rPr>
        <b/>
        <vertAlign val="superscript"/>
        <sz val="8"/>
        <rFont val="Verdana"/>
        <family val="2"/>
      </rPr>
      <t>/1</t>
    </r>
  </si>
  <si>
    <r>
      <t xml:space="preserve">
Artes Marciales</t>
    </r>
    <r>
      <rPr>
        <b/>
        <vertAlign val="superscript"/>
        <sz val="8"/>
        <rFont val="Verdana"/>
        <family val="2"/>
      </rPr>
      <t>/2</t>
    </r>
  </si>
  <si>
    <r>
      <t>1</t>
    </r>
    <r>
      <rPr>
        <sz val="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</si>
  <si>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20.16: NÚMERO DE ASISTENTES A ESPECTÁCULOS PÚBLICOS DEPORTIVOS, PAGANDO ENTRADA, POR TIPO DE ESPECTÁCULO. 2011-2015</t>
    </r>
    <r>
      <rPr>
        <b/>
        <vertAlign val="superscript"/>
        <sz val="8"/>
        <color indexed="8"/>
        <rFont val="Verdana"/>
        <family val="2"/>
      </rPr>
      <t>/1</t>
    </r>
  </si>
  <si>
    <t xml:space="preserve">
Artes Marciales/2</t>
  </si>
  <si>
    <r>
      <t>2015</t>
    </r>
    <r>
      <rPr>
        <vertAlign val="superscript"/>
        <sz val="8"/>
        <color indexed="8"/>
        <rFont val="Verdana"/>
        <family val="2"/>
      </rPr>
      <t>/3</t>
    </r>
  </si>
  <si>
    <r>
      <t xml:space="preserve">2 </t>
    </r>
    <r>
      <rPr>
        <sz val="8"/>
        <color indexed="8"/>
        <rFont val="Verdana"/>
        <family val="2"/>
      </rPr>
      <t>No registra actividad durante los años 2010 - 2013, debido a que no se consideraba este espectáculo dentro de la encuesta. Incorporación año 2014.</t>
    </r>
  </si>
  <si>
    <r>
      <rPr>
        <b/>
        <sz val="8"/>
        <rFont val="Verdana"/>
        <family val="2"/>
      </rPr>
      <t>3</t>
    </r>
    <r>
      <rPr>
        <sz val="8"/>
        <rFont val="Verdana"/>
        <family val="2"/>
      </rPr>
      <t xml:space="preserve"> Año en que se realiza la "Copa América". Sedes Oficiales en regiones: Antofagasta, Coquimbo, Valparaíso, O'Higgins, Biobío, Araucanía y Metropolitana. Realización en los Meses: Junio y Julio.</t>
    </r>
  </si>
  <si>
    <r>
      <t>TABLA 20.17: NÚMERO DE ASISTENTES A ESPECTÁCULOS PÚBLICOS DEPORTIVOS, ENTRADA GRATUITA, POR TIPO DE ESPECTÁCULO. 2011-2015</t>
    </r>
    <r>
      <rPr>
        <b/>
        <vertAlign val="superscript"/>
        <sz val="8"/>
        <color indexed="8"/>
        <rFont val="Verdana"/>
        <family val="2"/>
      </rPr>
      <t>/1</t>
    </r>
  </si>
  <si>
    <r>
      <t xml:space="preserve">
Artes Marciales</t>
    </r>
    <r>
      <rPr>
        <vertAlign val="superscript"/>
        <sz val="8"/>
        <color indexed="8"/>
        <rFont val="Verdana"/>
        <family val="2"/>
      </rPr>
      <t>/2</t>
    </r>
  </si>
  <si>
    <r>
      <t xml:space="preserve">1 </t>
    </r>
    <r>
      <rPr>
        <sz val="8"/>
        <color indexed="8"/>
        <rFont val="Verdana"/>
        <family val="2"/>
      </rPr>
      <t>Los datos se refieren exclusivamente al movimiento registrado por los estadios, centros deportivos y similares que respondieron la encuesta INE, declarando haber presentado espectáculos deportivos por lo menos una vez al año.</t>
    </r>
  </si>
  <si>
    <r>
      <t>2</t>
    </r>
    <r>
      <rPr>
        <sz val="8"/>
        <color indexed="8"/>
        <rFont val="Verdana"/>
        <family val="2"/>
      </rPr>
      <t xml:space="preserve"> No registra actividad durante los años 2010- 2013, debido a que no se consideraba este espectáculo dentro de la encuesta. Se incorpora por primera vez el año 2014.</t>
    </r>
  </si>
  <si>
    <r>
      <t>2015</t>
    </r>
    <r>
      <rPr>
        <vertAlign val="superscript"/>
        <sz val="8"/>
        <rFont val="Verdana"/>
        <family val="2"/>
      </rPr>
      <t>/3</t>
    </r>
  </si>
  <si>
    <r>
      <t xml:space="preserve">2 </t>
    </r>
    <r>
      <rPr>
        <sz val="8"/>
        <rFont val="Verdana"/>
        <family val="2"/>
      </rPr>
      <t>No registra actividad durante los años 2011- 2013, debido a que no se consideraba este espectáculo dentro de la encuesta. Incorporación año 2014.</t>
    </r>
  </si>
  <si>
    <r>
      <rPr>
        <b/>
        <sz val="8"/>
        <color indexed="8"/>
        <rFont val="Verdana"/>
        <family val="2"/>
      </rPr>
      <t>3</t>
    </r>
    <r>
      <rPr>
        <sz val="8"/>
        <color indexed="8"/>
        <rFont val="Verdana"/>
        <family val="2"/>
      </rPr>
      <t xml:space="preserve"> Año en que se realiza la "Copa América". Sedes Oficiales en regiones: Antofagasta, Coquimbo, Valparaíso, O'Higgins, Biobío, Araucanía y Metropolitana. Realización en los Meses: Junio y Julio.</t>
    </r>
  </si>
  <si>
    <t>TABLA 21.1: NÚMERO DE INSCRIPCIONES, CERTIFICADOS , CONSULTAS Y OTROS SERVICIOS REALIZADOS EN EL DEPARTAMENTO DE DERECHOS INTELECTUALES (DDI) DE LA DIRECCIÓN DE BIBLIOTECAS, ARCHIVOS Y MUSEOS (DIBAM), SEGÚN ÍTEM. 2011-2015</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</si>
  <si>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</si>
  <si>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</si>
  <si>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</si>
  <si>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</si>
  <si>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r>
      <t>Número de Informes especializados elaborados</t>
    </r>
    <r>
      <rPr>
        <b/>
        <sz val="8"/>
        <rFont val="Verdana"/>
        <family val="2"/>
      </rPr>
      <t xml:space="preserve"> </t>
    </r>
    <r>
      <rPr>
        <b/>
        <sz val="6"/>
        <rFont val="Verdana"/>
        <family val="2"/>
      </rPr>
      <t>/ 1</t>
    </r>
  </si>
  <si>
    <t xml:space="preserve">Número de Charlas de difusión, en materias especializadas de Propiedad Intelectual  </t>
  </si>
  <si>
    <r>
      <rPr>
        <b/>
        <sz val="8"/>
        <rFont val="Verdana"/>
        <family val="2"/>
      </rPr>
      <t>1</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</si>
  <si>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 No registró movimiento y/o dato no sistematizado</t>
  </si>
  <si>
    <t>FUENTE: Dirección de Bibliotecas, Archivos y Museos (Dibam). Departamento de Derechos intelectuales.</t>
  </si>
  <si>
    <t xml:space="preserve">TABLA 21.2: NÚMERO DE INSCRIPCIONES EN MATERIA DE DERECHOS DE AUTOR REGISTRADOS EN EL DEPARTAMENTO DE DERECHOS INTELECTUALES (DDI) DE LA DIRECCIÓN DE BIBLIOTECAS, ARCHIVOS Y MUSEOS (DIBAM), SEGÚN TIPO DE REGISTRO. 2011-2015 </t>
  </si>
  <si>
    <t>TIPO DE REGISTRO</t>
  </si>
  <si>
    <t>Base de datos</t>
  </si>
  <si>
    <t>Contratos/derechos de autor</t>
  </si>
  <si>
    <t>Contratos/derechos conexos</t>
  </si>
  <si>
    <t>Dibujo textil</t>
  </si>
  <si>
    <t>Diseño páginas web</t>
  </si>
  <si>
    <t>Fonogramas</t>
  </si>
  <si>
    <r>
      <t xml:space="preserve">Obra artística </t>
    </r>
    <r>
      <rPr>
        <vertAlign val="superscript"/>
        <sz val="8"/>
        <rFont val="Verdana"/>
        <family val="2"/>
      </rPr>
      <t>/2</t>
    </r>
  </si>
  <si>
    <t>Obra audiovisual</t>
  </si>
  <si>
    <t>Obra cinematográfica</t>
  </si>
  <si>
    <r>
      <t xml:space="preserve">Obra literaria </t>
    </r>
    <r>
      <rPr>
        <vertAlign val="superscript"/>
        <sz val="8"/>
        <rFont val="Verdana"/>
        <family val="2"/>
      </rPr>
      <t>/3</t>
    </r>
  </si>
  <si>
    <t>Obra multimedia</t>
  </si>
  <si>
    <t>Obra musical</t>
  </si>
  <si>
    <t>Programa computación</t>
  </si>
  <si>
    <t>Proyecto de arquitectura</t>
  </si>
  <si>
    <t>Proyecto de ingeniería</t>
  </si>
  <si>
    <t>Seudónimos</t>
  </si>
  <si>
    <r>
      <t xml:space="preserve">Obra científica </t>
    </r>
    <r>
      <rPr>
        <vertAlign val="superscript"/>
        <sz val="8"/>
        <rFont val="Verdana"/>
        <family val="2"/>
      </rPr>
      <t>/4</t>
    </r>
  </si>
  <si>
    <r>
      <rPr>
        <b/>
        <sz val="8"/>
        <rFont val="Verdana"/>
        <family val="2"/>
      </rPr>
      <t>1</t>
    </r>
    <r>
      <rPr>
        <sz val="8"/>
        <rFont val="Verdana"/>
        <family val="2"/>
      </rPr>
      <t xml:space="preserve"> Las categorías de obras que no se indican para 2015 se agruparon todas dentro de los 3 grandes géneros en que se agrupan a todas las especies de obras intelectuales. Esto es, obras literarias, artísticas y científicas.</t>
    </r>
  </si>
  <si>
    <r>
      <rPr>
        <b/>
        <sz val="8"/>
        <rFont val="Verdana"/>
        <family val="2"/>
      </rPr>
      <t>2</t>
    </r>
    <r>
      <rPr>
        <sz val="8"/>
        <rFont val="Verdana"/>
        <family val="2"/>
      </rPr>
      <t xml:space="preserve"> Obras literarias considera: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otra.</t>
    </r>
  </si>
  <si>
    <r>
      <rPr>
        <b/>
        <sz val="8"/>
        <rFont val="Verdana"/>
        <family val="2"/>
      </rPr>
      <t>3</t>
    </r>
    <r>
      <rPr>
        <sz val="8"/>
        <rFont val="Verdana"/>
        <family val="2"/>
      </rPr>
      <t xml:space="preserve"> Obras artísticas considera: afiche, canción (letra y música), cómic, dibujo, dibujo/modelo textil, diseño página web, escultura, fotografía, mapa, música, multimedia, obra cinematográfica, personaje, pintura, proyecto de arquitectura, videograma, otra.</t>
    </r>
  </si>
  <si>
    <r>
      <rPr>
        <b/>
        <sz val="8"/>
        <rFont val="Verdana"/>
        <family val="2"/>
      </rPr>
      <t>4</t>
    </r>
    <r>
      <rPr>
        <sz val="8"/>
        <rFont val="Verdana"/>
        <family val="2"/>
      </rPr>
      <t xml:space="preserve"> Obras científicas considera: base de datos, proyecto de ingeniería, otra.</t>
    </r>
  </si>
  <si>
    <t>Serie categorías nuevas</t>
  </si>
  <si>
    <t>Obra artística</t>
  </si>
  <si>
    <t>Obra literaria</t>
  </si>
  <si>
    <t>Obra científica</t>
  </si>
  <si>
    <r>
      <t>TABLA 21.3: NÚMERO DE INSCRIPCIONES EN MATERIA DE DERECHOS DE AUTOR A NIVEL NACIONAL REGISTRADOS EN EL DEPARTAMENTO DE DERECHOS INTELECTUALES (DDI) DE LA DIRECCIÓN DE BIBLIOTECAS, ARCHIVOS Y MUSEOS (DIBAM), SEGÚN SEXO Y TIPO DE SOLICITANTE. 2011-2015</t>
    </r>
    <r>
      <rPr>
        <b/>
        <vertAlign val="superscript"/>
        <sz val="8"/>
        <rFont val="Verdana"/>
        <family val="2"/>
      </rPr>
      <t>/1</t>
    </r>
  </si>
  <si>
    <t>SEXO/TIPO DE REGISTRO DE INSCRIPCIÓN</t>
  </si>
  <si>
    <t>Hombres y mujeres</t>
  </si>
  <si>
    <t>Personas jurídicas y hombres</t>
  </si>
  <si>
    <t>Personas jurídicas y mujeres</t>
  </si>
  <si>
    <t>Personas jurídicas y hombres y mujeres</t>
  </si>
  <si>
    <r>
      <rPr>
        <b/>
        <sz val="8"/>
        <rFont val="Verdana"/>
        <family val="2"/>
      </rPr>
      <t>1</t>
    </r>
    <r>
      <rPr>
        <sz val="8"/>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</si>
  <si>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TABLA 21.4: INSCRIPCIÓN DE DERECHOS DE AUTOR, DERECHOS CONEXOS Y SEUDÓNIMOS, SEGÚN ORIGEN DE LA SOLICITUD, REGIÓN Y NACIONALIDAD (NACIONAL Y EXTRANJERA). 2011-2015</t>
    </r>
    <r>
      <rPr>
        <b/>
        <vertAlign val="superscript"/>
        <sz val="8"/>
        <rFont val="Verdana"/>
        <family val="2"/>
      </rPr>
      <t>/1</t>
    </r>
  </si>
  <si>
    <t>REGIÓN Y NACIONALIDAD</t>
  </si>
  <si>
    <t>Total nacional</t>
  </si>
  <si>
    <r>
      <t>Arica y Parinacota</t>
    </r>
    <r>
      <rPr>
        <vertAlign val="superscript"/>
        <sz val="8"/>
        <rFont val="Verdana"/>
        <family val="2"/>
      </rPr>
      <t>/2</t>
    </r>
  </si>
  <si>
    <t>Total extranjero</t>
  </si>
  <si>
    <r>
      <t>Extranjero</t>
    </r>
    <r>
      <rPr>
        <vertAlign val="superscript"/>
        <sz val="8"/>
        <rFont val="Verdana"/>
        <family val="2"/>
      </rPr>
      <t>/2</t>
    </r>
  </si>
  <si>
    <r>
      <rPr>
        <b/>
        <sz val="8"/>
        <rFont val="Verdana"/>
        <family val="2"/>
      </rPr>
      <t>1</t>
    </r>
    <r>
      <rPr>
        <sz val="8"/>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</si>
  <si>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8"/>
        <rFont val="Verdana"/>
        <family val="2"/>
      </rPr>
      <t>2</t>
    </r>
    <r>
      <rPr>
        <sz val="8"/>
        <rFont val="Verdana"/>
        <family val="2"/>
      </rPr>
      <t xml:space="preserve"> El aumento en la inscripción de Derechos de Autor se debe a la entrada en operación del registro remoto de inscripciones, lo que genera una mayor demanda de servicios desde zonas extremas, más vulnerables o desde el extranjero, dado que este registro permite reducir los costos de tramitación, disminuye las brechas de conectividad y favorece el acceso inclusivo a los servicios que ofrece el Estado.</t>
    </r>
  </si>
  <si>
    <r>
      <t xml:space="preserve">… </t>
    </r>
    <r>
      <rPr>
        <sz val="8"/>
        <rFont val="Verdana"/>
        <family val="2"/>
      </rPr>
      <t>Información no disponible</t>
    </r>
  </si>
  <si>
    <r>
      <t xml:space="preserve">TABLA 22.1: NÚMERO Y MONTOS DE PROYECTOS POSTULADOS, ELEGIBLES Y SELECCIONADOS, SEGÚN FONDOS CONCURSABLES DEL CONSEJO NACIONAL DE LA CULTURA Y LAS ARTES (CNCA). AÑO 2015 </t>
    </r>
    <r>
      <rPr>
        <b/>
        <vertAlign val="superscript"/>
        <sz val="8"/>
        <rFont val="Verdana"/>
        <family val="2"/>
      </rPr>
      <t>/1</t>
    </r>
  </si>
  <si>
    <t>FONDO</t>
  </si>
  <si>
    <t>Postulados</t>
  </si>
  <si>
    <t>Elegibles</t>
  </si>
  <si>
    <t>Seleccionados</t>
  </si>
  <si>
    <t>Fondo nacional de la cultura y las artes (Fondart nacional)</t>
  </si>
  <si>
    <t>Fondo nacional de la cultura y las artes (Fondart regional)</t>
  </si>
  <si>
    <t>Fondo del libro y la lectura</t>
  </si>
  <si>
    <t>Fondo de la música nacional</t>
  </si>
  <si>
    <t>Fondo audiovisual</t>
  </si>
  <si>
    <r>
      <rPr>
        <b/>
        <sz val="8"/>
        <rFont val="Verdana"/>
        <family val="2"/>
      </rPr>
      <t>1</t>
    </r>
    <r>
      <rPr>
        <sz val="8"/>
        <rFont val="Verdana"/>
        <family val="2"/>
      </rPr>
      <t xml:space="preserve"> La desagregación por línea de concurso, según región, del Fondo del Libro y la lectura, del Fondo de la Música y del Fondo del Audiovisual se encuentra en los capítulos destinados a cada dominio cultural.</t>
    </r>
  </si>
  <si>
    <r>
      <t xml:space="preserve">TABLA 22.2: NÚMERO DE PROYECTOS Y MONTOS ADJUDICADOS DEL FONDO NACIONAL DE DESARROLLO CULTURAL Y LAS ARTES (FONDART) PARA CONCURSO NACIONAL, POR LÍNEA DE CONCURSO, SEGÚN REGIÓN DE DOMICILIO DEL PARTICIPANTE. AÑO 2015 </t>
    </r>
    <r>
      <rPr>
        <b/>
        <sz val="5.95"/>
        <color indexed="8"/>
        <rFont val="Verdana"/>
        <family val="2"/>
      </rPr>
      <t>/1 /2</t>
    </r>
  </si>
  <si>
    <r>
      <t>Apoyo, intercambio y difusión cultural</t>
    </r>
    <r>
      <rPr>
        <b/>
        <vertAlign val="superscript"/>
        <sz val="8"/>
        <color indexed="8"/>
        <rFont val="Verdana"/>
        <family val="2"/>
      </rPr>
      <t>/3</t>
    </r>
  </si>
  <si>
    <t>Formación</t>
  </si>
  <si>
    <t xml:space="preserve"> Investigación</t>
  </si>
  <si>
    <t>Fomento de arquitectura</t>
  </si>
  <si>
    <t>Apoyo a organizaciones culturales</t>
  </si>
  <si>
    <t>Fomento para la difusión y el mercado de las artes</t>
  </si>
  <si>
    <t>Fomento al intercambio cultural</t>
  </si>
  <si>
    <t>Fomento al mejoramiento de la infraestructura</t>
  </si>
  <si>
    <t>Fomento de artesanía</t>
  </si>
  <si>
    <t>Fomento de diseño</t>
  </si>
  <si>
    <t>Fomento de artes de la visualidad</t>
  </si>
  <si>
    <t xml:space="preserve">
Fomento de artes escénicas</t>
  </si>
  <si>
    <t>Magallanes y la Antártica</t>
  </si>
  <si>
    <r>
      <rPr>
        <b/>
        <sz val="8"/>
        <color indexed="8"/>
        <rFont val="Verdana"/>
        <family val="2"/>
      </rPr>
      <t>-</t>
    </r>
    <r>
      <rPr>
        <sz val="8"/>
        <color indexed="8"/>
        <rFont val="Verdana"/>
        <family val="2"/>
      </rPr>
      <t xml:space="preserve"> No registró movimiento.</t>
    </r>
  </si>
  <si>
    <r>
      <t>TABLA 22.3: NÚMERO DE PROYECTOS Y MONTOS ADJUDICADOS DEL FONDO NACIONAL DE DESARROLLO CULTURAL Y LAS ARTES (FONDART) PARA CONCURSO REGIONAL, POR LÍNEA DE CONCURSO, SEGÚN REGIÓN DEL FONDO ENTREGADO. AÑO 2015</t>
    </r>
    <r>
      <rPr>
        <b/>
        <vertAlign val="superscript"/>
        <sz val="8"/>
        <color indexed="8"/>
        <rFont val="Verdana"/>
        <family val="2"/>
      </rPr>
      <t xml:space="preserve"> /1/2</t>
    </r>
  </si>
  <si>
    <t xml:space="preserve">
REGIÓN DEL FONDO ENTREGADO</t>
  </si>
  <si>
    <t xml:space="preserve">
Formación e investigación</t>
  </si>
  <si>
    <t xml:space="preserve">
Mejoramiento de la infraestructura cultural</t>
  </si>
  <si>
    <t xml:space="preserve">
Conservación y difusión del patrimonio cultural</t>
  </si>
  <si>
    <t xml:space="preserve">
Desarrollo cultural regional</t>
  </si>
  <si>
    <t xml:space="preserve">
Desarrollo de las culturas indígenas</t>
  </si>
  <si>
    <t xml:space="preserve">
Fomento para la difusión y el mercado de las artes</t>
  </si>
  <si>
    <t xml:space="preserve">
Fomento de artesanía</t>
  </si>
  <si>
    <t xml:space="preserve">
Fomento de las artes</t>
  </si>
  <si>
    <r>
      <t>1</t>
    </r>
    <r>
      <rPr>
        <sz val="8"/>
        <color indexed="8"/>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</si>
  <si>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t>2</t>
    </r>
    <r>
      <rPr>
        <sz val="8"/>
        <color indexed="8"/>
        <rFont val="Verdana"/>
        <family val="2"/>
      </rPr>
      <t xml:space="preserve"> El número de proyectos y de monto adjudicado por línea, corresponden a la suma total de los concursos durante la convocatoria del año.</t>
    </r>
  </si>
  <si>
    <r>
      <rPr>
        <b/>
        <sz val="8"/>
        <color indexed="8"/>
        <rFont val="Verdana"/>
        <family val="2"/>
      </rPr>
      <t>3</t>
    </r>
    <r>
      <rPr>
        <sz val="8"/>
        <color indexed="8"/>
        <rFont val="Verdana"/>
        <family val="2"/>
      </rPr>
      <t xml:space="preserve"> Ventanilla abierta, concurso de convocatoria permanente hasta que se adjudiquen los recursos disponibles.</t>
    </r>
  </si>
  <si>
    <t>Natural</t>
  </si>
  <si>
    <t>Jurídica</t>
  </si>
  <si>
    <t>Recursos</t>
  </si>
  <si>
    <t>Fondart nacional</t>
  </si>
  <si>
    <t>Fondart regional</t>
  </si>
  <si>
    <t>Fondo del libro</t>
  </si>
  <si>
    <t>Fondo de la música</t>
  </si>
  <si>
    <t>TABLA 22.5: NÚMERO DE PROYECTOS POSTULADOS Y SELECCIONADOS Y RECURSOS ASIGNADOS POR SEXO PERSONAS NATURALES, SEGÚN FONDO Y AÑOS. 2011-2015</t>
  </si>
  <si>
    <t xml:space="preserve">TABLA 23.1: TOTAL NACIONAL DE LA ECONOMÍA Y TOTAL DE EMPRESAS Y EMPLEO POR INFORMACIÓN DE MUTUALES DE SEGURIDAD, SEGÚN DOMINIO CULTURAL. 2015 </t>
  </si>
  <si>
    <t>DOMINIO CULTURAL</t>
  </si>
  <si>
    <t>Empresas con Seguridad Social</t>
  </si>
  <si>
    <t>Trabajadores por Sector en Promedio</t>
  </si>
  <si>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</si>
  <si>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23.2: NÚMERO DE EMPRESAS, TRABAJADORES, TRABAJADORES PROMEDIO Y REMUNERACIONES PROMEDIO PARA EMPRESAS CREATIVAS ASOCIADO A MUTUALES DE SEGURIDAD, SEGÚN DOMINIO Y SUBDOMINIO CULTURAL. 2015</t>
  </si>
  <si>
    <t>Trabajadores promedio por Empresa y Dominio</t>
  </si>
  <si>
    <t>Artesanias</t>
  </si>
  <si>
    <t>Fabricación Insumos</t>
  </si>
  <si>
    <t>Artes Musicales</t>
  </si>
  <si>
    <t>Artes Literarias, libros y prensa</t>
  </si>
  <si>
    <t>Editorial Libros</t>
  </si>
  <si>
    <t>Editorial Otros</t>
  </si>
  <si>
    <t>Editorial Periodicos</t>
  </si>
  <si>
    <t>Medios Audiovisuales e Interactivos</t>
  </si>
  <si>
    <t>Filmes y Videos</t>
  </si>
  <si>
    <t>Arquitectura, Diseño y Servicios Creativos</t>
  </si>
  <si>
    <t>Infraestructura y Equipamiento</t>
  </si>
  <si>
    <t>Medios Informáticos</t>
  </si>
  <si>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</si>
  <si>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23.3: NÚMERO DE EMPRESAS, NÚMERO DE TRABAJADORES Y PROMEDIO DE REMUNERACIONES EN EMPRESAS CREATIVAS, SEGÚN REGIÓN. 2015</t>
  </si>
  <si>
    <t xml:space="preserve">Región </t>
  </si>
  <si>
    <t>Trabajadores promedio por Empresa y Sector</t>
  </si>
  <si>
    <t>TABLA 23.4: NÚMERO DE EMPRESAS Y TRABAJADORES COTIZANTES EN MUTUALES, SU PARTICIPACION PROMEDIO POR EMPRESA Y SALARIOS PROMEDIO, SEGÚN SEXO Y DOMINIO Y SUBDOMINIO CULTURAL. 2015</t>
  </si>
  <si>
    <t>Sector</t>
  </si>
  <si>
    <t>Hombres Promedio Por Empresa</t>
  </si>
  <si>
    <t>Mujeres Promedio por Empresa</t>
  </si>
  <si>
    <r>
      <t>TABLA 25.1: PRESUPUESTO PÚBLICO DESTINADO A CULTURA Y TIEMPO LIBRE, SEGÚN INSTITUCIONES CULTURALES. 2015</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</si>
  <si>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</si>
  <si>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</si>
  <si>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</si>
  <si>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instituciones culturales</t>
  </si>
  <si>
    <t>Porcentaje del Presupuesto público que se destina a Cultura (CNCA+DIBAM)</t>
  </si>
  <si>
    <t>INSTITUCIÓN</t>
  </si>
  <si>
    <t xml:space="preserve">Programa </t>
  </si>
  <si>
    <t xml:space="preserve">
Presupuesto en Miles de Pesos</t>
  </si>
  <si>
    <t>TOTAL PRESUPUESTO PÚBLICO EN CULTURA (CNCA + DIBAM)</t>
  </si>
  <si>
    <t>Consejo Nacional de la Cultura y las Artes
Ministerio de Educación</t>
  </si>
  <si>
    <t>Total presupuesto del Consejo Nacional de la Cultura y las Artes (CNCA)</t>
  </si>
  <si>
    <t>CNCA: Programa 01</t>
  </si>
  <si>
    <t xml:space="preserve">Fundación Artesanías de Chile </t>
  </si>
  <si>
    <r>
      <t xml:space="preserve">Corporación Cultural Municipalidad de Santiago </t>
    </r>
    <r>
      <rPr>
        <vertAlign val="superscript"/>
        <sz val="8"/>
        <rFont val="Verdana"/>
        <family val="2"/>
      </rPr>
      <t>/2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</si>
  <si>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</si>
  <si>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</si>
  <si>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</si>
  <si>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</si>
  <si>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</si>
  <si>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</si>
  <si>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</si>
  <si>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</si>
  <si>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</si>
  <si>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t>
  </si>
  <si>
    <t>Otras Instituciones a las que se transfiere</t>
  </si>
  <si>
    <t>Parque Cultural de Valparaíso</t>
  </si>
  <si>
    <t>Actividades de Fomento y Desarrollo Cultural</t>
  </si>
  <si>
    <r>
      <t xml:space="preserve">Conjuntos Artísticos Estables </t>
    </r>
    <r>
      <rPr>
        <vertAlign val="superscript"/>
        <sz val="8"/>
        <rFont val="Verdana"/>
        <family val="2"/>
      </rPr>
      <t>/3</t>
    </r>
  </si>
  <si>
    <r>
      <t>Fomento del Arte en la Educación</t>
    </r>
    <r>
      <rPr>
        <vertAlign val="superscript"/>
        <sz val="8"/>
        <rFont val="Verdana"/>
        <family val="2"/>
      </rPr>
      <t>/4</t>
    </r>
  </si>
  <si>
    <t>Fomento y Desarrollo del Patrimonio Nacional</t>
  </si>
  <si>
    <t xml:space="preserve">Red Cultura </t>
  </si>
  <si>
    <r>
      <t xml:space="preserve">Centros de Creación y Desarrollo Artístico para Niños y Jóvenes  </t>
    </r>
    <r>
      <rPr>
        <vertAlign val="superscript"/>
        <sz val="8"/>
        <rFont val="Verdana"/>
        <family val="2"/>
      </rPr>
      <t>/5</t>
    </r>
  </si>
  <si>
    <t>Sistema Nacional de Patrimonio Material e Inmaterial</t>
  </si>
  <si>
    <t>Programa de Intermediación Cultural</t>
  </si>
  <si>
    <t>Programa Nacional de Desarrollo Artístico en la Educación</t>
  </si>
  <si>
    <t>Fondo del Patrimonio</t>
  </si>
  <si>
    <r>
      <t xml:space="preserve">Centros Culturales </t>
    </r>
    <r>
      <rPr>
        <vertAlign val="superscript"/>
        <sz val="8"/>
        <rFont val="Verdana"/>
        <family val="2"/>
      </rPr>
      <t>/6</t>
    </r>
  </si>
  <si>
    <t>Programa de Financiamiento de Infraestructura Cultural Pública y/o Privada</t>
  </si>
  <si>
    <r>
      <t>Teatros Regionales</t>
    </r>
    <r>
      <rPr>
        <vertAlign val="superscript"/>
        <sz val="8"/>
        <rFont val="Verdana"/>
        <family val="2"/>
      </rPr>
      <t>/7</t>
    </r>
  </si>
  <si>
    <t>Otros Programa 01 CNCA</t>
  </si>
  <si>
    <r>
      <t xml:space="preserve">Transferencias a Secretaría y Administración General y Servicio Exterior (MINREL)  </t>
    </r>
    <r>
      <rPr>
        <vertAlign val="superscript"/>
        <sz val="8"/>
        <rFont val="Verdana"/>
        <family val="2"/>
      </rPr>
      <t>/8</t>
    </r>
  </si>
  <si>
    <t>CNCA: Fondos Culturales y Artísticos (Programa 02)</t>
  </si>
  <si>
    <t>Fondo Nacional de Fomento del Libro y la Lectura</t>
  </si>
  <si>
    <t>Fondo Nacional de Desarrollo Cultural y las Artes</t>
  </si>
  <si>
    <t>Fondo para el Fomento de la Música Nacional</t>
  </si>
  <si>
    <t>Fondo de Fomento Audiovisual</t>
  </si>
  <si>
    <t>Otros Programa 02 CNCA</t>
  </si>
  <si>
    <t>Dirección de Bibliotecas, Archivos y Museos.
Ministerio de Educación</t>
  </si>
  <si>
    <t>Total presupuesto de la Dirección de Bibliotecas, Archivos y Museos (DIBAM). Ministerio de Educación.</t>
  </si>
  <si>
    <t>DIBAM: Programa 01</t>
  </si>
  <si>
    <t>Corporación Parque por la Paz Villa Grimaldi</t>
  </si>
  <si>
    <t>Fundación Arte y Solidaridad</t>
  </si>
  <si>
    <t>Fundación Eduardo Frei Montalva</t>
  </si>
  <si>
    <t>Londres 38 Casa Memoria</t>
  </si>
  <si>
    <t>Museo del Carmen de Maipú</t>
  </si>
  <si>
    <t>Memorial de Paine</t>
  </si>
  <si>
    <t>Museo San Francisco</t>
  </si>
  <si>
    <t>Fundación Museo de la Memoria</t>
  </si>
  <si>
    <t xml:space="preserve">Acciones culturales complementarias </t>
  </si>
  <si>
    <t>Programa de Mejoramiento Integral de Bibliotecas Públicas</t>
  </si>
  <si>
    <t>Otros Programa 01 DIBAM</t>
  </si>
  <si>
    <t>DIBAM: Red de Bibliotecas Públicas (Programa 02)</t>
  </si>
  <si>
    <t>DIBAM: Consejo de Monumentos Nacionales (Programa 03)</t>
  </si>
  <si>
    <r>
      <rPr>
        <b/>
        <sz val="8"/>
        <rFont val="Verdana"/>
        <family val="2"/>
      </rPr>
      <t xml:space="preserve">1 </t>
    </r>
    <r>
      <rPr>
        <sz val="8"/>
        <rFont val="Verdana"/>
        <family val="2"/>
      </rPr>
      <t>Todas las cifras, excepto cuando se indique, corresponden a las ofrecidas por la ley aprobada de presupuestos del sector público 2015. Todas las cifras, excepto cuando se indique están en miles de pesos nominales 2015.</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</si>
  <si>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</si>
  <si>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Recursos destinados a la construcción o habilitación de Centros Culturales.</t>
    </r>
  </si>
  <si>
    <r>
      <rPr>
        <b/>
        <sz val="8"/>
        <rFont val="Verdana"/>
        <family val="2"/>
      </rPr>
      <t xml:space="preserve">4 </t>
    </r>
    <r>
      <rPr>
        <sz val="8"/>
        <rFont val="Verdana"/>
        <family val="2"/>
      </rPr>
      <t>Corresponde a la denominación fondo concursable para escuelas artísticas del 2011.</t>
    </r>
  </si>
  <si>
    <r>
      <rPr>
        <b/>
        <sz val="8"/>
        <rFont val="Verdana"/>
        <family val="2"/>
      </rPr>
      <t>5</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t>
    </r>
  </si>
  <si>
    <r>
      <rPr>
        <b/>
        <sz val="8"/>
        <rFont val="Verdana"/>
        <family val="2"/>
      </rPr>
      <t>6</t>
    </r>
    <r>
      <rPr>
        <sz val="8"/>
        <rFont val="Verdana"/>
        <family val="2"/>
      </rPr>
      <t xml:space="preserve"> Recursos destinados a la construcción o habilitación de Centros Culturales.</t>
    </r>
  </si>
  <si>
    <r>
      <rPr>
        <b/>
        <sz val="8"/>
        <rFont val="Verdana"/>
        <family val="2"/>
      </rPr>
      <t>7</t>
    </r>
    <r>
      <rPr>
        <sz val="8"/>
        <rFont val="Verdana"/>
        <family val="2"/>
      </rPr>
      <t xml:space="preserve"> Recursos destinados a la construcción, habilitación y/o equipamiento de teatros regionales.</t>
    </r>
  </si>
  <si>
    <r>
      <rPr>
        <b/>
        <sz val="8"/>
        <rFont val="Verdana"/>
        <family val="2"/>
      </rPr>
      <t>8</t>
    </r>
    <r>
      <rPr>
        <sz val="8"/>
        <rFont val="Verdana"/>
        <family val="2"/>
      </rPr>
      <t xml:space="preserve"> Recursos transferidos desde el Consejo Nacional de la Cultura y las Artes a otras instituciones del gobierno central, en el caso al Ministerio de Relaciones Exteriores, según convenios previos establecidos.</t>
    </r>
  </si>
  <si>
    <t xml:space="preserve">FUENTE: Ley de Presupuestos del Sector Público Año 2015. Ley N° 20.798, publicada en el Diario Oficial del 06 de diciembre de 2014. </t>
  </si>
  <si>
    <r>
      <t>TABLA 25.2: PRESUPUESTO PÚBLICO DESTINADO A CULTURA Y TIEMPO LIBRE, SEGÚN INSTITUCIONES AFINES A LA CULTURA. 2015</t>
    </r>
    <r>
      <rPr>
        <b/>
        <vertAlign val="superscript"/>
        <sz val="8"/>
        <color indexed="8"/>
        <rFont val="Verdana"/>
        <family val="2"/>
      </rPr>
      <t xml:space="preserve">/1 </t>
    </r>
  </si>
  <si>
    <t>Gasto presupuestario total del gobierno central</t>
  </si>
  <si>
    <t>Total presupuesto destinado a cultura por instituciones afines a la cultura</t>
  </si>
  <si>
    <t>Porcentaje del presupuesto del Gobierno que se destina a cultura por instituciones afines a la cultura</t>
  </si>
  <si>
    <t>Presupuesto en miles de pesos</t>
  </si>
  <si>
    <t>TOTAL PRESUPUESTO INSTITUCIONES AFINES A LA CULTURA</t>
  </si>
  <si>
    <t>Consejo Nacional de Televisión. Ministerio Secretaría General de Gobierno</t>
  </si>
  <si>
    <t>Consejo Nacional de Televisión (CNTV)</t>
  </si>
  <si>
    <t>Fondo de apoyo a programas culturales</t>
  </si>
  <si>
    <t>Programa de televisión educativa Novasur</t>
  </si>
  <si>
    <t>Otros Programas CNTV</t>
  </si>
  <si>
    <r>
      <rPr>
        <b/>
        <sz val="8"/>
        <rFont val="Verdana"/>
        <family val="2"/>
      </rPr>
      <t xml:space="preserve">1 </t>
    </r>
    <r>
      <rPr>
        <sz val="8"/>
        <rFont val="Verdana"/>
        <family val="2"/>
      </rPr>
      <t>Todas las cifras, excepto cuando se indique, corresponden a las ofrecidas por la ley aprobada de presupuestos del sector público 2015. Todas las cifras, excepto cuando se indique, están en miles de pesos nominales 2015.</t>
    </r>
  </si>
  <si>
    <r>
      <t>TABLA 25.3: PRESUPUESTO PÚBLICO DESTINADO A CULTURA Y TIEMPO LIBRE, SEGÚN INSTITUCIONES CON PROGRAMAS CULTURALES. 2015</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</si>
  <si>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</si>
  <si>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</si>
  <si>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Presupuesto en Miles de Pesos</t>
  </si>
  <si>
    <t>TOTAL PRESUPUESTO INSTITUCIONES CON PROGRAMAS CULTURALES</t>
  </si>
  <si>
    <t>Biblioteca del Congreso. Congreso Nacional</t>
  </si>
  <si>
    <t>Presupuesto para funcionamiento de la Biblioteca del Congreso Nacional</t>
  </si>
  <si>
    <t>Biblioteca del Congreso</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</si>
  <si>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</si>
  <si>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</si>
  <si>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</si>
  <si>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</si>
  <si>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 y Programa de Apoyo</t>
  </si>
  <si>
    <t>Consulta a los pueblos indígenas</t>
  </si>
  <si>
    <t>Turismo y Pueblos Indígenas y Programas de Apoyo</t>
  </si>
  <si>
    <t>Corporación Nacional Forestal. Ministerio de Agricultura</t>
  </si>
  <si>
    <t>Presupuesto destinado a cultura, Conaf</t>
  </si>
  <si>
    <r>
      <t xml:space="preserve">Áreas Silvestres Protegidas (ASP) </t>
    </r>
    <r>
      <rPr>
        <vertAlign val="superscript"/>
        <sz val="8"/>
        <rFont val="Verdana"/>
        <family val="2"/>
      </rPr>
      <t>/2</t>
    </r>
  </si>
  <si>
    <t>Subsecretaría de Agricultura. Ministerio de Agricultura</t>
  </si>
  <si>
    <t>Presupuesto destinado a Cultura, Subsecretaría de Agricultura</t>
  </si>
  <si>
    <r>
      <t xml:space="preserve">Instituto Forestal (INFOR) </t>
    </r>
    <r>
      <rPr>
        <vertAlign val="superscript"/>
        <sz val="8"/>
        <rFont val="Verdana"/>
        <family val="2"/>
      </rPr>
      <t>/3</t>
    </r>
  </si>
  <si>
    <r>
      <t xml:space="preserve">Centro de Información de Recursos Naturales (CIREN) </t>
    </r>
    <r>
      <rPr>
        <vertAlign val="superscript"/>
        <sz val="8"/>
        <rFont val="Verdana"/>
        <family val="2"/>
      </rPr>
      <t>/4</t>
    </r>
  </si>
  <si>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</si>
  <si>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</si>
  <si>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</si>
  <si>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</si>
  <si>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</si>
  <si>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</si>
  <si>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Subsecretaría de Desarrollo Regional y Administrativo. Ministerio del Interior</t>
  </si>
  <si>
    <t>Presupuesto infraestructura cultural y patrimonial, Ministerio del Interior</t>
  </si>
  <si>
    <r>
      <t xml:space="preserve">Revitalización de Barrios e Infraestructura Patrimonial </t>
    </r>
    <r>
      <rPr>
        <vertAlign val="superscript"/>
        <sz val="8"/>
        <rFont val="Verdana"/>
        <family val="2"/>
      </rPr>
      <t>/5</t>
    </r>
  </si>
  <si>
    <t>Provisión Puesta en Valor del Patrimonio</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</si>
  <si>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</si>
  <si>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</si>
  <si>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</si>
  <si>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</si>
  <si>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</si>
  <si>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</si>
  <si>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</si>
  <si>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</si>
  <si>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</si>
  <si>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</si>
  <si>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</si>
  <si>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t>Programa de Becas Indígenas</t>
  </si>
  <si>
    <r>
      <t xml:space="preserve">Plan de Fomento de Lectura Primera Infancia </t>
    </r>
    <r>
      <rPr>
        <vertAlign val="superscript"/>
        <sz val="8"/>
        <rFont val="Verdana"/>
        <family val="2"/>
      </rPr>
      <t xml:space="preserve"> /7</t>
    </r>
  </si>
  <si>
    <t>Subsecretaría del Trabajo. Ministerio del Trabajo y Previsión Social</t>
  </si>
  <si>
    <t>Presupuesto destinado a Programa Pro empleo en el Área de Artesanía</t>
  </si>
  <si>
    <t>Mejora a la empleabilidad para artesanos y artesanas tradicionales de zonas
rurales.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</si>
  <si>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</si>
  <si>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</si>
  <si>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</si>
  <si>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</si>
  <si>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</si>
  <si>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</si>
  <si>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Infraestructura Mundial de Información en Biodiversidad (GBIF)</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</si>
  <si>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</si>
  <si>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y Proyecto de desarrollo sustentable</t>
    </r>
  </si>
  <si>
    <r>
      <rPr>
        <b/>
        <sz val="8"/>
        <rFont val="Verdana"/>
        <family val="2"/>
      </rPr>
      <t xml:space="preserve">3 </t>
    </r>
    <r>
      <rPr>
        <sz val="8"/>
        <rFont val="Verdana"/>
        <family val="2"/>
      </rPr>
      <t>El monto es obtenido de la suma del presupuesto de INFOR más transferencias corrientes desde el MINVU por $26.523 (M$).</t>
    </r>
  </si>
  <si>
    <r>
      <rPr>
        <b/>
        <sz val="8"/>
        <rFont val="Verdana"/>
        <family val="2"/>
      </rPr>
      <t xml:space="preserve">4 </t>
    </r>
    <r>
      <rPr>
        <sz val="8"/>
        <rFont val="Verdana"/>
        <family val="2"/>
      </rPr>
      <t>El monto es obtenido de la suma del presupuesto de CIREN más transferencias corrientes desde el la Oficina de Estudios y Políticas Agrarias (ODEPA) por $488.014 (M$).</t>
    </r>
  </si>
  <si>
    <r>
      <rPr>
        <b/>
        <sz val="8"/>
        <rFont val="Verdana"/>
        <family val="2"/>
      </rPr>
      <t xml:space="preserve">5 </t>
    </r>
    <r>
      <rPr>
        <sz val="8"/>
        <rFont val="Verdana"/>
        <family val="2"/>
      </rPr>
      <t>El monto es obtenido de la suma del presupuesto del Programa de Revitalización de Barrios e Infraestructura Patrimonial más transferencias corrientes desde la Subsecretaría de Desarrollo Regional y Administrativo por $222.480 (M$) para el funcionamiento del programa.</t>
    </r>
  </si>
  <si>
    <r>
      <rPr>
        <b/>
        <sz val="8"/>
        <rFont val="Verdana"/>
        <family val="2"/>
      </rPr>
      <t xml:space="preserve">6 </t>
    </r>
    <r>
      <rPr>
        <sz val="8"/>
        <rFont val="Verdana"/>
        <family val="2"/>
      </rPr>
      <t>En la ley de presupuestos del sector público 2015 se establece que este monto representa el financiamiento mínimo destinado a la Orquesta Sinfónica de Chile, el Ballet Nacional y la Camerata Vocal de la Universidad de Chile.</t>
    </r>
  </si>
  <si>
    <t xml:space="preserve">TABLA 25.4: PRESUPUESTO PÚBLICO EJECUTADO DESTINADO A CULTURA Y TIEMPO LIBRE, SEGÚN INSTITUCIONES CON PROGRAMAS CULTURALES. 2015 </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</si>
  <si>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</si>
  <si>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</si>
  <si>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</si>
  <si>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</si>
  <si>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r>
      <t>Presupuesto desarrollo cultural de ProChile</t>
    </r>
    <r>
      <rPr>
        <b/>
        <vertAlign val="superscript"/>
        <sz val="8"/>
        <rFont val="Verdana"/>
        <family val="2"/>
      </rPr>
      <t>/1 /2</t>
    </r>
  </si>
  <si>
    <t>Programa Concursos de Promoción de Exportaciones</t>
  </si>
  <si>
    <t>Programa:  Convenio PROCHILE/CNCA en el marco de la Política nacional del libro y la lectura</t>
  </si>
  <si>
    <t>Programa Ferias Internacionales</t>
  </si>
  <si>
    <t>Programa Marcas Sectoriales</t>
  </si>
  <si>
    <t>Programa Planes Sectoriales</t>
  </si>
  <si>
    <t>Programa: Agricultura Familiar Campesina - Artesanía</t>
  </si>
  <si>
    <t>Corporación de Fomento de la Producción. Ministerio de Economía, Fomento y Reconstrucción</t>
  </si>
  <si>
    <r>
      <t>Presupuesto desarrollo cultural de Corfo</t>
    </r>
    <r>
      <rPr>
        <b/>
        <vertAlign val="superscript"/>
        <sz val="8"/>
        <rFont val="Verdana"/>
        <family val="2"/>
      </rPr>
      <t>/1 /3</t>
    </r>
  </si>
  <si>
    <t>Programa de Distribución audiovisual</t>
  </si>
  <si>
    <t>Fondos Concurso de Cine</t>
  </si>
  <si>
    <t>Fondos Concurso TV</t>
  </si>
  <si>
    <r>
      <t xml:space="preserve">Programa Territorial Integrado (PTI) con destino creativo </t>
    </r>
    <r>
      <rPr>
        <vertAlign val="superscript"/>
        <sz val="8"/>
        <rFont val="Verdana"/>
        <family val="2"/>
      </rPr>
      <t>/4</t>
    </r>
  </si>
  <si>
    <t>Servicio de Cooperación Técnica. Ministerio de Economía, Fomento y Reconstrucción</t>
  </si>
  <si>
    <r>
      <t>Sercotec</t>
    </r>
    <r>
      <rPr>
        <b/>
        <vertAlign val="superscript"/>
        <sz val="8"/>
        <rFont val="Verdana"/>
        <family val="2"/>
      </rPr>
      <t>/1 /5</t>
    </r>
  </si>
  <si>
    <t>Programa Crece</t>
  </si>
  <si>
    <t>Capital Semilla emprende</t>
  </si>
  <si>
    <t>Capital Abeja emprende</t>
  </si>
  <si>
    <t>Instrumentos para la gestión empresarial</t>
  </si>
  <si>
    <t>Programas asociativos</t>
  </si>
  <si>
    <t>Dirección de Asuntos Culturales (Dirac)
Secretaría y Administración General y Servicio Exterior.
Ministerio de Relaciones Exteriores</t>
  </si>
  <si>
    <r>
      <t>Presupuesto destinado a Cultura Dirac</t>
    </r>
    <r>
      <rPr>
        <b/>
        <vertAlign val="superscript"/>
        <sz val="8"/>
        <rFont val="Verdana"/>
        <family val="2"/>
      </rPr>
      <t>/1 /6</t>
    </r>
  </si>
  <si>
    <t>Proyectos financiados y gestión operacional</t>
  </si>
  <si>
    <t>Proyectos culturales Concurso de embajadas, consulados, artistas o agrupaciones culturales que ejecutan proyectos en el exterior</t>
  </si>
  <si>
    <r>
      <t xml:space="preserve">Apoyo a la difusión de proyectos de artistas chilenos </t>
    </r>
    <r>
      <rPr>
        <b/>
        <vertAlign val="superscript"/>
        <sz val="8"/>
        <rFont val="Verdana"/>
        <family val="2"/>
      </rPr>
      <t>/7</t>
    </r>
  </si>
  <si>
    <t>Subsecretaria de Desarrollo Regional y Administrativo. Ministerio del Interior</t>
  </si>
  <si>
    <r>
      <t xml:space="preserve">Fondo Nacional de Desarrollo Regional </t>
    </r>
    <r>
      <rPr>
        <b/>
        <vertAlign val="superscript"/>
        <sz val="8"/>
        <rFont val="Verdana"/>
        <family val="2"/>
      </rPr>
      <t xml:space="preserve">/1 </t>
    </r>
  </si>
  <si>
    <r>
      <t xml:space="preserve">2% FNDR destinado a Cultura </t>
    </r>
    <r>
      <rPr>
        <b/>
        <vertAlign val="superscript"/>
        <sz val="8"/>
        <rFont val="Verdana"/>
        <family val="2"/>
      </rPr>
      <t>/8</t>
    </r>
  </si>
  <si>
    <r>
      <t xml:space="preserve">Fondo Nacional de Desarrollo Regional (sector educación y cultura) </t>
    </r>
    <r>
      <rPr>
        <b/>
        <vertAlign val="superscript"/>
        <sz val="8"/>
        <rFont val="Verdana"/>
        <family val="2"/>
      </rPr>
      <t>/9</t>
    </r>
  </si>
  <si>
    <t>Presupuesto Municipal en Cultura</t>
  </si>
  <si>
    <r>
      <t xml:space="preserve">Programas municipales destinados a cultura </t>
    </r>
    <r>
      <rPr>
        <b/>
        <vertAlign val="superscript"/>
        <sz val="8"/>
        <rFont val="Verdana"/>
        <family val="2"/>
      </rPr>
      <t>/10</t>
    </r>
  </si>
  <si>
    <t xml:space="preserve">Programas municipales destinados a Cultura </t>
  </si>
  <si>
    <t>Gestión de Recursos Privados</t>
  </si>
  <si>
    <r>
      <t xml:space="preserve">Crédito tributario por Ley de Donaciones Culturales </t>
    </r>
    <r>
      <rPr>
        <b/>
        <vertAlign val="superscript"/>
        <sz val="8"/>
        <rFont val="Verdana"/>
        <family val="2"/>
      </rPr>
      <t>/11   /12</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</si>
  <si>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</si>
  <si>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SII.</t>
    </r>
  </si>
  <si>
    <r>
      <rPr>
        <b/>
        <sz val="8"/>
        <rFont val="Verdana"/>
        <family val="2"/>
      </rPr>
      <t>2</t>
    </r>
    <r>
      <rPr>
        <sz val="8"/>
        <rFont val="Verdana"/>
        <family val="2"/>
      </rPr>
      <t xml:space="preserve"> ProChile atendió el 2015 los siguientes sectores, según programa. 1) Apoyo a la gestión: editorial; 2) Programa de Concursos: Audiovisual, editorial, animación y música; 3) Programa de Convenios: editorial; 4) Ferias Internacionales: audiovisual, editorial y videojuego; 5) Programa Marca sectorial: audiovisual y cine publicitario; 6) Programa Plan Sectorial: audiovisual, editorial, video juegos, animación y diseño de moda. El año 2015, ProChile no desarrolló el Programa Proyecto Servicios.</t>
    </r>
  </si>
  <si>
    <r>
      <rPr>
        <b/>
        <sz val="8"/>
        <rFont val="Verdana"/>
        <family val="2"/>
      </rPr>
      <t>3</t>
    </r>
    <r>
      <rPr>
        <sz val="8"/>
        <rFont val="Verdana"/>
        <family val="2"/>
      </rPr>
      <t xml:space="preserve"> Solo se considera los aportes de Corfo al financiamiento de proyectos asociados a cada uno de los programas destinados al apoyo del audiovisual (Programa de Distribución audiovisual, Fondos Concurso de Cine y Fondos Concurso TV). Estos tres programas contemplan inversión privada, las que para el año 2015 sumo un total de $1.012.865.437.</t>
    </r>
  </si>
  <si>
    <r>
      <rPr>
        <b/>
        <sz val="8"/>
        <rFont val="Verdana"/>
        <family val="2"/>
      </rPr>
      <t>4</t>
    </r>
    <r>
      <rPr>
        <sz val="8"/>
        <rFont val="Verdana"/>
        <family val="2"/>
      </rPr>
      <t xml:space="preserve"> Corresponde a la ejecución del quinto año del PTI de la Región Metropolitana.</t>
    </r>
  </si>
  <si>
    <r>
      <rPr>
        <b/>
        <sz val="8"/>
        <rFont val="Verdana"/>
        <family val="2"/>
      </rPr>
      <t>5</t>
    </r>
    <r>
      <rPr>
        <sz val="8"/>
        <rFont val="Verdana"/>
        <family val="2"/>
      </rPr>
      <t xml:space="preserve"> Sercotec atendió durante el año 2014 diversos sectores, según programa. Para el caso de Crece, Capital Semilla y Capital Abeja, se consideró específicamente la fabricación de muebles, textiles, calzados y prendas de vestir no artesanales; servicios informáticos; y televisión, medios radiales o escritos. En el caso de los programas para la gestión empresarial y asociativos, los sectores atendidos fueron artesanía, industria manufacturas e iniciativas multisectoriales. </t>
    </r>
  </si>
  <si>
    <r>
      <rPr>
        <b/>
        <sz val="8"/>
        <rFont val="Verdana"/>
        <family val="2"/>
      </rPr>
      <t>6</t>
    </r>
    <r>
      <rPr>
        <sz val="8"/>
        <rFont val="Verdana"/>
        <family val="2"/>
      </rPr>
      <t xml:space="preserve"> El presupuesto de Dirac es en Dólares Americanos . Se utilizó la conversión de Dólares a Pesos Chilenos US$ 1= CLP $680.</t>
    </r>
  </si>
  <si>
    <r>
      <rPr>
        <b/>
        <sz val="8"/>
        <rFont val="Verdana"/>
        <family val="2"/>
      </rPr>
      <t>7</t>
    </r>
    <r>
      <rPr>
        <sz val="8"/>
        <rFont val="Verdana"/>
        <family val="2"/>
      </rPr>
      <t xml:space="preserve"> Los dominios culturales atendidos por Dirac en el año 2015 fueron Audiovisual, Artes escénicas (Teatro y Danza), Música, Artes visuales y el Libro y sus autores.</t>
    </r>
  </si>
  <si>
    <r>
      <rPr>
        <b/>
        <sz val="8"/>
        <rFont val="Verdana"/>
        <family val="2"/>
      </rPr>
      <t xml:space="preserve">8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</si>
  <si>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9 </t>
    </r>
    <r>
      <rPr>
        <sz val="8"/>
        <rFont val="Verdana"/>
        <family val="2"/>
      </rPr>
      <t>FNDR, de carácter transversal, relacionado al desarrollo del sector de Educación y Cultura y al subsector de Arte y Cultura, al que pueden postular instituciones de diversos ámbitos de gestión. Para el cálculo se consideran los montos ejecutados entre enero y diciembre del año 2015. Para el año 2015 no se contó con información sobre proyectos de infraestructura.</t>
    </r>
  </si>
  <si>
    <r>
      <rPr>
        <b/>
        <sz val="8"/>
        <rFont val="Verdana"/>
        <family val="2"/>
      </rPr>
      <t xml:space="preserve">10 </t>
    </r>
    <r>
      <rPr>
        <sz val="8"/>
        <rFont val="Verdana"/>
        <family val="2"/>
      </rPr>
      <t>El monto es obtenido de la suma de los gastos municipales de 345 comunas del país. Fuente: Subsecretaría de Desarrollo Regional y Administrativo (SUBDERE ) para 2015.</t>
    </r>
  </si>
  <si>
    <r>
      <t>11</t>
    </r>
    <r>
      <rPr>
        <sz val="8"/>
        <rFont val="Verdana"/>
        <family val="2"/>
      </rPr>
      <t xml:space="preserve"> Hasta la fecha de publicación de este informe el SII no ha entregado el dato de recaudación 2015 por este concepto. Se debe considerar que este monto corresponde al crédito tributario del 50% del monto total. de esta forma, el Estado aporta recursos a la cultural al dejar de percibir impuestos en función de un traspaso entre privados.</t>
    </r>
  </si>
  <si>
    <r>
      <rPr>
        <b/>
        <sz val="8"/>
        <rFont val="Verdana"/>
        <family val="2"/>
      </rPr>
      <t>12</t>
    </r>
    <r>
      <rPr>
        <sz val="8"/>
        <rFont val="Verdana"/>
        <family val="2"/>
      </rPr>
      <t xml:space="preserve"> La recaudación correspondiente al año 2014 no estuvo disponible para la publicación de </t>
    </r>
    <r>
      <rPr>
        <i/>
        <sz val="8"/>
        <rFont val="Verdana"/>
        <family val="2"/>
      </rPr>
      <t>Cultura y Tiempo Libre. Informe Anual 2014</t>
    </r>
    <r>
      <rPr>
        <sz val="8"/>
        <rFont val="Verdana"/>
        <family val="2"/>
      </rPr>
      <t>. A la fecha, se puede informar que el monto total de las donaciones culturales, durante el año calendario 2014, de acuerdo a información del Servicio de Impuestos Internos, alcanzó la suma de $ 22.711.000 miles de pesos (en pesos del 31 de diciembre del año 2014). El crédito tributario corresponde al 50% del monto total, o sea, el Estado aportó (renunciando a impuestos) $ 11.355.500 miles de pesos durante el año 2014, y los contribuyentes de Primera Categoría y de Global Complementario, la misma cantidad.</t>
    </r>
  </si>
  <si>
    <t>... Información no disponible</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</si>
  <si>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</si>
  <si>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2015</t>
  </si>
  <si>
    <t>ÁREA</t>
  </si>
  <si>
    <t>Porcentaje del presupuesto del Gobierno que se destina a cultura (CNCA+Dibam)</t>
  </si>
  <si>
    <t>Total
aprehendidos</t>
  </si>
  <si>
    <t>Número de aprehendidos</t>
  </si>
  <si>
    <t>Menor de
18 años</t>
  </si>
  <si>
    <t>18 a 29
 años</t>
  </si>
  <si>
    <t>30 años
 y más</t>
  </si>
  <si>
    <r>
      <rPr>
        <b/>
        <sz val="8"/>
        <rFont val="Verdana"/>
        <family val="2"/>
      </rPr>
      <t>1</t>
    </r>
    <r>
      <rPr>
        <sz val="8"/>
        <rFont val="Verdana"/>
        <family val="2"/>
      </rPr>
      <t xml:space="preserve"> Para mejorar la compresión de los datos, este año se modifica el título de la tabla a "número de aprehendidos".  </t>
    </r>
  </si>
  <si>
    <t>Falsificación de obras protegidas</t>
  </si>
  <si>
    <t>Venta ilícita de obras protegidas. Art. 80 B Ley 17.336</t>
  </si>
  <si>
    <t>Aprehendidos total</t>
  </si>
  <si>
    <t>Aprehendidos cód. 09002</t>
  </si>
  <si>
    <t>Aprehendidos cód. 09003</t>
  </si>
  <si>
    <r>
      <rPr>
        <b/>
        <sz val="8"/>
        <rFont val="Verdana"/>
        <family val="2"/>
      </rPr>
      <t xml:space="preserve">1 </t>
    </r>
    <r>
      <rPr>
        <sz val="8"/>
        <rFont val="Verdana"/>
        <family val="2"/>
      </rPr>
      <t xml:space="preserve">Para mejorar la compresión de los datos, este año se modifica el título de la tabla a "número de aprehendidos".  </t>
    </r>
  </si>
  <si>
    <t>REGIÓN POLICIAL EN QUE SE HIZO LA DENUNCIA</t>
  </si>
  <si>
    <t>Delito</t>
  </si>
  <si>
    <t>Falsificación de obras protegidas por Ley de Propiedad Intelectual artículo 79 C. Ley Nº 17.336</t>
  </si>
  <si>
    <t>Venta ilícita de obras protegidas por Ley de Propiedad Intelectual artículo 80 B Ley Nº 17.336</t>
  </si>
  <si>
    <t>Utilización sin autorización de obras de dominio ajeno por Ley de Propiedad Intelectual artículo 79 A Ley Nº 17.336</t>
  </si>
  <si>
    <t>Inducir, permitir, facilitar u ocultar una infracción de los derechos de autor o conexos artículo 81 ter. Ley Nº17.336</t>
  </si>
  <si>
    <t>Demás delitos contra la Ley de Propiedad Intelectual.</t>
  </si>
  <si>
    <r>
      <t>REGIÓN POLICIAL DE LA DENUNCIA Y COMUNA DE OCURRENCIA DEL DELITO</t>
    </r>
    <r>
      <rPr>
        <b/>
        <vertAlign val="superscript"/>
        <sz val="8"/>
        <color indexed="8"/>
        <rFont val="Verdana"/>
        <family val="2"/>
      </rPr>
      <t>/1</t>
    </r>
  </si>
  <si>
    <r>
      <t>Se ignora</t>
    </r>
    <r>
      <rPr>
        <vertAlign val="superscript"/>
        <sz val="8"/>
        <color indexed="8"/>
        <rFont val="Verdana"/>
        <family val="2"/>
      </rPr>
      <t>/2</t>
    </r>
  </si>
  <si>
    <r>
      <t xml:space="preserve">1 </t>
    </r>
    <r>
      <rPr>
        <sz val="8"/>
        <color indexed="8"/>
        <rFont val="Verdana"/>
        <family val="2"/>
      </rPr>
      <t>Para cada región policial, se incluyen todas las denuncias efectuadas en cada una de ellas, en tanto que las comunas corresponden a las locaciones en las que ocurrieron los delitos. A causa de ello, puede suceder que las comunas informadas dentro de cada región, puedan no corresponder con la región en la que se encuentra clasificada.</t>
    </r>
  </si>
  <si>
    <r>
      <t>2</t>
    </r>
    <r>
      <rPr>
        <sz val="8"/>
        <color indexed="8"/>
        <rFont val="Verdana"/>
        <family val="2"/>
      </rPr>
      <t xml:space="preserve"> No es posible obtener desagregación del dato.</t>
    </r>
  </si>
  <si>
    <r>
      <t>No determinados</t>
    </r>
    <r>
      <rPr>
        <vertAlign val="superscript"/>
        <sz val="8"/>
        <color indexed="8"/>
        <rFont val="Verdana"/>
        <family val="2"/>
      </rPr>
      <t>/1</t>
    </r>
  </si>
  <si>
    <r>
      <rPr>
        <b/>
        <sz val="8"/>
        <color indexed="8"/>
        <rFont val="Verdana"/>
        <family val="2"/>
      </rPr>
      <t>1</t>
    </r>
    <r>
      <rPr>
        <sz val="8"/>
        <color indexed="8"/>
        <rFont val="Verdana"/>
        <family val="2"/>
      </rPr>
      <t xml:space="preserve"> La categoría se refiere a cuando se logra recuperar una parte o trozo un bien, sin embargo, no es posible determinar a qué bien pertenece concretamente.</t>
    </r>
  </si>
  <si>
    <r>
      <rPr>
        <b/>
        <sz val="8"/>
        <color indexed="8"/>
        <rFont val="Verdana"/>
        <family val="2"/>
      </rPr>
      <t>2</t>
    </r>
    <r>
      <rPr>
        <sz val="8"/>
        <color indexed="8"/>
        <rFont val="Verdana"/>
        <family val="2"/>
      </rPr>
      <t xml:space="preserve"> No es posible obtener desagregación del dato.</t>
    </r>
  </si>
  <si>
    <t xml:space="preserve">REGIÓN </t>
  </si>
  <si>
    <t>Detenidos</t>
  </si>
  <si>
    <t>Demás delitos contra la Ley de Propiedad Intelectual</t>
  </si>
  <si>
    <t>REGIÓN/             GRUPOS DE EDAD</t>
  </si>
  <si>
    <t>REGIÓN Y UNIDAD POLICIAL</t>
  </si>
  <si>
    <t>Artículo incautado</t>
  </si>
  <si>
    <t xml:space="preserve">
Libros</t>
  </si>
  <si>
    <t xml:space="preserve">
Cd</t>
  </si>
  <si>
    <r>
      <t xml:space="preserve">
Dvd</t>
    </r>
    <r>
      <rPr>
        <b/>
        <vertAlign val="superscript"/>
        <sz val="8"/>
        <color indexed="8"/>
        <rFont val="Verdana"/>
        <family val="2"/>
      </rPr>
      <t>/1</t>
    </r>
  </si>
  <si>
    <t xml:space="preserve">
Cpu</t>
  </si>
  <si>
    <t xml:space="preserve">
Notebook</t>
  </si>
  <si>
    <t>Discos duros y quemadores</t>
  </si>
  <si>
    <r>
      <t xml:space="preserve">
Carátulas</t>
    </r>
    <r>
      <rPr>
        <b/>
        <vertAlign val="superscript"/>
        <sz val="8"/>
        <color indexed="8"/>
        <rFont val="Verdana"/>
        <family val="2"/>
      </rPr>
      <t>/2</t>
    </r>
  </si>
  <si>
    <t xml:space="preserve">
Impresoras</t>
  </si>
  <si>
    <t>Cartridge tinta</t>
  </si>
  <si>
    <t>Brigada Investigadora de Delitos Económicos Arica</t>
  </si>
  <si>
    <t>Brigada Investigadora de Delitos Económicos Iquique</t>
  </si>
  <si>
    <t>Brigada Investigadora de Delitos en Recintos Portuarios Iquique</t>
  </si>
  <si>
    <t>Brigada Investigadora de Lavados de Activos Iquique</t>
  </si>
  <si>
    <t>Brigada Investigadora de Delitos Económicos Antofagasta</t>
  </si>
  <si>
    <t>Brigada Investigadora de Delitos Económicos Copiapó</t>
  </si>
  <si>
    <t>Brigada Investigadora de Delitos Económicos La Serena</t>
  </si>
  <si>
    <t>Brigada Investigadora de Delitos Económicos Los Andes</t>
  </si>
  <si>
    <t>Brigada Investigadora de Delitos Económicos San Antonio</t>
  </si>
  <si>
    <t>Brigada Investigadora de Delitos Económicos Valparaíso</t>
  </si>
  <si>
    <t>Brigada Investigadora de Delitos en Recintos Portuarios Valparaíso</t>
  </si>
  <si>
    <t>Brigada Investigadora del Cibercrimen Valparaíso</t>
  </si>
  <si>
    <t>Brigada Investigadora de Delitos Económicos Metropolitana</t>
  </si>
  <si>
    <t>Brigada Investigadora de Lavados de Activos Metropolitana</t>
  </si>
  <si>
    <t>Brigada Investigadora del Cibercrimen Metropolitana</t>
  </si>
  <si>
    <r>
      <t>Brigada Investigadora de Delitos de Propiedad Intelectual</t>
    </r>
    <r>
      <rPr>
        <vertAlign val="superscript"/>
        <sz val="8"/>
        <color indexed="8"/>
        <rFont val="Verdana"/>
        <family val="2"/>
      </rPr>
      <t>/3</t>
    </r>
  </si>
  <si>
    <t>Brigada Investigadora de Delitos Económicos Rancagua</t>
  </si>
  <si>
    <t>Brigada Investigadora de Delitos Económicos Talca</t>
  </si>
  <si>
    <t>Brigada Investigadora de Delitos Económicos Linares</t>
  </si>
  <si>
    <t>Brigada Investigadora de Delitos Económicos Chillán</t>
  </si>
  <si>
    <t>Brigada Investigadora de Delitos Económicos Concepción</t>
  </si>
  <si>
    <t>Brigada Investigadora de Delitos Económicos Temuco</t>
  </si>
  <si>
    <t>Brigada Investigadora de Delitos Económicos Valdivia</t>
  </si>
  <si>
    <t>Brigada Investigadora de Delitos Económicos Osorno</t>
  </si>
  <si>
    <t>Brigada Investigadora de Delitos Económicos Puerto Montt</t>
  </si>
  <si>
    <t>Brigada Investigadora de Delitos Económicos Coyhaique</t>
  </si>
  <si>
    <t>Brigada Investigadora de Delitos Económicos Punta Arenas</t>
  </si>
  <si>
    <r>
      <rPr>
        <b/>
        <sz val="8"/>
        <rFont val="Verdana"/>
        <family val="2"/>
      </rPr>
      <t>1</t>
    </r>
    <r>
      <rPr>
        <sz val="8"/>
        <rFont val="Verdana"/>
        <family val="2"/>
      </rPr>
      <t xml:space="preserve"> Dvd se refiere a todos los dvd, menos los juegos de consola.</t>
    </r>
  </si>
  <si>
    <r>
      <rPr>
        <b/>
        <sz val="8"/>
        <rFont val="Verdana"/>
        <family val="2"/>
      </rPr>
      <t>2</t>
    </r>
    <r>
      <rPr>
        <sz val="8"/>
        <rFont val="Verdana"/>
        <family val="2"/>
      </rPr>
      <t xml:space="preserve"> El aumento en la incautación de carátulas se debe a diligencias realizadas por la unidad policial Brigada Investigadora de Delitos de Propiedad Intelectual (BRIDEPI)</t>
    </r>
  </si>
  <si>
    <r>
      <rPr>
        <b/>
        <sz val="8"/>
        <rFont val="Verdana"/>
        <family val="2"/>
      </rPr>
      <t>3</t>
    </r>
    <r>
      <rPr>
        <sz val="8"/>
        <rFont val="Verdana"/>
        <family val="2"/>
      </rPr>
      <t xml:space="preserve"> Brigada Investigadora de Delitos de Propiedad Intelectual tiene presencia centralizada en la Región Metropolitana</t>
    </r>
  </si>
  <si>
    <r>
      <t>Se ignora</t>
    </r>
    <r>
      <rPr>
        <vertAlign val="superscript"/>
        <sz val="8"/>
        <color indexed="8"/>
        <rFont val="Verdana"/>
        <family val="2"/>
      </rPr>
      <t>/1</t>
    </r>
  </si>
  <si>
    <r>
      <rPr>
        <b/>
        <sz val="8"/>
        <color indexed="8"/>
        <rFont val="Verdana"/>
        <family val="2"/>
      </rPr>
      <t>1</t>
    </r>
    <r>
      <rPr>
        <sz val="8"/>
        <color indexed="8"/>
        <rFont val="Verdana"/>
        <family val="2"/>
      </rPr>
      <t xml:space="preserve"> No fue posible obtener mayor desagregación del dato.</t>
    </r>
  </si>
  <si>
    <t>NÚMERO DE DENUNCIAS</t>
  </si>
  <si>
    <t>DELITOS</t>
  </si>
  <si>
    <t>FALSIFICACIÓN DE OBRAS PROTEGIDAS POR LEY DE PROPIEDAD INTELECTUAL ART. 79 BIS.LEY Nº 17.336.</t>
  </si>
  <si>
    <t>VENTA ILÍCITA DE OBRAS PROTEGIDAS POR LEY DE PROPIEDAD INTELECTUAL ART. 81 B LEY Nº 17.336.</t>
  </si>
  <si>
    <t>DEMÁS DELITOS CONTRA LA LEY DE PROPIEDAD INTELECTUAL</t>
  </si>
  <si>
    <t>REGIÓN Y            COMUNA DEL DELITO</t>
  </si>
  <si>
    <t>DELITO</t>
  </si>
  <si>
    <t>Delitos contra Ley de Propiedad Intelectual</t>
  </si>
  <si>
    <t>Falsificación de obras protegidas por Ley de Propiedad Intelectual (artículo 79 bis. Ley N° 17.336)</t>
  </si>
  <si>
    <t>Otros delitos contra la Ley de Propiedad Intelectual</t>
  </si>
  <si>
    <t>Utilización sin autorización de obras de dominio ajeno por Ley de Propiedad Intelectual (artículo 79 a Ley N° 17.336)</t>
  </si>
  <si>
    <t>Venta ilícita de obras protegidas por Ley de Propiedad Intelectual (artículo 81b Ley N° 17.336)</t>
  </si>
  <si>
    <t>Condenados</t>
  </si>
  <si>
    <t>Delitos contra ley de Propiedad Intelectual</t>
  </si>
  <si>
    <t>Venta ilícita de obras protegidas por Ley de Propiedad Intelectual (artículo 81 b Ley N° 17.336)</t>
  </si>
  <si>
    <t>Utilización sin autorizacion de obras de dominio ajeno por Ley de Propiedad Intelectual (artículo 79 a Ley N° 17.336)</t>
  </si>
  <si>
    <t xml:space="preserve">                                  </t>
  </si>
  <si>
    <t>CORTE DE APELACIONES</t>
  </si>
  <si>
    <t>Total Ley 17.336 de Propiedad Intelectual</t>
  </si>
  <si>
    <t xml:space="preserve">Falsificación de obras protegidas por Ley de Propiedad Intelectual (artículo 79 bis. Ley N°17.336) </t>
  </si>
  <si>
    <t xml:space="preserve">Delitos contra ley de propiedad intelectual            </t>
  </si>
  <si>
    <t>Otros delitos contra la ley de propiedad intelectual</t>
  </si>
  <si>
    <r>
      <t>Términos</t>
    </r>
    <r>
      <rPr>
        <b/>
        <vertAlign val="superscript"/>
        <sz val="8"/>
        <rFont val="Verdana"/>
        <family val="2"/>
      </rPr>
      <t>/1</t>
    </r>
  </si>
  <si>
    <t>1 Las causas terminadas no corresponden exclusivamente al mismo año, sino que pueden ser de años anteriores. Por ese motivo, en un año puede haber más causas terminadas que ingresadas.</t>
  </si>
  <si>
    <t>REGIÓN Y FISCALÍA</t>
  </si>
  <si>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</si>
  <si>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</si>
  <si>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</si>
  <si>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</si>
  <si>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r>
      <t>Metropolitana</t>
    </r>
    <r>
      <rPr>
        <vertAlign val="superscript"/>
        <sz val="8"/>
        <rFont val="Verdana"/>
        <family val="2"/>
      </rPr>
      <t>/5</t>
    </r>
  </si>
  <si>
    <r>
      <rPr>
        <b/>
        <sz val="8"/>
        <color theme="1"/>
        <rFont val="Verdana"/>
        <family val="2"/>
      </rPr>
      <t>1</t>
    </r>
    <r>
      <rPr>
        <sz val="8"/>
        <color theme="1"/>
        <rFont val="Verdana"/>
        <family val="2"/>
      </rPr>
      <t xml:space="preserve"> Las causas terminadas no corresponden exclusivamente al mismo año, sino que pueden ser de años anteriores. Por ese motivo, en un año puede haber más causas terminadas que ingresadas.</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</si>
  <si>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</si>
  <si>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</si>
  <si>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</si>
  <si>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</si>
  <si>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Sentencias definitivas condenatorias Ley 17.336 total delitos contra la propiedad intelectual Código: 9002, 9003, 9004 y 9099</t>
  </si>
  <si>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</si>
  <si>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</si>
  <si>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</si>
  <si>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</si>
  <si>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r>
      <t>TABLA 24.1: COMERCIO EXTERIOR DE BIENES Y SERVICIOS CULTURALES Y CREATIVOS, SEGÚN DOMINIO CULTURAL. 2015</t>
    </r>
    <r>
      <rPr>
        <b/>
        <vertAlign val="superscript"/>
        <sz val="8"/>
        <rFont val="Verdana"/>
        <family val="2"/>
      </rPr>
      <t>/1</t>
    </r>
  </si>
  <si>
    <t>EXPORTACIONES TOTAL PAIS 2015 (valor FOB en US$)</t>
  </si>
  <si>
    <t>PARTICIPACIÓN CULTURA EN EXPORTACIONES</t>
  </si>
  <si>
    <t>IMPORTACIONES TOTAL PAIS 2015 (valor CIF en US$)</t>
  </si>
  <si>
    <t>PARTICIPACIÓN CULTURA EN IMPORTACIONES</t>
  </si>
  <si>
    <r>
      <t xml:space="preserve">NACIONAL PRODUCTOS </t>
    </r>
    <r>
      <rPr>
        <b/>
        <vertAlign val="superscript"/>
        <sz val="8"/>
        <rFont val="Verdana"/>
        <family val="2"/>
      </rPr>
      <t>/2</t>
    </r>
  </si>
  <si>
    <t>TOTAL PRODUCTOS CREATIVO</t>
  </si>
  <si>
    <t>NACIONAL SERVICIOS</t>
  </si>
  <si>
    <t>TOTAL SERVICIOS CREATIVOS</t>
  </si>
  <si>
    <r>
      <rPr>
        <b/>
        <sz val="8"/>
        <rFont val="Verdana"/>
        <family val="2"/>
      </rPr>
      <t>1</t>
    </r>
    <r>
      <rPr>
        <sz val="8"/>
        <rFont val="Verdana"/>
        <family val="2"/>
      </rPr>
      <t xml:space="preserve"> Los totales se calcularon a partir de valor FOB (Free on Board-Libre a bordo) y CIF (Cost, Insurance &amp; Freight-Costo, Seguro y Flete) en dólares (US$) 2015.</t>
    </r>
  </si>
  <si>
    <r>
      <rPr>
        <b/>
        <sz val="8"/>
        <rFont val="Verdana"/>
        <family val="2"/>
      </rPr>
      <t>2</t>
    </r>
    <r>
      <rPr>
        <sz val="8"/>
        <rFont val="Verdana"/>
        <family val="2"/>
      </rPr>
      <t xml:space="preserve"> Las cifras Total Economía han sido extraídas desde el Servicio Nacional de Aduanas.</t>
    </r>
  </si>
  <si>
    <t>FUENTE CIFRAS TOTAL ECONOMÍA: Servicio Nacional de Aduanas</t>
  </si>
  <si>
    <t>FUENTE CIFRAS SECTOR CULTURA Y TIEMPO LIBRE: Servicio Nacional de Aduanas en base a listado de códigos de productos culturales entregados por el CNCA.</t>
  </si>
  <si>
    <t>TABLA 24.2: IMPORTACIÓN Y EXPORTACIÓN SEGÚN DOMINIO, SUBDOMINIO CULTURAL (MONTO EXPORTACIONES EN US$ FOB E IMPORTACIONES EN US$ CIF). 2013- 2015</t>
  </si>
  <si>
    <t>DOMINIO, SUBDOMINIO CULTURAL Y TIPO DE PRODUCTO</t>
  </si>
  <si>
    <t>IMPORTACIONES</t>
  </si>
  <si>
    <t>EXPORTACIONES</t>
  </si>
  <si>
    <r>
      <t>Arquitectura</t>
    </r>
    <r>
      <rPr>
        <vertAlign val="superscript"/>
        <sz val="8"/>
        <rFont val="Verdana"/>
        <family val="2"/>
      </rPr>
      <t>/1</t>
    </r>
  </si>
  <si>
    <r>
      <t>Diseño</t>
    </r>
    <r>
      <rPr>
        <vertAlign val="superscript"/>
        <sz val="8"/>
        <rFont val="Verdana"/>
        <family val="2"/>
      </rPr>
      <t>/2</t>
    </r>
  </si>
  <si>
    <r>
      <t>Publicidad</t>
    </r>
    <r>
      <rPr>
        <vertAlign val="superscript"/>
        <sz val="8"/>
        <rFont val="Verdana"/>
        <family val="2"/>
      </rPr>
      <t>/3</t>
    </r>
  </si>
  <si>
    <r>
      <t>Circo</t>
    </r>
    <r>
      <rPr>
        <vertAlign val="superscript"/>
        <sz val="8"/>
        <rFont val="Verdana"/>
        <family val="2"/>
      </rPr>
      <t>/4</t>
    </r>
  </si>
  <si>
    <r>
      <t>Diarios y Revistas</t>
    </r>
    <r>
      <rPr>
        <vertAlign val="superscript"/>
        <sz val="8"/>
        <rFont val="Verdana"/>
        <family val="2"/>
      </rPr>
      <t>/5</t>
    </r>
  </si>
  <si>
    <r>
      <t>Editorial</t>
    </r>
    <r>
      <rPr>
        <vertAlign val="superscript"/>
        <sz val="8"/>
        <rFont val="Verdana"/>
        <family val="2"/>
      </rPr>
      <t>/6</t>
    </r>
  </si>
  <si>
    <r>
      <t>Música</t>
    </r>
    <r>
      <rPr>
        <vertAlign val="superscript"/>
        <sz val="8"/>
        <rFont val="Verdana"/>
        <family val="2"/>
      </rPr>
      <t>/7</t>
    </r>
  </si>
  <si>
    <r>
      <t>Artes Visuales</t>
    </r>
    <r>
      <rPr>
        <vertAlign val="superscript"/>
        <sz val="8"/>
        <rFont val="Verdana"/>
        <family val="2"/>
      </rPr>
      <t>/8</t>
    </r>
  </si>
  <si>
    <r>
      <t>Fotografía</t>
    </r>
    <r>
      <rPr>
        <vertAlign val="superscript"/>
        <sz val="8"/>
        <rFont val="Verdana"/>
        <family val="2"/>
      </rPr>
      <t>/9</t>
    </r>
  </si>
  <si>
    <r>
      <t>Artesanía</t>
    </r>
    <r>
      <rPr>
        <vertAlign val="superscript"/>
        <sz val="8"/>
        <rFont val="Verdana"/>
        <family val="2"/>
      </rPr>
      <t>/10</t>
    </r>
  </si>
  <si>
    <r>
      <t>Audiovisual</t>
    </r>
    <r>
      <rPr>
        <vertAlign val="superscript"/>
        <sz val="8"/>
        <rFont val="Verdana"/>
        <family val="2"/>
      </rPr>
      <t>/11</t>
    </r>
  </si>
  <si>
    <r>
      <t>Radio y Televisión</t>
    </r>
    <r>
      <rPr>
        <vertAlign val="superscript"/>
        <sz val="8"/>
        <rFont val="Verdana"/>
        <family val="2"/>
      </rPr>
      <t>/12</t>
    </r>
  </si>
  <si>
    <t>Video Juegos</t>
  </si>
  <si>
    <r>
      <t>Patrimonio</t>
    </r>
    <r>
      <rPr>
        <vertAlign val="superscript"/>
        <sz val="8"/>
        <rFont val="Verdana"/>
        <family val="2"/>
      </rPr>
      <t>/13</t>
    </r>
  </si>
  <si>
    <r>
      <rPr>
        <b/>
        <sz val="8"/>
        <rFont val="Verdana"/>
        <family val="2"/>
      </rPr>
      <t>1</t>
    </r>
    <r>
      <rPr>
        <sz val="8"/>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</si>
  <si>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rPr>
        <b/>
        <sz val="8"/>
        <rFont val="Verdana"/>
        <family val="2"/>
      </rPr>
      <t>2</t>
    </r>
    <r>
      <rPr>
        <sz val="8"/>
        <rFont val="Verdana"/>
        <family val="2"/>
      </rPr>
      <t xml:space="preserve"> Papel para decorar y revestimientos similares de paredes; papel para vidrieras.</t>
    </r>
  </si>
  <si>
    <r>
      <rPr>
        <b/>
        <sz val="8"/>
        <rFont val="Verdana"/>
        <family val="2"/>
      </rPr>
      <t>3</t>
    </r>
    <r>
      <rPr>
        <sz val="8"/>
        <rFont val="Verdana"/>
        <family val="2"/>
      </rPr>
      <t xml:space="preserve"> Incluye Exhibidores publicitarios de cartón; Catálogos comerciales; Impresos publicitarios entre otros.</t>
    </r>
  </si>
  <si>
    <r>
      <rPr>
        <b/>
        <sz val="8"/>
        <rFont val="Verdana"/>
        <family val="2"/>
      </rPr>
      <t>4</t>
    </r>
    <r>
      <rPr>
        <sz val="8"/>
        <rFont val="Verdana"/>
        <family val="2"/>
      </rPr>
      <t xml:space="preserve"> Circos, zoológicos ambulantes.</t>
    </r>
  </si>
  <si>
    <r>
      <rPr>
        <b/>
        <sz val="8"/>
        <rFont val="Verdana"/>
        <family val="2"/>
      </rPr>
      <t>5</t>
    </r>
    <r>
      <rPr>
        <sz val="8"/>
        <rFont val="Verdana"/>
        <family val="2"/>
      </rPr>
      <t xml:space="preserve"> Incluye diarios y publicaciones periódicas; revistas infantiles, de deportes y de modas; papel prensa en bobinas y en hojas</t>
    </r>
  </si>
  <si>
    <r>
      <rPr>
        <b/>
        <sz val="8"/>
        <rFont val="Verdana"/>
        <family val="2"/>
      </rPr>
      <t>6</t>
    </r>
    <r>
      <rPr>
        <sz val="8"/>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</si>
  <si>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rPr>
        <b/>
        <sz val="8"/>
        <rFont val="Verdana"/>
        <family val="2"/>
      </rPr>
      <t>7</t>
    </r>
    <r>
      <rPr>
        <sz val="8"/>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eléctricamente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 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</si>
  <si>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8"/>
        <rFont val="Verdana"/>
        <family val="2"/>
      </rPr>
      <t>8</t>
    </r>
    <r>
      <rPr>
        <sz val="8"/>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</si>
  <si>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8"/>
        <rFont val="Verdana"/>
        <family val="2"/>
      </rPr>
      <t>9</t>
    </r>
    <r>
      <rPr>
        <sz val="8"/>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</si>
  <si>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8"/>
        <rFont val="Verdana"/>
        <family val="2"/>
      </rPr>
      <t>10</t>
    </r>
    <r>
      <rPr>
        <sz val="8"/>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</si>
  <si>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8"/>
        <rFont val="Verdana"/>
        <family val="2"/>
      </rPr>
      <t>11</t>
    </r>
    <r>
      <rPr>
        <sz val="8"/>
        <rFont val="Verdana"/>
        <family val="2"/>
      </rPr>
      <t xml:space="preserve"> Incluye  películas cinematográficas, impresionadas y reveladas, con o sin registro de sonido; Aparatos de grabación o reproducción de imagen y sonido (vídeos), incluso con receptor de señales de imagen y sonido incorporado;  Cámaras cinematográficas para filmes ancho, Proyectores; Partes y accesorios de proyectores cinematográficos.</t>
    </r>
  </si>
  <si>
    <r>
      <rPr>
        <b/>
        <sz val="8"/>
        <rFont val="Verdana"/>
        <family val="2"/>
      </rPr>
      <t>12</t>
    </r>
    <r>
      <rPr>
        <sz val="8"/>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 de sonido o imagen incorporado.</t>
    </r>
  </si>
  <si>
    <r>
      <rPr>
        <b/>
        <sz val="8"/>
        <rFont val="Verdana"/>
        <family val="2"/>
      </rPr>
      <t>13</t>
    </r>
    <r>
      <rPr>
        <sz val="8"/>
        <rFont val="Verdana"/>
        <family val="2"/>
      </rPr>
      <t xml:space="preserve"> Incluye Antigüedades de más de cien año;  Colecciones y especímenes para colecciones de zoología, botánica, mineralogía o anatomía o que tengan interés histórico, arqueológico, paleontológico, etnográfico o numismático; y  Artículos para fiestas, carnaval u otras diversiones, incluidos los de magia y artículos sorpresa.</t>
    </r>
  </si>
  <si>
    <t xml:space="preserve">IMPORTACIONES </t>
  </si>
  <si>
    <t>Diarios y Revistas</t>
  </si>
  <si>
    <t>Radio y Televisión</t>
  </si>
  <si>
    <r>
      <rPr>
        <b/>
        <sz val="8"/>
        <rFont val="Verdana"/>
        <family val="2"/>
      </rPr>
      <t xml:space="preserve">1 </t>
    </r>
    <r>
      <rPr>
        <sz val="8"/>
        <rFont val="Verdana"/>
        <family val="2"/>
      </rPr>
      <t>Los valores en dólares de la Tabla 24.2 han sido transformados a pesos corriente según dólar observado a diciembre de cada año.</t>
    </r>
  </si>
  <si>
    <r>
      <rPr>
        <b/>
        <sz val="8"/>
        <rFont val="Verdana"/>
        <family val="2"/>
      </rPr>
      <t>2</t>
    </r>
    <r>
      <rPr>
        <sz val="8"/>
        <rFont val="Verdana"/>
        <family val="2"/>
      </rPr>
      <t xml:space="preserve"> Dólar observado 30 dic. 2013: 523,76. Valor utilizado para el cálculo de exportaciones e importaciones de 2013, en pesos corrientes.</t>
    </r>
  </si>
  <si>
    <r>
      <rPr>
        <b/>
        <sz val="8"/>
        <rFont val="Verdana"/>
        <family val="2"/>
      </rPr>
      <t>3</t>
    </r>
    <r>
      <rPr>
        <sz val="8"/>
        <rFont val="Verdana"/>
        <family val="2"/>
      </rPr>
      <t xml:space="preserve"> Dólar observado 30 dic. 2014: 607,38. Valor utilizado para el cálculo de exportaciones e importaciones de 2014, en pesos corrientes.</t>
    </r>
  </si>
  <si>
    <r>
      <rPr>
        <b/>
        <sz val="8"/>
        <rFont val="Verdana"/>
        <family val="2"/>
      </rPr>
      <t xml:space="preserve">4 </t>
    </r>
    <r>
      <rPr>
        <sz val="8"/>
        <rFont val="Verdana"/>
        <family val="2"/>
      </rPr>
      <t>Dólar observado 30 dic. 2015: 707,34. Valor utilizado para el cálculo de exportaciones e importaciones de 2015, en pesos corrientes.</t>
    </r>
  </si>
  <si>
    <r>
      <rPr>
        <b/>
        <sz val="8"/>
        <rFont val="Verdana"/>
        <family val="2"/>
      </rPr>
      <t xml:space="preserve">1 </t>
    </r>
    <r>
      <rPr>
        <sz val="8"/>
        <rFont val="Verdana"/>
        <family val="2"/>
      </rPr>
      <t>Los valores en pesos corrientes de la tabla 24.3 han sido ajustados a pesos según IPC año base 2015, con el siguiente detalle de Índice de Variación:</t>
    </r>
  </si>
  <si>
    <r>
      <rPr>
        <b/>
        <sz val="8"/>
        <rFont val="Verdana"/>
        <family val="2"/>
      </rPr>
      <t>2</t>
    </r>
    <r>
      <rPr>
        <sz val="8"/>
        <rFont val="Verdana"/>
        <family val="2"/>
      </rPr>
      <t xml:space="preserve"> Dic. 2013: 9,8810703666997. Valor utilizado para ajustes de pesos corrientes 2013 a pesos 2015, para exportaciones e importaciones del año 2013.</t>
    </r>
  </si>
  <si>
    <r>
      <rPr>
        <b/>
        <sz val="8"/>
        <rFont val="Verdana"/>
        <family val="2"/>
      </rPr>
      <t>3</t>
    </r>
    <r>
      <rPr>
        <sz val="8"/>
        <rFont val="Verdana"/>
        <family val="2"/>
      </rPr>
      <t xml:space="preserve"> Dic. 2014: 3,94712169510596. Valor utilizado para ajustes de pesos corrientes 2014 a pesos 2015, para exportaciones e importaciones del año 2014.</t>
    </r>
  </si>
  <si>
    <t>FUENTE CIFRAS SECTOR CULTURAL Y TIEMPO LIBRE: Servicio Nacional de Aduanas en base a listado de códigos de productos culturales entregados por el CNCA.</t>
  </si>
  <si>
    <r>
      <t>País</t>
    </r>
    <r>
      <rPr>
        <b/>
        <vertAlign val="superscript"/>
        <sz val="8"/>
        <rFont val="Verdana"/>
        <family val="2"/>
      </rPr>
      <t>2</t>
    </r>
  </si>
  <si>
    <t>Argentina</t>
  </si>
  <si>
    <t>Brasil</t>
  </si>
  <si>
    <t>Perú</t>
  </si>
  <si>
    <t>U.S.A.</t>
  </si>
  <si>
    <t>Resto de América</t>
  </si>
  <si>
    <t>Resto de Europa</t>
  </si>
  <si>
    <t>Resto de Asia</t>
  </si>
  <si>
    <t>China</t>
  </si>
  <si>
    <r>
      <rPr>
        <b/>
        <sz val="8"/>
        <rFont val="Verdana"/>
        <family val="2"/>
      </rPr>
      <t xml:space="preserve">1 </t>
    </r>
    <r>
      <rPr>
        <sz val="8"/>
        <rFont val="Verdana"/>
        <family val="2"/>
      </rPr>
      <t>Los totales se calcularon a partir del valor FOB (Free on Board-Libre a bordo) en dólares (US$) 2015.</t>
    </r>
  </si>
  <si>
    <r>
      <rPr>
        <b/>
        <sz val="8"/>
        <rFont val="Verdana"/>
        <family val="2"/>
      </rPr>
      <t xml:space="preserve">2 </t>
    </r>
    <r>
      <rPr>
        <sz val="8"/>
        <rFont val="Verdana"/>
        <family val="2"/>
      </rPr>
      <t>Esta categoría contiene además, regiones como: resto de América, resto de Europa y resto de Asia y además, continentes como: Oceanía y África.</t>
    </r>
  </si>
  <si>
    <t>Desconocido</t>
  </si>
  <si>
    <t>DOMINIO/SUBDOMINIO CULTURAL Y TIPO DE PRODUCTO</t>
  </si>
  <si>
    <t>Importación 2015</t>
  </si>
  <si>
    <t>Exportación 2015</t>
  </si>
  <si>
    <t>Papel soporte para decorar paredes</t>
  </si>
  <si>
    <t>Papel para exhibidores publicitarios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</si>
  <si>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</si>
  <si>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</si>
  <si>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</si>
  <si>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</si>
  <si>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</si>
  <si>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</si>
  <si>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</si>
  <si>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Sonido</t>
  </si>
  <si>
    <t>Instrumentos musicales</t>
  </si>
  <si>
    <t>Insumos para instrumentos musicales</t>
  </si>
  <si>
    <t>Micrófonos y altavoces</t>
  </si>
  <si>
    <t>Álbumes o libros de estampas</t>
  </si>
  <si>
    <t>Bolígrafos de pluma y similares</t>
  </si>
  <si>
    <t>Colores para la pintura artística y la enseñanza</t>
  </si>
  <si>
    <t>Lápices</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</si>
  <si>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</si>
  <si>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</si>
  <si>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</si>
  <si>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</si>
  <si>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</si>
  <si>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</si>
  <si>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fotográficas sin impresionar</t>
  </si>
  <si>
    <t>Preparaciones químicas para uso fotográfico</t>
  </si>
  <si>
    <t>Videocámaras</t>
  </si>
  <si>
    <t>Hilados de lana</t>
  </si>
  <si>
    <t>Lana cardada o peinada</t>
  </si>
  <si>
    <t>Lana en bruto</t>
  </si>
  <si>
    <t>Madera en bruto.. Las demás ( no coníferas, no de haya, no encina o roble)</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</si>
  <si>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</si>
  <si>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</si>
  <si>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</si>
  <si>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</si>
  <si>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</si>
  <si>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</si>
  <si>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</si>
  <si>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</si>
  <si>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</si>
  <si>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Productos férreos</t>
  </si>
  <si>
    <t>Telares</t>
  </si>
  <si>
    <t>Trenzas en pieza</t>
  </si>
  <si>
    <t>Discos, cintas y dispositivos de almacenamiento de datos</t>
  </si>
  <si>
    <t>Máquinas para el procesamiento de datos</t>
  </si>
  <si>
    <t>Aparatos para la Grabación u Reproducción de Imagen y Sonido</t>
  </si>
  <si>
    <t>Cámaras de televisión</t>
  </si>
  <si>
    <t>Cámaras y proyectores de cine</t>
  </si>
  <si>
    <r>
      <rPr>
        <b/>
        <sz val="8"/>
        <rFont val="Verdana"/>
        <family val="2"/>
      </rPr>
      <t xml:space="preserve">1 </t>
    </r>
    <r>
      <rPr>
        <sz val="8"/>
        <rFont val="Verdana"/>
        <family val="2"/>
      </rPr>
      <t>Los totales se calcularon a partir del valor FOB (Free on Board-Libre a bordo) y CIF (Cost, Insurance &amp; Freight-Costo, Seguro y Flete) en dólares (US$) 2015.</t>
    </r>
  </si>
  <si>
    <t>FUENTE: Servicio Nacional de Aduanas (SNA). Cifras sector cultura y tiempo Libre, en base a listado de códigos de productos culturales entregados por el Consejo Nacional de la Cultura y las Artes (CNCA).</t>
  </si>
  <si>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</si>
  <si>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</si>
  <si>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</si>
  <si>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</si>
  <si>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t>Planos o dibujos hechos a mano de arquitectura o topográficos</t>
  </si>
  <si>
    <t>Catálogos comerciales e impresos publicitarios</t>
  </si>
  <si>
    <t>Otros impresos no libros</t>
  </si>
  <si>
    <t>Circos y zoológicos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</si>
  <si>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</si>
  <si>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</si>
  <si>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</si>
  <si>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</si>
  <si>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</si>
  <si>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</si>
  <si>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</si>
  <si>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</si>
  <si>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</si>
  <si>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</si>
  <si>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Tarjetas postales impresas o ilustradas; tarjetas impresas</t>
  </si>
  <si>
    <t>Discos de Carácter musical</t>
  </si>
  <si>
    <t>Música manuscrita o impresa, incluso con ilustraciones o</t>
  </si>
  <si>
    <t>Cuadros y pinturas originales de artistas chilenos</t>
  </si>
  <si>
    <t>Esculturas originales de artistas chilenos</t>
  </si>
  <si>
    <t>Esculturas, Pinturas, dibujos y similares</t>
  </si>
  <si>
    <t>Estampas, grabados y fotografías</t>
  </si>
  <si>
    <t>Películas fotográficas impresionados pero sin revelar</t>
  </si>
  <si>
    <t>Alfombras de lana</t>
  </si>
  <si>
    <t>Artículos de cestería</t>
  </si>
  <si>
    <t>Artículos de joyería o orfebrería de plata o similares</t>
  </si>
  <si>
    <t>Artículos de mesa o  cocina, de madera</t>
  </si>
  <si>
    <t>Asientos de material vegetal</t>
  </si>
  <si>
    <t>Baúles, portadocumentos, maletines, etc. de cuero</t>
  </si>
  <si>
    <t>Bordados</t>
  </si>
  <si>
    <t>Campanas, campanillas, gongos y artículos similares</t>
  </si>
  <si>
    <t>Cuentas de vidrio</t>
  </si>
  <si>
    <t>Estatuillas y otros de cerámica</t>
  </si>
  <si>
    <t>Esterillas, esteras, cañizos  de materia vegetal</t>
  </si>
  <si>
    <t>Estatuillas y otros plateados o similares</t>
  </si>
  <si>
    <t>Hilados de otros o crin</t>
  </si>
  <si>
    <t>Manufacturas de perlas o piedras preciosas</t>
  </si>
  <si>
    <t>Marcos de Madera para cuadros, fotografías, espejos, etc.</t>
  </si>
  <si>
    <t>Objetos de madera de adorno o similar</t>
  </si>
  <si>
    <t>Otros similares a esterillas de material trenzable</t>
  </si>
  <si>
    <t>Palos de Lluvia o agua</t>
  </si>
  <si>
    <t>Papel hecho a mano</t>
  </si>
  <si>
    <t>Tapicería tejida a mano</t>
  </si>
  <si>
    <t>Tejidos de lana o pelo fino</t>
  </si>
  <si>
    <t>Tejidos de metal para prendas de vestir</t>
  </si>
  <si>
    <t>Tejidos de punto</t>
  </si>
  <si>
    <t>Películas cinematográficas impresionadas y reveladas</t>
  </si>
  <si>
    <t>Antigüedades de más de 100 años</t>
  </si>
  <si>
    <t>Artículos de fiesta</t>
  </si>
  <si>
    <t>Colecciones de zoología</t>
  </si>
  <si>
    <t>FUENTE: Servicio Nacional de Aduanas (SNA). Cifras sector cultura y tiempo libre, en base a listado de códigos de productos culturales entregados por el Consejo Nacional de la Cultura las Artes (CNCA).</t>
  </si>
  <si>
    <r>
      <t xml:space="preserve">Merc. Extranjera nacionalizada </t>
    </r>
    <r>
      <rPr>
        <b/>
        <vertAlign val="superscript"/>
        <sz val="8"/>
        <rFont val="Verdana"/>
        <family val="2"/>
      </rPr>
      <t>/1</t>
    </r>
  </si>
  <si>
    <r>
      <rPr>
        <b/>
        <sz val="8"/>
        <rFont val="Verdana"/>
        <family val="2"/>
      </rPr>
      <t>1</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</si>
  <si>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rPr>
        <b/>
        <sz val="8"/>
        <rFont val="Verdana"/>
        <family val="2"/>
      </rPr>
      <t>1</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</si>
  <si>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t>Edición libros</t>
  </si>
  <si>
    <t>Edición prensa</t>
  </si>
  <si>
    <t>Imprenta</t>
  </si>
  <si>
    <t>Animación y Videojuegos</t>
  </si>
  <si>
    <t>Servicios Creativos</t>
  </si>
  <si>
    <t>Asesoría legal en propiedad Intelectual</t>
  </si>
  <si>
    <r>
      <t>2010</t>
    </r>
    <r>
      <rPr>
        <b/>
        <vertAlign val="superscript"/>
        <sz val="8"/>
        <rFont val="Verdana"/>
        <family val="2"/>
      </rPr>
      <t>/2</t>
    </r>
  </si>
  <si>
    <r>
      <t>2011</t>
    </r>
    <r>
      <rPr>
        <b/>
        <vertAlign val="superscript"/>
        <sz val="8"/>
        <rFont val="Verdana"/>
        <family val="2"/>
      </rPr>
      <t>/3</t>
    </r>
  </si>
  <si>
    <r>
      <t>2012</t>
    </r>
    <r>
      <rPr>
        <b/>
        <vertAlign val="superscript"/>
        <sz val="8"/>
        <rFont val="Verdana"/>
        <family val="2"/>
      </rPr>
      <t>/4</t>
    </r>
  </si>
  <si>
    <r>
      <t>2013</t>
    </r>
    <r>
      <rPr>
        <b/>
        <vertAlign val="superscript"/>
        <sz val="8"/>
        <rFont val="Verdana"/>
        <family val="2"/>
      </rPr>
      <t>/5</t>
    </r>
  </si>
  <si>
    <r>
      <t>2014</t>
    </r>
    <r>
      <rPr>
        <b/>
        <vertAlign val="superscript"/>
        <sz val="8"/>
        <rFont val="Verdana"/>
        <family val="2"/>
      </rPr>
      <t>/6</t>
    </r>
  </si>
  <si>
    <r>
      <t>2015</t>
    </r>
    <r>
      <rPr>
        <b/>
        <vertAlign val="superscript"/>
        <sz val="8"/>
        <rFont val="Verdana"/>
        <family val="2"/>
      </rPr>
      <t>/7</t>
    </r>
  </si>
  <si>
    <r>
      <rPr>
        <b/>
        <sz val="8"/>
        <rFont val="Verdana"/>
        <family val="2"/>
      </rPr>
      <t>1</t>
    </r>
    <r>
      <rPr>
        <sz val="8"/>
        <rFont val="Verdana"/>
        <family val="2"/>
      </rPr>
      <t xml:space="preserve"> Los valores en dólares de la Tabla 24.12 han sido transformados a pesos corriente según dólar observado a diciembre de cada año.</t>
    </r>
  </si>
  <si>
    <r>
      <rPr>
        <b/>
        <sz val="8"/>
        <rFont val="Verdana"/>
        <family val="2"/>
      </rPr>
      <t>2</t>
    </r>
    <r>
      <rPr>
        <sz val="8"/>
        <rFont val="Verdana"/>
        <family val="2"/>
      </rPr>
      <t xml:space="preserve"> Dólar observado 30 dic. 2010: 468,37. Valor utilizado para el cálculo de exportaciones de 2010, en pesos corrientes.</t>
    </r>
  </si>
  <si>
    <r>
      <rPr>
        <b/>
        <sz val="8"/>
        <rFont val="Verdana"/>
        <family val="2"/>
      </rPr>
      <t>3</t>
    </r>
    <r>
      <rPr>
        <sz val="8"/>
        <rFont val="Verdana"/>
        <family val="2"/>
      </rPr>
      <t xml:space="preserve"> Dólar observado 30 dic. 2011: 521,46. Valor utilizado para el cálculo de exportaciones de 2011, en pesos corrientes.</t>
    </r>
  </si>
  <si>
    <r>
      <rPr>
        <b/>
        <sz val="8"/>
        <rFont val="Verdana"/>
        <family val="2"/>
      </rPr>
      <t xml:space="preserve">4 </t>
    </r>
    <r>
      <rPr>
        <sz val="8"/>
        <rFont val="Verdana"/>
        <family val="2"/>
      </rPr>
      <t>Dólar observado 30 dic. 2012: 478,6. Valor utilizado para el cálculo de exportaciones de 2012, en pesos corrientes.</t>
    </r>
  </si>
  <si>
    <r>
      <rPr>
        <b/>
        <sz val="8"/>
        <rFont val="Verdana"/>
        <family val="2"/>
      </rPr>
      <t xml:space="preserve">5 </t>
    </r>
    <r>
      <rPr>
        <sz val="8"/>
        <rFont val="Verdana"/>
        <family val="2"/>
      </rPr>
      <t>Dólar observado 30 dic. 2013: 523,76. Valor utilizado para el cálculo de exportaciones de 2013, en pesos corrientes.</t>
    </r>
  </si>
  <si>
    <r>
      <rPr>
        <b/>
        <sz val="8"/>
        <rFont val="Verdana"/>
        <family val="2"/>
      </rPr>
      <t>6</t>
    </r>
    <r>
      <rPr>
        <sz val="8"/>
        <rFont val="Verdana"/>
        <family val="2"/>
      </rPr>
      <t xml:space="preserve"> Dólar observado 30 dic. 2014: 607,38. Valor utilizado para el cálculo de exportaciones de 2014, en pesos corrientes.</t>
    </r>
  </si>
  <si>
    <r>
      <rPr>
        <b/>
        <sz val="8"/>
        <rFont val="Verdana"/>
        <family val="2"/>
      </rPr>
      <t>7</t>
    </r>
    <r>
      <rPr>
        <sz val="8"/>
        <rFont val="Verdana"/>
        <family val="2"/>
      </rPr>
      <t xml:space="preserve"> Dólar observado 30 dic. 2015: 707,34. Valor utilizado para el cálculo de exportaciones de 2015, en pesos corrientes.</t>
    </r>
  </si>
  <si>
    <r>
      <t>2011</t>
    </r>
    <r>
      <rPr>
        <b/>
        <vertAlign val="superscript"/>
        <sz val="8"/>
        <rFont val="Verdana"/>
        <family val="2"/>
      </rPr>
      <t>/3</t>
    </r>
    <r>
      <rPr>
        <sz val="11"/>
        <color theme="1"/>
        <rFont val="Calibri"/>
        <family val="2"/>
        <scheme val="minor"/>
      </rPr>
      <t/>
    </r>
  </si>
  <si>
    <r>
      <t>2012</t>
    </r>
    <r>
      <rPr>
        <b/>
        <vertAlign val="superscript"/>
        <sz val="8"/>
        <rFont val="Verdana"/>
        <family val="2"/>
      </rPr>
      <t>/4</t>
    </r>
    <r>
      <rPr>
        <sz val="11"/>
        <color theme="1"/>
        <rFont val="Calibri"/>
        <family val="2"/>
        <scheme val="minor"/>
      </rPr>
      <t/>
    </r>
  </si>
  <si>
    <r>
      <t>2013</t>
    </r>
    <r>
      <rPr>
        <b/>
        <vertAlign val="superscript"/>
        <sz val="8"/>
        <rFont val="Verdana"/>
        <family val="2"/>
      </rPr>
      <t>/5</t>
    </r>
    <r>
      <rPr>
        <sz val="11"/>
        <color theme="1"/>
        <rFont val="Calibri"/>
        <family val="2"/>
        <scheme val="minor"/>
      </rPr>
      <t/>
    </r>
  </si>
  <si>
    <r>
      <t>2014</t>
    </r>
    <r>
      <rPr>
        <b/>
        <vertAlign val="superscript"/>
        <sz val="8"/>
        <rFont val="Verdana"/>
        <family val="2"/>
      </rPr>
      <t>/6</t>
    </r>
    <r>
      <rPr>
        <sz val="11"/>
        <color theme="1"/>
        <rFont val="Calibri"/>
        <family val="2"/>
        <scheme val="minor"/>
      </rPr>
      <t/>
    </r>
  </si>
  <si>
    <r>
      <rPr>
        <b/>
        <sz val="8"/>
        <rFont val="Verdana"/>
        <family val="2"/>
      </rPr>
      <t>1</t>
    </r>
    <r>
      <rPr>
        <sz val="8"/>
        <rFont val="Verdana"/>
        <family val="2"/>
      </rPr>
      <t xml:space="preserve"> Los valores en pesos corrientes de la tabla 24.13 han sido ajustados a pesos según IPC año base 2015, con el siguiente detalle de Índice de Variación:</t>
    </r>
  </si>
  <si>
    <r>
      <rPr>
        <b/>
        <sz val="8"/>
        <rFont val="Verdana"/>
        <family val="2"/>
      </rPr>
      <t>2</t>
    </r>
    <r>
      <rPr>
        <sz val="8"/>
        <rFont val="Verdana"/>
        <family val="2"/>
      </rPr>
      <t xml:space="preserve"> Dic. 2010: 19,3947878526815. Valor utilizado para ajustes de pesos corrientes 2010 a pesos 2015, para exportaciones del año 2010.</t>
    </r>
  </si>
  <si>
    <r>
      <rPr>
        <b/>
        <sz val="8"/>
        <rFont val="Verdana"/>
        <family val="2"/>
      </rPr>
      <t>3</t>
    </r>
    <r>
      <rPr>
        <sz val="8"/>
        <rFont val="Verdana"/>
        <family val="2"/>
      </rPr>
      <t xml:space="preserve"> Dic. 2011: 14,8911917098446. Valor utilizado para ajustes de pesos corrientes 2011 a pesos 2015, para exportaciones del año 2011.</t>
    </r>
  </si>
  <si>
    <r>
      <rPr>
        <b/>
        <sz val="8"/>
        <rFont val="Verdana"/>
        <family val="2"/>
      </rPr>
      <t>4</t>
    </r>
    <r>
      <rPr>
        <sz val="8"/>
        <rFont val="Verdana"/>
        <family val="2"/>
      </rPr>
      <t xml:space="preserve"> Dic. 2012: 12,4898538961039. Valor utilizado para ajustes de pesos corrientes 2012 a pesos 2015, para exportaciones del año 2012.</t>
    </r>
  </si>
  <si>
    <r>
      <rPr>
        <b/>
        <sz val="8"/>
        <rFont val="Verdana"/>
        <family val="2"/>
      </rPr>
      <t>5</t>
    </r>
    <r>
      <rPr>
        <sz val="8"/>
        <rFont val="Verdana"/>
        <family val="2"/>
      </rPr>
      <t xml:space="preserve"> Dic. 2013: 9,8810703666997. Valor utilizado para ajustes de pesos corrientes 2013 a pesos 2015, para exportaciones del año 2013.</t>
    </r>
  </si>
  <si>
    <r>
      <rPr>
        <b/>
        <sz val="8"/>
        <rFont val="Verdana"/>
        <family val="2"/>
      </rPr>
      <t>6</t>
    </r>
    <r>
      <rPr>
        <sz val="8"/>
        <rFont val="Verdana"/>
        <family val="2"/>
      </rPr>
      <t xml:space="preserve"> Dic. 2014: 3,94712169510596. Valor utilizado para ajustes de pesos corrientes 2014 a pesos 2015, para exportaciones del año 2014.</t>
    </r>
  </si>
  <si>
    <r>
      <t>TABLA 24.15: DETALLE DE EXPORTACIONES DE SERVICIOS CULTURALES SEGÚN DOMINIO Y SUBDOMINIO CULTURAL (MONTO EN US$ FOB ). 2015</t>
    </r>
    <r>
      <rPr>
        <b/>
        <vertAlign val="superscript"/>
        <sz val="8"/>
        <rFont val="Verdana"/>
        <family val="2"/>
      </rPr>
      <t xml:space="preserve">/1  </t>
    </r>
  </si>
  <si>
    <t>MONTO 2015</t>
  </si>
  <si>
    <t>Servicios de grabación de sonido</t>
  </si>
  <si>
    <t>Servicios de postproducción de sonido</t>
  </si>
  <si>
    <t>Artes Literarias, Libros y Prensa</t>
  </si>
  <si>
    <t>Servicios de administración de empresas editoras e impresoras</t>
  </si>
  <si>
    <t>Servicios de corrección de estilo en el lenguaje escrito</t>
  </si>
  <si>
    <t>Servicios de edición de publicaciones técnicas</t>
  </si>
  <si>
    <t>Servicios de traducción de textos escritos</t>
  </si>
  <si>
    <t>Servicios de agencias de prensa para periódicos y revistas</t>
  </si>
  <si>
    <t>Servicios de corrección de pruebas de impresión</t>
  </si>
  <si>
    <t>Servicios relacionados con la imprenta</t>
  </si>
  <si>
    <t>Servicios de animación</t>
  </si>
  <si>
    <t>Servicios de filmación de películas (largometrajes, documentales, series, dibujos animados, etc.), para su proyección en salas de cine y televisión.</t>
  </si>
  <si>
    <t>Servicios de postproducción de películas cinematográficas y cintas de video</t>
  </si>
  <si>
    <t>Servicios de producción de originales de programas de radiodifusión</t>
  </si>
  <si>
    <t>Servicios de agencias de prensa para medios audiovisuales</t>
  </si>
  <si>
    <t>Servicios de difusión de televisión satelital por cuenta de empresas de distribución de televisión satelital extranjeras</t>
  </si>
  <si>
    <t>Servicios de medición de rating de televisión abierta y por cable</t>
  </si>
  <si>
    <t>Servicios de producción de originales de programas de televisión</t>
  </si>
  <si>
    <t>Servicios de trabajos originales de autor de guiones para telenovelas y obras de teatro.</t>
  </si>
  <si>
    <t>Servicios de asesoría en arquitectura</t>
  </si>
  <si>
    <t>Servicios de asesoría en arquitectura paisajista para proyectos de recreación y espacios abiertos</t>
  </si>
  <si>
    <t>Servicios de asesoría en arquitectura para proyectos de edificación no residencial.</t>
  </si>
  <si>
    <t>Servicios de asesoría en arquitectura para proyectos de edificación residencial.</t>
  </si>
  <si>
    <t>Servicios de dibujo técnico de ingeniería y arquitectura</t>
  </si>
  <si>
    <t>Servicios de diseño de arquitectura para proyectos de edificación no residencial.</t>
  </si>
  <si>
    <t>Servicios de diseño de arquitectura para proyectos de edificación residencial.</t>
  </si>
  <si>
    <t>Servicios de diseño de interiores</t>
  </si>
  <si>
    <t>Servicios de diseño de vestuario</t>
  </si>
  <si>
    <t>Servicios de diseño gráfico</t>
  </si>
  <si>
    <t>Servicios de diseño industrial</t>
  </si>
  <si>
    <t>Servicios de Asesoría en Estrategia Comunicacional y Publicidad (marketing).</t>
  </si>
  <si>
    <t>Servicios de creación y planificación de publicidad</t>
  </si>
  <si>
    <t>Servicios de diseño publicitario</t>
  </si>
  <si>
    <t>Servicios de filmación de películas cinematográficas para promoción o publicidad (comerciales)</t>
  </si>
  <si>
    <t>Servicios de fotografía publicitaria</t>
  </si>
  <si>
    <t>Servicios de diseño de páginas WEB</t>
  </si>
  <si>
    <t>Servicios de asesoría legal en materia de propiedad intelectual</t>
  </si>
  <si>
    <t>Servicio de licenciamiento y/o arriendo de software.</t>
  </si>
  <si>
    <t>Servicios de administración de redes computacionales, por vía remota (Internet)</t>
  </si>
  <si>
    <t>Servicios de apoyo técnico en Computación e Informática (mantenimiento y reparación), por vía remota (Internet)</t>
  </si>
  <si>
    <t>Servicios de asesoría en tecnologías de la información</t>
  </si>
  <si>
    <t>Servicios de diseño de aplicaciones de tecnologías de la información para uso específico del cliente</t>
  </si>
  <si>
    <t>Servicios de diseño de bases de datos</t>
  </si>
  <si>
    <t>Servicios de diseño de redes y sistemas computacionales</t>
  </si>
  <si>
    <t>Servicios de diseño de software original</t>
  </si>
  <si>
    <t>Servicios de evaluación y/o certificación de productos o procesos informáticos</t>
  </si>
  <si>
    <t>Servicios de mensajería de texto, audio y/o video, suministrados mediante plataforma computacional conectada con sistemas de telefonía móvil.</t>
  </si>
  <si>
    <t>Servicios de parametrización de aplicaciones de software pre-existentes</t>
  </si>
  <si>
    <t>Servicios de suministro de aplicaciones computacionales en línea, vía Internet</t>
  </si>
  <si>
    <t>Servicios de suministro de audio en línea por Internet (streaming), para empresas ubicadas en el extranjero</t>
  </si>
  <si>
    <t>Servicios de suministro de audio musical, para empresas ubicadas en el extranjero</t>
  </si>
  <si>
    <t>Servicios de suministro de infraestructura para operar tecnologías de la información</t>
  </si>
  <si>
    <t>Servicios de suministro de juegos en línea por Internet, mediante la modalidad de tarjetas de prepago, para empresas ubicadas en el extranjero</t>
  </si>
  <si>
    <t>Servicios de suministro de sedes ("hosting") para sitios Web</t>
  </si>
  <si>
    <t>Servicios de suministro de vídeo en línea por Internet (streaming), para empresas ubicadas en el extranjero</t>
  </si>
  <si>
    <r>
      <t>País</t>
    </r>
    <r>
      <rPr>
        <b/>
        <vertAlign val="superscript"/>
        <sz val="8"/>
        <rFont val="Verdana"/>
        <family val="2"/>
      </rPr>
      <t>/2</t>
    </r>
  </si>
  <si>
    <t>US.A.</t>
  </si>
  <si>
    <r>
      <t xml:space="preserve">Mercancía extranjera nacionalizada </t>
    </r>
    <r>
      <rPr>
        <b/>
        <vertAlign val="superscript"/>
        <sz val="8"/>
        <rFont val="Verdana"/>
        <family val="2"/>
      </rPr>
      <t>/1 /2</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</si>
  <si>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</si>
  <si>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TIPO DE SERVICIO</t>
  </si>
  <si>
    <r>
      <t>Mercancía extranjera nacionalizada</t>
    </r>
    <r>
      <rPr>
        <b/>
        <vertAlign val="superscript"/>
        <sz val="8"/>
        <rFont val="Verdana"/>
        <family val="2"/>
      </rPr>
      <t>/1</t>
    </r>
  </si>
  <si>
    <t>TABLA 15.49 : TOTAL DE GASTO DE LAS BIBLIOTECAS VIVAS, SEGÚN ZONA. 2013-2015</t>
  </si>
  <si>
    <t>MATERIAL BIBLIOGRÁFICO</t>
  </si>
  <si>
    <r>
      <t>GASTOS DE OPERACIÓN</t>
    </r>
    <r>
      <rPr>
        <b/>
        <vertAlign val="superscript"/>
        <sz val="8"/>
        <color theme="1"/>
        <rFont val="Verdana"/>
        <family val="2"/>
      </rPr>
      <t>/1</t>
    </r>
  </si>
  <si>
    <r>
      <t>GASTOS DE OPERACIÓN</t>
    </r>
    <r>
      <rPr>
        <b/>
        <vertAlign val="superscript"/>
        <sz val="8"/>
        <color theme="1"/>
        <rFont val="Verdana"/>
        <family val="2"/>
      </rPr>
      <t>/3</t>
    </r>
  </si>
  <si>
    <r>
      <t>BV La Serena</t>
    </r>
    <r>
      <rPr>
        <vertAlign val="superscript"/>
        <sz val="8"/>
        <color theme="1"/>
        <rFont val="Verdana"/>
        <family val="2"/>
      </rPr>
      <t>/2</t>
    </r>
  </si>
  <si>
    <r>
      <t>BV Oeste</t>
    </r>
    <r>
      <rPr>
        <vertAlign val="superscript"/>
        <sz val="8"/>
        <color theme="1"/>
        <rFont val="Verdana"/>
        <family val="2"/>
      </rPr>
      <t>/2</t>
    </r>
  </si>
  <si>
    <r>
      <t>BV Alameda</t>
    </r>
    <r>
      <rPr>
        <vertAlign val="superscript"/>
        <sz val="8"/>
        <color theme="1"/>
        <rFont val="Verdana"/>
        <family val="2"/>
      </rPr>
      <t>/3</t>
    </r>
  </si>
  <si>
    <r>
      <t>BV Egaña</t>
    </r>
    <r>
      <rPr>
        <vertAlign val="superscript"/>
        <sz val="8"/>
        <color theme="1"/>
        <rFont val="Verdana"/>
        <family val="2"/>
      </rPr>
      <t>/4</t>
    </r>
  </si>
  <si>
    <r>
      <t>BV Trébol</t>
    </r>
    <r>
      <rPr>
        <vertAlign val="superscript"/>
        <sz val="8"/>
        <color theme="1"/>
        <rFont val="Verdana"/>
        <family val="2"/>
      </rPr>
      <t>/5</t>
    </r>
  </si>
  <si>
    <r>
      <rPr>
        <b/>
        <sz val="8"/>
        <color theme="1"/>
        <rFont val="Verdana"/>
        <family val="2"/>
      </rPr>
      <t>1</t>
    </r>
    <r>
      <rPr>
        <sz val="8"/>
        <color theme="1"/>
        <rFont val="Verdana"/>
        <family val="2"/>
      </rPr>
      <t xml:space="preserve"> La categoría incluye montos de Remuneraciones, administración de la Fundación la Fuente, gastos generales, entre otros.</t>
    </r>
  </si>
  <si>
    <r>
      <rPr>
        <b/>
        <sz val="8"/>
        <color theme="1"/>
        <rFont val="Verdana"/>
        <family val="2"/>
      </rPr>
      <t>2</t>
    </r>
    <r>
      <rPr>
        <sz val="8"/>
        <color theme="1"/>
        <rFont val="Verdana"/>
        <family val="2"/>
      </rPr>
      <t xml:space="preserve"> Bibliotecas cerradas por remodelaciones, se volverá a abrir en fecha aún no determinada.</t>
    </r>
  </si>
  <si>
    <r>
      <rPr>
        <b/>
        <sz val="8"/>
        <color theme="1"/>
        <rFont val="Verdana"/>
        <family val="2"/>
      </rPr>
      <t>3</t>
    </r>
    <r>
      <rPr>
        <sz val="8"/>
        <color theme="1"/>
        <rFont val="Verdana"/>
        <family val="2"/>
      </rPr>
      <t xml:space="preserve"> Biblioteca Viva Alameda cierra desde el año 2015.</t>
    </r>
  </si>
  <si>
    <r>
      <rPr>
        <b/>
        <sz val="8"/>
        <color theme="1"/>
        <rFont val="Verdana"/>
        <family val="2"/>
      </rPr>
      <t>4</t>
    </r>
    <r>
      <rPr>
        <sz val="8"/>
        <color theme="1"/>
        <rFont val="Verdana"/>
        <family val="2"/>
      </rPr>
      <t xml:space="preserve"> Biblioteca Viva Plaza Egaña se inauguró el año 2015.</t>
    </r>
  </si>
  <si>
    <r>
      <t>5</t>
    </r>
    <r>
      <rPr>
        <sz val="8"/>
        <color theme="1"/>
        <rFont val="Verdana"/>
        <family val="2"/>
      </rPr>
      <t xml:space="preserve"> Biblioteca Viva Trébol fue cerrada en el 2014 por remodelación y se reabrió el 2015.  </t>
    </r>
  </si>
  <si>
    <t>TABLA 15.50: NÚMERO DE EJEMPLARES ADQUIRIDOS Y PRÉSTAMOS DE BIBLIOTECA VIVA, SEGÚN TIPO DE MATERIAL BIBLIOGRÁFICO Y CLASIFICACIÓN. 2013-2015</t>
  </si>
  <si>
    <t>Otros/Sin información</t>
  </si>
  <si>
    <r>
      <rPr>
        <b/>
        <sz val="8"/>
        <rFont val="Verdana"/>
        <family val="2"/>
      </rPr>
      <t>1</t>
    </r>
    <r>
      <rPr>
        <sz val="8"/>
        <rFont val="Verdana"/>
        <family val="2"/>
      </rPr>
      <t xml:space="preserve"> Cifras de ejemplares adquiridos para cada año informado.</t>
    </r>
  </si>
  <si>
    <r>
      <t>2</t>
    </r>
    <r>
      <rPr>
        <sz val="8"/>
        <rFont val="Verdana"/>
        <family val="2"/>
      </rPr>
      <t xml:space="preserve"> Durante el 2013 se realizaron cambios en el sistema de registro de préstamos, por lo que gran cantidad de los préstamos quedaron sin clasificar</t>
    </r>
  </si>
  <si>
    <t>TABLA 15.51: PÁGINAS FOMENTO LECTOR, VISITA PÁGINAS Y PRÉSTAMOS VIRTUALES DE BIBLIOTECA VIVA POR AÑO. 2011-2015</t>
  </si>
  <si>
    <t>FOMENTO LECTOR DIGITAL</t>
  </si>
  <si>
    <r>
      <t>Páginas de Fomento Lector</t>
    </r>
    <r>
      <rPr>
        <vertAlign val="superscript"/>
        <sz val="8"/>
        <rFont val="Verdana"/>
        <family val="2"/>
      </rPr>
      <t>/1</t>
    </r>
  </si>
  <si>
    <t>TOTAL VISITAS</t>
  </si>
  <si>
    <t>www.fundacionlafuente.cl</t>
  </si>
  <si>
    <t>www.bibliotecaviva.cl</t>
  </si>
  <si>
    <r>
      <t>www.vivaleercopec.cl</t>
    </r>
    <r>
      <rPr>
        <vertAlign val="superscript"/>
        <sz val="8"/>
        <rFont val="Verdana"/>
        <family val="2"/>
      </rPr>
      <t>/2</t>
    </r>
  </si>
  <si>
    <r>
      <t>www.lecturaparatodos.cl</t>
    </r>
    <r>
      <rPr>
        <vertAlign val="superscript"/>
        <sz val="8"/>
        <rFont val="Verdana"/>
        <family val="2"/>
      </rPr>
      <t>/3</t>
    </r>
  </si>
  <si>
    <r>
      <t>www.troquel.cl</t>
    </r>
    <r>
      <rPr>
        <vertAlign val="superscript"/>
        <sz val="8"/>
        <rFont val="Verdana"/>
        <family val="2"/>
      </rPr>
      <t>/4</t>
    </r>
  </si>
  <si>
    <r>
      <rPr>
        <b/>
        <sz val="8"/>
        <rFont val="Verdana"/>
        <family val="2"/>
      </rPr>
      <t>1</t>
    </r>
    <r>
      <rPr>
        <sz val="8"/>
        <rFont val="Verdana"/>
        <family val="2"/>
      </rPr>
      <t xml:space="preserve"> Se totaliza en torno a la cantidad de páginas totales al 2015.</t>
    </r>
  </si>
  <si>
    <r>
      <rPr>
        <b/>
        <sz val="8"/>
        <rFont val="Verdana"/>
        <family val="2"/>
      </rPr>
      <t>2</t>
    </r>
    <r>
      <rPr>
        <sz val="8"/>
        <rFont val="Verdana"/>
        <family val="2"/>
      </rPr>
      <t xml:space="preserve"> La página funciona desde abril de 2011.</t>
    </r>
  </si>
  <si>
    <r>
      <rPr>
        <b/>
        <sz val="8"/>
        <rFont val="Verdana"/>
        <family val="2"/>
      </rPr>
      <t>3</t>
    </r>
    <r>
      <rPr>
        <sz val="8"/>
        <rFont val="Verdana"/>
        <family val="2"/>
      </rPr>
      <t xml:space="preserve"> La página funciona desde noviembre de 2015.</t>
    </r>
  </si>
  <si>
    <r>
      <rPr>
        <b/>
        <sz val="8"/>
        <rFont val="Verdana"/>
        <family val="2"/>
      </rPr>
      <t>4</t>
    </r>
    <r>
      <rPr>
        <sz val="8"/>
        <rFont val="Verdana"/>
        <family val="2"/>
      </rPr>
      <t xml:space="preserve"> La página funciona desde agosto de 2015.</t>
    </r>
  </si>
  <si>
    <t>UNIDAD DE ORIGEN Y TIPO DE PUBLICACIÓN</t>
  </si>
  <si>
    <r>
      <rPr>
        <b/>
        <sz val="8"/>
        <rFont val="Verdana"/>
        <family val="2"/>
      </rPr>
      <t xml:space="preserve">R </t>
    </r>
    <r>
      <rPr>
        <sz val="8"/>
        <rFont val="Verdana"/>
        <family val="2"/>
      </rPr>
      <t>Cifras del Museo Histórico Nacional Rectificadas por el informante para los años de esta serie.</t>
    </r>
  </si>
  <si>
    <r>
      <t>Número de postulantes</t>
    </r>
    <r>
      <rPr>
        <b/>
        <vertAlign val="superscript"/>
        <sz val="8"/>
        <rFont val="Verdana"/>
        <family val="2"/>
      </rPr>
      <t>/2</t>
    </r>
    <r>
      <rPr>
        <b/>
        <sz val="8"/>
        <rFont val="Verdana"/>
        <family val="2"/>
      </rPr>
      <t xml:space="preserve"> </t>
    </r>
  </si>
  <si>
    <r>
      <t>Número de postulantes</t>
    </r>
    <r>
      <rPr>
        <b/>
        <vertAlign val="superscript"/>
        <sz val="8"/>
        <rFont val="Verdana"/>
        <family val="2"/>
      </rPr>
      <t>/2</t>
    </r>
  </si>
  <si>
    <t>GRUPOS DE EDAD</t>
  </si>
  <si>
    <r>
      <t>Museo Histórico Nacional (MHN)</t>
    </r>
    <r>
      <rPr>
        <b/>
        <vertAlign val="superscript"/>
        <sz val="8"/>
        <rFont val="Verdana"/>
        <family val="2"/>
      </rPr>
      <t>/1</t>
    </r>
  </si>
  <si>
    <r>
      <t>Museo Nacional de Bellas Artes (MNBA)</t>
    </r>
    <r>
      <rPr>
        <b/>
        <vertAlign val="superscript"/>
        <sz val="8"/>
        <rFont val="Verdana"/>
        <family val="2"/>
      </rPr>
      <t>/2</t>
    </r>
  </si>
  <si>
    <r>
      <t>Menores de edad</t>
    </r>
    <r>
      <rPr>
        <vertAlign val="superscript"/>
        <sz val="8"/>
        <rFont val="Verdana"/>
        <family val="2"/>
      </rPr>
      <t>/3</t>
    </r>
  </si>
  <si>
    <r>
      <t>Adultos</t>
    </r>
    <r>
      <rPr>
        <vertAlign val="superscript"/>
        <sz val="8"/>
        <rFont val="Verdana"/>
        <family val="2"/>
      </rPr>
      <t>/4</t>
    </r>
  </si>
  <si>
    <r>
      <t>Adultos mayores</t>
    </r>
    <r>
      <rPr>
        <vertAlign val="superscript"/>
        <sz val="8"/>
        <rFont val="Verdana"/>
        <family val="2"/>
      </rPr>
      <t>/5</t>
    </r>
  </si>
  <si>
    <r>
      <rPr>
        <b/>
        <sz val="8"/>
        <rFont val="Verdana"/>
        <family val="2"/>
      </rPr>
      <t xml:space="preserve">1 </t>
    </r>
    <r>
      <rPr>
        <sz val="8"/>
        <rFont val="Verdana"/>
        <family val="2"/>
      </rPr>
      <t>Se realiza desagregación según grupos de edad, a las "Entradas Pagadas" de los museos y a una parte de las "entradas gratuitas".</t>
    </r>
  </si>
  <si>
    <r>
      <rPr>
        <b/>
        <sz val="8"/>
        <rFont val="Verdana"/>
        <family val="2"/>
      </rPr>
      <t xml:space="preserve">2 </t>
    </r>
    <r>
      <rPr>
        <sz val="8"/>
        <rFont val="Verdana"/>
        <family val="2"/>
      </rPr>
      <t>Se realiza desagregación según grupos de edad, sólo a las "Entradas Pagadas" de los diferentes museos.</t>
    </r>
  </si>
  <si>
    <r>
      <rPr>
        <b/>
        <sz val="8"/>
        <rFont val="Verdana"/>
        <family val="2"/>
      </rPr>
      <t xml:space="preserve">3 </t>
    </r>
    <r>
      <rPr>
        <sz val="8"/>
        <rFont val="Verdana"/>
        <family val="2"/>
      </rPr>
      <t>Personas menores de 18 años.</t>
    </r>
  </si>
  <si>
    <r>
      <rPr>
        <b/>
        <sz val="8"/>
        <color theme="1"/>
        <rFont val="Verdana"/>
        <family val="2"/>
      </rPr>
      <t>4</t>
    </r>
    <r>
      <rPr>
        <sz val="8"/>
        <color theme="1"/>
        <rFont val="Verdana"/>
        <family val="2"/>
      </rPr>
      <t xml:space="preserve"> Mujeres entre 18 y 60 de edad y hombres entre 18 y 65 años</t>
    </r>
  </si>
  <si>
    <r>
      <rPr>
        <b/>
        <sz val="8"/>
        <rFont val="Verdana"/>
        <family val="2"/>
      </rPr>
      <t xml:space="preserve">5 </t>
    </r>
    <r>
      <rPr>
        <sz val="8"/>
        <rFont val="Verdana"/>
        <family val="2"/>
      </rPr>
      <t>Mujeres mayores de 60 años y hombres mayores de 65 años.</t>
    </r>
  </si>
  <si>
    <t>TABLA 10.15: NÚMERO DE PIEZAS RESTAURADAS POR MUSEOS DE LA SUBDIRECCIÓN DE MUSEOS DE LA DIRECCIÓN DE BIBLIOTECAS, ARCHIVOS Y MUSEOS (DIBAM), SEGÚN TIPO DE PIEZA. 2011-2015</t>
  </si>
  <si>
    <t>TABLA 10.17: NÚMERO DE VISITANTES DE MUSEOS DE LA DIRECCIÓN DE BIBLIOTECAS, ARCHIVOS Y MUSEOS (DIBAM), SEGÚN TIPO DE ENTRADA. 2015</t>
  </si>
  <si>
    <t>TABLA 10.41: DISTRIBUCIÓN NACIONAL Y SUPERFICIE (EN HECTÁREAS) DEL SISTEMA NACIONAL DE ÁREAS SILVESTRES PROTEGIDAS DEL ESTADO (SNASPE). 2015</t>
  </si>
  <si>
    <r>
      <rPr>
        <b/>
        <sz val="8"/>
        <rFont val="Verdana"/>
        <family val="2"/>
      </rPr>
      <t>1</t>
    </r>
    <r>
      <rPr>
        <sz val="8"/>
        <rFont val="Verdana"/>
        <family val="2"/>
      </rPr>
      <t xml:space="preserve"> Los terrenos del parque abarcan la II y III región, pero la administración está a cargo de la III región.</t>
    </r>
  </si>
  <si>
    <r>
      <rPr>
        <b/>
        <sz val="8"/>
        <rFont val="Verdana"/>
        <family val="2"/>
      </rPr>
      <t>2</t>
    </r>
    <r>
      <rPr>
        <sz val="8"/>
        <rFont val="Verdana"/>
        <family val="2"/>
      </rPr>
      <t xml:space="preserve"> En propiedad privada, no administrado por CONAF.</t>
    </r>
  </si>
  <si>
    <r>
      <rPr>
        <b/>
        <sz val="8"/>
        <rFont val="Verdana"/>
        <family val="2"/>
      </rPr>
      <t xml:space="preserve">3 </t>
    </r>
    <r>
      <rPr>
        <sz val="8"/>
        <rFont val="Verdana"/>
        <family val="2"/>
      </rPr>
      <t>Los terrenos del parque abarcan la VIII y IX región, pero la administración está a cargo de la IX región.</t>
    </r>
  </si>
  <si>
    <r>
      <rPr>
        <b/>
        <sz val="8"/>
        <rFont val="Verdana"/>
        <family val="2"/>
      </rPr>
      <t>4</t>
    </r>
    <r>
      <rPr>
        <sz val="8"/>
        <rFont val="Verdana"/>
        <family val="2"/>
      </rPr>
      <t xml:space="preserve"> Los terrenos del parque abarcan la XI y XII región, pero su administración está a cargo de la XII región.</t>
    </r>
  </si>
  <si>
    <r>
      <rPr>
        <b/>
        <sz val="8"/>
        <rFont val="Verdana"/>
        <family val="2"/>
      </rPr>
      <t xml:space="preserve">1 </t>
    </r>
    <r>
      <rPr>
        <sz val="8"/>
        <rFont val="Verdana"/>
        <family val="2"/>
      </rPr>
      <t xml:space="preserve">Los terrenos de la reserva abarcan la III y IV región, pero la administración está a cargo de la IV región. </t>
    </r>
  </si>
  <si>
    <t>TABLA 10.45: NÚMERO Y PORCENTAJE DE SUPERFICIE (EN HECTÁREAS) DE RESERVAS DE LA BIÓSFERA PRESENTES EN CHILE POR PERTENENCIA O NO PERTENENCIA A LAS ÁREAS SILVESTRES PROTEGIDAS (ASP), SEGÚN TIPO DE RESERVA DE LA BIÓSFERA. 2015</t>
  </si>
  <si>
    <t>TABLA 10.46: ANTECEDENTES GENERALES DE LAS RESERVAS DE LA BIÓSFERA PRESENTES EN CHILE POR AÑO DE CREACIÓN, FECHA DE MODIFICACIÓN Y SUPERFICIE (EN HECTÁREAS), SEGÚN REGIÓN. 2015</t>
  </si>
  <si>
    <t>TABLA 10.47: ANTECEDENTES GENERALES DE LOS SITIOS DE LA CONVENCIÓN RAMSAR PRESENTES EN CHILE, POR PERTENENCIA O NO PERTENENCIA A LAS ÁREAS SILVESTRES PROTEGIDAS (ASP), POR AÑO DE CREACIÓN Y SUPERFICIE (EN HECTÁREAS), SEGÚN REGIÓN. 2015</t>
  </si>
  <si>
    <t>En peligro y rara (RCE P1)</t>
  </si>
  <si>
    <t>TABLA 10.62: NÚMERO DE DELITOS INVESTIGADOS POR LA POLICÍA DE INVESTIGACIONES DE CHILE (PDI) RELACIONADOS CON LA LEY DE TRÁFICO ILÍCITO DE BIENES CULTURALES, SEGÚN REGIÓN POLICIAL Y BIEN AFECTADO. 2015</t>
  </si>
  <si>
    <t>TABLA 10.63: NÚMERO DE DETENIDOS POR LA POLICÍA DE INVESTIGACIONES DE CHILE (PDI) RELACIONADOS CON LA LEY DE TRÁFICO ILÍCITO DE BIENES CULTURALES POR DELITO Y SEXO, SEGÚN REGIÓN POLICIAL. 2015</t>
  </si>
  <si>
    <t>TABLA 10.64: NÚMERO DE DETENIDOS POR LA POLICÍA DE INVESTIGACIONES DE CHILE (PDI) RELACIONADOS CON LA LEY DE TRÁFICO ILÍCITO DE BIENES CULTURALES POR GRUPO DE EDAD, SEGÚN REGIÓN POLICIAL. 2015</t>
  </si>
  <si>
    <t>TABLA 10.66: CANTIDAD DE DETENIDOS POR LA POLICÍA DE INVESTIGACIONES DE CHILE (PDI) RELACIONADOS CON LA LEY DE TRÁFICO ILÍCITO DE BIENES CULTURALES, SEGÚN REGIÓN POLICIAL Y COMUNA DE RESIDENCIA DEL DETENIDO. 2015</t>
  </si>
  <si>
    <t>TABLA 10.67: NÚMERO DE PERSONAS DETENIDAS POR LA LEY N° 17.288, QUE LEGISLA SOBRE MONUMENTOS NACIONALES, Y NÚMERO DE INCAUTACIONES, SEGÚN REGIÓN POLICIAL. 2015</t>
  </si>
  <si>
    <t>TABLA 10.59: NÚMERO DE PIEZAS PATRIMONIALES INCAUTADAS SEGÚN LA LEY N° 17.288, QUE LEGISLA SOBRE MONUMENTOS NACIONALES, SEGÚN ADUANA Y AVANZADA. 2015</t>
  </si>
  <si>
    <t>TABLA 10.69: NÓMINA DE PIEZAS PATRIMONIALES INCAUTADAS SEGÚN LA LEY N° 17.288, QUE LEGISLA SOBRE MONUMENTOS NACIONALES, SEGÚN AVANZADA. 2015</t>
  </si>
  <si>
    <t>TABLA 10.72: CAUSAS INGRESADAS Y TERMINADAS EN JUZGADOS DE GARANTÍA Y DE LETRAS Y GARANTÍA POR INFRACCIÓN A LA LEY N° 17.288, QUE LEGISLA SOBRE MONUMENTOS NACIONALES, SEGÚN CORTE DE APELACIÓN. 2015</t>
  </si>
  <si>
    <t>TABLA 10.73: IMPUTADOS POR INFRACCIÓN A LA LEY N° 17.288, QUE LEGISLA SOBRE MONUMENTOS NACIONALES, Y NORMAS RELACIONADAS, SEGÚN CORTE DE APELACIÓN. 2015</t>
  </si>
  <si>
    <t>TABLA 10.74: DELITOS INGRESADOS AL MINISTERIO PÚBLICO EN RELACIÓN CON LA LEY N° 17.288, QUE LEGISLA SOBRE MONUMENTOS NACIONALES, SEGÚN REGIÓN DE FISCALÍA. 2011-2015</t>
  </si>
  <si>
    <t>TABLA 10.75: DELITOS TERMINADOS EN EL MINISTERIO PÚBLICO EN RELACIÓN CON LA LEY N° 17.288, QUE LEGISLA SOBRE MONUMENTOS NACIONALES, SEGÚN REGIÓN DE FISCALÍA. 2011-2015</t>
  </si>
  <si>
    <t>TABLA 10.76: SENTENCIAS DEFINITIVAS CONDENATORIAS EN RELACIÓN A LA LEY N° 17.288, QUE LEGISLA SOBRE MONUMENTOS NACIONALES, SEGÚN REGIÓN DE FISCALÍA. 2011-2015</t>
  </si>
  <si>
    <r>
      <rPr>
        <b/>
        <sz val="8"/>
        <color theme="1"/>
        <rFont val="Verdana"/>
        <family val="2"/>
      </rPr>
      <t>Nota:</t>
    </r>
    <r>
      <rPr>
        <sz val="8"/>
        <color theme="1"/>
        <rFont val="Verdana"/>
        <family val="2"/>
      </rPr>
      <t xml:space="preserve"> La tabla se realizó en basde a las películas exhibidas el año 2015. Las películas exhibidas consideran las películas estrenadas el año 2015 y las estrenadas en los meses finales del 2014 que continúan siendo exhibidas el año siguiente.</t>
    </r>
  </si>
  <si>
    <r>
      <t>TABLA 24.3: MONTOS DE IMPORTACIONES Y EXPORTACIONES DE BIENES Y SERVICIOS CULTURALES Y CREATIVOS, SEGÚN DOMINIO Y SUBDOMINIO CULTURAL Y TIPO DE PRODUCTO (EXPORTACIONES EN US$ FOB E IMPORTACIONES EN US$ CIF). 2013 - 2015</t>
    </r>
    <r>
      <rPr>
        <b/>
        <vertAlign val="superscript"/>
        <sz val="8"/>
        <rFont val="Verdana"/>
        <family val="2"/>
      </rPr>
      <t xml:space="preserve">/1 </t>
    </r>
  </si>
  <si>
    <r>
      <t>TABLA 24.4: MONTOS DE IMPORTACIONES Y EXPORTACIONES DE BIENES Y SERVICIOS CULTURALES Y CREATIVOS, SEGÚN DOMINIO Y SUBDOMINIO CULTURAL Y TIPO DE PRODUCTO (EXPORTACIONES EN PESOS BASE 2015 FOB E IMPORTACIONES EN PESOS BASE 2015 CIF). 2013-2015</t>
    </r>
    <r>
      <rPr>
        <b/>
        <vertAlign val="superscript"/>
        <sz val="8"/>
        <rFont val="Verdana"/>
        <family val="2"/>
      </rPr>
      <t>/1</t>
    </r>
  </si>
  <si>
    <r>
      <t>TABLA 24.5: MONTOS DE EXPORTACIONES DE BIENES Y PRODUCTOS CULTURALES POR PAÍS DE DESTINO, SEGÚN DOMINIO Y SUBDOMINIO CULTURAL (EN US$ FOB). 2015</t>
    </r>
    <r>
      <rPr>
        <b/>
        <vertAlign val="superscript"/>
        <sz val="8"/>
        <rFont val="Verdana"/>
        <family val="2"/>
      </rPr>
      <t xml:space="preserve">/1 </t>
    </r>
  </si>
  <si>
    <r>
      <t>TABLA 24.6: MONTOS DE IMPORTACIONES DE BIENES Y PRODUCTOS CULTURALES POR PAÍS DE ORIGEN, SEGÚN DOMINIO Y SUBDOMINIO CULTURAL (EN US$ CIF). 2015</t>
    </r>
    <r>
      <rPr>
        <b/>
        <vertAlign val="superscript"/>
        <sz val="8"/>
        <rFont val="Verdana"/>
        <family val="2"/>
      </rPr>
      <t>/1</t>
    </r>
  </si>
  <si>
    <r>
      <t>TABLA 24.7: MONTOS DE IMPORTACIONES Y EXPORTACIONES DE «INSUMOS PARA LA CREACIÓN», SEGÚN DOMINIO Y SUBDOMINIO CULTURAL Y TIPO DE PRODUCTO (EXPORTACIONES EN US$ FOB E IMPORTACIONES EN US$ CIF). 2015</t>
    </r>
    <r>
      <rPr>
        <b/>
        <vertAlign val="superscript"/>
        <sz val="8"/>
        <rFont val="Verdana"/>
        <family val="2"/>
      </rPr>
      <t>/1</t>
    </r>
  </si>
  <si>
    <r>
      <t xml:space="preserve">TABLA 24.8: MONTOS DE IMPORTACIONES Y EXPORTACIONES DE «APARATOS PARA LA REPRODUCCIÓN», SEGÚN DOMINIO Y SUBDOMINIO CULTURAL Y TIPO DE PRODUCTO (EXPORTACIONES EN US$ FOB E IMPORTACIONES EN US$ CIF). 2015 </t>
    </r>
    <r>
      <rPr>
        <b/>
        <vertAlign val="superscript"/>
        <sz val="8"/>
        <rFont val="Verdana"/>
        <family val="2"/>
      </rPr>
      <t>/1</t>
    </r>
    <r>
      <rPr>
        <b/>
        <sz val="8"/>
        <rFont val="Verdana"/>
        <family val="2"/>
      </rPr>
      <t xml:space="preserve">  </t>
    </r>
  </si>
  <si>
    <r>
      <t>TABLA 24.9: MONTOS DE IMPORTACIONES Y EXPORTACIONES DE "PRODUCTO TERMINADO", SEGÚN DOMINIO Y SUBDOMINIO CULTURAL Y TIPO DE PRODUCTO (EXPORTACIONES EN US$ FOB E IMPORTACIONES EN US$ CIF). 2015</t>
    </r>
    <r>
      <rPr>
        <b/>
        <vertAlign val="superscript"/>
        <sz val="8"/>
        <rFont val="Verdana"/>
        <family val="2"/>
      </rPr>
      <t>/1</t>
    </r>
  </si>
  <si>
    <t xml:space="preserve">TABLA 24.10: MONTOS DE EXPORTACIONES DE BIENES Y PRODUCTOS CULTURALES POR REGIÓN DE ORIGEN, SEGÚN DOMINIO Y SUBDOMINIO CULTURAL (EN US$ FOB). 2015 </t>
  </si>
  <si>
    <t>TABLA 24.11: MONTOS DE EXPORTACIONES DE BIENES Y PRODUCTOS CULTURALES POR REGIÓN DE ORIGEN, SEGÚN DOMINIO Y SUBDOMINIO CULTURAL Y TIPO DE PRODUCTO (EN US$ FOB). 2015</t>
  </si>
  <si>
    <r>
      <t>TABLA 24.16: MONTOS DE EXPORTACIONES DE SERVICIOS CULTURALES POR PAÍS DE DESTINO, SEGÚN DOMINIO Y SUBDOMINIO CULTURAL (EN US$ FOB). 2015</t>
    </r>
    <r>
      <rPr>
        <b/>
        <vertAlign val="superscript"/>
        <sz val="8"/>
        <rFont val="Verdana"/>
        <family val="2"/>
      </rPr>
      <t xml:space="preserve">/1 </t>
    </r>
  </si>
  <si>
    <t>TABLA 24.12: MONTOS DE EXPORTACIONES DE SERVICIOS CULTURALES, SEGÚN DOMINIO Y SUBDOMINIO CULTURAL (EN US$ FOB). 2010-2015</t>
  </si>
  <si>
    <r>
      <t>TABLA 24.13: MONTOS DE EXPORTACIONES DE SERVICIOS CULTURALES, SEGÚN DOMINIO Y SUBDOMINIO CULTURAL (EN PESOS CORRIENTES). 2010-2015</t>
    </r>
    <r>
      <rPr>
        <b/>
        <vertAlign val="superscript"/>
        <sz val="8"/>
        <rFont val="Verdana"/>
        <family val="2"/>
      </rPr>
      <t>/1</t>
    </r>
    <r>
      <rPr>
        <b/>
        <sz val="8"/>
        <rFont val="Verdana"/>
        <family val="2"/>
      </rPr>
      <t xml:space="preserve"> </t>
    </r>
  </si>
  <si>
    <r>
      <t>TABLA 24.14: MONTOS DE EXPORTACIONES DE SERVICIOS CULTURALES, SEGÚN DOMINIO Y SUBDOMINIO CULTURAL (EN PESOS DE 2015). 2010-2015</t>
    </r>
    <r>
      <rPr>
        <b/>
        <vertAlign val="superscript"/>
        <sz val="8"/>
        <rFont val="Verdana"/>
        <family val="2"/>
      </rPr>
      <t>/1</t>
    </r>
  </si>
  <si>
    <t>TABLA 24.17: MONTOS DE EXPORTACIONES DE SERVICIOS CULTURALES POR REGIÓN DE ORIGEN, SEGÚN DOMINIO Y SUBDOMINIO CULTURAL (EN US$ FOB). 2015</t>
  </si>
  <si>
    <t>TABLA 24.18: MONTOS DE EXPORTACIONES DE SERVICIOS CULTURALES POR REGIÓN DE ORIGEN, SEGÚN TIPO DE SERVICIO (EN US$ FOB). 2015</t>
  </si>
  <si>
    <r>
      <t xml:space="preserve">Universidad de Chile </t>
    </r>
    <r>
      <rPr>
        <vertAlign val="superscript"/>
        <sz val="8"/>
        <rFont val="Verdana"/>
        <family val="2"/>
      </rPr>
      <t>/6</t>
    </r>
  </si>
  <si>
    <r>
      <rPr>
        <b/>
        <sz val="8"/>
        <rFont val="Verdana"/>
        <family val="2"/>
      </rPr>
      <t xml:space="preserve">7 </t>
    </r>
    <r>
      <rPr>
        <sz val="8"/>
        <rFont val="Verdana"/>
        <family val="2"/>
      </rPr>
      <t>El monto es obtenido de la suma del presupuesto del Plan de Fomento de Lectura Primera Infancia más transferencias corrientes desde la Junta Nacional de Jardines Infantiles por $171.095 (M$).</t>
    </r>
  </si>
  <si>
    <t>TABLA 26.1: NÚMERO DE DENUNCIAS SIN APREHENDIDOS Y DENUNCIAS CON APREHENDIDOS, Y NÚMERO DE APREHENDIDOS, POR INFRACCIONES A LA LEY DE PROPIEDAD INTELECTUAL (N° 17.336), CÓDIGO Nº 09099 «OTROS DELITOS CONTRA LA LEY DE PROPIEDAD INTELECTUAL», SEGÚN REGIÓN. 2015</t>
  </si>
  <si>
    <r>
      <t>TABLA 26.2: NÚMERO DE APREHENDIDOS</t>
    </r>
    <r>
      <rPr>
        <b/>
        <vertAlign val="superscript"/>
        <sz val="8"/>
        <rFont val="Verdana"/>
        <family val="2"/>
      </rPr>
      <t>/1</t>
    </r>
    <r>
      <rPr>
        <b/>
        <sz val="8"/>
        <rFont val="Verdana"/>
        <family val="2"/>
      </rPr>
      <t xml:space="preserve"> POR INFRACCIONES LA LEY DE PROPIEDAD INTELECTUAL (N° 17.336), CÓDIGO N° 09099 «OTROS DELITOS CONTRA LA LEY DE PROPIEDAD INTELECTUAL», POR SEXO, EDAD, SEGÚN REGIÓN. 2015</t>
    </r>
  </si>
  <si>
    <t>TABLA 26.3: NÚMERO DE DENUNCIAS POR «FALSIFICACIÓN DE OBRAS PROTEGIDAS» Y «VENTA ILÍCITA DE OBRAS PROTEGIDAS», LEY DE PROPIEDAD INTELECTUAL (N° 17.336), ART. 80 b, SEGÚN REGIÓN. 2015</t>
  </si>
  <si>
    <r>
      <t>TABLA 26.4: NÚMERO DE APREHENDIDOS</t>
    </r>
    <r>
      <rPr>
        <b/>
        <vertAlign val="superscript"/>
        <sz val="8"/>
        <rFont val="Verdana"/>
        <family val="2"/>
      </rPr>
      <t>/1</t>
    </r>
    <r>
      <rPr>
        <b/>
        <sz val="8"/>
        <rFont val="Verdana"/>
        <family val="2"/>
      </rPr>
      <t xml:space="preserve"> POR INFRACCIONES A LA LEY DE PROPIEDAD INTELECTUAL (N° 17.336), CÓDIGO N° 09002 «FALSIFICACIÓN DE OBRAS PROTEGIDAS» Y CÓDIGO N° 09003 «VENTA ILÍCITA DE OBRAS PROTEGIDAS», POR SEXO, SEGÚN REGIÓN. 2015</t>
    </r>
  </si>
  <si>
    <t>TABLA 26.5: NÚMERO DE DELITOS POR INFRACCIONES A LA LEY DE PROPIEDAD INTELECTUAL (N° 17.336) INVESTIGADOS POR LA POLICÍA DE INVESTIGACIONES DE CHILE (PDI), SEGÚN REGIÓN POLICIAL EN QUE SE HIZO LA DENUNCIA. 2015</t>
  </si>
  <si>
    <t>TABLA 26.6: NÚMERO DE DELITOS POR INFRACCIONES A LA LEY DE PROPIEDAD INTELECTUAL (N° 17.336) INVESTIGADOS POR LA POLICÍA DE INVESTIGACIONES DE CHILE (PDI), SEGÚN REGIÓN POLICIAL EN QUE SE HIZO LA DENUNCIA Y COMUNA DE OCURRENCIA DEL DELITO. 2015</t>
  </si>
  <si>
    <t>TABLA 26.7: NÚMERO DE DELITOS POR INFRACCIONES A LA LEY DE PROPIEDAD INTELECTUAL (N° 17.336) INVESTIGADOS POR LA POLICÍA DE INVESTIGACIONES DE CHILE (PDI), SEGÚN REGIÓN POLICIAL Y BIEN AFECTADO. 2015</t>
  </si>
  <si>
    <t>TABLA 26.8: NÚMERO DE DETENIDOS POR LA POLICÍA DE INVESTIGACIONES DE CHILE (PDI) POR INFRACCIONES A LA LEY DE PROPIEDAD INTELECTUAL (N° 17.336) POR DELITO, SEGÚN REGIÓN POLICIAL. 2015</t>
  </si>
  <si>
    <t>TABLA 26.9: NÚMERO DE DETENIDOS POR LA POLICÍA DE INVESTIGACIONES DE CHILE (PDI) POR INFRACCIONES A LA LEY DE PROPIEDAD INTELECTUAL (N° 17.336) POR DELITO, SEGÚN REGIÓN POLICIAL Y SEXO. 2015</t>
  </si>
  <si>
    <t>TABLA 26.11: NÚMERO DE DETENIDOS POR LA POLICÍA DE INVESTIGACIONES DE CHILE (PDI) POR INFRACCIONES A LA LEY DE PROPIEDAD INTELECTUAL (N° 17.336) POR DELITO, SEGÚN REGIÓN POLICIAL Y GRUPOS DE EDAD. 2015</t>
  </si>
  <si>
    <t>TABLA 26.12: ARTÍCULOS INCAUTADOS POR LA POLICÍA DE INVESTIGACIONES DE CHILE (PDI) POR INFRACCIONES A LA LEY DE PROPIEDAD INTELECTUAL (N° 17.336), SEGÚN REGIÓN Y UNIDAD POLICIAL. 2015</t>
  </si>
  <si>
    <t>TABLA 26.13: CANTIDAD DE DETENIDOS POR LA POLICÍA DE INVESTIGACIONES DE CHILE (PDI) POR INFRACCIONES A LA LEY DE PROPIEDAD INTELECTUAL (N° 17.336), SEGÚN REGIÓN POLICIAL Y COMUNA RESIDENCIA DETENIDO. 2015</t>
  </si>
  <si>
    <t>TABLA 26.14: CANTIDAD DE DENUNCIAS EN LA POLICÍA DE INVESTIGACIONES DE CHILE (PDI) POR INFRACCIONES A LA LEY DE PROPIEDAD INTELECTUAL (N° 17.336), SEGÚN REGIÓN POLICIAL. 2015</t>
  </si>
  <si>
    <t>TABLA 26.15: CANTIDAD DE DENUNCIAS DE LA POLICÍA DE INVESTIGACIONES DE CHILE (PDI) POR INFRACCIONES A LA LEY DE PROPIEDAD INTELECTUAL (N° 17.336), SEGÚN BIEN AFECTADO. 2015</t>
  </si>
  <si>
    <t>TABLA 26.16: CANTIDAD DE DENUNCIAS DE LA POLICÍA DE INVESTIGACIONES DE CHILE (PDI) POR INFRACCIONES A LA LEY DE PROPIEDAD INTELECTUAL (N° 17.336), SEGÚN REGIÓN POLICIAL Y COMUNA DEL DELITO. 2015</t>
  </si>
  <si>
    <t>TABLA 26.18: CONDENADOS POR IMPUTADOS POR INFRACCIONES A LA LEY N° 17.336, DE PROPIEDAD INTELECTUAL, SEGÚN CORTE DE APELACIÓN. 2015</t>
  </si>
  <si>
    <t>TABLA 26.19: CAUSAS INGRESADAS Y TERMINADAS EN JUZGADOS DE GARANTÍA Y DE LETRAS Y GARANTÍA POR IMPUTADOS POR INFRACCIONES A LA LEY N° 17.336, DE PROPIEDAD INTELECTUAL, SEGÚN CORTE DE APELACIÓN. 2015</t>
  </si>
  <si>
    <t>TABLA  26.20: DELITOS INGRESADOS AL MINISTERIO PÚBLICO EN RELACIÓN A LA LEY N° 17.336, DE PROPIEDAD INTELECTUAL, SEGÚN REGIÓN Y FISCALÍA. 2011-2015</t>
  </si>
  <si>
    <r>
      <t>TABLA 26.21: DELITOS TERMINADOS EN EL MINISTERIO PÚBLICO EN RELACIÓN A LA LEY N° 17.336, DE PROPIEDAD INTELECTUAL, SEGÚN REGIÓN Y FISCALÍA. 2011-2015</t>
    </r>
    <r>
      <rPr>
        <b/>
        <vertAlign val="superscript"/>
        <sz val="8"/>
        <rFont val="Verdana"/>
        <family val="2"/>
      </rPr>
      <t>/1</t>
    </r>
  </si>
  <si>
    <t>TABLA 26.22: SENTENCIAS DEFINITIVAS CONDENATORIAS EN RELACIÓN A LA LEY N° 17.336, DE PROPIEDAD INTELECTUAL, SEGÚN REGIÓN Y FISCALÍA. 2011-2015</t>
  </si>
  <si>
    <t>TABLA 10.19: NÚMERO DE AUTORIZACIONES DE SALIDA DE MONUMENTOS DEL TERRITORIO NACIONAL, SEGÚN TIPO DE MONUMENTO. 2011-2015</t>
  </si>
  <si>
    <t>Danza regional y/o folclórica</t>
  </si>
  <si>
    <t>Danza moderna o contemporánea</t>
  </si>
  <si>
    <t>Ballet</t>
  </si>
  <si>
    <t>Teatro Adulto</t>
  </si>
  <si>
    <t>Teatro infantil</t>
  </si>
  <si>
    <t>Ópera</t>
  </si>
  <si>
    <t>Danza regional o folclórica</t>
  </si>
  <si>
    <r>
      <t xml:space="preserve">TABLA 15.12: NÚMERO DE TÍTULOS DE LIBROS REGISTRADOS EN EL INTERNATIONAL STANDARD BOOK NUMBER (ISBN), SEGÚN MATERIA. 2011-2015 </t>
    </r>
    <r>
      <rPr>
        <b/>
        <vertAlign val="superscript"/>
        <sz val="8"/>
        <rFont val="Verdana"/>
        <family val="2"/>
      </rPr>
      <t>/1</t>
    </r>
  </si>
  <si>
    <r>
      <t xml:space="preserve">TABLA 15.13: NÚMERO DE TÍTULOS DE LIBROS DE LITERATURA CHILENA REGISTRADOS EN EL INTERNATIONAL STANDARD BOOK NUMBER (ISBN), SEGÚN GÉNERO. 2011-2015 </t>
    </r>
    <r>
      <rPr>
        <b/>
        <vertAlign val="superscript"/>
        <sz val="8"/>
        <rFont val="Verdana"/>
        <family val="2"/>
      </rPr>
      <t>/1</t>
    </r>
  </si>
  <si>
    <r>
      <t xml:space="preserve">TABLA 15.14: NÚMERO DE TÍTULOS DE LIBROS REGISTRADOS EN EL INTERNATIONAL STANDARD BOOK NUMBER (ISBN), SEGÚN SOPORTES DISTINTOS A PAPEL. 2011-2015 </t>
    </r>
    <r>
      <rPr>
        <b/>
        <vertAlign val="superscript"/>
        <sz val="8"/>
        <rFont val="Verdana"/>
        <family val="2"/>
      </rPr>
      <t>/1</t>
    </r>
  </si>
  <si>
    <r>
      <t xml:space="preserve">TABLA 15.16: NÚMERO DE TÍTULOS DE LIBROS REGISTRADOS EN EL INTERNATIONAL STANDARD BOOK NUMBER (ISBN), SEGÚN RANGOS DE PRODUCCIÓN. 2011-2015 </t>
    </r>
    <r>
      <rPr>
        <b/>
        <vertAlign val="superscript"/>
        <sz val="8"/>
        <rFont val="Verdana"/>
        <family val="2"/>
      </rPr>
      <t>/1</t>
    </r>
  </si>
  <si>
    <r>
      <t xml:space="preserve">TABLA 15.18: EDITORES QUE SOLICITAN REGISTRO DE SU OBRA POR PRIMERA VEZ EN EL INTERNATIONAL STANDARD BOOK NUMBER (ISBN), SEGÚN REGIÓN. 2011-2015 </t>
    </r>
    <r>
      <rPr>
        <b/>
        <vertAlign val="superscript"/>
        <sz val="8"/>
        <rFont val="Verdana"/>
        <family val="2"/>
      </rPr>
      <t>/1</t>
    </r>
  </si>
  <si>
    <r>
      <t>Infomerciales</t>
    </r>
    <r>
      <rPr>
        <vertAlign val="superscript"/>
        <sz val="8"/>
        <rFont val="Verdana"/>
        <family val="2"/>
      </rPr>
      <t>/4 /5</t>
    </r>
  </si>
  <si>
    <t>TABLA 16.33: NÚMERO DE PELÍCULAS ESTRENADAS, SEGÚN ORIGEN DE LA PELÍCULA 2015</t>
  </si>
  <si>
    <r>
      <t>Procedencia película</t>
    </r>
    <r>
      <rPr>
        <b/>
        <vertAlign val="superscript"/>
        <sz val="8"/>
        <color theme="1"/>
        <rFont val="Verdana"/>
        <family val="2"/>
      </rPr>
      <t>/1</t>
    </r>
  </si>
  <si>
    <r>
      <t>Coproducciones/Chile</t>
    </r>
    <r>
      <rPr>
        <vertAlign val="superscript"/>
        <sz val="8"/>
        <color theme="1"/>
        <rFont val="Verdana"/>
        <family val="2"/>
      </rPr>
      <t>/2</t>
    </r>
  </si>
  <si>
    <r>
      <t>Coproducciones</t>
    </r>
    <r>
      <rPr>
        <b/>
        <vertAlign val="superscript"/>
        <sz val="8"/>
        <rFont val="Verdana"/>
        <family val="2"/>
      </rPr>
      <t>/2</t>
    </r>
  </si>
  <si>
    <r>
      <t>Calificación</t>
    </r>
    <r>
      <rPr>
        <b/>
        <vertAlign val="superscript"/>
        <sz val="8"/>
        <color theme="1"/>
        <rFont val="Verdana"/>
        <family val="2"/>
      </rPr>
      <t>/2</t>
    </r>
  </si>
  <si>
    <r>
      <t>Ranking de ventas</t>
    </r>
    <r>
      <rPr>
        <b/>
        <vertAlign val="superscript"/>
        <sz val="8"/>
        <color theme="1"/>
        <rFont val="Verdana"/>
        <family val="2"/>
      </rPr>
      <t>/1</t>
    </r>
  </si>
  <si>
    <r>
      <t xml:space="preserve">Creativas </t>
    </r>
    <r>
      <rPr>
        <b/>
        <vertAlign val="superscript"/>
        <sz val="8"/>
        <color theme="1"/>
        <rFont val="Verdana"/>
        <family val="2"/>
      </rPr>
      <t>/1</t>
    </r>
  </si>
  <si>
    <r>
      <t>4</t>
    </r>
    <r>
      <rPr>
        <sz val="8"/>
        <rFont val="Verdana"/>
        <family val="2"/>
      </rPr>
      <t xml:space="preserve"> Varias: Corresponde a lo ejecutado desde la Dirección Nacional en varias regiones.</t>
    </r>
  </si>
  <si>
    <r>
      <rPr>
        <b/>
        <sz val="8"/>
        <rFont val="Verdana"/>
        <family val="2"/>
      </rPr>
      <t>1</t>
    </r>
    <r>
      <rPr>
        <sz val="8"/>
        <color theme="1"/>
        <rFont val="Verdana"/>
        <family val="2"/>
      </rPr>
      <t xml:space="preserve"> La Ley N° 19.712 del Deporte, publicada el 09.02.2001, en su artículo 12, literal (j), establece que para la administración de los recintos e instalaciones que forman parte del patrimonio del IND, se puede encargar la gestión del todo o parte de ellos a través de “convenios de administración” o “concesiones”. Dichas modalidades tienen procedimientos y requerimientos distintos (extraído de: http://www.ind.cl/infraestructura/administracion-de-recintos-por-encargo-de-gestion/)</t>
    </r>
  </si>
  <si>
    <r>
      <t>Antofagasta</t>
    </r>
    <r>
      <rPr>
        <vertAlign val="superscript"/>
        <sz val="8"/>
        <color indexed="8"/>
        <rFont val="Verdana"/>
        <family val="2"/>
      </rPr>
      <t>/2</t>
    </r>
  </si>
  <si>
    <r>
      <t>Coquimbo</t>
    </r>
    <r>
      <rPr>
        <vertAlign val="superscript"/>
        <sz val="8"/>
        <color indexed="8"/>
        <rFont val="Verdana"/>
        <family val="2"/>
      </rPr>
      <t>/2</t>
    </r>
  </si>
  <si>
    <r>
      <t>Atacama</t>
    </r>
    <r>
      <rPr>
        <vertAlign val="superscript"/>
        <sz val="8"/>
        <color indexed="8"/>
        <rFont val="Verdana"/>
        <family val="2"/>
      </rPr>
      <t>/2</t>
    </r>
  </si>
  <si>
    <r>
      <t>Valparaíso</t>
    </r>
    <r>
      <rPr>
        <vertAlign val="superscript"/>
        <sz val="8"/>
        <color indexed="8"/>
        <rFont val="Verdana"/>
        <family val="2"/>
      </rPr>
      <t>/2</t>
    </r>
  </si>
  <si>
    <r>
      <t>Antofagasta</t>
    </r>
    <r>
      <rPr>
        <vertAlign val="superscript"/>
        <sz val="8"/>
        <rFont val="Verdana"/>
        <family val="2"/>
      </rPr>
      <t>/2</t>
    </r>
  </si>
  <si>
    <r>
      <t>Atacama</t>
    </r>
    <r>
      <rPr>
        <vertAlign val="superscript"/>
        <sz val="8"/>
        <rFont val="Verdana"/>
        <family val="2"/>
      </rPr>
      <t>/2</t>
    </r>
  </si>
  <si>
    <r>
      <t>Coquimbo</t>
    </r>
    <r>
      <rPr>
        <vertAlign val="superscript"/>
        <sz val="8"/>
        <rFont val="Verdana"/>
        <family val="2"/>
      </rPr>
      <t>/2</t>
    </r>
  </si>
  <si>
    <r>
      <t>Valparaíso</t>
    </r>
    <r>
      <rPr>
        <vertAlign val="superscript"/>
        <sz val="8"/>
        <rFont val="Verdana"/>
        <family val="2"/>
      </rPr>
      <t>/2</t>
    </r>
  </si>
  <si>
    <r>
      <t>TABLA 20.18: NÚMERO DE ASISTENTES A ESPECTÁCULOS PÚBLICOS DEPORTIVOS, ENTRADA GRATUITA Y PAGADA, POR TIPO DE ESPECTÁCULO. 2011-2015</t>
    </r>
    <r>
      <rPr>
        <b/>
        <vertAlign val="superscript"/>
        <sz val="8"/>
        <rFont val="Verdana"/>
        <family val="2"/>
      </rPr>
      <t>/1</t>
    </r>
  </si>
  <si>
    <r>
      <t>Artes Marciales</t>
    </r>
    <r>
      <rPr>
        <b/>
        <vertAlign val="superscript"/>
        <sz val="8"/>
        <rFont val="Verdana"/>
        <family val="2"/>
      </rPr>
      <t>/2</t>
    </r>
  </si>
  <si>
    <r>
      <t>Coquimbo</t>
    </r>
    <r>
      <rPr>
        <vertAlign val="superscript"/>
        <sz val="8"/>
        <color indexed="8"/>
        <rFont val="Verdana"/>
        <family val="2"/>
      </rPr>
      <t>/3</t>
    </r>
  </si>
  <si>
    <r>
      <t>Valparaíso</t>
    </r>
    <r>
      <rPr>
        <vertAlign val="superscript"/>
        <sz val="8"/>
        <color indexed="8"/>
        <rFont val="Verdana"/>
        <family val="2"/>
      </rPr>
      <t>/3</t>
    </r>
  </si>
  <si>
    <r>
      <t>Metropolitana</t>
    </r>
    <r>
      <rPr>
        <vertAlign val="superscript"/>
        <sz val="8"/>
        <color indexed="8"/>
        <rFont val="Verdana"/>
        <family val="2"/>
      </rPr>
      <t>/3</t>
    </r>
  </si>
  <si>
    <r>
      <t>O'Higgins</t>
    </r>
    <r>
      <rPr>
        <vertAlign val="superscript"/>
        <sz val="8"/>
        <color indexed="8"/>
        <rFont val="Verdana"/>
        <family val="2"/>
      </rPr>
      <t>/3</t>
    </r>
  </si>
  <si>
    <r>
      <t>La Araucanía</t>
    </r>
    <r>
      <rPr>
        <vertAlign val="superscript"/>
        <sz val="8"/>
        <color indexed="8"/>
        <rFont val="Verdana"/>
        <family val="2"/>
      </rPr>
      <t>/3</t>
    </r>
  </si>
  <si>
    <r>
      <t>TABLA 20.19: NÚMERO DE ESPECTADORES ASISTENTES A ESPECTÁCULOS PÚBLICOS DEPORTIVOS CON ENTRADA GRATUITA Y PAGADA POR MES, SEGÚN REGIÓN. 2015</t>
    </r>
    <r>
      <rPr>
        <b/>
        <vertAlign val="superscript"/>
        <sz val="8"/>
        <color indexed="8"/>
        <rFont val="Verdana"/>
        <family val="2"/>
      </rPr>
      <t>/1</t>
    </r>
  </si>
  <si>
    <t>N° Proyectos</t>
  </si>
  <si>
    <t>Montos $</t>
  </si>
  <si>
    <t>TABLA 22.4: NÚMERO DE PROYECTOS POSTULADOS Y SELECCIONADOS Y RECURSOS ASIGNADOS POR TIPO DE PERSONA (NATURAL Y JURÍDICA), SEGÚN FONDO Y AÑO 2011 - 2015</t>
  </si>
  <si>
    <t>FONDO Y AÑO</t>
  </si>
  <si>
    <r>
      <t>Participación de los Empleadores Cotizantes en el total (%)</t>
    </r>
    <r>
      <rPr>
        <b/>
        <vertAlign val="superscript"/>
        <sz val="8"/>
        <color theme="1"/>
        <rFont val="Verdana"/>
        <family val="2"/>
      </rPr>
      <t>/1</t>
    </r>
  </si>
  <si>
    <r>
      <t>Participación de los Empleados Cotizantes en el total (%)</t>
    </r>
    <r>
      <rPr>
        <b/>
        <vertAlign val="superscript"/>
        <sz val="8"/>
        <color theme="1"/>
        <rFont val="Verdana"/>
        <family val="2"/>
      </rPr>
      <t>/1</t>
    </r>
  </si>
  <si>
    <r>
      <t xml:space="preserve">Total economía </t>
    </r>
    <r>
      <rPr>
        <b/>
        <vertAlign val="superscript"/>
        <sz val="8"/>
        <color theme="1"/>
        <rFont val="Verdana"/>
        <family val="2"/>
      </rPr>
      <t>/2</t>
    </r>
  </si>
  <si>
    <r>
      <t xml:space="preserve">Total general en sector creativo </t>
    </r>
    <r>
      <rPr>
        <b/>
        <vertAlign val="superscript"/>
        <sz val="8"/>
        <color theme="1"/>
        <rFont val="Verdana"/>
        <family val="2"/>
      </rPr>
      <t>/3</t>
    </r>
  </si>
  <si>
    <r>
      <t xml:space="preserve">Patrimonio </t>
    </r>
    <r>
      <rPr>
        <vertAlign val="superscript"/>
        <sz val="8"/>
        <color theme="1"/>
        <rFont val="Verdana"/>
        <family val="2"/>
      </rPr>
      <t>/4</t>
    </r>
  </si>
  <si>
    <r>
      <t xml:space="preserve">Artesanias </t>
    </r>
    <r>
      <rPr>
        <vertAlign val="superscript"/>
        <sz val="8"/>
        <color theme="1"/>
        <rFont val="Verdana"/>
        <family val="2"/>
      </rPr>
      <t>/5</t>
    </r>
  </si>
  <si>
    <r>
      <t xml:space="preserve">Artes Visuales </t>
    </r>
    <r>
      <rPr>
        <vertAlign val="superscript"/>
        <sz val="8"/>
        <color theme="1"/>
        <rFont val="Verdana"/>
        <family val="2"/>
      </rPr>
      <t>/6</t>
    </r>
  </si>
  <si>
    <r>
      <t xml:space="preserve">Artes Escénicas </t>
    </r>
    <r>
      <rPr>
        <vertAlign val="superscript"/>
        <sz val="8"/>
        <color theme="1"/>
        <rFont val="Verdana"/>
        <family val="2"/>
      </rPr>
      <t>/7</t>
    </r>
  </si>
  <si>
    <r>
      <t xml:space="preserve">Artes Musicales </t>
    </r>
    <r>
      <rPr>
        <vertAlign val="superscript"/>
        <sz val="8"/>
        <color theme="1"/>
        <rFont val="Verdana"/>
        <family val="2"/>
      </rPr>
      <t>/8</t>
    </r>
  </si>
  <si>
    <r>
      <t xml:space="preserve">Artes Literarias, libros y prensa </t>
    </r>
    <r>
      <rPr>
        <vertAlign val="superscript"/>
        <sz val="8"/>
        <color theme="1"/>
        <rFont val="Verdana"/>
        <family val="2"/>
      </rPr>
      <t>/9</t>
    </r>
  </si>
  <si>
    <r>
      <t xml:space="preserve">Medios Audiovisuales e Interactivos </t>
    </r>
    <r>
      <rPr>
        <vertAlign val="superscript"/>
        <sz val="8"/>
        <color theme="1"/>
        <rFont val="Verdana"/>
        <family val="2"/>
      </rPr>
      <t>/10</t>
    </r>
  </si>
  <si>
    <r>
      <t xml:space="preserve">Arquitectura, Diseño y Servicios Creativos </t>
    </r>
    <r>
      <rPr>
        <vertAlign val="superscript"/>
        <sz val="8"/>
        <color theme="1"/>
        <rFont val="Verdana"/>
        <family val="2"/>
      </rPr>
      <t>/11</t>
    </r>
  </si>
  <si>
    <r>
      <t xml:space="preserve">Infraestructura y Equipamiento </t>
    </r>
    <r>
      <rPr>
        <vertAlign val="superscript"/>
        <sz val="8"/>
        <color theme="1"/>
        <rFont val="Verdana"/>
        <family val="2"/>
      </rPr>
      <t>/12</t>
    </r>
  </si>
  <si>
    <r>
      <t xml:space="preserve">Educación </t>
    </r>
    <r>
      <rPr>
        <vertAlign val="superscript"/>
        <sz val="8"/>
        <color theme="1"/>
        <rFont val="Verdana"/>
        <family val="2"/>
      </rPr>
      <t>/13</t>
    </r>
  </si>
  <si>
    <r>
      <rPr>
        <b/>
        <sz val="8"/>
        <color theme="1"/>
        <rFont val="Verdana"/>
        <family val="2"/>
      </rPr>
      <t>1</t>
    </r>
    <r>
      <rPr>
        <sz val="8"/>
        <color theme="1"/>
        <rFont val="Verdana"/>
        <family val="2"/>
      </rPr>
      <t xml:space="preserve"> Porcentaje calculado sobre el total de empresas y el total de empleo de la economía informados por la Superintendencia de Seguridad Social.</t>
    </r>
  </si>
  <si>
    <r>
      <rPr>
        <b/>
        <sz val="8"/>
        <color theme="1"/>
        <rFont val="Verdana"/>
        <family val="2"/>
      </rPr>
      <t>2</t>
    </r>
    <r>
      <rPr>
        <sz val="8"/>
        <color theme="1"/>
        <rFont val="Verdana"/>
        <family val="2"/>
      </rPr>
      <t xml:space="preserve"> Los datos de empresas y empleo de total economía han sido tomados de la Superintendencia de Seguridad Social en función del numero de empresas cotizantes.</t>
    </r>
  </si>
  <si>
    <r>
      <rPr>
        <b/>
        <sz val="8"/>
        <color rgb="FF000000"/>
        <rFont val="Verdana"/>
        <family val="2"/>
      </rPr>
      <t>3</t>
    </r>
    <r>
      <rPr>
        <sz val="8"/>
        <color rgb="FF000000"/>
        <rFont val="Verdana"/>
        <family val="2"/>
      </rPr>
      <t xml:space="preserve"> Corresponde al número total de empresas y empleados inscritos en alguna de las mutuales de seguridad y que cumplen con pertenecer a alguno de los 57 códigos de actividad seleccionados por el CNCA como creativos o culturales. El método usado para obtener el número de trabajadores ha sido calcular el promedio de trabajadores anuales por empresa cultural (suma de trabajadores en el año dividida por 12) y luego sumar los trabajadores pertencientes a un mismo dominio cultural.</t>
    </r>
  </si>
  <si>
    <r>
      <rPr>
        <b/>
        <sz val="8"/>
        <color rgb="FF000000"/>
        <rFont val="Verdana"/>
        <family val="2"/>
      </rPr>
      <t xml:space="preserve">4 </t>
    </r>
    <r>
      <rPr>
        <sz val="8"/>
        <color rgb="FF000000"/>
        <rFont val="Verdana"/>
        <family val="2"/>
      </rPr>
      <t>Incluye actividades de bibliotecas y archivos, actividades de museos, actividades de jardines botánicos y zoológicos.</t>
    </r>
  </si>
  <si>
    <r>
      <rPr>
        <b/>
        <sz val="8"/>
        <color rgb="FF000000"/>
        <rFont val="Verdana"/>
        <family val="2"/>
      </rPr>
      <t>5</t>
    </r>
    <r>
      <rPr>
        <sz val="8"/>
        <color rgb="FF000000"/>
        <rFont val="Verdana"/>
        <family val="2"/>
      </rPr>
      <t xml:space="preserve"> Incluye comercio al por menor de artículos típicos (artesanías).</t>
    </r>
  </si>
  <si>
    <r>
      <rPr>
        <b/>
        <sz val="8"/>
        <color rgb="FF000000"/>
        <rFont val="Verdana"/>
        <family val="2"/>
      </rPr>
      <t xml:space="preserve">6 </t>
    </r>
    <r>
      <rPr>
        <sz val="8"/>
        <color rgb="FF000000"/>
        <rFont val="Verdana"/>
        <family val="2"/>
      </rPr>
      <t>Incluye artes visuales con comercio al por menor de antigüedades, actividades de subasta (martilleros), galerías de arte. Incluye comercio al por menor de artículos fotográficos, servicios de revelado, actividades de fotografías publicitarias y otras actividades de fotografía. Incluye  fabricación de instrumentos de óptica no clasificados previsamente (N.C.P) y equipos fotográficos.</t>
    </r>
  </si>
  <si>
    <r>
      <rPr>
        <b/>
        <sz val="8"/>
        <color rgb="FF000000"/>
        <rFont val="Verdana"/>
        <family val="2"/>
      </rPr>
      <t xml:space="preserve">7 </t>
    </r>
    <r>
      <rPr>
        <sz val="8"/>
        <color rgb="FF000000"/>
        <rFont val="Verdana"/>
        <family val="2"/>
      </rPr>
      <t>Incluye espectáculos circenses, de títeres u otros similares. Incluye  instructores de danza. Incluye servicios de producción teatral y otros No Clasificados Previamente (N.C.P).</t>
    </r>
  </si>
  <si>
    <r>
      <rPr>
        <b/>
        <sz val="8"/>
        <color rgb="FF000000"/>
        <rFont val="Verdana"/>
        <family val="2"/>
      </rPr>
      <t>8</t>
    </r>
    <r>
      <rPr>
        <sz val="8"/>
        <color rgb="FF000000"/>
        <rFont val="Verdana"/>
        <family val="2"/>
      </rPr>
      <t xml:space="preserve"> 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entre otras relacionadas. Incluye fabricación de instrumentos de música.</t>
    </r>
  </si>
  <si>
    <r>
      <rPr>
        <b/>
        <sz val="8"/>
        <color rgb="FF000000"/>
        <rFont val="Verdana"/>
        <family val="2"/>
      </rPr>
      <t>9</t>
    </r>
    <r>
      <rPr>
        <sz val="8"/>
        <color rgb="FF000000"/>
        <rFont val="Verdana"/>
        <family val="2"/>
      </rPr>
      <t xml:space="preserve"> Incluye edición principalmente de libros ,otras actividades de edición, impresión principalmente de libros, venta al por mayor de libros, comercio al por menor de libros. Incluye edición, venta al por mayor de revistas y periódicos, comercio al por menor de revistas y diarios. Incluye otras actividades de edición.</t>
    </r>
  </si>
  <si>
    <r>
      <rPr>
        <b/>
        <sz val="8"/>
        <color rgb="FF000000"/>
        <rFont val="Verdana"/>
        <family val="2"/>
      </rPr>
      <t>10</t>
    </r>
    <r>
      <rPr>
        <sz val="8"/>
        <color rgb="FF000000"/>
        <rFont val="Verdana"/>
        <family val="2"/>
      </rPr>
      <t xml:space="preserve"> Incluye principalmente producción de películas cinematográficas, distribución de cine y exhibición de filmes y videocintas. También agencias de contratación de actores, contratación de actores para cine, tv, y teatro y agencias de noticias. Incluye arriendo de videos, juegos de video y equipos reproductores de video, música y similares.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t>
    </r>
  </si>
  <si>
    <r>
      <rPr>
        <b/>
        <sz val="8"/>
        <color rgb="FF000000"/>
        <rFont val="Verdana"/>
        <family val="2"/>
      </rPr>
      <t xml:space="preserve">11 </t>
    </r>
    <r>
      <rPr>
        <sz val="8"/>
        <color rgb="FF000000"/>
        <rFont val="Verdana"/>
        <family val="2"/>
      </rPr>
      <t>Incluye servicios de arquitectura y técnico relacionado. Incluye  diseñadores de vestuario, de interiores y otros diseñadores. Incluye empresas de publicidad y servicios personales de publicidad.</t>
    </r>
  </si>
  <si>
    <r>
      <rPr>
        <b/>
        <sz val="8"/>
        <color rgb="FF000000"/>
        <rFont val="Verdana"/>
        <family val="2"/>
      </rPr>
      <t>12</t>
    </r>
    <r>
      <rPr>
        <sz val="8"/>
        <color rgb="FF000000"/>
        <rFont val="Verdana"/>
        <family val="2"/>
      </rPr>
      <t xml:space="preserve"> Incluye comercio al por menor de computadoras, softwares y suministros, proveedores de internet, centros de acceso a internet, asesores y consultores en informática (software).</t>
    </r>
  </si>
  <si>
    <r>
      <rPr>
        <b/>
        <sz val="8"/>
        <color rgb="FF000000"/>
        <rFont val="Verdana"/>
        <family val="2"/>
      </rPr>
      <t>13</t>
    </r>
    <r>
      <rPr>
        <sz val="8"/>
        <color rgb="FF000000"/>
        <rFont val="Verdana"/>
        <family val="2"/>
      </rPr>
      <t xml:space="preserve"> Incluye investigaciones y desarrollo experimental - ciencias sociales y humanidades y educación extraescolar (escuela de conducción, música, modelaje, etc.). </t>
    </r>
  </si>
  <si>
    <r>
      <t xml:space="preserve">Empresas </t>
    </r>
    <r>
      <rPr>
        <b/>
        <vertAlign val="superscript"/>
        <sz val="8"/>
        <color theme="1"/>
        <rFont val="Verdana"/>
        <family val="2"/>
      </rPr>
      <t>/1</t>
    </r>
  </si>
  <si>
    <r>
      <t xml:space="preserve">Trabajadores para el total de empresas del sector </t>
    </r>
    <r>
      <rPr>
        <b/>
        <vertAlign val="superscript"/>
        <sz val="8"/>
        <color theme="1"/>
        <rFont val="Verdana"/>
        <family val="2"/>
      </rPr>
      <t>/2</t>
    </r>
  </si>
  <si>
    <r>
      <t xml:space="preserve">Promedio de Remuneraciones </t>
    </r>
    <r>
      <rPr>
        <b/>
        <vertAlign val="superscript"/>
        <sz val="8"/>
        <color theme="1"/>
        <rFont val="Verdana"/>
        <family val="2"/>
      </rPr>
      <t>/3</t>
    </r>
  </si>
  <si>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</si>
  <si>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</si>
  <si>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8"/>
        <rFont val="Verdana"/>
        <family val="2"/>
      </rPr>
      <t>3</t>
    </r>
    <r>
      <rPr>
        <sz val="8"/>
        <rFont val="Verdana"/>
        <family val="2"/>
      </rPr>
      <t xml:space="preserve"> El método utilizado para obtener las remuneraciones promedio ha sido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</si>
  <si>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r>
      <t xml:space="preserve">Empresas </t>
    </r>
    <r>
      <rPr>
        <b/>
        <vertAlign val="superscript"/>
        <sz val="8"/>
        <rFont val="Verdana"/>
        <family val="2"/>
      </rPr>
      <t>/1</t>
    </r>
  </si>
  <si>
    <r>
      <t xml:space="preserve">Trabajadores por Sector en Promedio </t>
    </r>
    <r>
      <rPr>
        <b/>
        <vertAlign val="superscript"/>
        <sz val="8"/>
        <rFont val="Verdana"/>
        <family val="2"/>
      </rPr>
      <t>/2</t>
    </r>
  </si>
  <si>
    <r>
      <t xml:space="preserve">Promedio de Remuneraciones del Sector </t>
    </r>
    <r>
      <rPr>
        <b/>
        <vertAlign val="superscript"/>
        <sz val="8"/>
        <rFont val="Verdana"/>
        <family val="2"/>
      </rPr>
      <t>/3</t>
    </r>
  </si>
  <si>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</si>
  <si>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</si>
  <si>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t xml:space="preserve">Trabajadores Hombres </t>
    </r>
    <r>
      <rPr>
        <b/>
        <vertAlign val="superscript"/>
        <sz val="8"/>
        <color theme="1"/>
        <rFont val="Verdana"/>
        <family val="2"/>
      </rPr>
      <t>/2 /3</t>
    </r>
  </si>
  <si>
    <r>
      <t xml:space="preserve">Trabajadoras Mujeres </t>
    </r>
    <r>
      <rPr>
        <b/>
        <vertAlign val="superscript"/>
        <sz val="8"/>
        <color theme="1"/>
        <rFont val="Verdana"/>
        <family val="2"/>
      </rPr>
      <t>/2 /3</t>
    </r>
  </si>
  <si>
    <r>
      <t xml:space="preserve">Salario Promedio Hombres (Pesos Corrientes 2015) </t>
    </r>
    <r>
      <rPr>
        <b/>
        <vertAlign val="superscript"/>
        <sz val="8"/>
        <color theme="1"/>
        <rFont val="Verdana"/>
        <family val="2"/>
      </rPr>
      <t>/4</t>
    </r>
  </si>
  <si>
    <r>
      <t xml:space="preserve">Salario Promedio Mujeres (Precios Corrientes 2015) </t>
    </r>
    <r>
      <rPr>
        <b/>
        <vertAlign val="superscript"/>
        <sz val="8"/>
        <color theme="1"/>
        <rFont val="Verdana"/>
        <family val="2"/>
      </rPr>
      <t>/4</t>
    </r>
  </si>
  <si>
    <r>
      <rPr>
        <b/>
        <sz val="8"/>
        <rFont val="Verdana"/>
        <family val="2"/>
      </rPr>
      <t>1</t>
    </r>
    <r>
      <rPr>
        <sz val="8"/>
        <rFont val="Verdana"/>
        <family val="2"/>
      </rPr>
      <t xml:space="preserve"> El número total de empresas fue obtenido a partir del número de empresas y empleados hombres y mujeres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</si>
  <si>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</si>
  <si>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8"/>
        <rFont val="Verdana"/>
        <family val="2"/>
      </rPr>
      <t>3</t>
    </r>
    <r>
      <rPr>
        <sz val="8"/>
        <rFont val="Verdana"/>
        <family val="2"/>
      </rPr>
      <t xml:space="preserve"> Se debe considerar que las empresas  pueden entregar el dato de empleados sin diferenciar por sexo. Para este año el % de datos sin información por sexo alcanzó a un 0,23% del total de empleados. Estos datos sin información de sexo no han sido considerados en los cálculos de la presente tabla. </t>
    </r>
  </si>
  <si>
    <r>
      <rPr>
        <b/>
        <sz val="8"/>
        <rFont val="Verdana"/>
        <family val="2"/>
      </rPr>
      <t>4</t>
    </r>
    <r>
      <rPr>
        <sz val="8"/>
        <rFont val="Verdana"/>
        <family val="2"/>
      </rPr>
      <t xml:space="preserve"> El método utilizado para obtener las remuneraciones promedio para hombres y mujeres ha sido calcular el promedio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</si>
  <si>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t>TABLA 26.17: IMPUTADOS POR INFRACCIÓN A LA LEY 17.336 DE PROPIEDAD INTELECTUAL, SEGÚN CORTE DE APELACIÓN. 2015</t>
  </si>
  <si>
    <t>Junta Nacional de Auxilios Escolar y Becas. Ministerio de Educación</t>
  </si>
  <si>
    <r>
      <rPr>
        <b/>
        <sz val="8"/>
        <color theme="1"/>
        <rFont val="Verdana"/>
        <family val="2"/>
      </rPr>
      <t>Nota:</t>
    </r>
    <r>
      <rPr>
        <sz val="8"/>
        <color theme="1"/>
        <rFont val="Verdana"/>
        <family val="2"/>
      </rPr>
      <t xml:space="preserve"> La tabla se realizó en base a las películas exhibidas el año 2015. Las películas exhibidas consideran las películas estrenadas el año 2015 y las estrenadas en los meses finales del 2014 que continúan siendo exhibidas el año siguiente.</t>
    </r>
  </si>
  <si>
    <t>NOMBRE DE TABLA</t>
  </si>
  <si>
    <r>
      <t>TABLA 10.26: MATERIAL AUDIOVISUAL GENERADO POR EL CONSEJO NACIONAL DE LA CULTURA Y LAS ARTES (CNCA), SEGÚN PROGRAMA O PROYECTO Y TIPO DE MATERIAL</t>
    </r>
    <r>
      <rPr>
        <b/>
        <sz val="8"/>
        <rFont val="Verdana"/>
        <family val="2"/>
      </rPr>
      <t>. 2011-</t>
    </r>
    <r>
      <rPr>
        <b/>
        <sz val="8"/>
        <color indexed="8"/>
        <rFont val="Verdana"/>
        <family val="2"/>
      </rPr>
      <t>2015</t>
    </r>
    <r>
      <rPr>
        <b/>
        <vertAlign val="superscript"/>
        <sz val="8"/>
        <color indexed="8"/>
        <rFont val="Verdana"/>
        <family val="2"/>
      </rPr>
      <t>/1</t>
    </r>
  </si>
  <si>
    <t xml:space="preserve">TABLA 10.27: NÚMERO DE PUBLICACIONES Y AUDIOS GENERADOS POR EL CONSEJO NACIONAL DE LA CULTURA Y LAS ARTES (CNCA), SEGÚN TIPO DE PRODUCTO. 2011-2015 </t>
  </si>
  <si>
    <t xml:space="preserve">TABLA 10.28: NÚMERO DE POSTULACIONES A TESORO HUMANO VIVO (THV), SEGÚN ÁMBITO DEL PATRIMONIO CULTURAL INMATERIAL Y RESULTADO DE POSTULACIÓN. 2014-2015 </t>
  </si>
  <si>
    <r>
      <t>TABLA 10.29: NÚMERO DE POSTULANTES RECONOCIDOS COMO "TESORO HUMANO VIVO" (THV)  Y "DESTACADOS", POR REGIÓN, SEGÚN TIPO DE POSTULACIÓN. 2014-2015</t>
    </r>
    <r>
      <rPr>
        <b/>
        <vertAlign val="superscript"/>
        <sz val="8"/>
        <color indexed="8"/>
        <rFont val="Verdana"/>
        <family val="2"/>
      </rPr>
      <t>/1</t>
    </r>
  </si>
  <si>
    <t xml:space="preserve">TABLA 10.30: ADSCRIPCIONES A ÁMBITOS DEL PATRIMONIO CULTURAL INMATERIAL ASOCIADAS A LAS POSTULACIONES DE TESORO HUMANO VIVO POR TIPO DE POSTULACIÓN, SEGÚN TIPO DE POSTULANTE . 2014 - 2015 </t>
  </si>
  <si>
    <r>
      <t>TABLA 10.31: NÚMERO DE EXPEDIENTES DE POSTULACIÓN AL INVENTARIO DEL PATRIMONIO CULTURAL INMATERIAL EN CHILE RECIBIDOS POR EL CONSEJO NACIONAL DE LA CULTURA Y LAS ARTES (CNCA) POR ÁMBITO DE PATRIMONIO INMATERIAL, SEGÚN Y REGIÓN Y NOMBRE DEL EXPEDIENTE.</t>
    </r>
    <r>
      <rPr>
        <b/>
        <sz val="8"/>
        <color indexed="10"/>
        <rFont val="Verdana"/>
        <family val="2"/>
      </rPr>
      <t xml:space="preserve"> </t>
    </r>
    <r>
      <rPr>
        <b/>
        <sz val="8"/>
        <color indexed="8"/>
        <rFont val="Verdana"/>
        <family val="2"/>
      </rPr>
      <t xml:space="preserve">2015 </t>
    </r>
  </si>
  <si>
    <t xml:space="preserve">TABLA 10.33: NÚMERO DE ACERVOS CULTURALES REGISTRADOS EN EL SISTEMA DE INFORMACIÓN PARA LA GESTIÓN PATRIMONIAL (SIGPA), SEGÚN REGIÓN Y TIPO DE ACERVO. 2011-2015 </t>
  </si>
  <si>
    <t xml:space="preserve">TABLA 10.34: NÚMERO Y TIPO DE REGISTROS EN EL SISTEMA DE INFORMACIÓN PARA LA GESTIÓN PATRIMONIAL (SIGPA), SEGÚN ADSCRIPCIÓN A ÁMBITO DEL PATRIMONIO CULTURAL INMATERIAL Y TIPO DE ACERVO. 2011-2015 </t>
  </si>
  <si>
    <t>TABLA 10.58: CANTIDAD DE DENUNCIAS EN LA POLICÍA DE INVESTIGACIONES DE CHILE (PDI) POR EL DELITO DE LA LEY DE TRÁFICO ILÍCITO DE BIENES CULTURALES, SEGÚN REGIÓN POLICIAL. 2015</t>
  </si>
  <si>
    <t>TABLA 10.59: CANTIDAD DE DENUNCIAS EN LA POLICÍA DE INVESTIGACIONES DE CHILE (PDI) POR LOS DELITOS DE LA LEY DE TRÁFICO ILÍCITO DE BIENES CULTURALES, SEGÚN BIEN AFECTADO. 2015</t>
  </si>
  <si>
    <t>TABLA 10.60: CANTIDAD DE DENUNCIAS EN LA POLICÍA DE INVESTIGACIONES DE CHILE (PDI) POR DELITOS DE LA LEY DE TRÁFICO ILÍCITO DE BIENES CULTURALES, SEGÚN REGIÓN POLICIAL Y COMUNA DEL DELITO. 2015</t>
  </si>
  <si>
    <t>TABLA 10.61: NÚMERO DE DELITOS INVESTIGADOS POR LA POLICÍA DE INVESTIGACIONES DE CHILE (PDI) RELACIONADOS CON LA LEY DE TRÁFICO ILÍCITO DE BIENES CULTURALES, SEGÚN REGIÓN POLICIAL EN QUE SE HIZO LA DENUNCIA Y COMUNA DE OCURRENCIA DEL DELITO. 2015</t>
  </si>
  <si>
    <t>TABLA 10.65: NÚMERO DE DETENIDOS POR LA POLICÍA DE INVESTIGACIONES DE CHILE (PDI) RELACIONADOS CON LA LEY DE TRÁFICO ILÍCITO DE BIENES CULTURALES POR DELITO, SEGÚN REGIÓN POLICIAL Y NACIONALIDAD. 2015</t>
  </si>
  <si>
    <t>TABLA 15.46: NÚMERO DE VISITAS, SOCIOS, MATERIAL BIBLIOGRÁFICO, PRÉSTAMOS A BIBLIOTECAS VIVAS SEGÚN BIBLIOTECA. 2011-2015</t>
  </si>
  <si>
    <t>TABLA 15.45: NÚMERO DE VISITAS, SOCIOS, MATERIAL BIBLIOGRÁFICO, PRÉSTAMOS Y ASISTENTES A ACTIVIDADES DE EXTENSIÓN, SEGÚN ZONA. 2015</t>
  </si>
  <si>
    <t>TABLA 15.47: NÚMERO Y PORCENTAJE DE NUEVOS INSCRITOS EN BIBLIOTECA VIVA, SEGÚN SEXO Y GRUPOS DE EDAD. 2014-2015</t>
  </si>
  <si>
    <t>TABLA 15.48: NÚMERO DE BIBLIOTECAS CREADAS Y LIBROS DONADOS, SEGÚN PROYECTOS DE FUNDACIÓN LA FUENTE. 2011-2015</t>
  </si>
  <si>
    <t>TABLA 14.2: NÚMERO Y PORCENTAJE DE AUTORES ASOCIADOS A LA SOCIEDAD CHILENA DEL DERECHO DE AUTOR (SCD), POR SEXO, SEGÚN REGIÓN. 2015</t>
  </si>
  <si>
    <t>TABLA 26.10: NÚMERO DE DETENIDOS POR LA POLICÍA DE INVESTIGACIONES DE CHILE (PDI) POR INFRACCIONES A LA LEY DE PROPIEDAD INTELECTUAL (N° 17.336) POR DELITO, SEGÚN REGIÓN POLICIAL Y NACIONALIDAD. 2015</t>
  </si>
  <si>
    <t>TABLA 10.1</t>
  </si>
  <si>
    <t xml:space="preserve"> NÚMERO DE PROYECTOS PRESENTADOS Y FINANCIADOS A TRAVÉS DEL FONDO DE APOYO A LA INVESTIGACIÓN PATRIMONIAL (FAIP), SEGÚN REGIÓN. 2011-2015</t>
  </si>
  <si>
    <t>TABLA 10.2</t>
  </si>
  <si>
    <t xml:space="preserve"> NÚMERO DE PUBLICACIONES DE LA DIRECCIÓN DE BIBLIOTECAS, ARCHIVOS Y MUSEOS (DIBAM), SEGÚN UNIDAD DE ORIGEN Y TIPO DE PUBLICACIÓN. 2011-2015</t>
  </si>
  <si>
    <t>TABLA 10.3</t>
  </si>
  <si>
    <t xml:space="preserve"> NÚMERO DE ARCHIVOS PÚBLICOS DE LA DIRECCIÓN DE BIBLIOTECAS, ARCHIVOS Y MUSEOS (DIBAM), SEGÚN REGIÓN. 2011-2015</t>
  </si>
  <si>
    <t>TABLA 10.4</t>
  </si>
  <si>
    <t xml:space="preserve"> NÚMERO DE DOCUMENTOS CONTENIDOS EN LOS ARCHIVOS PÚBLICOS DE LA DIRECCIÓN DE BIBLIOTECAS, ARCHIVOS Y MUSEOS (DIBAM), SEGÚN REGIÓN. 2015</t>
  </si>
  <si>
    <t>TABLA 10.5</t>
  </si>
  <si>
    <t xml:space="preserve"> NÚMERO TOTAL DE USUARIOS PRESENCIALES Y REMOTOS DE ARCHIVOS PÚBLICOS DE LA DIRECCIÓN DE BIBLIOTECAS, ARCHIVOS Y MUSEOS (DIBAM). 2011-2015</t>
  </si>
  <si>
    <t>TABLA 10.6</t>
  </si>
  <si>
    <t xml:space="preserve"> NÚMERO DE USUARIOS PRESENCIALES DE ARCHIVOS PÚBLICOS DE LA DIRECCIÓN DE BIBLIOTECAS, ARCHIVOS Y MUSEOS (DIBAM), SEGÚN REGIÓN. 2011-2015</t>
  </si>
  <si>
    <t>TABLA 10.7</t>
  </si>
  <si>
    <t xml:space="preserve"> DATOS DEL CENTRO NACIONAL DE CONSERVACIÓN Y RESTAURACIÓN DE LA DIRECCIÓN DE BIBLIOTECAS, ARCHIVOS Y MUSEOS (DIBAM). 2011-2015</t>
  </si>
  <si>
    <t>TABLA 10.8</t>
  </si>
  <si>
    <t xml:space="preserve"> OTROS DATOS DE LOS MUSEOS DE LA DIRECCIÓN DE BIBLIOTECAS, ARCHIVOS Y MUSEOS (DIBAM). 2015</t>
  </si>
  <si>
    <t>TABLA 10.9</t>
  </si>
  <si>
    <t xml:space="preserve"> NÚMERO DE MUSEOS DE LA DIRECCIÓN DE BIBLIOTECAS, ARCHIVOS Y MUSEOS (DIBAM), SEGÚN REGIÓN. 2011-2015</t>
  </si>
  <si>
    <t>TABLA 10.10</t>
  </si>
  <si>
    <t xml:space="preserve"> PERSONAL DE MUSEOS DE LA DIRECCIÓN DE BIBLIOTECAS, ARCHIVOS Y MUSEOS (DIBAM), SEGÚN CATEGORÍA OCUPACIONAL. 2015</t>
  </si>
  <si>
    <t>TABLA 10.11</t>
  </si>
  <si>
    <t xml:space="preserve"> NÚMERO DE MUSEOS DE LA DIRECCIÓN DE BIBLIOTECAS, ARCHIVOS Y MUSEOS (DIBAM), SEGÚN TIPO DE COLECCIÓN. 2011-2015</t>
  </si>
  <si>
    <t>TABLA 10.12</t>
  </si>
  <si>
    <t xml:space="preserve"> NÚMERO DE AUTORIZACIONES DE SALIDA DEL TERRITORIO NACIONAL ENTREGADAS POR EL MUSEO NACIONAL DE BELLAS ARTES DE OBRAS DE ARTE (LEY 17.236),  SEGÚN CONTINENTE DE DESTINO. 2015</t>
  </si>
  <si>
    <t>TABLA 10.13</t>
  </si>
  <si>
    <t xml:space="preserve"> NÚMERO DE EXPOSICIONES POR MUSEO DE LA DIRECCIÓN DE BIBLIOTECAS, ARCHIVOS Y MUSEOS (DIBAM) , SEGÚN TIPO DE EXPOSICIÓN Y NACIONALIDAD. 2015</t>
  </si>
  <si>
    <t>TABLA 10.14</t>
  </si>
  <si>
    <t xml:space="preserve"> NÚMERO DE PIEZAS RESTAURADAS, POR MUSEO DE LA DIRECCIÓN DE BIBLIOTECAS, ARCHIVOS Y MUSEOS (DIBAM)POR TIPO DE MUSEO (NACIONAL Y REGIONAL), SEGÚN TIPO DE PIEZA. 2015</t>
  </si>
  <si>
    <t>TABLA 10.15</t>
  </si>
  <si>
    <t xml:space="preserve"> NÚMERO DE PIEZAS RESTAURADAS POR MUSEOS DE LA SUBDIRECCIÓN DE MUSEOS DE LA DIRECCIÓN DE BIBLIOTECAS, ARCHIVOS Y MUSEOS (DIBAM), SEGÚN TIPO DE PIEZA. 2011-2015</t>
  </si>
  <si>
    <t>TABLA 10.16</t>
  </si>
  <si>
    <t xml:space="preserve"> NÚMERO DE PIEZAS RESTAURADAS EN LOS MUSEOS DE LA SUBDIRECCIÓN DE MUSEOS DE LA DIRECCIÓN DE BIBLIOTECAS, ARCHIVOS Y MUSEOS (DIBAM), POR TIPO DE PIEZA, SEGÚN REGIÓN. 2015</t>
  </si>
  <si>
    <t>TABLA 10.17</t>
  </si>
  <si>
    <t xml:space="preserve"> NÚMERO DE VISITANTES DE MUSEOS DE LA DIRECCIÓN DE BIBLIOTECAS, ARCHIVOS Y MUSEOS (DIBAM), SEGÚN TIPO DE ENTRADA. 2015</t>
  </si>
  <si>
    <t>TABLA 10.18</t>
  </si>
  <si>
    <t xml:space="preserve"> NÚMERO DE USUARIOS DE LOS MUSEOS DE LA DIRECCIÓN DE BIBLIOTECAS, ARCHIVOS Y MUSEOS (DIBAM), SEGÚN GRUPOS DE EDAD. 2015</t>
  </si>
  <si>
    <t>TABLA 10.19</t>
  </si>
  <si>
    <t xml:space="preserve"> NÚMERO DE AUTORIZACIONES DE SALIDA DE MONUMENTOS DEL TERRITORIO NACIONAL, SEGÚN TIPO DE MONUMENTO. 2011-2015</t>
  </si>
  <si>
    <t>TABLA 10.20</t>
  </si>
  <si>
    <t xml:space="preserve"> NÚMERO DE AUTORIZACIONES DE SALIDA DE MONUMENTOS, SEGÚN DESTINO. 2011-2015</t>
  </si>
  <si>
    <t>TABLA 10.21</t>
  </si>
  <si>
    <t xml:space="preserve"> NÚMERO DE AUTORIZACIONES POR DESTINO, SEGÚN TIPO DE MONUMENTO. 2015</t>
  </si>
  <si>
    <t>TABLA 10.22</t>
  </si>
  <si>
    <t xml:space="preserve"> NÚMERO DE SOLICITUDES DE DECLARACIÓN DE MONUMENTOS NACIONALES RECIBIDAS, SEGÚN TIPO DE MONUMENTO Y REGIÓN. 2015</t>
  </si>
  <si>
    <t>TABLA 10.23</t>
  </si>
  <si>
    <t xml:space="preserve"> NÚMERO DE MONUMENTOS NACIONALES DECLARADOS POR DECRETO, SEGÚN TIPO DE MONUMENTO Y REGIÓN. 2015</t>
  </si>
  <si>
    <t>TABLA 10.24</t>
  </si>
  <si>
    <t xml:space="preserve"> NÚMERO DE MONUMENTOS NACIONALES DECLARADOS POR DECRETO, SEGÚN TIPO DE MONUMENTO Y REGIÓN (HISTORICO, DESDE 1925). 2015</t>
  </si>
  <si>
    <t>TABLA 10.25</t>
  </si>
  <si>
    <t xml:space="preserve"> NÓMINA DE MONUMENTOS NACIONALES DECLARADOS, SEGÚN REGIÓN Y MONUMENTO. 2015</t>
  </si>
  <si>
    <t>TABLA 10.26</t>
  </si>
  <si>
    <t xml:space="preserve"> MATERIAL AUDIOVISUAL GENERADO POR EL CONSEJO NACIONAL DE LA CULTURA Y LAS ARTES (CNCA), SEGÚN PROGRAMA O PROYECTO Y TIPO DE MATERIAL. 2011-2015/1</t>
  </si>
  <si>
    <t>TABLA 10.27</t>
  </si>
  <si>
    <t xml:space="preserve"> NÚMERO DE PUBLICACIONES Y AUDIOS GENERADOS POR EL CONSEJO NACIONAL DE LA CULTURA Y LAS ARTES (CNCA), SEGÚN TIPO DE PRODUCTO. 2011-2015 </t>
  </si>
  <si>
    <t>TABLA 10.28</t>
  </si>
  <si>
    <t xml:space="preserve"> NÚMERO DE POSTULACIONES A TESORO HUMANO VIVO (THV), SEGÚN ÁMBITO DEL PATRIMONIO CULTURAL INMATERIAL Y RESULTADO DE POSTULACIÓN. 2014-2015 </t>
  </si>
  <si>
    <t>TABLA 10.29</t>
  </si>
  <si>
    <t xml:space="preserve"> NÚMERO DE POSTULANTES RECONOCIDOS COMO "TESORO HUMANO VIVO" (THV)  Y "DESTACADOS", POR REGIÓN, SEGÚN TIPO DE POSTULACIÓN. 2014-2015/1</t>
  </si>
  <si>
    <t>TABLA 10.30</t>
  </si>
  <si>
    <t xml:space="preserve"> ADSCRIPCIONES A ÁMBITOS DEL PATRIMONIO CULTURAL INMATERIAL ASOCIADAS A LAS POSTULACIONES DE TESORO HUMANO VIVO POR TIPO DE POSTULACIÓN, SEGÚN TIPO DE POSTULANTE . 2014 - 2015 </t>
  </si>
  <si>
    <t>TABLA 10.31</t>
  </si>
  <si>
    <t xml:space="preserve"> NÚMERO DE EXPEDIENTES DE POSTULACIÓN AL INVENTARIO DEL PATRIMONIO CULTURAL INMATERIAL EN CHILE RECIBIDOS POR EL CONSEJO NACIONAL DE LA CULTURA Y LAS ARTES (CNCA) POR ÁMBITO DE PATRIMONIO INMATERIAL, SEGÚN Y REGIÓN Y NOMBRE DEL EXPEDIENTE. 2015 </t>
  </si>
  <si>
    <t>TABLA 10.32</t>
  </si>
  <si>
    <t xml:space="preserve"> EXPRESIONES IDENTIFICADAS POR EL INVENTARIO PRIORIZADO DEL PATRIMONIO CULTURAL INMATERIAL EN CHILE, SEGÚN ADSCRIPCIÓN A ÁMBITO DEL PATRIMONIO INMATERIAL. 2015 </t>
  </si>
  <si>
    <t>TABLA 10.33</t>
  </si>
  <si>
    <t xml:space="preserve"> NÚMERO DE ACERVOS CULTURALES REGISTRADOS EN EL SISTEMA DE INFORMACIÓN PARA LA GESTIÓN PATRIMONIAL (SIGPA), SEGÚN REGIÓN Y TIPO DE ACERVO. 2011-2015 </t>
  </si>
  <si>
    <t>TABLA 10.34</t>
  </si>
  <si>
    <t xml:space="preserve"> NÚMERO Y TIPO DE REGISTROS EN EL SISTEMA DE INFORMACIÓN PARA LA GESTIÓN PATRIMONIAL (SIGPA), SEGÚN ADSCRIPCIÓN A ÁMBITO DEL PATRIMONIO CULTURAL INMATERIAL Y TIPO DE ACERVO. 2011-2015 </t>
  </si>
  <si>
    <t>TABLA 10.35</t>
  </si>
  <si>
    <t xml:space="preserve"> NÚMERO DE INMUEBLES Y ACTIVIDADES REALIZADAS EN EL DÍA DEL PATRIMONIO CULTURAL EN EL PAÍS. 2015 /1</t>
  </si>
  <si>
    <t>TABLA 10.36</t>
  </si>
  <si>
    <t xml:space="preserve"> NÚMERO DE VISITAS EN EL DÍA DEL PATRIMONIO CULTURAL EN LA REGIÓN METROPOLITANA Y OTRAS REGIONES DEL PAÍS. 2015/1</t>
  </si>
  <si>
    <t>TABLA 10.37</t>
  </si>
  <si>
    <t xml:space="preserve"> NÚMERO DE BENEFICIARIOS DE PROGRAMA DE EDUCACIÓN AMBIENTAL (EDAM) DENTRO Y FUERA DE LAS ÁREAS SILVESTRES PROTEGIDAS (ASP), SEGÚN REGIÓN. 2012-2015</t>
  </si>
  <si>
    <t>TABLA 10.38</t>
  </si>
  <si>
    <t xml:space="preserve"> NÚMERO DE SANTUARIOS DE LA NATURALEZA DECLARADOS POR DECRETO, SEGÚN REGIÓN. 2015</t>
  </si>
  <si>
    <t>TABLA 10.39</t>
  </si>
  <si>
    <t xml:space="preserve"> NÚMERO DE SANTUARIOS DE LA NATURALEZA DECLARADOS POR DECRETO (HISTORICO, DESDE 1925), SEGÚN REGIÓN. 2015</t>
  </si>
  <si>
    <t>TABLA 10.40</t>
  </si>
  <si>
    <t xml:space="preserve"> NÓMINA DE SANTUARIOS DE LA NATURALEZA DECLARADOS, SEGÚN REGIÓN. 2015/1</t>
  </si>
  <si>
    <t>TABLA 10.41</t>
  </si>
  <si>
    <t xml:space="preserve"> DISTRIBUCIÓN NACIONAL Y SUPERFICIE (EN HECTÁREAS) DEL SISTEMA NACIONAL DE ÁREAS SILVESTRES PROTEGIDAS DEL ESTADO (SNASPE). 2015</t>
  </si>
  <si>
    <t>TABLA 10.42</t>
  </si>
  <si>
    <t xml:space="preserve"> NÓMINA Y SUPERFICIE (HÁ) DE LOS PARQUES NACIONALES SEGÚN REGIÓN. 2015</t>
  </si>
  <si>
    <t>TABLA 10.43</t>
  </si>
  <si>
    <t xml:space="preserve"> NÓMINA Y SUPERFICIE (HÁ) DE LAS RESERVAS NACIONALES SEGÚN REGIÓN. 2015</t>
  </si>
  <si>
    <t>TABLA 10.44</t>
  </si>
  <si>
    <t xml:space="preserve"> NÓMINA Y SUPERFICIE (HÁ) DE MONUMENTOS NATURALES SEGÚN REGIÓN. 2015</t>
  </si>
  <si>
    <t>TABLA 10.45</t>
  </si>
  <si>
    <t xml:space="preserve"> NÚMERO Y PORCENTAJE DE SUPERFICIE (EN HECTÁREAS) DE RESERVAS DE LA BIÓSFERA PRESENTES EN CHILE POR PERTENENCIA O NO PERTENENCIA A LAS ÁREAS SILVESTRES PROTEGIDAS (ASP), SEGÚN TIPO DE RESERVA DE LA BIÓSFERA. 2015</t>
  </si>
  <si>
    <t>TABLA 10.46</t>
  </si>
  <si>
    <t xml:space="preserve"> ANTECEDENTES GENERALES DE LAS RESERVAS DE LA BIÓSFERA PRESENTES EN CHILE POR AÑO DE CREACIÓN, FECHA DE MODIFICACIÓN Y SUPERFICIE (EN HECTÁREAS), SEGÚN REGIÓN. 2015</t>
  </si>
  <si>
    <t>TABLA 10.47</t>
  </si>
  <si>
    <t xml:space="preserve"> ANTECEDENTES GENERALES DE LOS SITIOS DE LA CONVENCIÓN RAMSAR PRESENTES EN CHILE, POR PERTENENCIA O NO PERTENENCIA A LAS ÁREAS SILVESTRES PROTEGIDAS (ASP), POR AÑO DE CREACIÓN Y SUPERFICIE (EN HECTÁREAS), SEGÚN REGIÓN. 2015</t>
  </si>
  <si>
    <t>TABLA 10.48</t>
  </si>
  <si>
    <t xml:space="preserve"> ESPECIES PRIORITARIAS EN FLORA, SUJETAS AL PLAN NACIONAL DE CONSERVACIÓN (PNC) POR AÑO DE ELABORACIÓN Y ESTADO DE CONSERVACIÓN, SEGÚN REGIÓN DE SECRETARÍA TÉCNICA. 2015/1</t>
  </si>
  <si>
    <t>TABLA 10.49</t>
  </si>
  <si>
    <t xml:space="preserve"> ESPECIES PRIORITARIAS EN FAUNA, SUJETAS AL PLAN NACIONAL DE CONSERVACIÓN (PNC) POR AÑO DE ELABORACIÓN Y ESTADO DE CONSERVACIÓN, SEGÚN REGIÓN DE SECRETARÍA TÉCNICA. 2015/1</t>
  </si>
  <si>
    <t>TABLA 10.50</t>
  </si>
  <si>
    <t xml:space="preserve"> RECURSOS CULTURALES SEGÚN LAS ÁREAS SILVESTRES PROTEGIDAS (ASP). 2015</t>
  </si>
  <si>
    <t>TABLA 10.51</t>
  </si>
  <si>
    <t xml:space="preserve"> VISITANTES TOTALES SEGÚN REGIÓN Y UNIDAD DEL SISTEMA NACIONAL DE ÁREAS SILVESTRES PROTEGIDAS DEL ESTADO (SNASPE). 2011-2015</t>
  </si>
  <si>
    <t>TABLA 10.52</t>
  </si>
  <si>
    <t xml:space="preserve"> NÚMERO DE VISITANTES A UNIDADES DEL SISTEMA NACIONAL DE ÁREAS SILVESTRES PROTEGIDAS DEL ESTADO (SNASPE) POR AÑO Y NACIONALIDAD (CHILENA Y EXTRANJERA), SEGÚN REGIÓN Y UNIDAD DEL SNASPE. 2011-2015</t>
  </si>
  <si>
    <t>TABLA 10.53</t>
  </si>
  <si>
    <t xml:space="preserve"> NÚMERO DE VISITANTES A UNIDADES DEL SISTEMA NACIONAL DE ÁREAS SILVESTRES PROTEGIDAS DEL ESTADO (SNASPE) POR AÑO Y SEXO, SEGÚN REGIÓN Y UNIDAD DEL SNASPE. 2011-2015</t>
  </si>
  <si>
    <t>TABLA 10.54</t>
  </si>
  <si>
    <t xml:space="preserve"> NÚMERO DE VISITANTES A UNIDADES DEL SISTEMA NACIONAL DE ÁREAS PROTEGIDAS DEL ESTADO (SNASPE) POR AÑO Y TRAMO DE EDAD, SEGÚN REGIÓN Y UNIDAD DEL SNASPE. 2011-2015</t>
  </si>
  <si>
    <t>TABLA 10.55</t>
  </si>
  <si>
    <t xml:space="preserve"> NÚMERO DE VISITANTES EN SITUACIÓN DE DISCAPACIDAD A UNIDADES DEL SISTEMA NACIONAL DE ÁREAS SILVESTRES PROTEGIDAS DEL ESTADO (SNASPE) POR AÑO, SEGÚN REGIÓN Y UNIDAD DEL SNASPE. 2011-2015</t>
  </si>
  <si>
    <t>TABLA 10.56</t>
  </si>
  <si>
    <t xml:space="preserve"> NÚMERO DE DENUNCIAS SIN APREHENDIDOS Y CON APREHENDIDOS, Y NÚMERO DE APREHENDIDOS, POR "DAÑOS O APROPIACIÓN SOBRE MONUMENTOS NACIONALES (Art. 38-38 bis Ley 17.288)", SEGÚN REGIÓN. 2015</t>
  </si>
  <si>
    <t>TABLA 10.57</t>
  </si>
  <si>
    <t xml:space="preserve"> NÚMERO DE APREHENDIDOS POR "DAÑOS O APROPIACIÓN SOBRE MONUMENTOS NACIONALES", POR SEXO Y GRUPOS DE EDAD, SEGÚN REGIÓN. 2015</t>
  </si>
  <si>
    <t>TABLA 10.58</t>
  </si>
  <si>
    <t xml:space="preserve"> CANTIDAD DE DENUNCIAS EN LA POLICÍA DE INVESTIGACIONES DE CHILE (PDI) POR EL DELITO DE LA LEY DE TRÁFICO ILÍCITO DE BIENES CULTURALES, SEGÚN REGIÓN POLICIAL. 2015</t>
  </si>
  <si>
    <t>TABLA 10.59</t>
  </si>
  <si>
    <t xml:space="preserve"> CANTIDAD DE DENUNCIAS EN LA POLICÍA DE INVESTIGACIONES DE CHILE (PDI) POR LOS DELITOS DE LA LEY DE TRÁFICO ILÍCITO DE BIENES CULTURALES, SEGÚN BIEN AFECTADO. 2015</t>
  </si>
  <si>
    <t>TABLA 10.60</t>
  </si>
  <si>
    <t xml:space="preserve"> CANTIDAD DE DENUNCIAS EN LA POLICÍA DE INVESTIGACIONES DE CHILE (PDI) POR DELITOS DE LA LEY DE TRÁFICO ILÍCITO DE BIENES CULTURALES, SEGÚN REGIÓN POLICIAL Y COMUNA DEL DELITO. 2015</t>
  </si>
  <si>
    <t>TABLA 10.61</t>
  </si>
  <si>
    <t xml:space="preserve"> NÚMERO DE DELITOS INVESTIGADOS POR LA POLICÍA DE INVESTIGACIONES DE CHILE (PDI) RELACIONADOS CON LA LEY DE TRÁFICO ILÍCITO DE BIENES CULTURALES, SEGÚN REGIÓN POLICIAL EN QUE SE HIZO LA DENUNCIA Y COMUNA DE OCURRENCIA DEL DELITO. 2015</t>
  </si>
  <si>
    <t>TABLA 10.62</t>
  </si>
  <si>
    <t xml:space="preserve"> NÚMERO DE DELITOS INVESTIGADOS POR LA POLICÍA DE INVESTIGACIONES DE CHILE (PDI) RELACIONADOS CON LA LEY DE TRÁFICO ILÍCITO DE BIENES CULTURALES, SEGÚN REGIÓN POLICIAL Y BIEN AFECTADO. 2015</t>
  </si>
  <si>
    <t>TABLA 10.63</t>
  </si>
  <si>
    <t xml:space="preserve"> NÚMERO DE DETENIDOS POR LA POLICÍA DE INVESTIGACIONES DE CHILE (PDI) RELACIONADOS CON LA LEY DE TRÁFICO ILÍCITO DE BIENES CULTURALES POR DELITO Y SEXO, SEGÚN REGIÓN POLICIAL. 2015</t>
  </si>
  <si>
    <t>TABLA 10.64</t>
  </si>
  <si>
    <t xml:space="preserve"> NÚMERO DE DETENIDOS POR LA POLICÍA DE INVESTIGACIONES DE CHILE (PDI) RELACIONADOS CON LA LEY DE TRÁFICO ILÍCITO DE BIENES CULTURALES POR GRUPO DE EDAD, SEGÚN REGIÓN POLICIAL. 2015</t>
  </si>
  <si>
    <t>TABLA 10.65</t>
  </si>
  <si>
    <t xml:space="preserve"> NÚMERO DE DETENIDOS POR LA POLICÍA DE INVESTIGACIONES DE CHILE (PDI) RELACIONADOS CON LA LEY DE TRÁFICO ILÍCITO DE BIENES CULTURALES POR DELITO, SEGÚN REGIÓN POLICIAL Y NACIONALIDAD. 2015</t>
  </si>
  <si>
    <t>TABLA 10.66</t>
  </si>
  <si>
    <t xml:space="preserve"> CANTIDAD DE DETENIDOS POR LA POLICÍA DE INVESTIGACIONES DE CHILE (PDI) RELACIONADOS CON LA LEY DE TRÁFICO ILÍCITO DE BIENES CULTURALES, SEGÚN REGIÓN POLICIAL Y COMUNA DE RESIDENCIA DEL DETENIDO. 2015</t>
  </si>
  <si>
    <t>TABLA 10.67</t>
  </si>
  <si>
    <t xml:space="preserve"> NÚMERO DE PERSONAS DETENIDAS POR LA LEY N° 17.288, QUE LEGISLA SOBRE MONUMENTOS NACIONALES, Y NÚMERO DE INCAUTACIONES, SEGÚN REGIÓN POLICIAL. 2015</t>
  </si>
  <si>
    <t xml:space="preserve"> NÚMERO DE PIEZAS PATRIMONIALES INCAUTADAS SEGÚN LA LEY N° 17.288, QUE LEGISLA SOBRE MONUMENTOS NACIONALES, SEGÚN ADUANA Y AVANZADA. 2015</t>
  </si>
  <si>
    <t>TABLA 10.69</t>
  </si>
  <si>
    <t xml:space="preserve"> NÓMINA DE PIEZAS PATRIMONIALES INCAUTADAS SEGÚN LA LEY N° 17.288, QUE LEGISLA SOBRE MONUMENTOS NACIONALES, SEGÚN AVANZADA. 2015</t>
  </si>
  <si>
    <t>TABLA 10.70</t>
  </si>
  <si>
    <t xml:space="preserve"> NÚMERO DE PIEZAS INCAUTADAS EN EL MARCO DE LA CONVENCIÓN SOBRE EL COMERCIO INTERNACIONAL DE ESPECIES AMENAZADAS DE FAUNA Y FLORA SILVESTRE (CITES), SEGÚN ADUANAS Y AVANZADA. 2015</t>
  </si>
  <si>
    <t>TABLA 10.71</t>
  </si>
  <si>
    <t xml:space="preserve"> NÓMINA DE PIEZAS INCAUTADAS EN EL MARCO DE LA CONVENCIÓN SOBRE EL COMERCIO INTERNACIONAL DE ESPECIES AMENAZADAS DE FAUNA Y FLORA SILVESTRE (CITES), SEGÚN ADUANA Y ESPECIES. 2014</t>
  </si>
  <si>
    <t>TABLA 10.72</t>
  </si>
  <si>
    <t xml:space="preserve"> CAUSAS INGRESADAS Y TERMINADAS EN JUZGADOS DE GARANTÍA Y DE LETRAS Y GARANTÍA POR INFRACCIÓN A LA LEY N° 17.288, QUE LEGISLA SOBRE MONUMENTOS NACIONALES, SEGÚN CORTE DE APELACIÓN. 2015</t>
  </si>
  <si>
    <t>TABLA 10.73</t>
  </si>
  <si>
    <t xml:space="preserve"> IMPUTADOS POR INFRACCIÓN A LA LEY N° 17.288, QUE LEGISLA SOBRE MONUMENTOS NACIONALES, Y NORMAS RELACIONADAS, SEGÚN CORTE DE APELACIÓN. 2015</t>
  </si>
  <si>
    <t>TABLA 10.74</t>
  </si>
  <si>
    <t xml:space="preserve"> DELITOS INGRESADOS AL MINISTERIO PÚBLICO EN RELACIÓN CON LA LEY N° 17.288, QUE LEGISLA SOBRE MONUMENTOS NACIONALES, SEGÚN REGIÓN DE FISCALÍA. 2011-2015</t>
  </si>
  <si>
    <t>TABLA 10.75</t>
  </si>
  <si>
    <t xml:space="preserve"> DELITOS TERMINADOS EN EL MINISTERIO PÚBLICO EN RELACIÓN CON LA LEY N° 17.288, QUE LEGISLA SOBRE MONUMENTOS NACIONALES, SEGÚN REGIÓN DE FISCALÍA. 2011-2015</t>
  </si>
  <si>
    <t>TABLA 10.76</t>
  </si>
  <si>
    <t xml:space="preserve"> SENTENCIAS DEFINITIVAS CONDENATORIAS EN RELACIÓN A LA LEY N° 17.288, QUE LEGISLA SOBRE MONUMENTOS NACIONALES, SEGÚN REGIÓN DE FISCALÍA. 2011-2015</t>
  </si>
  <si>
    <t>TABLA 11.1</t>
  </si>
  <si>
    <t xml:space="preserve"> NÚMERO DE ARTESANOS INSCRITOS EN SISTEMAS DE REGISTROS, SEGÚN INSTITUCIÓN Y REGIÓN. 2015</t>
  </si>
  <si>
    <t>TABLA 11.2</t>
  </si>
  <si>
    <t xml:space="preserve"> NÚMERO DE ARTESANOS INSCRITOS EN EL SISTEMA DE INFORMACIÓN NACIONAL DE ARTESANÍA DEL CONSEJO NACIONAL DE LA CULTURA Y LAS ARTES (CNCA) POR PUEBLO ORIGINARIO, SEGÚN REGIÓN. 2015</t>
  </si>
  <si>
    <t>TABLA 11.3</t>
  </si>
  <si>
    <t xml:space="preserve"> NÚMERO DE ARTESANOS POR DISCIPLINA, SEGÚN REGIÓN. 2015</t>
  </si>
  <si>
    <t>TABLA 11.4</t>
  </si>
  <si>
    <t xml:space="preserve"> DISTRIBUCIÓN REGIONAL DE OBJETOS DE ARTESANÍA CON SELLO DE EXCELENCIA DEL CONSEJO NACIONAL DE LA CULTURA Y LAS ARTES (CNCA) Y RECONOCIMIENTO UNESCO. 2008-2015/1</t>
  </si>
  <si>
    <t>TABLA 11.5</t>
  </si>
  <si>
    <t xml:space="preserve"> NÓMINA DE PRODUCTOS ARTESANALES CON SELLO DE EXCELENCIA DEL CONSEJO NACIONAL DE LA CULTURA Y LAS ARTES (CNCA) Y CON RECONOCIMIENTO UNESCO POR DISCIPLINA, REGIÓN Y COMUNA. 2015/1</t>
  </si>
  <si>
    <t>TABLA 12.1</t>
  </si>
  <si>
    <t xml:space="preserve"> NÚMERO DE AUTORES ASOCIADOS A LA SOCIEDAD DE CREADORES DE IMAGEN FIJA (CREAIMAGEN) POR SEXO, SEGÚN REGIÓN. 2015</t>
  </si>
  <si>
    <t>TABLA 12.2</t>
  </si>
  <si>
    <t xml:space="preserve"> NÚMERO DE SOCIOS INCORPORADOS A LA SOCIEDAD DE CREADORES DE IMAGEN FIJA (CREAIMAGEN) POR SEXO, SEGÚN REGIÓN. 2015</t>
  </si>
  <si>
    <t>TABLA 12.3</t>
  </si>
  <si>
    <t xml:space="preserve"> NÚMERO DE AUTORES AFILIADOS A LA SOCIEDAD DE CREADORES DE IMAGEN FIJA (CREAIMAGEN) QUE GENERARON DERECHOS EN CHILE Y EN EL EXTRANJERO. 2011-2015</t>
  </si>
  <si>
    <t>TABLA 12.4</t>
  </si>
  <si>
    <t xml:space="preserve"> NÚMERO DE AUTORIZACIONES REGISTRADAS POR LA SOCIEDAD DE CREADORES DE IMAGEN FIJA (CREAIMAGEN) SOBRE USO DE IMAGEN FIJA, CONCEDIDAS EN CHILE Y EN EL EXTRANJERO. 2011 - 2015</t>
  </si>
  <si>
    <t>TABLA 12.5</t>
  </si>
  <si>
    <t xml:space="preserve"> RECAUDACIÓN DE DERECHOS DE AUTOR POR LA SOCIEDAD DE CREADORES DE IMAGEN FIJA (CREAIMAGEN), SEGÚN ORIGEN DE LA OBRA Y DE LA RECAUDACIÓN (NACIONAL Y EXTRANJERA). 2011-2015</t>
  </si>
  <si>
    <t>TABLA 12.6</t>
  </si>
  <si>
    <t xml:space="preserve"> DISTRIBUCIÓN DE DERECHOS DE AUTOR POR LA SOCIEDAD DE CREADORES DE IMAGEN FIJA (CREAIMAGEN), SEGÚN ORIGEN DE LA OBRA Y DE LA RECAUDACIÓN (NACIONAL Y EXTRANJERA). 2011-2015</t>
  </si>
  <si>
    <t>TABLA 12.7</t>
  </si>
  <si>
    <t xml:space="preserve"> NÚMERO DE SOCIOS POR PROFESIÓN U OFICIO (REPORTEROS GRÁFICOS Y CAMARÓGRAFOS) ACTIVOS Y NO ACTIVOS, POR SEXO, SEGÚN REGIÓN. 2015/1</t>
  </si>
  <si>
    <t>TABLA 12.8</t>
  </si>
  <si>
    <t xml:space="preserve"> NÚMERO DE CONCURSOS, EXPOSICIONES Y DE VISITANTES A EXPOSICIONES, SEGÚN REGIÓN. 2011-2015 </t>
  </si>
  <si>
    <t>TABLA 13.1</t>
  </si>
  <si>
    <t xml:space="preserve"> NÚMERO DE ASOCIADOS AL SINDICATO DE ACTORES DE CHILE (SIDARTE) ACUMULADO A 2015 POR SEXO, SEGÚN REGIÓN. 2011-2015/R</t>
  </si>
  <si>
    <t>TABLA 13.2</t>
  </si>
  <si>
    <t xml:space="preserve"> NÚMERO DE ASOCIADOS AL SINDICATO DE ACTORES DE CHILE (SIDARTE) EGRESADOS DE LAS CARRERAS DE TEATRO ACUMULADO A 2015 POR SEXO, SEGÚN REGIÓN. 2011-2015/R</t>
  </si>
  <si>
    <t>TABLA 13.3</t>
  </si>
  <si>
    <t xml:space="preserve"> NÚMERO DE ASOCIADOS  AL SINDICATO DE ACTORES DE CHILE (SIDARTE) TITULADOS DE LAS CARRERAS DE TEATRO ACUMULADO A 2015 POR SEXO, SEGÚN REGIÓN. 2011-2015/R</t>
  </si>
  <si>
    <t>TABLA 13.4</t>
  </si>
  <si>
    <t xml:space="preserve"> NÚMERO DE ACTORES ASOCIADOS A LA CORPORACIÓN DE ACTORES DE CHILE (CHILEACTORES) AL 31 DE DICIEMBRE DE CADA AÑO. 2011-2015</t>
  </si>
  <si>
    <t>TABLA 13.5</t>
  </si>
  <si>
    <t xml:space="preserve"> NÚMERO DE SOCIOS DE LA ASOCIACIÓN DE AUTORES NACIONALES DE TEATRO, CINE Y AUDIOVISUALES (ATN), POR SEXO. 2011-2015</t>
  </si>
  <si>
    <t>TABLA 13.6</t>
  </si>
  <si>
    <t xml:space="preserve"> NÚMERO DE ASOCIADOS  AL SINDICATO DE ACTORES DE CHILE (SIDARTE) ADSCRITOS A INSTITUCIONES DE SALUD PREVISIONAL/1 ACUMULADO A 2015 POR SEXO, SEGÚN REGIÓN. 2011-2015/R</t>
  </si>
  <si>
    <t>TABLA 13.7</t>
  </si>
  <si>
    <t xml:space="preserve"> NÚMERO DE ASOCIADOS  AL SINDICATO DE ACTORES DE CHILE (SIDARTE) ADSCRITOS A LAS ADMINISTRADORAS DE FONDOS DE PENSIONES (AFP) ACUMULADO A 2015 POR SEXO, SEGÚN REGIÓN. 2011-2015/R</t>
  </si>
  <si>
    <t>TABLA 13.8</t>
  </si>
  <si>
    <t xml:space="preserve"> NÚMERO DE ASOCIADOS AL SINDICATO DE ACTORES DE CHILE (SIDARTE) ADSCRITOS A INSTITUCIONES PREVISIONALES DE SALUD/1 Y AFP ACUMULADO A 2015 POR SEXO, SEGÚN REGIÓN. 2011-2015/R</t>
  </si>
  <si>
    <t>TABLA 13.9</t>
  </si>
  <si>
    <t xml:space="preserve"> NÚMERO DE AUTORES QUE GENERARON DERECHOS DE AUTOR POR LA SOCIEDAD DE AUTORES NACIONALES DE TEATRO, CINE Y AUDIOVISUALES (ATN), SEGÚN NACIONALIDAD DEL AUTOR. 2011-2015 /1</t>
  </si>
  <si>
    <t>TABLA 13.10</t>
  </si>
  <si>
    <t xml:space="preserve"> NÚMERO DE AUTORIZACIONES CONCEDIDAS EN CHILE Y EN EL EXTRANJERO POR LA SOCIEDAD DE AUTORES NACIONALES DE TEATRO, CINE Y AUDIOVISUALES (ATN), SEGÚN TIPO DE OBRA. 2011-2015</t>
  </si>
  <si>
    <t>TABLA 13.11</t>
  </si>
  <si>
    <t xml:space="preserve"> MONTO DE DERECHOS RECAUDADOS POR LA SOCIEDAD DE AUTORES NACIONALES DE TEATRO, CINE Y AUDIOVISUALES (ATN), SEGÚN ORIGEN DE LAS OBRA. 2011-2015</t>
  </si>
  <si>
    <t>TABLA 13.12</t>
  </si>
  <si>
    <t xml:space="preserve"> MONTO DE DERECHOS DISTRIBUIDOS POR LA SOCIEDAD DE AUTORES NACIONALES DE TEATRO, CINE Y AUDIOVISUALES (ATN), SEGÚN NACIONALIDAD DEL AUTOR. 2011-2015</t>
  </si>
  <si>
    <t>TABLA 13.13</t>
  </si>
  <si>
    <t xml:space="preserve"> NÚMERO DE FUNCIONES DE ESPECTÁCULOS DE ARTES ESCÉNICAS POR TIPO DE ESPECTÁCULO. 2011-2015/1</t>
  </si>
  <si>
    <t>TABLA 13.14</t>
  </si>
  <si>
    <t xml:space="preserve"> NÚMERO DE FUNCIONES DE ESPECTÁCULOS DE ARTES ESCÉNICAS POR TIPO DE ESPECTÁCULO, SEGÚN REGIÓN. 2015/1 </t>
  </si>
  <si>
    <t>TABLA 13.15</t>
  </si>
  <si>
    <t xml:space="preserve"> NÚMERO DE ASISTENTES A ESPECTÁCULOS DE ARTES ESCÉNICAS, PAGANDO ENTRADA POR TIPO DE ESPECTÁCULO, SEGÚN REGIÓN. 2015/1</t>
  </si>
  <si>
    <t>TABLA 13.16</t>
  </si>
  <si>
    <t xml:space="preserve"> NÚMERO DE ASISTENTES A ESPECTÁCULOS DE ARTES ESCÉNICAS CON ENTRADA GRATUITA, POR TIPO DE ESPECTÁCULO, SEGÚN REGIÓN. 2015/1</t>
  </si>
  <si>
    <t>TABLA 13.17</t>
  </si>
  <si>
    <t xml:space="preserve"> NÚMERO DE ASISTENTES A ESPECTÁCULOS DE ARTES ESCÉNICAS, ENTRADA GRATUITA Y PAGADA, POR TIPO DE ESPECTÁCULO, SEGÚN REGIÓN. 2015/1</t>
  </si>
  <si>
    <t>TABLA 13.18</t>
  </si>
  <si>
    <t xml:space="preserve"> NÚMERO DE ASISTENTES A ESPECTÁCULOS DE ARTES ESCÉNICAS, PAGANDO ENTRADA, POR TIPO DE ESPECTÁCULO. 2011-2015/1</t>
  </si>
  <si>
    <t>TABLA 13.19</t>
  </si>
  <si>
    <t xml:space="preserve"> NÚMERO DE ASISTENTES A ESPECTÁCULOS DE ARTES ESCÉNICAS CON ENTRADA GRATUITA, POR TIPO DE ESPECTÁCULO. 2011-2015/1</t>
  </si>
  <si>
    <t>TABLA 13.20</t>
  </si>
  <si>
    <t xml:space="preserve"> NÚMERO DE ASISTENTES A ESPECTÁCULOS DE ARTES ESCÉNICAS, ENTRADA GRATUITA Y PAGADA, POR TIPO DE ESPECTÁCULO. 2011-2015/1</t>
  </si>
  <si>
    <t>TABLA 13.21</t>
  </si>
  <si>
    <t xml:space="preserve"> NÚMERO DE ASISTENTES A ESPECTÁCULOS DE ARTES ESCÉNICAS CON ENTRADA GRATUITA Y PAGADA POR MES, SEGÚN REGIÓN. 2015/1</t>
  </si>
  <si>
    <t>TABLA 14.1</t>
  </si>
  <si>
    <t xml:space="preserve"> NÚMERO Y PORCENTAJE DE ASOCIADOS (PERSONAS NATURALES) A LA SOCIEDAD CHILENA DEL DERECHO DE AUTOR (SCD), SEGÚN REGIÓN. 2011 - 2015</t>
  </si>
  <si>
    <t>TABLA 14.2</t>
  </si>
  <si>
    <t xml:space="preserve"> NÚMERO Y PORCENTAJE DE AUTORES ASOCIADOS A LA SOCIEDAD CHILENA DEL DERECHO DE AUTOR (SCD), POR SEXO, SEGÚN REGIÓN. 2015</t>
  </si>
  <si>
    <t>TABLA 14.3</t>
  </si>
  <si>
    <t xml:space="preserve"> NÚMERO Y PORCENTAJE DE ASOCIADOS A LA SOCIEDAD CHILENA DEL DERECHO DE AUTOR (SCD), SEGÚN TIPO DE ARTISTA. 2011 - 2015</t>
  </si>
  <si>
    <t>TABLA 14.4</t>
  </si>
  <si>
    <t xml:space="preserve"> NÚMERO DE OBRAS NACIONALES INSCRITAS EN LA SOCIEDAD CHILENA DEL DERECHO DE AUTOR (SCD). 2015</t>
  </si>
  <si>
    <t>TABLA 14.5</t>
  </si>
  <si>
    <t xml:space="preserve"> NÚMERO DE AUTORES ASOCIADOS A LA SOCIEDAD CHILENA DEL DERECHO DE AUTOR (SCD) Y NÚMERO DE AUTORES GENERADORES DE DERECHOS POR SEXO. 2015</t>
  </si>
  <si>
    <t>TABLA 14.6</t>
  </si>
  <si>
    <t xml:space="preserve"> NÚMERO DE SOCIOS QUE CUENTAN CON BENEFICIOS SOCIALES DE LA SOCIEDAD CHILENA DEL DERECHO DE AUTOR (SCD) POR AÑO Y TIPO DE BENEFICIO. 2014 - 2015 /1</t>
  </si>
  <si>
    <t>TABLA 14.7</t>
  </si>
  <si>
    <t xml:space="preserve"> NÚMERO DE ASOCIADOS EN LA ASOCIACIÓN DE PRODUCTORES FONOGRÁFICOS DE CHILE (IFPI) POR AÑO. 2011-2015</t>
  </si>
  <si>
    <t>TABLA 14.8</t>
  </si>
  <si>
    <t xml:space="preserve"> NÚMERO DE TRABAJADORES EN SELLOS DISCOGRÁFICOS. 2011-2015</t>
  </si>
  <si>
    <t>TABLA 14.9</t>
  </si>
  <si>
    <t xml:space="preserve"> NÚMERO Y PORCENTAJE DE DISCOS NACIONALES POR AÑO, SEGÚN TIPO DE PRODUCCIÓN, GÉNERO, APOYO DEL FONDO DE LA MÚSICA, MES DE PRODUCCIÓN, FORMATO, TIPO DE DISCO, REPERTORIO Y TRAYECTORIA. 2012-2015</t>
  </si>
  <si>
    <t>TABLA 14.10</t>
  </si>
  <si>
    <t xml:space="preserve"> NÚMERO DE PROYECTOS Y MONTOS ADJUDICADOS POR FONDO DE LA MÚSICA, POR LÍNEA DE CONCURSO, SEGÚN REGIÓN DE DOMICILIO DEL PARTICIPANTE. AÑO 2015/1</t>
  </si>
  <si>
    <t>TABLA 14.11</t>
  </si>
  <si>
    <t xml:space="preserve"> NÚMERO DE SELLOS DE GRABACIÓN. 2013-2015</t>
  </si>
  <si>
    <t>TABLA 14.12</t>
  </si>
  <si>
    <t xml:space="preserve"> MONTOS DE RECAUDACIÓN DE DERECHOS DE EJECUCIÓN AUTOR POR LA SOCIEDAD CHILENA DEL DERECHO DE AUTOR (SCD), SEGÚN MEDIO DE EMISIÓN. 2011-2015</t>
  </si>
  <si>
    <t>TABLA 14.13</t>
  </si>
  <si>
    <t xml:space="preserve"> MONTOS DE DISTRIBUCIÓN DE DERECHOS DE EJECUCIÓN AUTOR POR LA SOCIEDAD CHILENA DEL DERECHO DE AUTOR (SCD). 2011-2015</t>
  </si>
  <si>
    <t>TABLA 14.14</t>
  </si>
  <si>
    <t xml:space="preserve"> MONTOS DE RECAUDACIÓN Y DISTRIBUCIÓN DE DERECHOS FONOMECÁNICOS POR LA SOCIEDAD CHILENA DEL DERECHO DE AUTOR (SCD). 2011-2015</t>
  </si>
  <si>
    <t>TABLA 14.15</t>
  </si>
  <si>
    <t xml:space="preserve"> MONTOS DE RECAUDACIÓN DE DERECHOS DE EJECUCIÓN CONEXOS POR LA SOCIEDAD CHILENA DEL DERECHO DE AUTOR (SCD), SEGÚN MEDIO DE EMISIÓN. 2011-2015</t>
  </si>
  <si>
    <t>TABLA 14.16</t>
  </si>
  <si>
    <t xml:space="preserve"> MONTOS DE DISTRIBUCIÓN DE DERECHOS DE EJECUCIÓN CONEXOS, POR LA SOCIEDAD CHILENA DEL DERECHO DE AUTOR (SCD). 2011-2015</t>
  </si>
  <si>
    <t>TABLA 14.17</t>
  </si>
  <si>
    <t>TABLA 14.18</t>
  </si>
  <si>
    <t>TABLA 14.19</t>
  </si>
  <si>
    <t xml:space="preserve"> VENTAS DE MATERIAL DISCOGRÁFICO Y UNIDADES VENDIDAS, SEGÚN FORMATO. 2011 - 2015</t>
  </si>
  <si>
    <t>TABLA 14.20</t>
  </si>
  <si>
    <t xml:space="preserve"> VENTAS DE MATERIAL DISCOGRÁFICO Y UNIDADES VENDIDAS, SEGÚN REPERTORIO. 2011 - 2015</t>
  </si>
  <si>
    <t>TABLA 14.21</t>
  </si>
  <si>
    <t xml:space="preserve"> NÚMERO DE USUARIOS SEGÚN TIPO DE ESTABLECIMIENTO. 2012 - 2015/1/2/3</t>
  </si>
  <si>
    <t>TABLA 14.22</t>
  </si>
  <si>
    <t xml:space="preserve"> NÚMERO DE FUNCIONES DE ESPECTÁCULOS MUSICALES, POR TIPO DE ESPECTÁCULO. 2011-2015/1</t>
  </si>
  <si>
    <t>TABLA 14.23</t>
  </si>
  <si>
    <t xml:space="preserve"> NÚMERO DE FUNCIONES DE ESPECTÁCULOS MUSICALES, POR TIPO DE ESPECTÁCULO, SEGÚN REGIÓN. 2015/1</t>
  </si>
  <si>
    <t>TABLA 14.24</t>
  </si>
  <si>
    <t xml:space="preserve"> NÚMERO DE ESPECTÁCULOS EMPADRONADOS POR LA SOCIEDAD CHILENA DEL DERECHO DE AUTOR (SCD), SEGÚN MODALIDAD DE ACCESO. 2012 - 2015/1/2</t>
  </si>
  <si>
    <t>TABLA 14.25</t>
  </si>
  <si>
    <t xml:space="preserve"> NÚMERO DE ASISTENTES A ESPECTÁCULOS MUSICALES, PAGANDO ENTRADA POR TIPO DE ESPECTÁCULO, SEGÚN REGIÓN. 2015/1</t>
  </si>
  <si>
    <t>TABLA 14.26</t>
  </si>
  <si>
    <t xml:space="preserve"> NÚMERO DE ASISTENTES A ESPECTÁCULOS MUSICALES CON ENTRADA GRATUITA POR TIPO DE ESPECTÁCULO, SEGÚN REGIÓN. 2015/1</t>
  </si>
  <si>
    <t>TABLA 14.27</t>
  </si>
  <si>
    <t xml:space="preserve"> NÚMERO DE ASISTENTES A ESPECTÁCULOS MUSICALES, CON ENTRADA GRATUITA Y PAGADA POR TIPO DE ESPECTÁCULO, SEGÚN REGIÓN. 2015/1</t>
  </si>
  <si>
    <t>TABLA 14.28</t>
  </si>
  <si>
    <t xml:space="preserve"> NÚMERO DE ASISTENTES A ESPECTÁCULOS MUSICALES, PAGANDO ENTRADA POR TIPO DE ESPECTÁCULO. 2011 - 2015/1</t>
  </si>
  <si>
    <t>TABLA 14.29</t>
  </si>
  <si>
    <t xml:space="preserve"> NÚMERO DE ASISTENTES A ESPECTÁCULOS MUSICALES CON ENTRADA GRATUITA, POR TIPO DE ESPECTÁCULO. 2011-2015/1</t>
  </si>
  <si>
    <t>TABLA 14.30</t>
  </si>
  <si>
    <t xml:space="preserve"> NÚMERO DE ASISTENTES A ESPECTÁCULOS MUSICALES, CON ENTRADA GRATUITA Y PAGADA POR TIPO DE ESPECTÁCULO. 2011 - 2015/1</t>
  </si>
  <si>
    <t>TABLA 14.31</t>
  </si>
  <si>
    <t xml:space="preserve"> NÚMERO DE ASISTENTES A ESPECTÁCULOS MUSICALES, CON ENTRADA GRATUITA Y PAGADA POR MES, SEGÚN REGIÓN. 2015/1</t>
  </si>
  <si>
    <t>TABLA 14.32</t>
  </si>
  <si>
    <t xml:space="preserve"> LISTADO DE CANCIONES NACIONALES MÁS ESCUCHADAS, SEGÚN REGISTROS DE LA SOCIEDAD CHILENA DEL DERECHO DE AUTOR (SCD). 2015</t>
  </si>
  <si>
    <t>TABLA 14.33</t>
  </si>
  <si>
    <t xml:space="preserve"> CANTIDAD DE DISCOS MUSICALES DESCARGADOS DESDE EL SITIO WEB PORTALDISC, SEGÚN LUGAR DE DESCARGA. 2011-2015</t>
  </si>
  <si>
    <t>TABLA 14.34</t>
  </si>
  <si>
    <t xml:space="preserve"> CANTIDAD DE DISCOS MUSICALES DESCARGADOS DESDE EL SITIO WEB PORTALDISC, SEGÚN REGIÓN. 2011-2015/1</t>
  </si>
  <si>
    <t>TABLA 14.35</t>
  </si>
  <si>
    <t xml:space="preserve"> NÚMERO DE DISCOS MUSICALES REGISTRADOS EN EL SITIO WEB PORTALDISC, SEGÚN GENERO. 2015 /1</t>
  </si>
  <si>
    <t>TABLA 14.36</t>
  </si>
  <si>
    <t xml:space="preserve"> CANTIDAD DE DISCOS DESCARGADOS EN EL SITIO WEB PORTALDISC POR LUGAR DE DESCARGA, SEGÚN GENERO. 2015/1</t>
  </si>
  <si>
    <t>TABLA 14.37</t>
  </si>
  <si>
    <t xml:space="preserve"> LISTADO DE LOS DIEZ ARTISTAS MUSICALES MÁS DESCARGADOS DESDE EL SITIO WEB PORTALDISC. 2015/1</t>
  </si>
  <si>
    <t>TABLA 14.38</t>
  </si>
  <si>
    <t xml:space="preserve"> CANTIDAD DE DISCOS MUSICALES MÁS DESCARGADOS DESDE EL SITIO WEB PORTALDISC. 2015/1</t>
  </si>
  <si>
    <t>TABLA 15.1</t>
  </si>
  <si>
    <t xml:space="preserve"> EVOLUCIÓN DE LA COBERTURA DE LAS BIBLIOTECAS CRA/1 POR ENSEÑANZA MEDIA (REGULAR). 1995-2015/2</t>
  </si>
  <si>
    <t>TABLA 15.2</t>
  </si>
  <si>
    <t xml:space="preserve"> EVOLUCIÓN DE LA COBERTURA DE LAS BIBLIOTECAS CRA/1 POR ENSEÑANZA BÁSICA (REGULAR). 2005-2015</t>
  </si>
  <si>
    <t>TABLA 15.3</t>
  </si>
  <si>
    <t xml:space="preserve"> CANTIDAD DE ESTABLECIMIENTOS EDUCACIONALES CON BIBLIOTECAS CRA/1 POR NIVEL EDUCACIONAL, SEGÚN REGIONES. 2015</t>
  </si>
  <si>
    <t>TABLA 15.4</t>
  </si>
  <si>
    <t xml:space="preserve"> NÚMERO DE ESTABLECIMIENTOS EDUCACIONALES Y ALUMNOS BENEFICIADOS CON BIBLIOTECAS CRA/1 POR ENSEÑANZA BÁSICA, SEGÚN REGIÓN. 2015</t>
  </si>
  <si>
    <t>TABLA 15.5</t>
  </si>
  <si>
    <t xml:space="preserve"> NÚMERO DE ESTABLECIMIENTOS EDUCACIONALES Y DE ALUMNOS DE EDUCACIÓN MEDIA BENEFICIADOS POR BIBLIOTECAS CRA/1, POR MODALIDAD DEL ESTABLECIMIENTO/2, SEGÚN REGIÓN. 2015</t>
  </si>
  <si>
    <t>TABLA 15.6</t>
  </si>
  <si>
    <t xml:space="preserve"> INVERSIÓN ANUAL MINEDUC EN COLECCIONES DE BÁSICA Y MEDIA. 2011-2015 (MM $2015)</t>
  </si>
  <si>
    <t>TABLA 15.7</t>
  </si>
  <si>
    <t xml:space="preserve"> NÚMERO DE TÍTULOS DE LIBROS REGISTRADOS EN EL INTERNATIONAL STANDARD BOOK NUMBER (ISBN), SEGÚN REGIÓN. 2011-2015 /1</t>
  </si>
  <si>
    <t>TABLA 15.8</t>
  </si>
  <si>
    <t xml:space="preserve"> NÚMERO DE PROYECTOS Y MONTOS ADJUDICADOS POR EL FONDO DEL LIBRO, POR LÍNEA DE CONCURSO, SEGÚN REGIÓN DE DOMICILIO DEL PARTICIPANTE. AÑO 2015 /1/2</t>
  </si>
  <si>
    <t>TABLA 15.9</t>
  </si>
  <si>
    <t xml:space="preserve"> NÚMERO DE SOCIOS DE LA SOCIEDAD DE DERECHOS LITERARIOS (SADEL), SEGÚN STATUS DE AFILIACIÓN Y SEXO. 2011-2015</t>
  </si>
  <si>
    <t>TABLA 15.10</t>
  </si>
  <si>
    <t xml:space="preserve"> NÚMERO DE SOCIOS INCORPORADOS A LA SOCIEDAD DE DERECHOS LITERARIOS (SADEL), SEGÚN STATUS DE AFILIACIÓN. 2015</t>
  </si>
  <si>
    <t>TABLA 15.11</t>
  </si>
  <si>
    <t xml:space="preserve"> NÚMERO DE TÍTULOS DE LIBROS REGISTRADOS EN EL INTERNATIONAL STANDARD BOOK NUMBER (ISBN), SEGÚN NÚMERO DE EDICIÓN. 2011-2015 /1</t>
  </si>
  <si>
    <t>TABLA 15.12</t>
  </si>
  <si>
    <t xml:space="preserve"> NÚMERO DE TÍTULOS DE LIBROS REGISTRADOS EN EL INTERNATIONAL STANDARD BOOK NUMBER (ISBN), SEGÚN MATERIA. 2011-2015 /1</t>
  </si>
  <si>
    <t>TABLA 15.13</t>
  </si>
  <si>
    <t xml:space="preserve"> NÚMERO DE TÍTULOS DE LIBROS DE LITERATURA CHILENA REGISTRADOS EN EL INTERNATIONAL STANDARD BOOK NUMBER (ISBN), SEGÚN GÉNERO. 2011-2015 /1</t>
  </si>
  <si>
    <t>TABLA 15.14</t>
  </si>
  <si>
    <t xml:space="preserve"> NÚMERO DE TÍTULOS DE LIBROS REGISTRADOS EN EL INTERNATIONAL STANDARD BOOK NUMBER (ISBN), SEGÚN SOPORTES DISTINTOS A PAPEL. 2011-2015 /1</t>
  </si>
  <si>
    <t>TABLA 15.15</t>
  </si>
  <si>
    <t xml:space="preserve"> NÚMERO DE TÍTULOS AUTOEDITADOS REGISTRADOS EN EL INTERNATIONAL STANDARD BOOK NUMBER (ISBN). 1994-2015 /1/2</t>
  </si>
  <si>
    <t>TABLA 15.16</t>
  </si>
  <si>
    <t xml:space="preserve"> NÚMERO DE TÍTULOS DE LIBROS REGISTRADOS EN EL INTERNATIONAL STANDARD BOOK NUMBER (ISBN), SEGÚN RANGOS DE PRODUCCIÓN. 2011-2015 /1</t>
  </si>
  <si>
    <t>TABLA 15.17</t>
  </si>
  <si>
    <t xml:space="preserve"> NÚMERO Y PORCENTAJE DE TRADUCCIONES REGISTRADAS EN EL INTERNATIONAL STANDARD BOOK NUMBER (ISBN), SEGÚN IDIOMA DE ORÍGEN E IDIOMA TRADUCIDO. 2011-2015 /1</t>
  </si>
  <si>
    <t>TABLA 15.18</t>
  </si>
  <si>
    <t xml:space="preserve"> EDITORES QUE SOLICITAN REGISTRO DE SU OBRA POR PRIMERA VEZ EN EL INTERNATIONAL STANDARD BOOK NUMBER (ISBN), SEGÚN REGIÓN. 2011-2015 /1</t>
  </si>
  <si>
    <t>TABLA 15.19</t>
  </si>
  <si>
    <t xml:space="preserve"> NÚMERO Y PORCENTAJE DE TÍTULOS REGISTRADOS EN EL INTERNATIONAL STANDARD BOOK NUMBER (ISBN), SEGÚN MES DE PRODUCCIÓN. 2011-2015 /1</t>
  </si>
  <si>
    <t>TABLA 15.20</t>
  </si>
  <si>
    <t xml:space="preserve"> NÚMERO DE TÍTULOS REGISTRADOS EN EL INTERNATIONAL STANDARD BOOK NUMBER (ISBN) POR UNIVERSIDADES CHILENAS. 2011-2015 /1 /2</t>
  </si>
  <si>
    <t>TABLA 15.21</t>
  </si>
  <si>
    <t xml:space="preserve"> RECAUDACIÓN DE LA SOCIEDAD DE DERECHOS LITERARIOS (SADEL) POR CONCEPTO DE LICENCIAS REPROGRÁFICAS. 2011-2015</t>
  </si>
  <si>
    <t>TABLA 15.22</t>
  </si>
  <si>
    <t xml:space="preserve"> RED DE BIBLIOTECAS PÚBLICAS, NÚMERO DE BIBLIOTECAS DEPENDIENTES O EN CONVENIOS CON LA DIRECCIÓN DE BIBLIOTECAS, ARCHIVOS Y MUSEOS (DIBAM), SEGÚN REGIÓN. 2015</t>
  </si>
  <si>
    <t>TABLA 15.23</t>
  </si>
  <si>
    <t xml:space="preserve"> NÚMERO DE SERVICIOS MÓVILES DE LA DIRECCIÓN DE BIBLIOTECAS, ARCHIVOS Y MUSEOS (DIBAM), SEGÚN REGIÓN. 2011-2015</t>
  </si>
  <si>
    <t>TABLA 15.24</t>
  </si>
  <si>
    <t xml:space="preserve"> NÚMERO DE BIBLIOTECAS PÚBLICAS DE LA DIRECCIÓN DE BIBLIOTECAS, ARCHIVOS Y MUSEOS (DIBAM) CON ACCESO GRATUITO A INTERNET. 2011-2015</t>
  </si>
  <si>
    <t>TABLA 15.25</t>
  </si>
  <si>
    <t xml:space="preserve"> NÚMERO DE EJEMPLARES INGRESADOS EN BIBLIOTECAS PÚBLICAS DE LA DIRECCIÓN DE BIBLIOTECAS, ARCHIVOS Y MUSEOS (DIBAM), SEGÚN TIPO DE COLECCIÓN. 2011-2015</t>
  </si>
  <si>
    <t>TABLA 15.26</t>
  </si>
  <si>
    <t xml:space="preserve"> NÚMERO DE EJEMPLARES EN BIBLIOTECAS PÚBLICAS DE LA DIRECCIÓN DE BIBLIOTECAS, ARCHIVOS Y MUSEOS (DIBAM), SEGÚN MATERIA. 2011-2015</t>
  </si>
  <si>
    <t>TABLA 15.27</t>
  </si>
  <si>
    <t xml:space="preserve"> NÚMERO DE EJEMPLARES EN BIBLIOTECAS PÚBLICAS DE LA DIRECCIÓN DE BIBLIOTECAS, ARCHIVOS Y MUSEOS (DIBAM), SEGÚN COLECCIÓN. 2011-2015</t>
  </si>
  <si>
    <t>TABLA 15.28</t>
  </si>
  <si>
    <t xml:space="preserve"> NÚMERO DE OBJETOS DIGITALES EN PLATAFORMA DESCUBRE. 2015/1</t>
  </si>
  <si>
    <t>TABLA 15.29</t>
  </si>
  <si>
    <t xml:space="preserve"> NÚMERO DE USUARIOS REGISTRADOS EN BIBLIOTECAS PÚBLICAS Y BIBLIOREDES. 2011-2015</t>
  </si>
  <si>
    <t>TABLA 15.30</t>
  </si>
  <si>
    <t xml:space="preserve"> NÚMERO DE SESIONES DE ACCESO GRATUITO A INTERNET EN LAS BIBLIOTECAS PÚBLICAS DE LA DIRECCIÓN DE BIBLIOTECAS, ARCHIVOS Y MUSEOS (DIBAM). 2011-2015/1 /2</t>
  </si>
  <si>
    <t>TABLA 15.31</t>
  </si>
  <si>
    <t xml:space="preserve"> NÚMERO DE VISITAS A PORTALES DE BIBLIOREDES. 2011-2015/1</t>
  </si>
  <si>
    <t>TABLA 15.32</t>
  </si>
  <si>
    <t xml:space="preserve"> NÚMERO DE CONSULTAS POR INTERNET A SITIOS WEB DE LA DIRECCIÓN DE BIBLIOTECAS, ARCHIVOS Y MUSEOS (DIBAM). 2011-2015/1</t>
  </si>
  <si>
    <t>TABLA 15.33</t>
  </si>
  <si>
    <t xml:space="preserve"> NÚMERO DE VISITANTES ESTIMADOS Y ARCHIVOS DESCARGADOS DESDE SITIOS WEB DE LA DIRECCIÓN DE BIBLIOTECAS, ARCHIVOS Y MUSEOS (DIBAM), SEGÚN SITIO WEB. 2011-2015</t>
  </si>
  <si>
    <t>TABLA 15.34</t>
  </si>
  <si>
    <t xml:space="preserve"> NÚMERO DE USUARIOS DE BIBLIOTECAS PÚBLICAS DE LA DIRECCIÓN DE BIBLIOTECAS, ARCHIVOS Y MUSEOS (DIBAM) QUE CIRCULAN AUTOMATIZADAS POR GRUPOS DE EDAD, SEGÚN REGIÓN. 2015/1</t>
  </si>
  <si>
    <t>TABLA 15.34(R)</t>
  </si>
  <si>
    <t xml:space="preserve"> NÚMERO DE USUARIOS DE BIBLIOTECAS PÚBLICAS DE LA DIRECCIÓN DE BIBLIOTECAS, ARCHIVOS Y MUSEOS (DIBAM) QUE CIRCULAN AUTOMATIZADAS POR GRUPOS DE EDAD, SEGÚN REGIÓN. 2014/1</t>
  </si>
  <si>
    <t>TABLA 15.35</t>
  </si>
  <si>
    <t xml:space="preserve"> NÚMERO DE USUARIOS DE BIBLIOTECA NACIONAL, BIBLIOTECA DE SANTIAGO, BIBLIOMETRO. 2011-2015</t>
  </si>
  <si>
    <t>TABLA 15.36</t>
  </si>
  <si>
    <t xml:space="preserve"> PRÉSTAMOS DE MATERIAL BIBLIOGRÁFICO DE BIBLIOTECAS PÚBLICAS Y PUNTOS DE PRÉSTAMOS ASOCIADOS DEL SISTEMA NACIONAL DE BIBLIOTECAS PÚBLICAS (SNBP) DEPENDIENTES DE LA DIRECCIÓN DE BIBLIOTECAS, ARCHIVOS Y MUSEOS (DIBAM) A DOMICILIO, SEGÚN REGIÓN. 2011-2015/1</t>
  </si>
  <si>
    <t>TABLA 15.37</t>
  </si>
  <si>
    <t xml:space="preserve"> PRÉSTAMOS DE MATERIAL BIBLIOGRÁFICO DE BIBLIOTECAS PÚBLICAS Y PUNTOS DE PRÉSTAMOS ASOCIADOS DEL SISTEMA NACIONAL DE BIBLIOTECAS PÚBLICAS (SNBP) DEPENDIENTES DE LA DIRECCIÓN DE BIBLIOTECAS, ARCHIVOS Y MUSEOS (DIBAM) A DOMICILIO, SEGÚN MES. 2011-2015/1</t>
  </si>
  <si>
    <t>TABLA 15.38</t>
  </si>
  <si>
    <t xml:space="preserve"> PRÉSTAMOS DE MATERIAL BIBLIOGRÁFICO EN FORMATO DIGITAL. 2015/1/2</t>
  </si>
  <si>
    <t>TABLA 15.39</t>
  </si>
  <si>
    <t xml:space="preserve"> NÚMERO DE FUNCIONES Y ASISTENTES A RECITALES DE POESÍA. 2011-2015/1</t>
  </si>
  <si>
    <t>TABLA 15.40</t>
  </si>
  <si>
    <t xml:space="preserve"> NÚMERO DE FUNCIONES Y ASISTENCIA A RECITALES DE POESÍA, SEGÚN REGIÓN. 2015/1</t>
  </si>
  <si>
    <t>TABLA 15.41</t>
  </si>
  <si>
    <t xml:space="preserve"> NÚMERO DE ESPECTADORES A RECITALES DE POESÍA, CON ENTRADA GRATUITA Y PAGADA POR MES, SEGÚN REGIÓN. 2015/1</t>
  </si>
  <si>
    <t>TABLA 15.42</t>
  </si>
  <si>
    <t xml:space="preserve"> NÚMERO DE SOCIOS DE LA ASOCIACIÓN NACIONAL DE LA PRENSA (ANP), POR SOPORTE DE PUBLICACIÓN, SEGÚN REGIÓN DE CASA MATRIZ. 2015</t>
  </si>
  <si>
    <t>TABLA 15.43</t>
  </si>
  <si>
    <t>TABLA 15.44</t>
  </si>
  <si>
    <t xml:space="preserve"> OLIMPIADAS DE ACTUALIDAD POR NÚMERO DE COLEGIOS Y DE REGIONES PARTICIPANTES. 2011-2015</t>
  </si>
  <si>
    <t>TABLA 15.45</t>
  </si>
  <si>
    <t xml:space="preserve"> NÚMERO DE VISITAS, SOCIOS, MATERIAL BIBLIOGRÁFICO, PRÉSTAMOS Y ASISTENTES A ACTIVIDADES DE EXTENSIÓN, SEGÚN ZONA. 2015</t>
  </si>
  <si>
    <t>TABLA 15.46</t>
  </si>
  <si>
    <t xml:space="preserve"> NÚMERO DE VISITAS, SOCIOS, MATERIAL BIBLIOGRÁFICO, PRÉSTAMOS A BIBLIOTECAS VIVAS SEGÚN BIBLIOTECA. 2011-2015</t>
  </si>
  <si>
    <t>TABLA 15.47</t>
  </si>
  <si>
    <t xml:space="preserve"> NÚMERO Y PORCENTAJE DE NUEVOS INSCRITOS EN BIBLIOTECA VIVA, SEGÚN SEXO Y GRUPOS DE EDAD. 2014-2015</t>
  </si>
  <si>
    <t>TABLA 15.48</t>
  </si>
  <si>
    <t xml:space="preserve"> NÚMERO DE BIBLIOTECAS CREADAS Y LIBROS DONADOS, SEGÚN PROYECTOS DE FUNDACIÓN LA FUENTE. 2011-2015</t>
  </si>
  <si>
    <t xml:space="preserve">TABLA 15.49 </t>
  </si>
  <si>
    <t xml:space="preserve"> TOTAL DE GASTO DE LAS BIBLIOTECAS VIVAS, SEGÚN ZONA. 2013-2015</t>
  </si>
  <si>
    <t>TABLA 15.50</t>
  </si>
  <si>
    <t xml:space="preserve"> NÚMERO DE EJEMPLARES ADQUIRIDOS Y PRÉSTAMOS DE BIBLIOTECA VIVA, SEGÚN TIPO DE MATERIAL BIBLIOGRÁFICO Y CLASIFICACIÓN. 2013-2015</t>
  </si>
  <si>
    <t>TABLA 15.51</t>
  </si>
  <si>
    <t xml:space="preserve"> PÁGINAS FOMENTO LECTOR, VISITA PÁGINAS Y PRÉSTAMOS VIRTUALES DE BIBLIOTECA VIVA POR AÑO. 2011-2015</t>
  </si>
  <si>
    <t>TABLA 16.1</t>
  </si>
  <si>
    <t xml:space="preserve"> NÚMERO DE PROYECTOS Y MONTOS ADJUDICADOS POR EL FONDO AUDIOVISUAL, POR LÍNEA DE CONCURSO, SEGÚN REGIÓN DE DOMICILIO DEL PARTICIPANTE. AÑO 2015/1</t>
  </si>
  <si>
    <t>TABLA 16.2</t>
  </si>
  <si>
    <t xml:space="preserve"> NÚMERO DE EMISORAS DE FRECUENCIA MODULADA (FM), AMPLITUD MODULADA (AM) Y MÍNIMA COBERTURA (MC) REGISTRADAS EN LA SUBSECRETARÍA DE TELECOMUNICACIONES (SUBTEL). 2011-2015</t>
  </si>
  <si>
    <t>TABLA 16.3</t>
  </si>
  <si>
    <t xml:space="preserve"> SOPORTE PARA DIFUSIÓN Y COMERCIALIZACIÓN SEGÚN REGISTROS DE LA SOCIEDAD CHILENA DEL DERECHO DE AUTOR (SCD). 2015</t>
  </si>
  <si>
    <t>TABLA 16.4</t>
  </si>
  <si>
    <t xml:space="preserve"> NÚMERO DE SEÑALES DE RADIODIFUSIÓN POR BANDA DE TRANSMISIÓN, SEGÚN REGIÓN. 2015</t>
  </si>
  <si>
    <t>TABLA 16.5</t>
  </si>
  <si>
    <t xml:space="preserve"> NÚMERO DE SEÑALES DE RADIODIFUSIÓN, SEGÚN TRANSMISIÓN VIA INTERNET. 2015</t>
  </si>
  <si>
    <t>TABLA 16.6</t>
  </si>
  <si>
    <t xml:space="preserve"> NÚMERO DE SEÑALES DE RADIODIFUSIÓN POR POTENCIA DE SUS TRANSMISIONES, SEGÚN BANDA DE TRANSMISIÓN Y REGIÓN. 2015</t>
  </si>
  <si>
    <t>TABLA 16.7</t>
  </si>
  <si>
    <t xml:space="preserve"> NÚMERO DE SEÑALES DE RADIODIFUSIÓN QUE EFECTUARON TRANSMISIONES POR INTERVALOS DE HORAS DE TRANSMISIÓN, SEGÚN DÍAS DE LA SEMANA Y REGIÓN. 2015</t>
  </si>
  <si>
    <t>TABLA 16.8</t>
  </si>
  <si>
    <t xml:space="preserve"> NÚMERO DE SEÑALES DE RADIODIFUSIÓN, POR INTERVALOS DE HORAS DE TRANSMISIÓN DIARIA, SEGÚN BANDA DE TRANSMISIÓN Y DÍAS DE LA SEMANA. 2015</t>
  </si>
  <si>
    <t>TABLA 16.9</t>
  </si>
  <si>
    <t xml:space="preserve"> PORCENTAJE DE SEÑALES DE RADIODIFUSIÓN POR INTERVALOS DE HORAS DE TRANSMISIÓN DIARIA, SEGÚN BANDA DE TRANSMISIÓN Y DÍAS DE LA SEMANA. 2015</t>
  </si>
  <si>
    <t>TABLA 16.10</t>
  </si>
  <si>
    <t xml:space="preserve"> NÚMERO DE RADIOEMISORAS POR BANDA DE TRANSMISIÓN, SEGÚN TIPO DE PROGRAMA AL QUE LE ASIGNAN PRIMERA PRIORIDAD. 2015</t>
  </si>
  <si>
    <t>TABLA 16.11</t>
  </si>
  <si>
    <t xml:space="preserve"> NÚMERO DE RADIOEMISORAS POR BANDA DE TRANSMISIÓN, SEGÚN GRUPO DE EDAD DEL PÚBLICO AL QUE LE ASIGNAN PRIMERA PRIORIDAD. 2015/1</t>
  </si>
  <si>
    <t>TABLA 16.12</t>
  </si>
  <si>
    <t xml:space="preserve"> HORAS ANUALES Y PORCENTAJES DE TRANSMISIÓN DE LAS RADIOEMISORAS, SEGÚN TIPO DE PROGRAMA. 2015</t>
  </si>
  <si>
    <t>TABLA 16.13</t>
  </si>
  <si>
    <t xml:space="preserve"> PERSONAL DE LAS RADIOEMISORAS POR TIPO DE JORNADA, SEGÚN SEXO Y TIPO DE PERSONAL. 2015</t>
  </si>
  <si>
    <t>TABLA 16.14</t>
  </si>
  <si>
    <t xml:space="preserve"> INGRESOS DE LAS RADIOEMISORAS, SEGÚN FUENTE. 2015</t>
  </si>
  <si>
    <t>TABLA 16.15</t>
  </si>
  <si>
    <t xml:space="preserve"> GASTOS DE LAS RADIOEMISORAS, SEGÚN ORIGEN. 2015</t>
  </si>
  <si>
    <t>TABLA 16.16</t>
  </si>
  <si>
    <t xml:space="preserve"> INGRESOS Y GASTOS DE LAS RADIOEMISORAS, SEGÚN TAMAÑO DE LA EMPRESA. 2015</t>
  </si>
  <si>
    <t>TABLA 16.17</t>
  </si>
  <si>
    <t xml:space="preserve"> NÚMERO DE CANALES DE TELEVISIÓN ABIERTA, SEGÚN COBERTURA. 2011 - 2015/1</t>
  </si>
  <si>
    <t>TABLA 16.18</t>
  </si>
  <si>
    <t xml:space="preserve"> NÚMERO DE PERMISIONARIOS DE SERVICIOS LIMITADOS DE TELEVISIÓN. 2011-2015</t>
  </si>
  <si>
    <t>TABLA 16.19</t>
  </si>
  <si>
    <t xml:space="preserve"> HORAS DE EMISIÓN DE PROGRAMACIÓN DE TELEVISIÓN ABIERTA, SEGÚN PÚBLICO OBJETIVO. 2011-2015</t>
  </si>
  <si>
    <t>TABLA 16.20</t>
  </si>
  <si>
    <t xml:space="preserve"> HORAS DE EMISIÓN Y CONSUMO DE PROGRAMACIÓN DE TELEVISIÓN ABIERTA, SEGÚN GÉNERO TELEVISIVO. 2011 - 2015</t>
  </si>
  <si>
    <t>TABLA 16.21</t>
  </si>
  <si>
    <t xml:space="preserve"> HORAS DE EMISIÓN Y CONSUMO DE PROGRAMACIÓN DE TELEVISIÓN ABIERTA, SEGÚN PROCEDENCIA. 2011 - 2015</t>
  </si>
  <si>
    <t>TABLA 16.22</t>
  </si>
  <si>
    <t xml:space="preserve"> HORAS DE EMISIÓN DE PROGRAMACIÓN NACIONAL DE TELEVISIÓN ABIERTA, SEGÚN GÉNERO TELEVISIVO. 2011 - 2015</t>
  </si>
  <si>
    <t>TABLA 16.23</t>
  </si>
  <si>
    <t xml:space="preserve"> HORAS DE EMISIÓN DE PROGRAMACIÓN EXTRANJERA DE TELEVISIÓN ABIERTA, SEGÚN GÉNERO TELEVISIVO. 2011 - 2015</t>
  </si>
  <si>
    <t>TABLA 16.24</t>
  </si>
  <si>
    <t xml:space="preserve"> HORAS DE EMISIÓN Y CONSUMO DE PROGRAMACIÓN INFANTIL PARA NIÑOS MENORES DE 12 AÑOS, SEGÚN CATEGORÍA. 2013 - 2015 /1</t>
  </si>
  <si>
    <t>TABLA 16.25</t>
  </si>
  <si>
    <t xml:space="preserve"> HORAS DE EMISIÓN DE PROGRAMACIÓN CULTURAL/1 EN TELEVISIÓN ABIERTA, SEGÚN GÉNERO TELEVISIVO. 2011-2015</t>
  </si>
  <si>
    <t>TABLA 16.26</t>
  </si>
  <si>
    <t xml:space="preserve"> NÚMERO DE EXPLOTACIONES DE PRODUCCIONES NACIONALES Y EXTRANJERAS DE LA CORPORACIÓN DE ACTORES DE CHILE (CHILEACTORES), SEGÚN TIPO DE PRODUCCIÓN. 2011-2015 /1 3</t>
  </si>
  <si>
    <t>TABLA 16.27</t>
  </si>
  <si>
    <t xml:space="preserve"> RECAUDACIÓN Y DISTRIBUCIÓN DE DERECHOS DE COMUNICACIÓN PÚBLICA DE PRODUCCIONES NACIONALES Y EXTRANJERAS, SEGÚN MEDIO DE EMISIÓN./1 2011-2015</t>
  </si>
  <si>
    <t>TABLA 16.28</t>
  </si>
  <si>
    <t xml:space="preserve"> NÚMERO DE ACTORES FAVORECIDOS POR LA DISTRIBUCIÓN DE DERECHOS DE COMUNICACIÓN PÚBLICA DE LA CORPORACIÓN DE ACTORES DE CHILE (CHILEACTORES) POR TIPO DE REPARTO Y SEXO, SEGÚN AFILIACIÓN. 2013-2015</t>
  </si>
  <si>
    <t>TABLA 16.29</t>
  </si>
  <si>
    <t xml:space="preserve"> CONSUMO PROMEDIO ANUAL DE TELEVISIÓN ABIERTA POR HORAS, SEGÚN RANGO ETARIO. 2011 - 2015</t>
  </si>
  <si>
    <t>TABLA 16.30</t>
  </si>
  <si>
    <t xml:space="preserve"> CONSUMO PROMEDIO ANUAL DE TELEVISIÓN ABIERTA PARA NIÑOS DE 4 A 12 AÑOS DE EDAD, SEGÚN GÉNERO TELEVISIVO. 2013 - 2015 /1</t>
  </si>
  <si>
    <t>TABLA 16.31</t>
  </si>
  <si>
    <t xml:space="preserve"> HORAS DE EMISIÓN DE PROGRAMACIÓN INFANTIL DE TELEVISIÓN ABIERTA, SEGÚN PROCEDENCIA. 2013 - 2015 /1</t>
  </si>
  <si>
    <t>TABLA 16.32</t>
  </si>
  <si>
    <t xml:space="preserve"> HORAS DE EMISIÓN ANUAL (TIEMPO Y PORCENTAJE DE OFERTA Y CONSUMO) FINANCIADAS POR EL FONDO DEL CONSEJO NACIONAL DE TELEVISIÓN (CNTV), SEGÚN TIPO DE PROGRAMACIÓN. 2013 - 2015 /1</t>
  </si>
  <si>
    <t>TABLA 16.33</t>
  </si>
  <si>
    <t xml:space="preserve"> NÚMERO DE PELÍCULAS ESTRENADAS, SEGÚN ORIGEN DE LA PELÍCULA 2015</t>
  </si>
  <si>
    <t>TABLA 16.34</t>
  </si>
  <si>
    <t xml:space="preserve"> NÚMERO DE EMPRESAS DISTRIBUIDORAS DE CINE NACIONALES Y EXTRANJERAS, SEGÚN REGIÓN. 2015</t>
  </si>
  <si>
    <t>TABLA 16.35</t>
  </si>
  <si>
    <t xml:space="preserve">  NÚMERO DE TRABAJADORES AL AÑO EN DISTRIBUIDORAS DE CINE POR SEXO, SEGÚN REGIÓN. 2015</t>
  </si>
  <si>
    <t>TABLA 16.36</t>
  </si>
  <si>
    <t xml:space="preserve">  MONTOS RECAUDADOS DE PELÍCULAS ESTRENADAS Y EXHIBIDAS, SEGÚN ORIGEN DE LA PELÍCULA. 2015</t>
  </si>
  <si>
    <t>TABLA 16.37</t>
  </si>
  <si>
    <t xml:space="preserve"> NÚMERO DE FUNCIONES DE CINE POR TIPO DE ASISTENCIA, SEGÚN REGIÓN. 2015/1</t>
  </si>
  <si>
    <t>TABLA 16.40</t>
  </si>
  <si>
    <t xml:space="preserve"> NÚMERO DE ESPECTADORES POR ORIGEN DE LA PELÍCULA SEGÚN REGIÓN. 2015</t>
  </si>
  <si>
    <t>TABLA 16.42</t>
  </si>
  <si>
    <t xml:space="preserve"> NÚMERO DE ESPECTADORES ANUALES POR MES, SEGÚN REGIÓN. 2015</t>
  </si>
  <si>
    <t>TABLA 16.43</t>
  </si>
  <si>
    <t xml:space="preserve"> NÚMERO DE ESPECTADORES A LAS VEINTE PELÍCULAS CON MAYOR VENTA DE ENTRADAS POR FECHA DE ESTRENO, CALIFICACIÓN, NÚMERO DE COPIAS VENDIDAS Y SEMANAS EN CARTELERA, SEGÚN TÍTULO DE LA PELÍCULA. 2015</t>
  </si>
  <si>
    <t>TABLA 16.44</t>
  </si>
  <si>
    <t xml:space="preserve"> NÚMERO DE ESPECTADORES A LAS TRES PELÍCULAS NACIONALES CON MAYOR VENTA DE ENTRADAS POR FECHA DE ESTRENO, CALIFICACIÓN, NÚMERO DE COPIAS VENDIDAS Y SEMANAS EN CARTELERA, SEGÚN TÍTULO DE LA PELÍCULA.2015 </t>
  </si>
  <si>
    <t>TABLA 17.1</t>
  </si>
  <si>
    <t xml:space="preserve"> MATRÍCULA DE JÓVENES/1 CON ESPECIALIDAD CREATIVA EN ENSEÑANZA MEDIA TÉCNICA PROFESIONAL Y ARTÍSTICA POR NÚMERO DE ESTABLECIMIENTOS QUE LA IMPARTEN, SEGÚN REGIÓN. 2015</t>
  </si>
  <si>
    <t>TABLA 17.1 (R)</t>
  </si>
  <si>
    <t xml:space="preserve"> MATRÍCULA DE JÓVENES/1 CON ESPECIALIDAD CREATIVA EN ENSEÑANZA MEDIA TÉCNICA PROFESIONAL Y ARTÍSTICA POR NÚMERO DE ESTABLECIMIENTOS QUE LA IMPARTEN, SEGÚN REGIÓN. 2014</t>
  </si>
  <si>
    <t>TABLA 17.2</t>
  </si>
  <si>
    <t xml:space="preserve"> NÚMERO DE ALUMNOS MATRICULADOS EN ENSEÑANZA MEDIA TÉCNICA PROFESIONAL Y ARTÍSTICA, SEGÚN ESPECIALIDAD CREATIVA/1. 2015</t>
  </si>
  <si>
    <t>TABLA 17.3</t>
  </si>
  <si>
    <t xml:space="preserve"> NÚMERO Y PORCENTAJE DE MATRÍCULAS DE JOVENES DE 15 A 29 AÑOS EN ENSEÑANZA MEDIA, SEGÚN ESPECIALIDAD CREATIVA O NO CREATIVA. 2014 - 2015</t>
  </si>
  <si>
    <t>TABLA 17.4</t>
  </si>
  <si>
    <t xml:space="preserve"> NÚMERO DE CARRERAS IMPARTIDAS POR CENTROS DE EDUCACIÓN SUPERIOR POR TIPO DE CARRERA, SEGÚN DOMINIO Y SUBDOMINIO CULTURAL. 2015/1</t>
  </si>
  <si>
    <t>TABLA 17.5</t>
  </si>
  <si>
    <t xml:space="preserve"> NÚMERO DE MATRÍCULA EN INSTITUCIONES DE EDUCACIÓN SUPERIOR, POR SEXO, SEGÚN DOMINIO Y SUBDOMINIO CULTURAL. 2015/1</t>
  </si>
  <si>
    <t>TABLA 17.6</t>
  </si>
  <si>
    <t xml:space="preserve"> NÚMERO DE CARRERAS IMPARTIDAS Y NÚMERO DE MATRICULADOS EN INSTITUCIONES DE EDUCACIÓN SUPERIOR POR REGIÓN, SEGÚN DOMINIO Y SUBDOMINO CULTURAL. 2015/1</t>
  </si>
  <si>
    <t>TABLA 17.7</t>
  </si>
  <si>
    <t xml:space="preserve"> NÚMERO DE CARRERAS CREATIVAS IMPARTIDAS EN INSTITUCIONES DE EDUCACIÓN SUPERIOR POR GRADO, SEGÚN DOMINIO Y SUBDOMINO CULTURAL. 2015/1</t>
  </si>
  <si>
    <t>TABLA 17.8</t>
  </si>
  <si>
    <t xml:space="preserve"> NÚMERO DE CARRERAS CREATIVAS POR DISCIPLINA, SEGÚN INSTITUCIÓN QUE LA IMPARTE EN CHILE. 2015/1</t>
  </si>
  <si>
    <t>TABLA 17.9</t>
  </si>
  <si>
    <t xml:space="preserve"> NÚMERO TOTAL DE CARRERAS CREATIVAS Y NÚMERO TOTAL DE MATRICULADOS, SEGÚN CENTRO DE EDUCACIÓN SUPERIOR E INSTITUCIÓN QUE LA IMPARTE. 2015/1</t>
  </si>
  <si>
    <t>TABLA 18.1</t>
  </si>
  <si>
    <t xml:space="preserve"> NÚMERO DE EMPRESAS PROVEEDORAS DE CONEXIÓN A INTERNET POR MODALIDAD, SEGÚN REGIÓN. 2011-2015/1</t>
  </si>
  <si>
    <t>TABLA 18.2</t>
  </si>
  <si>
    <t xml:space="preserve"> NÚMERO DE CONEXIONES A INTERNET POR TIPO DE ACCESO, SEGÚN REGIÓN. 2015</t>
  </si>
  <si>
    <t>TABLA 18.3</t>
  </si>
  <si>
    <t xml:space="preserve"> NÚMERO DE CONEXIONES FIJAS, SEGÚN TIPO DE SUSCRIPTOR. 2011-2015</t>
  </si>
  <si>
    <t>TABLA 18.4</t>
  </si>
  <si>
    <t xml:space="preserve"> TASA DE CONEXIONES FIJAS RESIDENCIALES POR CADA CIEN HABITANTES. 2011-2015</t>
  </si>
  <si>
    <t>TABLA 18.5</t>
  </si>
  <si>
    <t xml:space="preserve">  NÚMERO DE CONEXIONES RESIDENCIALES DE BANDA ANCHA A INTERNET. 2011-2015</t>
  </si>
  <si>
    <t>TABLA 18.6</t>
  </si>
  <si>
    <t xml:space="preserve"> PENETRACIÓN DE INTERNET EN LA POBLACIÓN EN PORCENTAJE, SEGÚN LA UNIÓN INTERNACIONAL DE TELECOMUNICACIONES DE LAS NACIONES UNIDAS (UIT). 2011-2015</t>
  </si>
  <si>
    <t>TABLA 18.7</t>
  </si>
  <si>
    <t xml:space="preserve"> PENETRACIÓN MUNDIAL DE INTERNET POR CADA CIEN HABITANTES, COMPARACIÓN DE VARIOS PAÍSES. 2011-2015</t>
  </si>
  <si>
    <t>TABLA 19.1</t>
  </si>
  <si>
    <t xml:space="preserve"> NÚMERO DE PERSONAS CON RECONOCIMIENTO DE CALIDAD INDÍGENA (LEY 19.253) POR SEXO Y UNIDAD OPERATIVA, SEGÚN REGIÓN. 2013-2015</t>
  </si>
  <si>
    <t>TABLA 19.2</t>
  </si>
  <si>
    <t xml:space="preserve"> DISTRIBUCIÓN DE POBLACIÓN POR PUEBLO ORIGINARIO, SEGÚN RECONOCIMIENTO DE PUEBLOS ORIGINARIOS (LEY N° 19.253). 2012-2015</t>
  </si>
  <si>
    <t>TABLA 19.3</t>
  </si>
  <si>
    <t xml:space="preserve"> NÚMERO DE BECAS INDÍGENAS OTORGADAS POR NIVEL DE EDUCACIÓN Y SEXO SEGÚN REGIÓN.  2011-2015</t>
  </si>
  <si>
    <t>TABLA 19.4</t>
  </si>
  <si>
    <t xml:space="preserve"> MONTO DE LA INVERSIÓN EN BECAS INDÍGENAS POR NIVEL DE EDUCACIÓN, SEGÚN REGIÓN. 2011-2015</t>
  </si>
  <si>
    <t>TABLA 19.5</t>
  </si>
  <si>
    <t xml:space="preserve"> NÚMERO DE ALUMNOS INDÍGENAS BENEFICIARIOS DE BECAS INDÍGENAS POR NIVEL DE EDUCACIÓN, SEGÚN PUEBLO ORIGINARIO Y NIVEL DE EDUCACIÓN. 2011-2015</t>
  </si>
  <si>
    <t>TABLA 19.6</t>
  </si>
  <si>
    <t xml:space="preserve"> NÚMERO DE BECAS OTORGADAS EN POST-GRADO POR SEXO, SEGÚN REGIÓN. 2011-2015</t>
  </si>
  <si>
    <t>TABLA 19.7</t>
  </si>
  <si>
    <t xml:space="preserve"> NÚMERO DE PROGRAMAS FONDO DE CULTURA POR UNIDAD OPERATIVA Y MONTO DE LA INVERSIÓN, SEGÚN REGIÓN. 2011-2015</t>
  </si>
  <si>
    <t>TABLA 19.8</t>
  </si>
  <si>
    <t xml:space="preserve"> NÚMERO DE PROGRAMAS DE FONDO DE EDUCACIÓN POR UNIDAD OPERATIVA Y MONTO DE LA INVERSIÓN, SEGÚN REGIÓN. 2011-2015</t>
  </si>
  <si>
    <t>TABLA 19.9</t>
  </si>
  <si>
    <t xml:space="preserve"> DISTRIBUCIÓN REGIONAL DE FONDOS CONCURSABLES PARA SUBSIDIOS DE CAPACITACIÓN Y ESPECIALIZACIÓN DE PROFESIONALES Y TÉCNICOS INDÍGENAS POR SEXO, SEGÚN REGIÓN. 2011-2015</t>
  </si>
  <si>
    <t>TABLA 19.10</t>
  </si>
  <si>
    <t xml:space="preserve"> NÚMERO DE PROYECTOS DEL FONDO DE DESARROLLO INDÍGENA (FDI) Y MONTO DE LA INVERSIÓN, SEGÚN REGIÓN Y UNIDAD OPERATIVA. 2011-2015</t>
  </si>
  <si>
    <t>TABLA 19.11</t>
  </si>
  <si>
    <t xml:space="preserve"> NÚMERO DE INSCRIPCIONES EN EL REGISTRO PÚBLICO DE TIERRAS INDÍGENAS EMITIDOS, SEGÚN REGISTRO PÚBLICO Y REGIÓN. 2011-2015</t>
  </si>
  <si>
    <t>TABLA 20.1</t>
  </si>
  <si>
    <t xml:space="preserve"> NÚMERO DE RECINTOS ENTREGADOS POR ENCARGO DE GESTIÓN /1, SEGÚN REGIÓN. 2011-2015</t>
  </si>
  <si>
    <t>TABLA 20.2</t>
  </si>
  <si>
    <t xml:space="preserve"> NÚMERO DE PROYECTOS DEL FONDO NACIONAL DE FOMENTO PARA EL DEPORTE APROBADOS Y MONTOS, SEGÚN MODALIDAD DE ASIGNACIÓN. 2015</t>
  </si>
  <si>
    <t>TABLA 20.3</t>
  </si>
  <si>
    <t xml:space="preserve"> NÚMERO DE PROYECTOS DEL FONDO NACIONAL DE FOMENTO PARA EL DEPORTE APROBADOS Y MONTO, SEGÚN CATEGORÍA DEPORTIVA. 2015</t>
  </si>
  <si>
    <t>TABLA 20.4</t>
  </si>
  <si>
    <t xml:space="preserve"> NÚMERO DE PROYECTOS APROBADOS POR EL REGISTRO NACIONAL DE DONACIONES CON FINES DEPORTIVOS A TRAVÉS DEL SISTEMA DE FRANQUICIA TRIBUTARIA Y MONTO TOTAL DEL FINANCIAMIENTO EJECUTADO. 2011-2015</t>
  </si>
  <si>
    <t>TABLA 20.5</t>
  </si>
  <si>
    <t xml:space="preserve"> NÚMERO DE ORGANIZACIONES DEPORTIVAS INSCRITAS EN EL REGISTRO NACIONAL DE ORGANIZACIONES DEPORTIVAS (RNO), SEGÚN REGIÓN. 2011-2015</t>
  </si>
  <si>
    <t>TABLA 20.6</t>
  </si>
  <si>
    <t xml:space="preserve"> NÚMERO DE PERSONAS BENEFICIADAS CON LOS PROYECTOS APROBADOS POR SEXO, SEGÚN MODALIDAD DE ASIGNACIÓN. 2015</t>
  </si>
  <si>
    <t>TABLA 20.7</t>
  </si>
  <si>
    <t xml:space="preserve"> NÚMERO DE COMUNAS BENEFICIADAS CON LOS PROYECTOS APROBADOS, SEGÚN MODALIDAD DE ASIGNACIÓN. 2011-2015</t>
  </si>
  <si>
    <t>TABLA 20.8</t>
  </si>
  <si>
    <t xml:space="preserve"> NÚMERO DE COMPETENCIAS, SEGÚN PROGRAMA DE DEPORTE MASIVO. 2012-2015</t>
  </si>
  <si>
    <t>TABLA 20.9</t>
  </si>
  <si>
    <t xml:space="preserve"> NÚMERO DE PERSONAS PARTICIPANTES EN PROGRAMAS DE DEPORTE MASIVO/1, SEGÚN TIPO DE COMPETENCIAS. 2011-2015</t>
  </si>
  <si>
    <t>TABLA 20.10</t>
  </si>
  <si>
    <t xml:space="preserve"> NÚMERO DE DEPORTISTAS EN PROGRAMAS DE ALTO RENDIMIENTO (PRODDAR), POR SEXO, SEGÚN REGIÓN Y DISCIPLINA. 2015</t>
  </si>
  <si>
    <t>TABLA 20.11</t>
  </si>
  <si>
    <t xml:space="preserve"> NÚMERO DE FUNCIONES DE ESPECTÁCULOS PÚBLICOS DEPORTIVOS, POR TIPO DE ESPECTÁCULO. 2015/1</t>
  </si>
  <si>
    <t>TABLA 20.12</t>
  </si>
  <si>
    <t xml:space="preserve"> FUNCIONES DE ESPECTÁCULOS PÚBLICOS DEPORTIVOS POR TIPO DE ESPECTÁCULO, SEGÚN REGIÓN. 2015/1</t>
  </si>
  <si>
    <t>TABLA 20.13</t>
  </si>
  <si>
    <t xml:space="preserve"> NÚMERO DE ESPECTADORES QUE ASISTEN A LA REALIZACIÓN DE ESPECTÁCULOS PÚBLICOS DEPORTIVOS PAGANDO ENTRADA POR TIPO DE ESPECTÁCULO DEPORTIVO, SEGÚN REGIÓN. 2015/1</t>
  </si>
  <si>
    <t>TABLA 20.14</t>
  </si>
  <si>
    <t xml:space="preserve"> NÚMERO DE ESPECTADORES  QUE ASISTEN A LA REALIZACIÓN DE ESPECTÁCULOS PÚBLICOS DEPORTIVOS CON ENTRADA GRATUITA POR TIPO DE ESPECTÁCULO DEPORTIVO, SEGÚN REGIÓN. 2015/1</t>
  </si>
  <si>
    <t>TABLA 20.15</t>
  </si>
  <si>
    <t xml:space="preserve"> NÚMERO DE ESPECTADORES QUE ASISTEN A LA REALIZACIÓN DE ESPECTÁCULOS PÚBLICOS DEPORTIVOS ENTRADA GRATUITA Y PAGADA POR TIPO DE ESPECTÁCULO DEPORTIVO, SEGÚN REGIÓN. 2015/1</t>
  </si>
  <si>
    <t>TABLA 20.16</t>
  </si>
  <si>
    <t xml:space="preserve"> NÚMERO DE ASISTENTES A ESPECTÁCULOS PÚBLICOS DEPORTIVOS, PAGANDO ENTRADA, POR TIPO DE ESPECTÁCULO. 2011-2015/1</t>
  </si>
  <si>
    <t>TABLA 20.17</t>
  </si>
  <si>
    <t xml:space="preserve"> NÚMERO DE ASISTENTES A ESPECTÁCULOS PÚBLICOS DEPORTIVOS, ENTRADA GRATUITA, POR TIPO DE ESPECTÁCULO. 2011-2015/1</t>
  </si>
  <si>
    <t>TABLA 20.18</t>
  </si>
  <si>
    <t xml:space="preserve"> NÚMERO DE ASISTENTES A ESPECTÁCULOS PÚBLICOS DEPORTIVOS, ENTRADA GRATUITA Y PAGADA, POR TIPO DE ESPECTÁCULO. 2011-2015/1</t>
  </si>
  <si>
    <t>TABLA 20.19</t>
  </si>
  <si>
    <t xml:space="preserve"> NÚMERO DE ESPECTADORES ASISTENTES A ESPECTÁCULOS PÚBLICOS DEPORTIVOS CON ENTRADA GRATUITA Y PAGADA POR MES, SEGÚN REGIÓN. 2015/1</t>
  </si>
  <si>
    <t>TABLA 21.1</t>
  </si>
  <si>
    <t xml:space="preserve"> NÚMERO DE INSCRIPCIONES, CERTIFICADOS , CONSULTAS Y OTROS SERVICIOS REALIZADOS EN EL DEPARTAMENTO DE DERECHOS INTELECTUALES (DDI) DE LA DIRECCIÓN DE BIBLIOTECAS, ARCHIVOS Y MUSEOS (DIBAM), SEGÚN ÍTEM. 2011-2015</t>
  </si>
  <si>
    <t>TABLA 21.2</t>
  </si>
  <si>
    <t xml:space="preserve"> NÚMERO DE INSCRIPCIONES EN MATERIA DE DERECHOS DE AUTOR REGISTRADOS EN EL DEPARTAMENTO DE DERECHOS INTELECTUALES (DDI) DE LA DIRECCIÓN DE BIBLIOTECAS, ARCHIVOS Y MUSEOS (DIBAM), SEGÚN TIPO DE REGISTRO. 2011-2015 </t>
  </si>
  <si>
    <t>TABLA 21.3</t>
  </si>
  <si>
    <t xml:space="preserve"> NÚMERO DE INSCRIPCIONES EN MATERIA DE DERECHOS DE AUTOR A NIVEL NACIONAL REGISTRADOS EN EL DEPARTAMENTO DE DERECHOS INTELECTUALES (DDI) DE LA DIRECCIÓN DE BIBLIOTECAS, ARCHIVOS Y MUSEOS (DIBAM), SEGÚN SEXO Y TIPO DE SOLICITANTE. 2011-2015/1</t>
  </si>
  <si>
    <t>TABLA 21.4</t>
  </si>
  <si>
    <t xml:space="preserve"> INSCRIPCIÓN DE DERECHOS DE AUTOR, DERECHOS CONEXOS Y SEUDÓNIMOS, SEGÚN ORIGEN DE LA SOLICITUD, REGIÓN Y NACIONALIDAD (NACIONAL Y EXTRANJERA). 2011-2015/1</t>
  </si>
  <si>
    <t>TABLA 22.1</t>
  </si>
  <si>
    <t xml:space="preserve"> NÚMERO Y MONTOS DE PROYECTOS POSTULADOS, ELEGIBLES Y SELECCIONADOS, SEGÚN FONDOS CONCURSABLES DEL CONSEJO NACIONAL DE LA CULTURA Y LAS ARTES (CNCA). AÑO 2015 /1</t>
  </si>
  <si>
    <t>TABLA 22.2</t>
  </si>
  <si>
    <t xml:space="preserve"> NÚMERO DE PROYECTOS Y MONTOS ADJUDICADOS DEL FONDO NACIONAL DE DESARROLLO CULTURAL Y LAS ARTES (FONDART) PARA CONCURSO NACIONAL, POR LÍNEA DE CONCURSO, SEGÚN REGIÓN DE DOMICILIO DEL PARTICIPANTE. AÑO 2015 /1 /2</t>
  </si>
  <si>
    <t>TABLA 22.3</t>
  </si>
  <si>
    <t xml:space="preserve"> NÚMERO DE PROYECTOS Y MONTOS ADJUDICADOS DEL FONDO NACIONAL DE DESARROLLO CULTURAL Y LAS ARTES (FONDART) PARA CONCURSO REGIONAL, POR LÍNEA DE CONCURSO, SEGÚN REGIÓN DEL FONDO ENTREGADO. AÑO 2015 /1/2</t>
  </si>
  <si>
    <t>TABLA 22.4</t>
  </si>
  <si>
    <t xml:space="preserve"> NÚMERO DE PROYECTOS POSTULADOS Y SELECCIONADOS Y RECURSOS ASIGNADOS POR TIPO DE PERSONA (NATURAL Y JURÍDICA), SEGÚN FONDO Y AÑO 2011 - 2015</t>
  </si>
  <si>
    <t>TABLA 22.5</t>
  </si>
  <si>
    <t xml:space="preserve"> NÚMERO DE PROYECTOS POSTULADOS Y SELECCIONADOS Y RECURSOS ASIGNADOS POR SEXO PERSONAS NATURALES, SEGÚN FONDO Y AÑOS. 2011-2015</t>
  </si>
  <si>
    <t>TABLA 23.1</t>
  </si>
  <si>
    <t xml:space="preserve"> TOTAL NACIONAL DE LA ECONOMÍA Y TOTAL DE EMPRESAS Y EMPLEO POR INFORMACIÓN DE MUTUALES DE SEGURIDAD, SEGÚN DOMINIO CULTURAL. 2015 </t>
  </si>
  <si>
    <t>TABLA 23.2</t>
  </si>
  <si>
    <t xml:space="preserve"> NÚMERO DE EMPRESAS, TRABAJADORES, TRABAJADORES PROMEDIO Y REMUNERACIONES PROMEDIO PARA EMPRESAS CREATIVAS ASOCIADO A MUTUALES DE SEGURIDAD, SEGÚN DOMINIO Y SUBDOMINIO CULTURAL. 2015</t>
  </si>
  <si>
    <t>TABLA 23.3</t>
  </si>
  <si>
    <t xml:space="preserve"> NÚMERO DE EMPRESAS, NÚMERO DE TRABAJADORES Y PROMEDIO DE REMUNERACIONES EN EMPRESAS CREATIVAS, SEGÚN REGIÓN. 2015</t>
  </si>
  <si>
    <t>TABLA 23.4</t>
  </si>
  <si>
    <t xml:space="preserve"> NÚMERO DE EMPRESAS Y TRABAJADORES COTIZANTES EN MUTUALES, SU PARTICIPACION PROMEDIO POR EMPRESA Y SALARIOS PROMEDIO, SEGÚN SEXO Y DOMINIO Y SUBDOMINIO CULTURAL. 2015</t>
  </si>
  <si>
    <t>TABLA 24.1</t>
  </si>
  <si>
    <t xml:space="preserve"> COMERCIO EXTERIOR DE BIENES Y SERVICIOS CULTURALES Y CREATIVOS, SEGÚN DOMINIO CULTURAL. 2015/1</t>
  </si>
  <si>
    <t>TABLA 24.2</t>
  </si>
  <si>
    <t xml:space="preserve"> IMPORTACIÓN Y EXPORTACIÓN SEGÚN DOMINIO, SUBDOMINIO CULTURAL (MONTO EXPORTACIONES EN US$ FOB E IMPORTACIONES EN US$ CIF). 2013- 2015</t>
  </si>
  <si>
    <t>TABLA 24.3</t>
  </si>
  <si>
    <t xml:space="preserve"> MONTOS DE IMPORTACIONES Y EXPORTACIONES DE BIENES Y SERVICIOS CULTURALES Y CREATIVOS, SEGÚN DOMINIO Y SUBDOMINIO CULTURAL Y TIPO DE PRODUCTO (EXPORTACIONES EN US$ FOB E IMPORTACIONES EN US$ CIF). 2013 - 2015/1 </t>
  </si>
  <si>
    <t>TABLA 24.4</t>
  </si>
  <si>
    <t xml:space="preserve"> MONTOS DE IMPORTACIONES Y EXPORTACIONES DE BIENES Y SERVICIOS CULTURALES Y CREATIVOS, SEGÚN DOMINIO Y SUBDOMINIO CULTURAL Y TIPO DE PRODUCTO (EXPORTACIONES EN PESOS BASE 2015 FOB E IMPORTACIONES EN PESOS BASE 2015 CIF). 2013-2015/1</t>
  </si>
  <si>
    <t>TABLA 24.5</t>
  </si>
  <si>
    <t xml:space="preserve"> MONTOS DE EXPORTACIONES DE BIENES Y PRODUCTOS CULTURALES POR PAÍS DE DESTINO, SEGÚN DOMINIO Y SUBDOMINIO CULTURAL (EN US$ FOB). 2015/1 </t>
  </si>
  <si>
    <t>TABLA 24.6</t>
  </si>
  <si>
    <t xml:space="preserve"> MONTOS DE IMPORTACIONES DE BIENES Y PRODUCTOS CULTURALES POR PAÍS DE ORIGEN, SEGÚN DOMINIO Y SUBDOMINIO CULTURAL (EN US$ CIF). 2015/1</t>
  </si>
  <si>
    <t>TABLA 24.7</t>
  </si>
  <si>
    <t xml:space="preserve"> MONTOS DE IMPORTACIONES Y EXPORTACIONES DE «INSUMOS PARA LA CREACIÓN», SEGÚN DOMINIO Y SUBDOMINIO CULTURAL Y TIPO DE PRODUCTO (EXPORTACIONES EN US$ FOB E IMPORTACIONES EN US$ CIF). 2015/1</t>
  </si>
  <si>
    <t>TABLA 24.8</t>
  </si>
  <si>
    <t xml:space="preserve"> MONTOS DE IMPORTACIONES Y EXPORTACIONES DE «APARATOS PARA LA REPRODUCCIÓN», SEGÚN DOMINIO Y SUBDOMINIO CULTURAL Y TIPO DE PRODUCTO (EXPORTACIONES EN US$ FOB E IMPORTACIONES EN US$ CIF). 2015 /1  </t>
  </si>
  <si>
    <t>TABLA 24.9</t>
  </si>
  <si>
    <t xml:space="preserve"> MONTOS DE IMPORTACIONES Y EXPORTACIONES DE "PRODUCTO TERMINADO", SEGÚN DOMINIO Y SUBDOMINIO CULTURAL Y TIPO DE PRODUCTO (EXPORTACIONES EN US$ FOB E IMPORTACIONES EN US$ CIF). 2015/1</t>
  </si>
  <si>
    <t>TABLA 24.10</t>
  </si>
  <si>
    <t xml:space="preserve"> MONTOS DE EXPORTACIONES DE BIENES Y PRODUCTOS CULTURALES POR REGIÓN DE ORIGEN, SEGÚN DOMINIO Y SUBDOMINIO CULTURAL (EN US$ FOB). 2015 </t>
  </si>
  <si>
    <t>TABLA 24.11</t>
  </si>
  <si>
    <t xml:space="preserve"> MONTOS DE EXPORTACIONES DE BIENES Y PRODUCTOS CULTURALES POR REGIÓN DE ORIGEN, SEGÚN DOMINIO Y SUBDOMINIO CULTURAL Y TIPO DE PRODUCTO (EN US$ FOB). 2015</t>
  </si>
  <si>
    <t>TABLA 24.12</t>
  </si>
  <si>
    <t xml:space="preserve"> MONTOS DE EXPORTACIONES DE SERVICIOS CULTURALES, SEGÚN DOMINIO Y SUBDOMINIO CULTURAL (EN US$ FOB). 2010-2015</t>
  </si>
  <si>
    <t>TABLA 24.13</t>
  </si>
  <si>
    <t xml:space="preserve"> MONTOS DE EXPORTACIONES DE SERVICIOS CULTURALES, SEGÚN DOMINIO Y SUBDOMINIO CULTURAL (EN PESOS CORRIENTES). 2010-2015/1 </t>
  </si>
  <si>
    <t>TABLA 24.14</t>
  </si>
  <si>
    <t xml:space="preserve"> MONTOS DE EXPORTACIONES DE SERVICIOS CULTURALES, SEGÚN DOMINIO Y SUBDOMINIO CULTURAL (EN PESOS DE 2015). 2010-2015/1</t>
  </si>
  <si>
    <t>TABLA 24.15</t>
  </si>
  <si>
    <t xml:space="preserve"> DETALLE DE EXPORTACIONES DE SERVICIOS CULTURALES SEGÚN DOMINIO Y SUBDOMINIO CULTURAL (MONTO EN US$ FOB ). 2015/1  </t>
  </si>
  <si>
    <t>TABLA 24.16</t>
  </si>
  <si>
    <t xml:space="preserve"> MONTOS DE EXPORTACIONES DE SERVICIOS CULTURALES POR PAÍS DE DESTINO, SEGÚN DOMINIO Y SUBDOMINIO CULTURAL (EN US$ FOB). 2015/1 </t>
  </si>
  <si>
    <t>TABLA 24.17</t>
  </si>
  <si>
    <t xml:space="preserve"> MONTOS DE EXPORTACIONES DE SERVICIOS CULTURALES POR REGIÓN DE ORIGEN, SEGÚN DOMINIO Y SUBDOMINIO CULTURAL (EN US$ FOB). 2015</t>
  </si>
  <si>
    <t>TABLA 24.18</t>
  </si>
  <si>
    <t xml:space="preserve"> MONTOS DE EXPORTACIONES DE SERVICIOS CULTURALES POR REGIÓN DE ORIGEN, SEGÚN TIPO DE SERVICIO (EN US$ FOB). 2015</t>
  </si>
  <si>
    <t>TABLA 25.1</t>
  </si>
  <si>
    <t xml:space="preserve"> PRESUPUESTO PÚBLICO DESTINADO A CULTURA Y TIEMPO LIBRE, SEGÚN INSTITUCIONES CULTURALES. 2015/1</t>
  </si>
  <si>
    <t>TABLA 25.2</t>
  </si>
  <si>
    <t xml:space="preserve"> PRESUPUESTO PÚBLICO DESTINADO A CULTURA Y TIEMPO LIBRE, SEGÚN INSTITUCIONES AFINES A LA CULTURA. 2015/1 </t>
  </si>
  <si>
    <t>TABLA 25.3</t>
  </si>
  <si>
    <t xml:space="preserve"> PRESUPUESTO PÚBLICO DESTINADO A CULTURA Y TIEMPO LIBRE, SEGÚN INSTITUCIONES CON PROGRAMAS CULTURALES. 2015/1</t>
  </si>
  <si>
    <t>TABLA 25.4</t>
  </si>
  <si>
    <t xml:space="preserve"> PRESUPUESTO PÚBLICO EJECUTADO DESTINADO A CULTURA Y TIEMPO LIBRE, SEGÚN INSTITUCIONES CON PROGRAMAS CULTURALES. 2015 </t>
  </si>
  <si>
    <t>TABLA 25.5</t>
  </si>
  <si>
    <t xml:space="preserve"> DISTRIBUCIÓN PORCENTUAL DEL PRESUPUESTO DESTINADO A CULTURA Y TIEMPO LIBRE, SEGÚN INSTITUCIONES CULTURALES, AFINES A LA CULTURA Y PROGRAMAS CULTURALES. 2015</t>
  </si>
  <si>
    <t>TABLA 26.1</t>
  </si>
  <si>
    <t xml:space="preserve"> NÚMERO DE DENUNCIAS SIN APREHENDIDOS Y DENUNCIAS CON APREHENDIDOS, Y NÚMERO DE APREHENDIDOS, POR INFRACCIONES A LA LEY DE PROPIEDAD INTELECTUAL (N° 17.336), CÓDIGO Nº 09099 «OTROS DELITOS CONTRA LA LEY DE PROPIEDAD INTELECTUAL», SEGÚN REGIÓN. 2015</t>
  </si>
  <si>
    <t>TABLA 26.2</t>
  </si>
  <si>
    <t xml:space="preserve"> NÚMERO DE APREHENDIDOS/1 POR INFRACCIONES LA LEY DE PROPIEDAD INTELECTUAL (N° 17.336), CÓDIGO N° 09099 «OTROS DELITOS CONTRA LA LEY DE PROPIEDAD INTELECTUAL», POR SEXO, EDAD, SEGÚN REGIÓN. 2015</t>
  </si>
  <si>
    <t>TABLA 26.3</t>
  </si>
  <si>
    <t xml:space="preserve"> NÚMERO DE DENUNCIAS POR «FALSIFICACIÓN DE OBRAS PROTEGIDAS» Y «VENTA ILÍCITA DE OBRAS PROTEGIDAS», LEY DE PROPIEDAD INTELECTUAL (N° 17.336), ART. 80 b, SEGÚN REGIÓN. 2015</t>
  </si>
  <si>
    <t>TABLA 26.4</t>
  </si>
  <si>
    <t xml:space="preserve"> NÚMERO DE APREHENDIDOS/1 POR INFRACCIONES A LA LEY DE PROPIEDAD INTELECTUAL (N° 17.336), CÓDIGO N° 09002 «FALSIFICACIÓN DE OBRAS PROTEGIDAS» Y CÓDIGO N° 09003 «VENTA ILÍCITA DE OBRAS PROTEGIDAS», POR SEXO, SEGÚN REGIÓN. 2015</t>
  </si>
  <si>
    <t>TABLA 26.5</t>
  </si>
  <si>
    <t xml:space="preserve"> NÚMERO DE DELITOS POR INFRACCIONES A LA LEY DE PROPIEDAD INTELECTUAL (N° 17.336) INVESTIGADOS POR LA POLICÍA DE INVESTIGACIONES DE CHILE (PDI), SEGÚN REGIÓN POLICIAL EN QUE SE HIZO LA DENUNCIA. 2015</t>
  </si>
  <si>
    <t>TABLA 26.6</t>
  </si>
  <si>
    <t xml:space="preserve"> NÚMERO DE DELITOS POR INFRACCIONES A LA LEY DE PROPIEDAD INTELECTUAL (N° 17.336) INVESTIGADOS POR LA POLICÍA DE INVESTIGACIONES DE CHILE (PDI), SEGÚN REGIÓN POLICIAL EN QUE SE HIZO LA DENUNCIA Y COMUNA DE OCURRENCIA DEL DELITO. 2015</t>
  </si>
  <si>
    <t>TABLA 26.7</t>
  </si>
  <si>
    <t xml:space="preserve"> NÚMERO DE DELITOS POR INFRACCIONES A LA LEY DE PROPIEDAD INTELECTUAL (N° 17.336) INVESTIGADOS POR LA POLICÍA DE INVESTIGACIONES DE CHILE (PDI), SEGÚN REGIÓN POLICIAL Y BIEN AFECTADO. 2015</t>
  </si>
  <si>
    <t>TABLA 26.8</t>
  </si>
  <si>
    <t xml:space="preserve"> NÚMERO DE DETENIDOS POR LA POLICÍA DE INVESTIGACIONES DE CHILE (PDI) POR INFRACCIONES A LA LEY DE PROPIEDAD INTELECTUAL (N° 17.336) POR DELITO, SEGÚN REGIÓN POLICIAL. 2015</t>
  </si>
  <si>
    <t>TABLA 26.9</t>
  </si>
  <si>
    <t xml:space="preserve"> NÚMERO DE DETENIDOS POR LA POLICÍA DE INVESTIGACIONES DE CHILE (PDI) POR INFRACCIONES A LA LEY DE PROPIEDAD INTELECTUAL (N° 17.336) POR DELITO, SEGÚN REGIÓN POLICIAL Y SEXO. 2015</t>
  </si>
  <si>
    <t>TABLA 26.10</t>
  </si>
  <si>
    <t xml:space="preserve"> NÚMERO DE DETENIDOS POR LA POLICÍA DE INVESTIGACIONES DE CHILE (PDI) POR INFRACCIONES A LA LEY DE PROPIEDAD INTELECTUAL (N° 17.336) POR DELITO, SEGÚN REGIÓN POLICIAL Y NACIONALIDAD. 2015</t>
  </si>
  <si>
    <t>TABLA 26.11</t>
  </si>
  <si>
    <t xml:space="preserve"> NÚMERO DE DETENIDOS POR LA POLICÍA DE INVESTIGACIONES DE CHILE (PDI) POR INFRACCIONES A LA LEY DE PROPIEDAD INTELECTUAL (N° 17.336) POR DELITO, SEGÚN REGIÓN POLICIAL Y GRUPOS DE EDAD. 2015</t>
  </si>
  <si>
    <t>TABLA 26.12</t>
  </si>
  <si>
    <t xml:space="preserve"> ARTÍCULOS INCAUTADOS POR LA POLICÍA DE INVESTIGACIONES DE CHILE (PDI) POR INFRACCIONES A LA LEY DE PROPIEDAD INTELECTUAL (N° 17.336), SEGÚN REGIÓN Y UNIDAD POLICIAL. 2015</t>
  </si>
  <si>
    <t>TABLA 26.13</t>
  </si>
  <si>
    <t xml:space="preserve"> CANTIDAD DE DETENIDOS POR LA POLICÍA DE INVESTIGACIONES DE CHILE (PDI) POR INFRACCIONES A LA LEY DE PROPIEDAD INTELECTUAL (N° 17.336), SEGÚN REGIÓN POLICIAL Y COMUNA RESIDENCIA DETENIDO. 2015</t>
  </si>
  <si>
    <t>TABLA 26.14</t>
  </si>
  <si>
    <t xml:space="preserve"> CANTIDAD DE DENUNCIAS EN LA POLICÍA DE INVESTIGACIONES DE CHILE (PDI) POR INFRACCIONES A LA LEY DE PROPIEDAD INTELECTUAL (N° 17.336), SEGÚN REGIÓN POLICIAL. 2015</t>
  </si>
  <si>
    <t>TABLA 26.15</t>
  </si>
  <si>
    <t xml:space="preserve"> CANTIDAD DE DENUNCIAS DE LA POLICÍA DE INVESTIGACIONES DE CHILE (PDI) POR INFRACCIONES A LA LEY DE PROPIEDAD INTELECTUAL (N° 17.336), SEGÚN BIEN AFECTADO. 2015</t>
  </si>
  <si>
    <t>TABLA 26.16</t>
  </si>
  <si>
    <t xml:space="preserve"> CANTIDAD DE DENUNCIAS DE LA POLICÍA DE INVESTIGACIONES DE CHILE (PDI) POR INFRACCIONES A LA LEY DE PROPIEDAD INTELECTUAL (N° 17.336), SEGÚN REGIÓN POLICIAL Y COMUNA DEL DELITO. 2015</t>
  </si>
  <si>
    <t>TABLA 26.17</t>
  </si>
  <si>
    <t xml:space="preserve"> IMPUTADOS POR INFRACCIÓN A LA LEY 17.336 DE PROPIEDAD INTELECTUAL, SEGÚN CORTE DE APELACIÓN. 2015</t>
  </si>
  <si>
    <t>TABLA 26.18</t>
  </si>
  <si>
    <t xml:space="preserve"> CONDENADOS POR IMPUTADOS POR INFRACCIONES A LA LEY N° 17.336, DE PROPIEDAD INTELECTUAL, SEGÚN CORTE DE APELACIÓN. 2015</t>
  </si>
  <si>
    <t>TABLA 26.19</t>
  </si>
  <si>
    <t xml:space="preserve"> CAUSAS INGRESADAS Y TERMINADAS EN JUZGADOS DE GARANTÍA Y DE LETRAS Y GARANTÍA POR IMPUTADOS POR INFRACCIONES A LA LEY N° 17.336, DE PROPIEDAD INTELECTUAL, SEGÚN CORTE DE APELACIÓN. 2015</t>
  </si>
  <si>
    <t>TABLA  26.20</t>
  </si>
  <si>
    <t xml:space="preserve"> DELITOS INGRESADOS AL MINISTERIO PÚBLICO EN RELACIÓN A LA LEY N° 17.336, DE PROPIEDAD INTELECTUAL, SEGÚN REGIÓN Y FISCALÍA. 2011-2015</t>
  </si>
  <si>
    <t>TABLA 26.21</t>
  </si>
  <si>
    <t xml:space="preserve"> DELITOS TERMINADOS EN EL MINISTERIO PÚBLICO EN RELACIÓN A LA LEY N° 17.336, DE PROPIEDAD INTELECTUAL, SEGÚN REGIÓN Y FISCALÍA. 2011-2015/1</t>
  </si>
  <si>
    <t>TABLA 26.22</t>
  </si>
  <si>
    <t xml:space="preserve"> SENTENCIAS DEFINITIVAS CONDENATORIAS EN RELACIÓN A LA LEY N° 17.336, DE PROPIEDAD INTELECTUAL, SEGÚN REGIÓN Y FISCALÍA. 2011-2015</t>
  </si>
  <si>
    <t>N° DE TABLA</t>
  </si>
  <si>
    <t>TABLA 16.38: NÚMERO DE SALAS DE EXHIBICIÓN Y CAPACIDAD, SEGÚN REGIÓN 2015</t>
  </si>
  <si>
    <t>TABLA 16.39: NÚMERO DE ESPECTADORES, POR ORIGEN DE LA PELÍCULA 2015.</t>
  </si>
  <si>
    <t>TABLA 16.41: NÚMERO DE ESPECTADORES POR CALIFICACIÓN CINEMATOGRÁFICA DE LA PELÍCULA, SEGÚN REGIÓN 2015.</t>
  </si>
  <si>
    <t>TABLA 16.38</t>
  </si>
  <si>
    <t xml:space="preserve"> NÚMERO DE SALAS DE EXHIBICIÓN Y CAPACIDAD, SEGÚN REGIÓN 2015</t>
  </si>
  <si>
    <t>TABLA 16.39</t>
  </si>
  <si>
    <t xml:space="preserve"> NÚMERO DE ESPECTADORES, POR ORIGEN DE LA PELÍCULA 2015.</t>
  </si>
  <si>
    <t>TABLA 16.41</t>
  </si>
  <si>
    <t xml:space="preserve"> NÚMERO DE ESPECTADORES POR CALIFICACIÓN CINEMATOGRÁFICA DE LA PELÍCULA, SEGÚN REGIÓN 2015.</t>
  </si>
  <si>
    <t>TABLA 14.17:  MONTOS DE RECAUDACIÓN Y DISTRIBUCIÓN DE DERECHOS DE EJECUCIÓN CONEXOS DE LA SOCIEDAD DE PRODUCTORES FONOGRÁFICOS Y VIDEOGRÁFICOS DE CHILE A.G. (PROFOVI), SEGÚN RUBRO Y SELLO. 2012-2015</t>
  </si>
  <si>
    <t>MONTOS DE RECAUDACIÓN Y DISTRIBUCIÓN DE DERECHOS DE EJECUCIÓN CONEXOS DE LA SOCIEDAD DE PRODUCTORES FONOGRÁFICOS Y VIDEOGRÁFICOS DE CHILE A.G. (PROFOVI), SEGÚN RUBRO Y SELLO. 2012-2015</t>
  </si>
  <si>
    <r>
      <t>TABLA 14.18: MONTOS DE RECAUDACIÓN Y DISTRIBUCIÓN DE DERECHOS DE REPRODUCCIÓN DE LA SOCIEDAD DE PRODUCTORES FONOGRÁFICOS Y VIDEOGRÁFICOS DE CHILE A.G. (PROFOVI), SEGÚN SELLO. 2012-2015</t>
    </r>
    <r>
      <rPr>
        <b/>
        <vertAlign val="superscript"/>
        <sz val="8"/>
        <color indexed="8"/>
        <rFont val="Verdana"/>
        <family val="2"/>
      </rPr>
      <t>/1</t>
    </r>
  </si>
  <si>
    <t>MONTOS DE RECAUDACIÓN Y DISTRIBUCIÓN DE DERECHOS DE REPRODUCCIÓN DE LA SOCIEDAD DE PRODUCTORES FONOGRÁFICOS Y VIDEOGRÁFICOS DE CHILE A.G. (PROFOVI), SEGÚN SELLO. 2012-2015/1</t>
  </si>
  <si>
    <t>TABLA 15.43: NÚMERO DE POSTULANTES Y NÚMERO DE GANADORES DE CONCURSO DE LECTORES INFANTILES, SEGÚN REGIÓN, SEXO Y GRUPO DE EDAD. 2013-2015</t>
  </si>
  <si>
    <t>NÚMERO DE POSTULANTES Y NÚMERO DE GANADORES DE CONCURSO DE LECTORES INFANTILES, SEGÚN REGIÓN, SEXO Y GRUPO DE EDAD. 2013-2015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</si>
</sst>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2" formatCode="_ &quot;$&quot;* #,##0_ ;_ &quot;$&quot;* \-#,##0_ ;_ &quot;$&quot;* &quot;-&quot;_ ;_ @_ "/>
    <numFmt numFmtId="164" formatCode="&quot;$&quot;\ #,##0;\-&quot;$&quot;\ #,##0"/>
    <numFmt numFmtId="165" formatCode="&quot;$&quot;\ #,##0;[Red]\-&quot;$&quot;\ #,##0"/>
    <numFmt numFmtId="166" formatCode="_-* #,##0_-;\-* #,##0_-;_-* &quot;-&quot;_-;_-@_-"/>
    <numFmt numFmtId="167" formatCode="_-&quot;$&quot;\ * #,##0.00_-;\-&quot;$&quot;\ * #,##0.00_-;_-&quot;$&quot;\ * &quot;-&quot;??_-;_-@_-"/>
    <numFmt numFmtId="168" formatCode="_-* #,##0.00_-;\-* #,##0.00_-;_-* &quot;-&quot;??_-;_-@_-"/>
    <numFmt numFmtId="169" formatCode="_-* #,##0_-;\-* #,##0_-;_-* &quot;-&quot;??_-;_-@_-"/>
    <numFmt numFmtId="170" formatCode="0.0"/>
    <numFmt numFmtId="171" formatCode="#,##0_ ;\-#,##0\ "/>
    <numFmt numFmtId="172" formatCode="0.0%"/>
    <numFmt numFmtId="173" formatCode="_-* #,##0.0_-;\-* #,##0.0_-;_-* &quot;-&quot;??_-;_-@_-"/>
    <numFmt numFmtId="174" formatCode="_(* #,##0.00_);_(* \(#,##0.00\);_(* &quot;-&quot;??_);_(@_)"/>
    <numFmt numFmtId="175" formatCode="_(* #,##0_);_(* \(#,##0\);_(* &quot;-&quot;??_);_(@_)"/>
    <numFmt numFmtId="176" formatCode="_-[$€-2]\ * #,##0.00_-;\-[$€-2]\ * #,##0.00_-;_-[$€-2]\ * &quot;-&quot;??_-"/>
    <numFmt numFmtId="177" formatCode="_-* #,##0.00\ &quot;€&quot;_-;\-* #,##0.00\ &quot;€&quot;_-;_-* &quot;-&quot;??\ &quot;€&quot;_-;_-@_-"/>
    <numFmt numFmtId="178" formatCode="###0"/>
    <numFmt numFmtId="179" formatCode="&quot;$&quot;\ #,##0"/>
    <numFmt numFmtId="180" formatCode="_-&quot;$&quot;\ * #,##0_-;\-&quot;$&quot;\ * #,##0_-;_-&quot;$&quot;\ * &quot;-&quot;??_-;_-@_-"/>
    <numFmt numFmtId="181" formatCode="[$$-340A]\ #,##0"/>
    <numFmt numFmtId="182" formatCode="0_ ;\-0\ "/>
    <numFmt numFmtId="183" formatCode="0\ &quot;%&quot;"/>
    <numFmt numFmtId="184" formatCode="0.0\ &quot;%&quot;"/>
    <numFmt numFmtId="185" formatCode="#,###,##0;\-#,###,##0"/>
    <numFmt numFmtId="186" formatCode="[$-1010C0A]General"/>
    <numFmt numFmtId="187" formatCode="[$-1010C0A]#,##0.0;\-#,##0.0"/>
    <numFmt numFmtId="188" formatCode="_(* #,##0.0_);_(* \(#,##0.0\);_(* &quot;-&quot;??_);_(@_)"/>
    <numFmt numFmtId="189" formatCode="[$-1010C0A]#,##0;\-#,##0"/>
    <numFmt numFmtId="190" formatCode="#,##0.0"/>
    <numFmt numFmtId="191" formatCode="_-* #,##0.0_-;\-* #,##0.0_-;_-* &quot;-&quot;_-;_-@_-"/>
    <numFmt numFmtId="192" formatCode="_-* #,##0.00\ _€_-;\-* #,##0.00\ _€_-;_-* &quot;-&quot;??\ _€_-;_-@_-"/>
    <numFmt numFmtId="193" formatCode="[$$-340A]\ #,##0;\-[$$-340A]\ #,##0"/>
    <numFmt numFmtId="194" formatCode="[$$-2C0A]\ #,##0;[$$-2C0A]\ \-#,##0"/>
    <numFmt numFmtId="195" formatCode="_-* #,##0.00_-;\-* #,##0.00_-;_-* &quot;-&quot;_-;_-@_-"/>
    <numFmt numFmtId="196" formatCode="[$-C0A]mmmm\-yy;@"/>
    <numFmt numFmtId="197" formatCode="0.0000000000"/>
    <numFmt numFmtId="198" formatCode="0.00000000000000"/>
  </numFmts>
  <fonts count="9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8"/>
      <name val="Verdana"/>
      <family val="2"/>
    </font>
    <font>
      <b/>
      <sz val="8"/>
      <name val="Verdana"/>
      <family val="2"/>
    </font>
    <font>
      <b/>
      <vertAlign val="superscript"/>
      <sz val="8"/>
      <name val="Verdana"/>
      <family val="2"/>
    </font>
    <font>
      <b/>
      <sz val="8"/>
      <color theme="1"/>
      <name val="Verdana"/>
      <family val="2"/>
    </font>
    <font>
      <sz val="8"/>
      <color theme="1"/>
      <name val="Verdana"/>
      <family val="2"/>
    </font>
    <font>
      <sz val="8"/>
      <color rgb="FFFF0000"/>
      <name val="Verdana"/>
      <family val="2"/>
    </font>
    <font>
      <b/>
      <sz val="10"/>
      <color rgb="FF000000"/>
      <name val="Arial"/>
      <family val="2"/>
    </font>
    <font>
      <sz val="10"/>
      <color rgb="FF000000"/>
      <name val="Arial"/>
      <family val="2"/>
    </font>
    <font>
      <vertAlign val="superscript"/>
      <sz val="8"/>
      <name val="Verdana"/>
      <family val="2"/>
    </font>
    <font>
      <b/>
      <sz val="10"/>
      <name val="Verdana"/>
      <family val="2"/>
    </font>
    <font>
      <sz val="10"/>
      <name val="Verdana"/>
      <family val="2"/>
    </font>
    <font>
      <b/>
      <sz val="8"/>
      <color rgb="FF000000"/>
      <name val="Verdana"/>
      <family val="2"/>
    </font>
    <font>
      <sz val="8"/>
      <color rgb="FF000000"/>
      <name val="Verdana"/>
      <family val="2"/>
    </font>
    <font>
      <b/>
      <sz val="8"/>
      <color indexed="8"/>
      <name val="Verdana"/>
      <family val="2"/>
    </font>
    <font>
      <sz val="8"/>
      <color indexed="8"/>
      <name val="Verdana"/>
      <family val="2"/>
    </font>
    <font>
      <b/>
      <vertAlign val="superscript"/>
      <sz val="8"/>
      <color indexed="8"/>
      <name val="Verdana"/>
      <family val="2"/>
    </font>
    <font>
      <b/>
      <vertAlign val="superscript"/>
      <sz val="8"/>
      <color theme="1"/>
      <name val="Verdana"/>
      <family val="2"/>
    </font>
    <font>
      <b/>
      <sz val="8"/>
      <color indexed="10"/>
      <name val="Verdana"/>
      <family val="2"/>
    </font>
    <font>
      <vertAlign val="superscript"/>
      <sz val="8"/>
      <color indexed="8"/>
      <name val="Verdana"/>
      <family val="2"/>
    </font>
    <font>
      <b/>
      <sz val="8"/>
      <color rgb="FFFF0000"/>
      <name val="Verdana"/>
      <family val="2"/>
    </font>
    <font>
      <sz val="11"/>
      <name val="Calibri"/>
      <family val="2"/>
      <scheme val="minor"/>
    </font>
    <font>
      <sz val="8"/>
      <color theme="1"/>
      <name val="Calibri"/>
      <family val="2"/>
      <scheme val="minor"/>
    </font>
    <font>
      <sz val="8"/>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sz val="10"/>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name val="Arial Narrow"/>
      <family val="2"/>
    </font>
    <font>
      <sz val="10"/>
      <name val="Arial Narrow"/>
      <family val="2"/>
    </font>
    <font>
      <sz val="12"/>
      <name val="Calibri"/>
      <family val="2"/>
      <scheme val="minor"/>
    </font>
    <font>
      <sz val="12"/>
      <name val="Times New Roman"/>
      <family val="1"/>
    </font>
    <font>
      <sz val="8"/>
      <color rgb="FF002060"/>
      <name val="Verdana"/>
      <family val="2"/>
    </font>
    <font>
      <sz val="6"/>
      <color indexed="8"/>
      <name val="Verdana"/>
      <family val="2"/>
    </font>
    <font>
      <sz val="10"/>
      <color indexed="8"/>
      <name val="Arial"/>
      <family val="2"/>
    </font>
    <font>
      <sz val="8"/>
      <name val="Arial"/>
      <family val="2"/>
    </font>
    <font>
      <sz val="8"/>
      <color indexed="8"/>
      <name val="Arial"/>
      <family val="2"/>
    </font>
    <font>
      <b/>
      <sz val="8"/>
      <color rgb="FFCC0066"/>
      <name val="Verdana"/>
      <family val="2"/>
    </font>
    <font>
      <b/>
      <sz val="10"/>
      <name val="Arial"/>
      <family val="2"/>
    </font>
    <font>
      <b/>
      <sz val="8"/>
      <color indexed="9"/>
      <name val="Verdana"/>
      <family val="2"/>
    </font>
    <font>
      <b/>
      <sz val="8"/>
      <color rgb="FF0000FF"/>
      <name val="Verdana"/>
      <family val="2"/>
    </font>
    <font>
      <vertAlign val="superscript"/>
      <sz val="8"/>
      <color rgb="FF000000"/>
      <name val="Verdana"/>
      <family val="2"/>
    </font>
    <font>
      <sz val="8"/>
      <color rgb="FF0000FF"/>
      <name val="Verdana"/>
      <family val="2"/>
    </font>
    <font>
      <vertAlign val="superscript"/>
      <sz val="8"/>
      <color theme="1"/>
      <name val="Verdana"/>
      <family val="2"/>
    </font>
    <font>
      <sz val="9"/>
      <name val="Verdana"/>
      <family val="2"/>
    </font>
    <font>
      <b/>
      <sz val="9"/>
      <color rgb="FFCC0066"/>
      <name val="Verdana"/>
      <family val="2"/>
    </font>
    <font>
      <sz val="9"/>
      <name val="Arial"/>
      <family val="2"/>
    </font>
    <font>
      <sz val="8"/>
      <name val="Calibri"/>
      <family val="2"/>
    </font>
    <font>
      <b/>
      <sz val="9"/>
      <color rgb="FFFF0000"/>
      <name val="Verdana"/>
      <family val="2"/>
    </font>
    <font>
      <b/>
      <sz val="9"/>
      <name val="Arial"/>
      <family val="2"/>
    </font>
    <font>
      <b/>
      <sz val="11"/>
      <name val="Calibri"/>
      <family val="2"/>
    </font>
    <font>
      <b/>
      <sz val="9"/>
      <name val="Verdana"/>
      <family val="2"/>
    </font>
    <font>
      <sz val="8"/>
      <color rgb="FF222222"/>
      <name val="Verdana"/>
      <family val="2"/>
    </font>
    <font>
      <b/>
      <sz val="8"/>
      <color rgb="FF222222"/>
      <name val="Verdana"/>
      <family val="2"/>
    </font>
    <font>
      <b/>
      <vertAlign val="superscript"/>
      <sz val="8"/>
      <color rgb="FF222222"/>
      <name val="Verdana"/>
      <family val="2"/>
    </font>
    <font>
      <b/>
      <sz val="6"/>
      <color indexed="8"/>
      <name val="Verdana"/>
      <family val="2"/>
    </font>
    <font>
      <b/>
      <sz val="6"/>
      <name val="Verdana"/>
      <family val="2"/>
    </font>
    <font>
      <b/>
      <sz val="5.95"/>
      <color indexed="8"/>
      <name val="Verdana"/>
      <family val="2"/>
    </font>
    <font>
      <sz val="10"/>
      <name val="MS Sans Serif"/>
      <family val="2"/>
    </font>
    <font>
      <i/>
      <sz val="8"/>
      <name val="Verdana"/>
      <family val="2"/>
    </font>
    <font>
      <sz val="11"/>
      <color rgb="FF1F497D"/>
      <name val="Calibri"/>
      <family val="2"/>
      <scheme val="minor"/>
    </font>
    <font>
      <b/>
      <sz val="10"/>
      <color rgb="FF000000"/>
      <name val="Arial Narrow"/>
      <family val="2"/>
    </font>
    <font>
      <sz val="10"/>
      <color rgb="FF000000"/>
      <name val="Arial Narrow"/>
      <family val="2"/>
    </font>
    <font>
      <sz val="10"/>
      <color rgb="FF1F497D"/>
      <name val="Calibri"/>
      <family val="2"/>
      <scheme val="minor"/>
    </font>
    <font>
      <b/>
      <sz val="10"/>
      <color rgb="FF17365D"/>
      <name val="Calibri"/>
      <family val="2"/>
      <scheme val="minor"/>
    </font>
    <font>
      <sz val="10"/>
      <color rgb="FF17365D"/>
      <name val="Calibri"/>
      <family val="2"/>
      <scheme val="minor"/>
    </font>
    <font>
      <sz val="9"/>
      <color rgb="FF17365D"/>
      <name val="Calibri"/>
      <family val="2"/>
      <scheme val="minor"/>
    </font>
    <font>
      <u/>
      <sz val="11"/>
      <color theme="10"/>
      <name val="Calibri"/>
      <family val="2"/>
    </font>
    <font>
      <sz val="8"/>
      <color rgb="FF17365D"/>
      <name val="Calibri"/>
      <family val="2"/>
      <scheme val="minor"/>
    </font>
    <font>
      <u/>
      <sz val="11"/>
      <color theme="10"/>
      <name val="Calibri"/>
      <family val="2"/>
      <scheme val="minor"/>
    </font>
    <font>
      <sz val="8"/>
      <color rgb="FF000080"/>
      <name val="Verdana"/>
      <family val="2"/>
    </font>
    <font>
      <b/>
      <i/>
      <sz val="8"/>
      <name val="Verdana"/>
      <family val="2"/>
    </font>
    <font>
      <b/>
      <sz val="9"/>
      <color theme="1"/>
      <name val="Verdana"/>
      <family val="2"/>
    </font>
  </fonts>
  <fills count="27">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s>
  <borders count="17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style="thin">
        <color rgb="FFD3D3D3"/>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right/>
      <top/>
      <bottom style="thin">
        <color rgb="FFD3D3D3"/>
      </bottom>
      <diagonal/>
    </border>
    <border>
      <left style="thin">
        <color rgb="FFD3D3D3"/>
      </left>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9"/>
      </left>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8"/>
      </left>
      <right style="thin">
        <color indexed="8"/>
      </right>
      <top/>
      <bottom/>
      <diagonal/>
    </border>
    <border>
      <left/>
      <right/>
      <top style="thin">
        <color indexed="8"/>
      </top>
      <bottom/>
      <diagonal/>
    </border>
    <border>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8"/>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9"/>
      </bottom>
      <diagonal/>
    </border>
    <border>
      <left style="thin">
        <color indexed="8"/>
      </left>
      <right style="thin">
        <color indexed="8"/>
      </right>
      <top/>
      <bottom style="thin">
        <color indexed="8"/>
      </bottom>
      <diagonal/>
    </border>
    <border>
      <left style="thin">
        <color indexed="64"/>
      </left>
      <right style="thin">
        <color auto="1"/>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style="thin">
        <color indexed="8"/>
      </top>
      <bottom/>
      <diagonal/>
    </border>
    <border>
      <left style="thin">
        <color indexed="8"/>
      </left>
      <right style="thin">
        <color auto="1"/>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9"/>
      </bottom>
      <diagonal/>
    </border>
    <border>
      <left/>
      <right style="thin">
        <color indexed="8"/>
      </right>
      <top style="thin">
        <color indexed="8"/>
      </top>
      <bottom style="thin">
        <color indexed="9"/>
      </bottom>
      <diagonal/>
    </border>
    <border>
      <left style="thin">
        <color indexed="8"/>
      </left>
      <right style="thin">
        <color auto="1"/>
      </right>
      <top/>
      <bottom style="thin">
        <color indexed="8"/>
      </bottom>
      <diagonal/>
    </border>
    <border>
      <left style="thin">
        <color indexed="8"/>
      </left>
      <right style="thin">
        <color indexed="8"/>
      </right>
      <top style="thin">
        <color indexed="8"/>
      </top>
      <bottom style="thin">
        <color auto="1"/>
      </bottom>
      <diagonal/>
    </border>
    <border>
      <left/>
      <right style="thin">
        <color indexed="10"/>
      </right>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style="thin">
        <color indexed="10"/>
      </left>
      <right style="thin">
        <color indexed="10"/>
      </right>
      <top style="thin">
        <color indexed="10"/>
      </top>
      <bottom/>
      <diagonal/>
    </border>
    <border>
      <left/>
      <right/>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64"/>
      </top>
      <bottom/>
      <diagonal/>
    </border>
    <border>
      <left style="thin">
        <color indexed="10"/>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64"/>
      </left>
      <right style="thin">
        <color auto="1"/>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auto="1"/>
      </left>
      <right style="medium">
        <color indexed="64"/>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style="thin">
        <color indexed="64"/>
      </bottom>
      <diagonal/>
    </border>
    <border>
      <left style="thin">
        <color indexed="8"/>
      </left>
      <right/>
      <top style="thin">
        <color indexed="8"/>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9"/>
      </right>
      <top style="thin">
        <color indexed="8"/>
      </top>
      <bottom/>
      <diagonal/>
    </border>
    <border>
      <left style="thin">
        <color auto="1"/>
      </left>
      <right style="thin">
        <color indexed="64"/>
      </right>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36458">
    <xf numFmtId="0" fontId="0"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174" fontId="4" fillId="0" borderId="0" applyFont="0" applyFill="0" applyBorder="0" applyAlignment="0" applyProtection="0"/>
    <xf numFmtId="0" fontId="28" fillId="0" borderId="0"/>
    <xf numFmtId="0" fontId="1" fillId="0" borderId="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2" fillId="18" borderId="49" applyNumberFormat="0" applyAlignment="0" applyProtection="0"/>
    <xf numFmtId="0" fontId="32" fillId="18" borderId="49" applyNumberFormat="0" applyAlignment="0" applyProtection="0"/>
    <xf numFmtId="0" fontId="32" fillId="18" borderId="49" applyNumberFormat="0" applyAlignment="0" applyProtection="0"/>
    <xf numFmtId="0" fontId="33" fillId="0" borderId="50" applyNumberFormat="0" applyFill="0" applyAlignment="0" applyProtection="0"/>
    <xf numFmtId="0" fontId="33" fillId="0" borderId="50" applyNumberFormat="0" applyFill="0" applyAlignment="0" applyProtection="0"/>
    <xf numFmtId="0" fontId="33" fillId="0" borderId="5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176"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4" fontId="4" fillId="0" borderId="0" applyFont="0" applyFill="0" applyBorder="0" applyAlignment="0" applyProtection="0">
      <alignment wrapText="1"/>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2" fontId="4" fillId="0" borderId="0" applyFont="0" applyFill="0" applyBorder="0" applyAlignment="0" applyProtection="0"/>
    <xf numFmtId="167" fontId="4" fillId="0" borderId="0" applyFont="0" applyFill="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53" applyNumberFormat="0" applyFill="0" applyAlignment="0" applyProtection="0"/>
    <xf numFmtId="0" fontId="43" fillId="0" borderId="53" applyNumberFormat="0" applyFill="0" applyAlignment="0" applyProtection="0"/>
    <xf numFmtId="0" fontId="43" fillId="0" borderId="53"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34" fillId="0" borderId="55" applyNumberFormat="0" applyFill="0" applyAlignment="0" applyProtection="0"/>
    <xf numFmtId="0" fontId="34" fillId="0" borderId="55" applyNumberFormat="0" applyFill="0" applyAlignment="0" applyProtection="0"/>
    <xf numFmtId="0" fontId="34" fillId="0" borderId="5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 fillId="0" borderId="0"/>
    <xf numFmtId="0" fontId="47" fillId="0" borderId="0"/>
    <xf numFmtId="0" fontId="48" fillId="0" borderId="0"/>
    <xf numFmtId="0" fontId="4" fillId="0" borderId="0"/>
    <xf numFmtId="0" fontId="1" fillId="0" borderId="0"/>
    <xf numFmtId="167" fontId="1" fillId="0" borderId="0" applyFont="0" applyFill="0" applyBorder="0" applyAlignment="0" applyProtection="0"/>
    <xf numFmtId="174" fontId="4" fillId="0" borderId="0" applyFont="0" applyFill="0" applyBorder="0" applyAlignment="0" applyProtection="0"/>
    <xf numFmtId="0" fontId="38" fillId="0" borderId="0"/>
    <xf numFmtId="168" fontId="4" fillId="0" borderId="0" applyFont="0" applyFill="0" applyBorder="0" applyAlignment="0" applyProtection="0"/>
    <xf numFmtId="0" fontId="4" fillId="0" borderId="0"/>
    <xf numFmtId="174" fontId="4"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192"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 fillId="0" borderId="0"/>
    <xf numFmtId="0" fontId="77" fillId="0" borderId="0"/>
    <xf numFmtId="168"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86" fillId="0" borderId="0" applyNumberFormat="0" applyFill="0" applyBorder="0" applyAlignment="0" applyProtection="0">
      <alignment vertical="top"/>
      <protection locked="0"/>
    </xf>
    <xf numFmtId="0" fontId="28" fillId="0" borderId="0"/>
    <xf numFmtId="0" fontId="1" fillId="0" borderId="0"/>
    <xf numFmtId="0" fontId="4" fillId="0" borderId="0"/>
    <xf numFmtId="0" fontId="88" fillId="0" borderId="0" applyNumberFormat="0" applyFill="0" applyBorder="0" applyAlignment="0" applyProtection="0"/>
  </cellStyleXfs>
  <cellXfs count="3659">
    <xf numFmtId="0" fontId="0" fillId="0" borderId="0" xfId="0"/>
    <xf numFmtId="0" fontId="5" fillId="0" borderId="0" xfId="4" applyFont="1"/>
    <xf numFmtId="0" fontId="6" fillId="0" borderId="3" xfId="4" applyFont="1" applyBorder="1" applyAlignment="1">
      <alignment horizontal="center" vertical="center"/>
    </xf>
    <xf numFmtId="166" fontId="6" fillId="0" borderId="3" xfId="4" applyNumberFormat="1" applyFont="1" applyBorder="1" applyAlignment="1">
      <alignment horizontal="center"/>
    </xf>
    <xf numFmtId="0" fontId="6" fillId="0" borderId="0" xfId="4" applyFont="1" applyBorder="1"/>
    <xf numFmtId="166" fontId="6" fillId="0" borderId="0" xfId="4" applyNumberFormat="1" applyFont="1" applyBorder="1"/>
    <xf numFmtId="0" fontId="5" fillId="0" borderId="0" xfId="4" applyFont="1" applyBorder="1"/>
    <xf numFmtId="166" fontId="5" fillId="0" borderId="0" xfId="4" applyNumberFormat="1" applyFont="1" applyBorder="1"/>
    <xf numFmtId="166" fontId="5" fillId="0" borderId="0" xfId="5" applyNumberFormat="1" applyFont="1" applyBorder="1"/>
    <xf numFmtId="0" fontId="5" fillId="0" borderId="0" xfId="5" applyFont="1"/>
    <xf numFmtId="0" fontId="5" fillId="0" borderId="0" xfId="6" applyFont="1" applyAlignment="1">
      <alignment horizontal="right"/>
    </xf>
    <xf numFmtId="0" fontId="6" fillId="0" borderId="0" xfId="4" applyFont="1" applyFill="1" applyAlignment="1">
      <alignment horizontal="center"/>
    </xf>
    <xf numFmtId="0" fontId="5" fillId="0" borderId="0" xfId="4" applyFont="1" applyFill="1"/>
    <xf numFmtId="0" fontId="6" fillId="0" borderId="3" xfId="6" applyFont="1" applyBorder="1" applyAlignment="1">
      <alignment horizontal="center" vertical="center"/>
    </xf>
    <xf numFmtId="0" fontId="6" fillId="0" borderId="0" xfId="6" applyFont="1"/>
    <xf numFmtId="169" fontId="6" fillId="0" borderId="0" xfId="1" applyNumberFormat="1" applyFont="1" applyAlignment="1">
      <alignment horizontal="right"/>
    </xf>
    <xf numFmtId="0" fontId="5" fillId="0" borderId="0" xfId="6" applyFont="1"/>
    <xf numFmtId="169" fontId="5" fillId="0" borderId="0" xfId="1" applyNumberFormat="1" applyFont="1" applyFill="1"/>
    <xf numFmtId="169" fontId="5" fillId="0" borderId="0" xfId="1" applyNumberFormat="1" applyFont="1" applyAlignment="1">
      <alignment horizontal="right"/>
    </xf>
    <xf numFmtId="169" fontId="5" fillId="0" borderId="0" xfId="1" applyNumberFormat="1" applyFont="1" applyFill="1" applyAlignment="1">
      <alignment horizontal="right"/>
    </xf>
    <xf numFmtId="169" fontId="5" fillId="0" borderId="0" xfId="1" applyNumberFormat="1" applyFont="1"/>
    <xf numFmtId="0" fontId="6" fillId="0" borderId="0" xfId="6" applyFont="1" applyFill="1"/>
    <xf numFmtId="169" fontId="8" fillId="0" borderId="0" xfId="1" applyNumberFormat="1" applyFont="1" applyFill="1" applyAlignment="1">
      <alignment horizontal="right"/>
    </xf>
    <xf numFmtId="169" fontId="9" fillId="0" borderId="0" xfId="1" applyNumberFormat="1" applyFont="1" applyFill="1" applyAlignment="1">
      <alignment horizontal="right"/>
    </xf>
    <xf numFmtId="0" fontId="5" fillId="0" borderId="0" xfId="6" applyFont="1" applyAlignment="1">
      <alignment horizontal="left"/>
    </xf>
    <xf numFmtId="0" fontId="9" fillId="0" borderId="0" xfId="0" applyFont="1"/>
    <xf numFmtId="0" fontId="5" fillId="0" borderId="0" xfId="6" applyFont="1" applyAlignment="1">
      <alignment horizontal="justify"/>
    </xf>
    <xf numFmtId="0" fontId="5" fillId="0" borderId="0" xfId="4" applyFont="1" applyAlignment="1">
      <alignment horizontal="justify"/>
    </xf>
    <xf numFmtId="0" fontId="10" fillId="0" borderId="0" xfId="4" applyFont="1"/>
    <xf numFmtId="0" fontId="6" fillId="0" borderId="0" xfId="4" applyFont="1" applyAlignment="1">
      <alignment wrapText="1"/>
    </xf>
    <xf numFmtId="0" fontId="6" fillId="0" borderId="0" xfId="4" applyFont="1"/>
    <xf numFmtId="169" fontId="11" fillId="0" borderId="4" xfId="1" applyNumberFormat="1" applyFont="1" applyBorder="1" applyAlignment="1" applyProtection="1">
      <alignment horizontal="right" vertical="top" wrapText="1" readingOrder="1"/>
      <protection locked="0"/>
    </xf>
    <xf numFmtId="166" fontId="5" fillId="0" borderId="0" xfId="4" applyNumberFormat="1" applyFont="1"/>
    <xf numFmtId="166" fontId="5" fillId="0" borderId="0" xfId="6" applyNumberFormat="1" applyFont="1"/>
    <xf numFmtId="169" fontId="12" fillId="0" borderId="5" xfId="1" applyNumberFormat="1" applyFont="1" applyBorder="1" applyAlignment="1" applyProtection="1">
      <alignment horizontal="right" vertical="top" wrapText="1" readingOrder="1"/>
      <protection locked="0"/>
    </xf>
    <xf numFmtId="0" fontId="14" fillId="0" borderId="0" xfId="4" applyFont="1"/>
    <xf numFmtId="0" fontId="15" fillId="0" borderId="0" xfId="4" applyFont="1"/>
    <xf numFmtId="0" fontId="6" fillId="0" borderId="3" xfId="4" applyFont="1" applyBorder="1" applyAlignment="1">
      <alignment horizontal="center" vertical="center" wrapText="1"/>
    </xf>
    <xf numFmtId="0" fontId="14" fillId="0" borderId="0" xfId="4" applyFont="1" applyAlignment="1">
      <alignment horizontal="center" vertical="center"/>
    </xf>
    <xf numFmtId="166" fontId="6" fillId="0" borderId="0" xfId="4" applyNumberFormat="1" applyFont="1" applyFill="1"/>
    <xf numFmtId="166" fontId="5" fillId="0" borderId="0" xfId="6" applyNumberFormat="1" applyFont="1" applyFill="1" applyAlignment="1">
      <alignment horizontal="right"/>
    </xf>
    <xf numFmtId="166" fontId="5" fillId="0" borderId="0" xfId="6" applyNumberFormat="1" applyFont="1" applyFill="1"/>
    <xf numFmtId="0" fontId="15" fillId="0" borderId="0" xfId="4" applyFont="1" applyFill="1"/>
    <xf numFmtId="0" fontId="6" fillId="0" borderId="0" xfId="4" applyFont="1" applyAlignment="1">
      <alignment horizontal="left" wrapText="1"/>
    </xf>
    <xf numFmtId="0" fontId="5" fillId="0" borderId="0" xfId="4" applyFont="1" applyBorder="1" applyAlignment="1">
      <alignment horizontal="left"/>
    </xf>
    <xf numFmtId="0" fontId="6" fillId="0" borderId="0" xfId="4" applyFont="1" applyBorder="1" applyAlignment="1">
      <alignment horizontal="center" vertical="center"/>
    </xf>
    <xf numFmtId="0" fontId="5" fillId="0" borderId="0" xfId="4" applyFont="1" applyAlignment="1">
      <alignment vertical="center" wrapText="1"/>
    </xf>
    <xf numFmtId="3" fontId="5" fillId="0" borderId="0" xfId="4" applyNumberFormat="1" applyFont="1"/>
    <xf numFmtId="3" fontId="5" fillId="0" borderId="0" xfId="6" applyNumberFormat="1" applyFont="1"/>
    <xf numFmtId="0" fontId="5" fillId="0" borderId="0" xfId="4" applyFont="1" applyAlignment="1">
      <alignment horizontal="left"/>
    </xf>
    <xf numFmtId="170" fontId="5" fillId="0" borderId="0" xfId="4" applyNumberFormat="1" applyFont="1"/>
    <xf numFmtId="0" fontId="6" fillId="0" borderId="3" xfId="4" applyFont="1" applyFill="1" applyBorder="1" applyAlignment="1">
      <alignment horizontal="center" vertical="center"/>
    </xf>
    <xf numFmtId="166" fontId="6" fillId="0" borderId="0" xfId="4" applyNumberFormat="1" applyFont="1"/>
    <xf numFmtId="169" fontId="16" fillId="0" borderId="4" xfId="1" applyNumberFormat="1" applyFont="1" applyBorder="1" applyAlignment="1" applyProtection="1">
      <alignment horizontal="right" wrapText="1"/>
      <protection locked="0"/>
    </xf>
    <xf numFmtId="166" fontId="5" fillId="0" borderId="0" xfId="4" applyNumberFormat="1" applyFont="1" applyFill="1"/>
    <xf numFmtId="169" fontId="17" fillId="0" borderId="5" xfId="1" applyNumberFormat="1" applyFont="1" applyBorder="1" applyAlignment="1" applyProtection="1">
      <alignment horizontal="right" wrapText="1"/>
      <protection locked="0"/>
    </xf>
    <xf numFmtId="169" fontId="17" fillId="0" borderId="5" xfId="1" applyNumberFormat="1" applyFont="1" applyFill="1" applyBorder="1" applyAlignment="1" applyProtection="1">
      <alignment horizontal="right" wrapText="1"/>
      <protection locked="0"/>
    </xf>
    <xf numFmtId="166" fontId="0" fillId="0" borderId="0" xfId="0" applyNumberFormat="1"/>
    <xf numFmtId="0" fontId="6" fillId="0" borderId="0" xfId="4" applyFont="1" applyFill="1"/>
    <xf numFmtId="0" fontId="6" fillId="0" borderId="3" xfId="4" applyFont="1" applyBorder="1" applyAlignment="1">
      <alignment horizontal="center"/>
    </xf>
    <xf numFmtId="0" fontId="5" fillId="0" borderId="0" xfId="4" applyFont="1" applyAlignment="1">
      <alignment horizontal="justify" wrapText="1"/>
    </xf>
    <xf numFmtId="3" fontId="5" fillId="0" borderId="0" xfId="6" applyNumberFormat="1" applyFont="1" applyAlignment="1">
      <alignment horizontal="right"/>
    </xf>
    <xf numFmtId="0" fontId="5" fillId="0" borderId="0" xfId="4" applyFont="1" applyAlignment="1"/>
    <xf numFmtId="0" fontId="6" fillId="0" borderId="3" xfId="4" applyFont="1" applyFill="1" applyBorder="1" applyAlignment="1">
      <alignment horizontal="center" vertical="center" wrapText="1"/>
    </xf>
    <xf numFmtId="0" fontId="6" fillId="0" borderId="3" xfId="6" applyFont="1" applyFill="1" applyBorder="1" applyAlignment="1">
      <alignment horizontal="center" vertical="center" wrapText="1"/>
    </xf>
    <xf numFmtId="0" fontId="5" fillId="0" borderId="0" xfId="4" applyFont="1" applyAlignment="1">
      <alignment wrapText="1"/>
    </xf>
    <xf numFmtId="3" fontId="6" fillId="0" borderId="0" xfId="4" applyNumberFormat="1" applyFont="1" applyAlignment="1">
      <alignment horizontal="right"/>
    </xf>
    <xf numFmtId="169" fontId="9" fillId="0" borderId="0" xfId="1" applyNumberFormat="1" applyFont="1"/>
    <xf numFmtId="0" fontId="5" fillId="0" borderId="0" xfId="4" applyFont="1" applyFill="1" applyAlignment="1">
      <alignment wrapText="1"/>
    </xf>
    <xf numFmtId="0" fontId="6" fillId="0" borderId="3" xfId="4" applyFont="1" applyBorder="1" applyAlignment="1">
      <alignment horizontal="center" wrapText="1"/>
    </xf>
    <xf numFmtId="166" fontId="0" fillId="0" borderId="0" xfId="0" applyNumberFormat="1" applyAlignment="1">
      <alignment horizontal="center"/>
    </xf>
    <xf numFmtId="171" fontId="6" fillId="0" borderId="0" xfId="4" applyNumberFormat="1" applyFont="1"/>
    <xf numFmtId="0" fontId="6" fillId="0" borderId="0" xfId="4" applyFont="1" applyAlignment="1">
      <alignment horizontal="right"/>
    </xf>
    <xf numFmtId="0" fontId="5" fillId="0" borderId="0" xfId="4" applyFont="1" applyAlignment="1">
      <alignment horizontal="right"/>
    </xf>
    <xf numFmtId="0" fontId="6" fillId="0" borderId="0" xfId="6" applyFont="1" applyAlignment="1">
      <alignment wrapText="1"/>
    </xf>
    <xf numFmtId="0" fontId="6" fillId="0" borderId="3" xfId="6" applyFont="1" applyBorder="1" applyAlignment="1">
      <alignment horizontal="center" vertical="center" wrapText="1"/>
    </xf>
    <xf numFmtId="166" fontId="6" fillId="0" borderId="0" xfId="6" applyNumberFormat="1" applyFont="1"/>
    <xf numFmtId="0" fontId="5" fillId="0" borderId="5" xfId="0" applyFont="1" applyBorder="1" applyAlignment="1" applyProtection="1">
      <alignment horizontal="left" vertical="top" wrapText="1" readingOrder="1"/>
      <protection locked="0"/>
    </xf>
    <xf numFmtId="0" fontId="5" fillId="0" borderId="8" xfId="6" applyFont="1" applyBorder="1" applyAlignment="1"/>
    <xf numFmtId="166" fontId="5" fillId="0" borderId="8" xfId="6" applyNumberFormat="1" applyFont="1" applyBorder="1" applyAlignment="1"/>
    <xf numFmtId="0" fontId="17" fillId="0" borderId="10" xfId="0" applyFont="1" applyBorder="1" applyAlignment="1" applyProtection="1">
      <alignment vertical="top" wrapText="1" readingOrder="1"/>
      <protection locked="0"/>
    </xf>
    <xf numFmtId="0" fontId="17" fillId="0" borderId="11" xfId="0" applyFont="1" applyBorder="1" applyAlignment="1" applyProtection="1">
      <alignment vertical="top" wrapText="1" readingOrder="1"/>
      <protection locked="0"/>
    </xf>
    <xf numFmtId="0" fontId="5" fillId="0" borderId="10" xfId="0" applyFont="1" applyBorder="1" applyAlignment="1" applyProtection="1">
      <alignment vertical="top" wrapText="1" readingOrder="1"/>
      <protection locked="0"/>
    </xf>
    <xf numFmtId="0" fontId="5" fillId="0" borderId="11" xfId="0" applyFont="1" applyBorder="1" applyAlignment="1" applyProtection="1">
      <alignment vertical="top" wrapText="1" readingOrder="1"/>
      <protection locked="0"/>
    </xf>
    <xf numFmtId="0" fontId="5" fillId="0" borderId="12" xfId="4" applyFont="1" applyBorder="1" applyAlignment="1">
      <alignment wrapText="1"/>
    </xf>
    <xf numFmtId="0" fontId="5" fillId="0" borderId="0" xfId="4" applyFont="1" applyAlignment="1">
      <alignment horizontal="left" wrapText="1"/>
    </xf>
    <xf numFmtId="49" fontId="5" fillId="0" borderId="0" xfId="4" applyNumberFormat="1" applyFont="1" applyAlignment="1"/>
    <xf numFmtId="166" fontId="6" fillId="0" borderId="0" xfId="4" applyNumberFormat="1" applyFont="1" applyAlignment="1">
      <alignment horizontal="right"/>
    </xf>
    <xf numFmtId="169" fontId="6" fillId="0" borderId="0" xfId="1" applyNumberFormat="1" applyFont="1"/>
    <xf numFmtId="166" fontId="5" fillId="0" borderId="0" xfId="6" applyNumberFormat="1" applyFont="1" applyAlignment="1">
      <alignment horizontal="right"/>
    </xf>
    <xf numFmtId="166" fontId="5" fillId="0" borderId="0" xfId="4" applyNumberFormat="1" applyFont="1" applyFill="1" applyBorder="1" applyAlignment="1">
      <alignment wrapText="1"/>
    </xf>
    <xf numFmtId="169" fontId="5" fillId="0" borderId="0" xfId="4" applyNumberFormat="1" applyFont="1"/>
    <xf numFmtId="172" fontId="5" fillId="0" borderId="0" xfId="3" applyNumberFormat="1" applyFont="1"/>
    <xf numFmtId="0" fontId="5" fillId="0" borderId="0" xfId="4" applyFont="1" applyAlignment="1">
      <alignment horizontal="left" vertical="top"/>
    </xf>
    <xf numFmtId="3" fontId="6" fillId="0" borderId="0" xfId="6" applyNumberFormat="1" applyFont="1" applyAlignment="1">
      <alignment horizontal="right"/>
    </xf>
    <xf numFmtId="166" fontId="6" fillId="0" borderId="0" xfId="6" applyNumberFormat="1" applyFont="1" applyAlignment="1">
      <alignment horizontal="right"/>
    </xf>
    <xf numFmtId="3" fontId="5" fillId="0" borderId="5" xfId="0" applyNumberFormat="1" applyFont="1" applyBorder="1" applyAlignment="1" applyProtection="1">
      <alignment horizontal="right" vertical="top" wrapText="1" readingOrder="1"/>
      <protection locked="0"/>
    </xf>
    <xf numFmtId="0" fontId="5" fillId="0" borderId="0" xfId="7" applyFont="1"/>
    <xf numFmtId="0" fontId="19" fillId="0" borderId="0" xfId="7" applyFont="1" applyFill="1" applyAlignment="1" applyProtection="1">
      <alignment vertical="top" wrapText="1" readingOrder="1"/>
      <protection locked="0"/>
    </xf>
    <xf numFmtId="0" fontId="5" fillId="0" borderId="0" xfId="7" applyFont="1" applyFill="1"/>
    <xf numFmtId="0" fontId="18" fillId="0" borderId="13" xfId="7" applyFont="1" applyFill="1" applyBorder="1" applyAlignment="1" applyProtection="1">
      <alignment horizontal="center" vertical="top" wrapText="1" readingOrder="1"/>
      <protection locked="0"/>
    </xf>
    <xf numFmtId="0" fontId="6" fillId="0" borderId="3" xfId="7" applyFont="1" applyFill="1" applyBorder="1"/>
    <xf numFmtId="0" fontId="6" fillId="0" borderId="0" xfId="7" applyFont="1" applyFill="1" applyAlignment="1">
      <alignment horizontal="right"/>
    </xf>
    <xf numFmtId="0" fontId="5" fillId="0" borderId="0" xfId="7" applyFont="1" applyFill="1" applyAlignment="1">
      <alignment horizontal="right"/>
    </xf>
    <xf numFmtId="0" fontId="6" fillId="0" borderId="18" xfId="7" applyFont="1" applyBorder="1" applyAlignment="1">
      <alignment horizontal="center" vertical="center"/>
    </xf>
    <xf numFmtId="0" fontId="18" fillId="0" borderId="19" xfId="7" applyFont="1" applyBorder="1" applyAlignment="1" applyProtection="1">
      <alignment horizontal="center" vertical="top" wrapText="1" readingOrder="1"/>
      <protection locked="0"/>
    </xf>
    <xf numFmtId="0" fontId="6" fillId="0" borderId="7" xfId="7" applyFont="1" applyBorder="1" applyAlignment="1">
      <alignment horizontal="center" vertical="center"/>
    </xf>
    <xf numFmtId="0" fontId="6" fillId="0" borderId="7" xfId="7" applyFont="1" applyFill="1" applyBorder="1" applyAlignment="1">
      <alignment horizontal="center" vertical="center"/>
    </xf>
    <xf numFmtId="0" fontId="18" fillId="0" borderId="20" xfId="7" applyFont="1" applyFill="1" applyBorder="1" applyAlignment="1" applyProtection="1">
      <alignment horizontal="center" vertical="top" wrapText="1" readingOrder="1"/>
      <protection locked="0"/>
    </xf>
    <xf numFmtId="0" fontId="19" fillId="0" borderId="14" xfId="7" applyFont="1" applyBorder="1" applyAlignment="1" applyProtection="1">
      <alignment vertical="top" wrapText="1" readingOrder="1"/>
      <protection locked="0"/>
    </xf>
    <xf numFmtId="166" fontId="19" fillId="0" borderId="14" xfId="7" applyNumberFormat="1" applyFont="1" applyBorder="1" applyAlignment="1" applyProtection="1">
      <alignment horizontal="right" vertical="top" wrapText="1" readingOrder="1"/>
      <protection locked="0"/>
    </xf>
    <xf numFmtId="0" fontId="4" fillId="0" borderId="0" xfId="7"/>
    <xf numFmtId="166" fontId="5" fillId="0" borderId="0" xfId="7" applyNumberFormat="1" applyFont="1"/>
    <xf numFmtId="9" fontId="5" fillId="0" borderId="0" xfId="3" applyFont="1"/>
    <xf numFmtId="0" fontId="5" fillId="0" borderId="0" xfId="7" applyFont="1" applyAlignment="1">
      <alignment vertical="center"/>
    </xf>
    <xf numFmtId="0" fontId="18" fillId="0" borderId="0" xfId="7" applyFont="1" applyBorder="1" applyAlignment="1" applyProtection="1">
      <alignment horizontal="left" vertical="top" wrapText="1" readingOrder="1"/>
      <protection locked="0"/>
    </xf>
    <xf numFmtId="0" fontId="6" fillId="0" borderId="6" xfId="7" applyFont="1" applyFill="1" applyBorder="1" applyAlignment="1">
      <alignment horizontal="center" vertical="center" wrapText="1"/>
    </xf>
    <xf numFmtId="0" fontId="5" fillId="0" borderId="3" xfId="7" applyFont="1" applyBorder="1" applyAlignment="1">
      <alignment horizontal="justify" vertical="justify" wrapText="1"/>
    </xf>
    <xf numFmtId="0" fontId="5" fillId="0" borderId="3" xfId="7" applyFont="1" applyFill="1" applyBorder="1" applyAlignment="1">
      <alignment horizontal="justify" vertical="justify" wrapText="1"/>
    </xf>
    <xf numFmtId="0" fontId="5" fillId="0" borderId="3" xfId="7" applyFont="1" applyFill="1" applyBorder="1" applyAlignment="1">
      <alignment horizontal="center" vertical="justify"/>
    </xf>
    <xf numFmtId="0" fontId="5" fillId="0" borderId="3" xfId="7" applyFont="1" applyFill="1" applyBorder="1" applyAlignment="1">
      <alignment horizontal="center" vertical="justify" wrapText="1"/>
    </xf>
    <xf numFmtId="0" fontId="5" fillId="0" borderId="3" xfId="7" applyFont="1" applyBorder="1" applyAlignment="1">
      <alignment horizontal="left"/>
    </xf>
    <xf numFmtId="0" fontId="5" fillId="0" borderId="0" xfId="7" applyFont="1" applyAlignment="1">
      <alignment wrapText="1"/>
    </xf>
    <xf numFmtId="0" fontId="5" fillId="0" borderId="0" xfId="7" applyFont="1" applyFill="1" applyAlignment="1">
      <alignment wrapText="1"/>
    </xf>
    <xf numFmtId="0" fontId="5" fillId="0" borderId="0" xfId="7" applyFont="1" applyFill="1" applyAlignment="1">
      <alignment horizontal="center" vertical="center" wrapText="1"/>
    </xf>
    <xf numFmtId="0" fontId="5" fillId="0" borderId="0" xfId="7" applyFont="1" applyFill="1" applyAlignment="1">
      <alignment horizontal="center" wrapText="1"/>
    </xf>
    <xf numFmtId="0" fontId="5" fillId="0" borderId="0" xfId="7" applyFont="1" applyAlignment="1"/>
    <xf numFmtId="0" fontId="8" fillId="0" borderId="3" xfId="7" applyFont="1" applyBorder="1" applyAlignment="1">
      <alignment horizontal="center" vertical="center"/>
    </xf>
    <xf numFmtId="166" fontId="8" fillId="0" borderId="0" xfId="7" applyNumberFormat="1" applyFont="1" applyBorder="1"/>
    <xf numFmtId="170" fontId="5" fillId="0" borderId="0" xfId="7" applyNumberFormat="1" applyFont="1"/>
    <xf numFmtId="166" fontId="9" fillId="0" borderId="0" xfId="7" applyNumberFormat="1" applyFont="1" applyBorder="1"/>
    <xf numFmtId="0" fontId="18" fillId="0" borderId="0" xfId="7" applyFont="1" applyAlignment="1" applyProtection="1">
      <alignment vertical="top" wrapText="1" readingOrder="1"/>
      <protection locked="0"/>
    </xf>
    <xf numFmtId="0" fontId="8" fillId="0" borderId="34" xfId="7" applyFont="1" applyBorder="1" applyAlignment="1">
      <alignment horizontal="center" vertical="center"/>
    </xf>
    <xf numFmtId="0" fontId="10" fillId="0" borderId="0" xfId="7" applyFont="1"/>
    <xf numFmtId="0" fontId="6" fillId="0" borderId="0" xfId="7" applyFont="1" applyFill="1" applyBorder="1" applyAlignment="1">
      <alignment horizontal="left" readingOrder="1"/>
    </xf>
    <xf numFmtId="0" fontId="18" fillId="0" borderId="37" xfId="7" applyFont="1" applyFill="1" applyBorder="1" applyAlignment="1" applyProtection="1">
      <alignment horizontal="center" wrapText="1" readingOrder="1"/>
      <protection locked="0"/>
    </xf>
    <xf numFmtId="0" fontId="18" fillId="0" borderId="0" xfId="7" applyFont="1" applyFill="1" applyBorder="1" applyAlignment="1" applyProtection="1">
      <alignment horizontal="left" vertical="top" wrapText="1" readingOrder="1"/>
      <protection locked="0"/>
    </xf>
    <xf numFmtId="0" fontId="18" fillId="0" borderId="0" xfId="7" applyFont="1" applyFill="1" applyBorder="1" applyAlignment="1" applyProtection="1">
      <alignment horizontal="right" vertical="top" wrapText="1" readingOrder="1"/>
      <protection locked="0"/>
    </xf>
    <xf numFmtId="170" fontId="5" fillId="0" borderId="0" xfId="7" applyNumberFormat="1" applyFont="1" applyFill="1"/>
    <xf numFmtId="0" fontId="6" fillId="0" borderId="0" xfId="7" applyFont="1" applyFill="1" applyBorder="1" applyAlignment="1" applyProtection="1">
      <alignment horizontal="right" vertical="top" wrapText="1" readingOrder="1"/>
      <protection locked="0"/>
    </xf>
    <xf numFmtId="0" fontId="19" fillId="0" borderId="0" xfId="7" applyFont="1" applyFill="1" applyBorder="1" applyAlignment="1" applyProtection="1">
      <alignment horizontal="left" vertical="top" wrapText="1" readingOrder="1"/>
      <protection locked="0"/>
    </xf>
    <xf numFmtId="0" fontId="5" fillId="0" borderId="0" xfId="7" applyFont="1" applyFill="1" applyBorder="1" applyAlignment="1" applyProtection="1">
      <alignment horizontal="right" vertical="top" wrapText="1" readingOrder="1"/>
      <protection locked="0"/>
    </xf>
    <xf numFmtId="0" fontId="5" fillId="0" borderId="0" xfId="7" applyFont="1" applyFill="1" applyBorder="1" applyAlignment="1" applyProtection="1">
      <alignment horizontal="left" vertical="top" wrapText="1" readingOrder="1"/>
      <protection locked="0"/>
    </xf>
    <xf numFmtId="0" fontId="19" fillId="0" borderId="0" xfId="7" applyFont="1" applyFill="1" applyBorder="1" applyAlignment="1" applyProtection="1">
      <alignment vertical="top" wrapText="1" readingOrder="1"/>
      <protection locked="0"/>
    </xf>
    <xf numFmtId="0" fontId="6" fillId="0" borderId="0" xfId="7" applyFont="1" applyFill="1"/>
    <xf numFmtId="0" fontId="10" fillId="0" borderId="0" xfId="7" applyFont="1" applyFill="1" applyBorder="1" applyAlignment="1" applyProtection="1">
      <alignment horizontal="right" vertical="top" wrapText="1" readingOrder="1"/>
      <protection locked="0"/>
    </xf>
    <xf numFmtId="0" fontId="18" fillId="0" borderId="0" xfId="7" applyFont="1" applyBorder="1" applyAlignment="1" applyProtection="1">
      <alignment vertical="top" wrapText="1" readingOrder="1"/>
      <protection locked="0"/>
    </xf>
    <xf numFmtId="0" fontId="6" fillId="0" borderId="33" xfId="7" applyFont="1" applyBorder="1" applyAlignment="1">
      <alignment horizontal="center" vertical="center"/>
    </xf>
    <xf numFmtId="0" fontId="6" fillId="0" borderId="32" xfId="7" applyFont="1" applyBorder="1" applyAlignment="1">
      <alignment horizontal="center" vertical="center"/>
    </xf>
    <xf numFmtId="0" fontId="6" fillId="0" borderId="39" xfId="7" applyFont="1" applyBorder="1" applyAlignment="1">
      <alignment wrapText="1"/>
    </xf>
    <xf numFmtId="166" fontId="6" fillId="0" borderId="6" xfId="7" applyNumberFormat="1" applyFont="1" applyBorder="1" applyAlignment="1">
      <alignment horizontal="center" vertical="center"/>
    </xf>
    <xf numFmtId="166" fontId="6" fillId="0" borderId="40" xfId="7" applyNumberFormat="1" applyFont="1" applyBorder="1" applyAlignment="1">
      <alignment horizontal="center" vertical="center"/>
    </xf>
    <xf numFmtId="0" fontId="5" fillId="0" borderId="39" xfId="7" applyFont="1" applyBorder="1" applyAlignment="1">
      <alignment wrapText="1"/>
    </xf>
    <xf numFmtId="166" fontId="5" fillId="0" borderId="40" xfId="7" applyNumberFormat="1" applyFont="1" applyBorder="1" applyAlignment="1">
      <alignment horizontal="center" vertical="center"/>
    </xf>
    <xf numFmtId="0" fontId="5" fillId="0" borderId="41" xfId="7" applyFont="1" applyBorder="1" applyAlignment="1">
      <alignment wrapText="1"/>
    </xf>
    <xf numFmtId="166" fontId="5" fillId="0" borderId="18" xfId="7" applyNumberFormat="1" applyFont="1" applyBorder="1" applyAlignment="1">
      <alignment horizontal="center" vertical="center"/>
    </xf>
    <xf numFmtId="0" fontId="5" fillId="0" borderId="0" xfId="7" applyFont="1" applyAlignment="1">
      <alignment horizontal="justify"/>
    </xf>
    <xf numFmtId="0" fontId="5" fillId="0" borderId="0" xfId="7" applyFont="1" applyAlignment="1">
      <alignment horizontal="center" vertical="center"/>
    </xf>
    <xf numFmtId="0" fontId="8" fillId="0" borderId="43" xfId="7" applyFont="1" applyFill="1" applyBorder="1" applyAlignment="1">
      <alignment horizontal="left" vertical="center" wrapText="1"/>
    </xf>
    <xf numFmtId="166" fontId="6" fillId="0" borderId="0" xfId="4" applyNumberFormat="1" applyFont="1" applyBorder="1" applyAlignment="1">
      <alignment horizontal="center" vertical="center"/>
    </xf>
    <xf numFmtId="166" fontId="8" fillId="0" borderId="0" xfId="7" applyNumberFormat="1" applyFont="1" applyFill="1" applyBorder="1" applyAlignment="1">
      <alignment horizontal="center" vertical="center" wrapText="1"/>
    </xf>
    <xf numFmtId="0" fontId="6" fillId="0" borderId="0" xfId="7" applyFont="1" applyFill="1" applyBorder="1"/>
    <xf numFmtId="0" fontId="18" fillId="0" borderId="44" xfId="7" applyFont="1" applyBorder="1" applyAlignment="1" applyProtection="1">
      <alignment horizontal="left" vertical="center" wrapText="1"/>
      <protection locked="0"/>
    </xf>
    <xf numFmtId="166" fontId="18" fillId="0" borderId="0" xfId="7" applyNumberFormat="1" applyFont="1" applyBorder="1" applyAlignment="1" applyProtection="1">
      <alignment horizontal="center" vertical="center" wrapText="1"/>
      <protection locked="0"/>
    </xf>
    <xf numFmtId="0" fontId="19" fillId="0" borderId="0" xfId="7" applyFont="1" applyBorder="1" applyAlignment="1" applyProtection="1">
      <alignment horizontal="left" vertical="center" wrapText="1"/>
      <protection locked="0"/>
    </xf>
    <xf numFmtId="166" fontId="19" fillId="0" borderId="0" xfId="7" applyNumberFormat="1" applyFont="1" applyBorder="1" applyAlignment="1" applyProtection="1">
      <alignment horizontal="center" vertical="center" wrapText="1"/>
      <protection locked="0"/>
    </xf>
    <xf numFmtId="166" fontId="5" fillId="0" borderId="0" xfId="7" applyNumberFormat="1" applyFont="1" applyBorder="1" applyAlignment="1">
      <alignment horizontal="center" vertical="center"/>
    </xf>
    <xf numFmtId="0" fontId="5" fillId="0" borderId="0" xfId="7" applyFont="1" applyBorder="1"/>
    <xf numFmtId="166" fontId="9" fillId="0" borderId="0" xfId="7" applyNumberFormat="1" applyFont="1" applyBorder="1" applyAlignment="1">
      <alignment horizontal="center" vertical="center" wrapText="1"/>
    </xf>
    <xf numFmtId="0" fontId="10" fillId="0" borderId="0" xfId="7" applyFont="1" applyAlignment="1">
      <alignment wrapText="1"/>
    </xf>
    <xf numFmtId="0" fontId="6" fillId="0" borderId="0" xfId="7" applyFont="1"/>
    <xf numFmtId="0" fontId="19" fillId="0" borderId="0" xfId="7" applyFont="1" applyBorder="1" applyAlignment="1" applyProtection="1">
      <alignment horizontal="right" vertical="top" wrapText="1" readingOrder="1"/>
      <protection locked="0"/>
    </xf>
    <xf numFmtId="0" fontId="19" fillId="0" borderId="0" xfId="7" applyFont="1" applyBorder="1" applyAlignment="1" applyProtection="1">
      <alignment horizontal="left" vertical="top" wrapText="1" readingOrder="1"/>
      <protection locked="0"/>
    </xf>
    <xf numFmtId="0" fontId="18" fillId="0" borderId="0" xfId="7" applyFont="1" applyAlignment="1" applyProtection="1">
      <alignment horizontal="center" vertical="top" wrapText="1" readingOrder="1"/>
      <protection locked="0"/>
    </xf>
    <xf numFmtId="0" fontId="6" fillId="0" borderId="3" xfId="7" applyFont="1" applyBorder="1" applyAlignment="1">
      <alignment horizontal="center" vertical="center"/>
    </xf>
    <xf numFmtId="0" fontId="19" fillId="0" borderId="0" xfId="7" applyFont="1" applyFill="1" applyBorder="1" applyAlignment="1" applyProtection="1">
      <alignment vertical="top" readingOrder="1"/>
      <protection locked="0"/>
    </xf>
    <xf numFmtId="0" fontId="18" fillId="0" borderId="0" xfId="7" applyFont="1" applyAlignment="1" applyProtection="1">
      <alignment horizontal="justify" vertical="justify" wrapText="1" readingOrder="1"/>
      <protection locked="0"/>
    </xf>
    <xf numFmtId="0" fontId="5" fillId="0" borderId="0" xfId="7" applyFont="1" applyAlignment="1">
      <alignment horizontal="justify" vertical="justify"/>
    </xf>
    <xf numFmtId="0" fontId="5" fillId="0" borderId="0" xfId="7" applyFont="1" applyAlignment="1">
      <alignment vertical="center" wrapText="1"/>
    </xf>
    <xf numFmtId="0" fontId="5" fillId="0" borderId="0" xfId="0" applyFont="1" applyFill="1"/>
    <xf numFmtId="0" fontId="5" fillId="0" borderId="0" xfId="0" applyFont="1"/>
    <xf numFmtId="0" fontId="6" fillId="0" borderId="3" xfId="0" applyFont="1" applyBorder="1" applyAlignment="1">
      <alignment horizontal="center" vertical="center" wrapText="1"/>
    </xf>
    <xf numFmtId="0" fontId="18" fillId="0" borderId="13" xfId="0" applyFont="1" applyBorder="1" applyAlignment="1" applyProtection="1">
      <alignment horizontal="center" vertical="top" wrapText="1" readingOrder="1"/>
      <protection locked="0"/>
    </xf>
    <xf numFmtId="0" fontId="6" fillId="0" borderId="0" xfId="0" applyFont="1"/>
    <xf numFmtId="166" fontId="6" fillId="0" borderId="0" xfId="0" applyNumberFormat="1" applyFont="1"/>
    <xf numFmtId="166" fontId="6" fillId="0" borderId="0" xfId="0" applyNumberFormat="1" applyFont="1" applyAlignment="1">
      <alignment horizontal="right"/>
    </xf>
    <xf numFmtId="166" fontId="5" fillId="0" borderId="0" xfId="0" applyNumberFormat="1" applyFont="1"/>
    <xf numFmtId="166" fontId="5" fillId="0" borderId="0" xfId="0" applyNumberFormat="1" applyFont="1" applyAlignment="1">
      <alignment horizontal="right"/>
    </xf>
    <xf numFmtId="49" fontId="5" fillId="0" borderId="0" xfId="0" applyNumberFormat="1" applyFont="1"/>
    <xf numFmtId="0" fontId="19" fillId="0" borderId="14" xfId="7" applyFont="1" applyBorder="1" applyAlignment="1" applyProtection="1">
      <alignment horizontal="right" vertical="top" wrapText="1" readingOrder="1"/>
      <protection locked="0"/>
    </xf>
    <xf numFmtId="0" fontId="6" fillId="0" borderId="0" xfId="0" applyFont="1" applyAlignment="1">
      <alignment wrapText="1"/>
    </xf>
    <xf numFmtId="0" fontId="6" fillId="0" borderId="0" xfId="0" applyFont="1" applyFill="1"/>
    <xf numFmtId="3" fontId="6" fillId="0" borderId="0" xfId="0" applyNumberFormat="1" applyFont="1" applyFill="1"/>
    <xf numFmtId="0" fontId="25" fillId="0" borderId="0" xfId="8" applyFont="1" applyAlignment="1">
      <alignment horizontal="left"/>
    </xf>
    <xf numFmtId="1" fontId="25" fillId="0" borderId="0" xfId="8" applyNumberFormat="1" applyFont="1"/>
    <xf numFmtId="3" fontId="5" fillId="0" borderId="0" xfId="0" applyNumberFormat="1" applyFont="1" applyBorder="1" applyAlignment="1">
      <alignment vertical="center"/>
    </xf>
    <xf numFmtId="0" fontId="5" fillId="0" borderId="0" xfId="0" applyFont="1" applyBorder="1"/>
    <xf numFmtId="0" fontId="6" fillId="0" borderId="0" xfId="0" applyFont="1" applyFill="1"/>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169" fontId="6" fillId="0" borderId="0" xfId="1" applyNumberFormat="1" applyFont="1" applyFill="1"/>
    <xf numFmtId="0" fontId="5" fillId="0" borderId="0" xfId="0" applyFont="1" applyFill="1" applyAlignment="1">
      <alignment wrapText="1"/>
    </xf>
    <xf numFmtId="0" fontId="5" fillId="0" borderId="0" xfId="0" applyFont="1" applyFill="1" applyAlignment="1">
      <alignment horizontal="left"/>
    </xf>
    <xf numFmtId="0" fontId="5" fillId="0" borderId="0" xfId="0" applyFont="1" applyFill="1" applyAlignment="1">
      <alignment horizontal="right"/>
    </xf>
    <xf numFmtId="0" fontId="6" fillId="0" borderId="0" xfId="0" applyFont="1" applyAlignment="1"/>
    <xf numFmtId="0" fontId="6" fillId="0" borderId="0" xfId="0" applyFont="1" applyFill="1" applyAlignment="1">
      <alignment horizontal="right"/>
    </xf>
    <xf numFmtId="0" fontId="6" fillId="0" borderId="3" xfId="0" applyFont="1" applyBorder="1" applyAlignment="1">
      <alignment horizontal="center" vertical="center"/>
    </xf>
    <xf numFmtId="0" fontId="18" fillId="0" borderId="0" xfId="0" applyFont="1" applyFill="1" applyBorder="1" applyAlignment="1" applyProtection="1">
      <alignment horizontal="left" vertical="top" wrapText="1" readingOrder="1"/>
      <protection locked="0"/>
    </xf>
    <xf numFmtId="169" fontId="18" fillId="0" borderId="0" xfId="1" applyNumberFormat="1" applyFont="1" applyFill="1" applyBorder="1" applyAlignment="1" applyProtection="1">
      <alignment horizontal="right" vertical="top" wrapText="1" readingOrder="1"/>
      <protection locked="0"/>
    </xf>
    <xf numFmtId="0" fontId="19" fillId="0" borderId="0" xfId="0" applyFont="1" applyFill="1" applyBorder="1" applyAlignment="1" applyProtection="1">
      <alignment horizontal="left" vertical="top" wrapText="1" readingOrder="1"/>
      <protection locked="0"/>
    </xf>
    <xf numFmtId="169" fontId="19" fillId="0" borderId="0" xfId="1" applyNumberFormat="1" applyFont="1" applyFill="1" applyBorder="1" applyAlignment="1" applyProtection="1">
      <alignment horizontal="right" vertical="top" wrapText="1" readingOrder="1"/>
      <protection locked="0"/>
    </xf>
    <xf numFmtId="0" fontId="5" fillId="0" borderId="0" xfId="0" applyFont="1" applyFill="1" applyBorder="1"/>
    <xf numFmtId="0" fontId="5" fillId="0" borderId="0" xfId="0" applyFont="1" applyAlignment="1">
      <alignment wrapText="1"/>
    </xf>
    <xf numFmtId="173" fontId="5" fillId="0" borderId="0" xfId="1" applyNumberFormat="1" applyFont="1" applyFill="1"/>
    <xf numFmtId="0" fontId="5" fillId="0" borderId="0" xfId="0" applyFont="1" applyFill="1"/>
    <xf numFmtId="166" fontId="6" fillId="0" borderId="0" xfId="0" applyNumberFormat="1" applyFont="1" applyFill="1"/>
    <xf numFmtId="9" fontId="6" fillId="0" borderId="0" xfId="3" applyFont="1" applyFill="1"/>
    <xf numFmtId="166" fontId="5" fillId="0" borderId="0" xfId="0" applyNumberFormat="1" applyFont="1" applyFill="1" applyBorder="1"/>
    <xf numFmtId="9" fontId="5" fillId="0" borderId="0" xfId="3" applyFont="1" applyFill="1"/>
    <xf numFmtId="166" fontId="5" fillId="0" borderId="0" xfId="0" applyNumberFormat="1" applyFont="1" applyFill="1" applyBorder="1" applyAlignment="1">
      <alignment horizontal="right"/>
    </xf>
    <xf numFmtId="166" fontId="5" fillId="0" borderId="0" xfId="0" applyNumberFormat="1" applyFont="1" applyFill="1" applyAlignment="1">
      <alignment horizontal="right"/>
    </xf>
    <xf numFmtId="0" fontId="5" fillId="0" borderId="0" xfId="0" applyNumberFormat="1" applyFont="1" applyFill="1" applyAlignment="1">
      <alignment horizontal="right"/>
    </xf>
    <xf numFmtId="0" fontId="5" fillId="0" borderId="0" xfId="0" applyFont="1" applyAlignment="1">
      <alignment horizontal="justify" wrapText="1"/>
    </xf>
    <xf numFmtId="0" fontId="5" fillId="0" borderId="0" xfId="0" applyNumberFormat="1" applyFont="1" applyAlignment="1">
      <alignment horizontal="center" wrapText="1"/>
    </xf>
    <xf numFmtId="0" fontId="5" fillId="0" borderId="0" xfId="0" applyFont="1" applyAlignment="1">
      <alignment horizontal="center" wrapText="1"/>
    </xf>
    <xf numFmtId="0" fontId="6" fillId="0" borderId="0" xfId="0" applyNumberFormat="1" applyFont="1" applyAlignment="1">
      <alignment wrapText="1"/>
    </xf>
    <xf numFmtId="0" fontId="5" fillId="0" borderId="0" xfId="0" applyNumberFormat="1" applyFont="1" applyAlignment="1">
      <alignment wrapText="1"/>
    </xf>
    <xf numFmtId="0" fontId="5" fillId="0" borderId="0" xfId="0" applyFont="1" applyAlignment="1">
      <alignment horizontal="right" wrapText="1"/>
    </xf>
    <xf numFmtId="0" fontId="5" fillId="0" borderId="0" xfId="0" applyNumberFormat="1" applyFont="1" applyAlignment="1">
      <alignment horizontal="right" wrapText="1"/>
    </xf>
    <xf numFmtId="166" fontId="5" fillId="0" borderId="0" xfId="0" applyNumberFormat="1" applyFont="1" applyBorder="1"/>
    <xf numFmtId="0" fontId="19" fillId="0" borderId="14" xfId="0" applyFont="1" applyBorder="1" applyAlignment="1" applyProtection="1">
      <alignment vertical="top" wrapText="1" readingOrder="1"/>
      <protection locked="0"/>
    </xf>
    <xf numFmtId="0" fontId="6" fillId="0" borderId="3" xfId="0" applyFont="1" applyFill="1" applyBorder="1" applyAlignment="1">
      <alignment horizontal="center" vertical="center"/>
    </xf>
    <xf numFmtId="166" fontId="6" fillId="0" borderId="0" xfId="0" applyNumberFormat="1" applyFont="1" applyBorder="1"/>
    <xf numFmtId="166" fontId="5" fillId="0" borderId="0" xfId="0" applyNumberFormat="1" applyFont="1" applyBorder="1" applyAlignment="1">
      <alignment horizontal="right"/>
    </xf>
    <xf numFmtId="0" fontId="0" fillId="0" borderId="0" xfId="0" applyBorder="1" applyAlignment="1" applyProtection="1">
      <alignment vertical="top" wrapText="1"/>
      <protection locked="0"/>
    </xf>
    <xf numFmtId="166" fontId="6" fillId="0" borderId="0" xfId="0" applyNumberFormat="1" applyFont="1" applyBorder="1" applyAlignment="1">
      <alignment horizontal="right"/>
    </xf>
    <xf numFmtId="166" fontId="6" fillId="0" borderId="0" xfId="0" applyNumberFormat="1" applyFont="1" applyFill="1" applyBorder="1"/>
    <xf numFmtId="169" fontId="5" fillId="0" borderId="0" xfId="1" applyNumberFormat="1" applyFont="1" applyFill="1" applyBorder="1"/>
    <xf numFmtId="2" fontId="5" fillId="0" borderId="0" xfId="0" applyNumberFormat="1" applyFont="1" applyFill="1" applyBorder="1"/>
    <xf numFmtId="0" fontId="6" fillId="0" borderId="0" xfId="0" applyFont="1" applyFill="1" applyAlignment="1">
      <alignment horizontal="left" wrapText="1"/>
    </xf>
    <xf numFmtId="0" fontId="6" fillId="0" borderId="3" xfId="0" applyFont="1" applyFill="1" applyBorder="1" applyAlignment="1">
      <alignment horizontal="center" vertical="center" wrapText="1"/>
    </xf>
    <xf numFmtId="169" fontId="5" fillId="0" borderId="0" xfId="1" applyNumberFormat="1" applyFont="1" applyBorder="1"/>
    <xf numFmtId="0" fontId="5" fillId="0" borderId="0" xfId="0" applyFont="1" applyFill="1" applyAlignment="1"/>
    <xf numFmtId="0" fontId="5" fillId="0" borderId="0" xfId="0" applyFont="1" applyAlignment="1"/>
    <xf numFmtId="0" fontId="5" fillId="0" borderId="0" xfId="4" applyFont="1" applyFill="1" applyBorder="1"/>
    <xf numFmtId="0" fontId="6" fillId="0" borderId="3" xfId="5" applyFont="1" applyFill="1" applyBorder="1" applyAlignment="1" applyProtection="1">
      <alignment horizontal="center" vertical="center" wrapText="1"/>
    </xf>
    <xf numFmtId="0" fontId="6" fillId="0" borderId="0" xfId="5" applyFont="1" applyFill="1" applyBorder="1" applyAlignment="1" applyProtection="1">
      <alignment horizontal="left" vertical="center"/>
    </xf>
    <xf numFmtId="166" fontId="6" fillId="0" borderId="0" xfId="5" applyNumberFormat="1" applyFont="1" applyFill="1" applyBorder="1" applyAlignment="1" applyProtection="1">
      <alignment horizontal="right" vertical="center" indent="1"/>
    </xf>
    <xf numFmtId="166" fontId="19" fillId="0" borderId="0" xfId="0" applyNumberFormat="1" applyFont="1" applyBorder="1" applyAlignment="1" applyProtection="1">
      <alignment horizontal="right" vertical="top" wrapText="1" readingOrder="1"/>
      <protection locked="0"/>
    </xf>
    <xf numFmtId="0" fontId="5" fillId="0" borderId="0" xfId="4" applyFont="1" applyBorder="1" applyAlignment="1"/>
    <xf numFmtId="0" fontId="6" fillId="0" borderId="0" xfId="4" applyFont="1" applyFill="1" applyBorder="1" applyAlignment="1">
      <alignment vertical="center" wrapText="1"/>
    </xf>
    <xf numFmtId="0" fontId="5" fillId="0" borderId="0" xfId="4" applyFont="1" applyFill="1" applyBorder="1" applyAlignment="1">
      <alignment vertical="center"/>
    </xf>
    <xf numFmtId="0" fontId="6" fillId="0" borderId="0" xfId="0" applyFont="1" applyFill="1" applyBorder="1" applyAlignment="1" applyProtection="1">
      <alignment horizontal="left" vertical="top" wrapText="1" readingOrder="1"/>
      <protection locked="0"/>
    </xf>
    <xf numFmtId="0" fontId="6" fillId="0" borderId="3" xfId="0" applyFont="1" applyFill="1" applyBorder="1" applyAlignment="1" applyProtection="1">
      <alignment vertical="center" wrapText="1" readingOrder="1"/>
      <protection locked="0"/>
    </xf>
    <xf numFmtId="0" fontId="6" fillId="0" borderId="3" xfId="0" applyFont="1" applyFill="1" applyBorder="1" applyAlignment="1" applyProtection="1">
      <alignment horizontal="center" vertical="center" wrapText="1" readingOrder="1"/>
      <protection locked="0"/>
    </xf>
    <xf numFmtId="0" fontId="6" fillId="0" borderId="0" xfId="0" applyFont="1" applyFill="1" applyBorder="1" applyAlignment="1" applyProtection="1">
      <alignment horizontal="center" vertical="center" wrapText="1" readingOrder="1"/>
      <protection locked="0"/>
    </xf>
    <xf numFmtId="0" fontId="6" fillId="0" borderId="0" xfId="0" applyFont="1" applyFill="1" applyBorder="1" applyAlignment="1" applyProtection="1">
      <alignment vertical="top" wrapText="1" readingOrder="1"/>
      <protection locked="0"/>
    </xf>
    <xf numFmtId="175" fontId="6" fillId="0" borderId="0" xfId="9" applyNumberFormat="1" applyFont="1" applyFill="1" applyBorder="1" applyAlignment="1" applyProtection="1">
      <alignment horizontal="center" vertical="top" wrapText="1" readingOrder="1"/>
      <protection locked="0"/>
    </xf>
    <xf numFmtId="175" fontId="5" fillId="0" borderId="0" xfId="9" applyNumberFormat="1" applyFont="1" applyFill="1" applyBorder="1" applyAlignment="1" applyProtection="1">
      <alignment horizontal="center" vertical="top" wrapText="1" readingOrder="1"/>
      <protection locked="0"/>
    </xf>
    <xf numFmtId="49" fontId="5" fillId="0" borderId="0" xfId="0" applyNumberFormat="1" applyFont="1" applyFill="1" applyBorder="1" applyAlignment="1" applyProtection="1">
      <alignment vertical="top" wrapText="1" readingOrder="1"/>
      <protection locked="0"/>
    </xf>
    <xf numFmtId="49" fontId="5" fillId="0" borderId="0" xfId="0" applyNumberFormat="1" applyFont="1" applyFill="1" applyBorder="1" applyAlignment="1" applyProtection="1">
      <alignment vertical="top" wrapText="1"/>
      <protection locked="0"/>
    </xf>
    <xf numFmtId="0" fontId="5"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vertical="top" wrapText="1" readingOrder="1"/>
      <protection locked="0"/>
    </xf>
    <xf numFmtId="0" fontId="5" fillId="0" borderId="0" xfId="0" applyFont="1" applyFill="1" applyBorder="1" applyAlignment="1"/>
    <xf numFmtId="175" fontId="6" fillId="0" borderId="0" xfId="9" applyNumberFormat="1" applyFont="1" applyFill="1" applyBorder="1" applyAlignment="1" applyProtection="1">
      <alignment horizontal="center" vertical="center" wrapText="1" readingOrder="1"/>
      <protection locked="0"/>
    </xf>
    <xf numFmtId="0" fontId="5" fillId="0" borderId="0" xfId="0" applyFont="1" applyFill="1" applyBorder="1"/>
    <xf numFmtId="0" fontId="6" fillId="0" borderId="3" xfId="0" applyFont="1" applyFill="1" applyBorder="1" applyAlignment="1" applyProtection="1">
      <alignment horizontal="left" vertical="center" wrapText="1" readingOrder="1"/>
      <protection locked="0"/>
    </xf>
    <xf numFmtId="0" fontId="6" fillId="0" borderId="0" xfId="0" applyFont="1" applyBorder="1"/>
    <xf numFmtId="0" fontId="6" fillId="0" borderId="0" xfId="0" applyFont="1" applyFill="1" applyBorder="1"/>
    <xf numFmtId="175" fontId="5" fillId="0" borderId="0" xfId="0" applyNumberFormat="1" applyFont="1" applyFill="1" applyBorder="1"/>
    <xf numFmtId="175" fontId="5" fillId="0" borderId="0" xfId="0" applyNumberFormat="1" applyFont="1" applyBorder="1"/>
    <xf numFmtId="0" fontId="18" fillId="0" borderId="3" xfId="0" applyFont="1" applyBorder="1" applyAlignment="1" applyProtection="1">
      <alignment horizontal="center" vertical="top" wrapText="1" readingOrder="1"/>
      <protection locked="0"/>
    </xf>
    <xf numFmtId="0" fontId="18" fillId="0" borderId="0" xfId="0" applyFont="1" applyBorder="1" applyAlignment="1" applyProtection="1">
      <alignment vertical="top" wrapText="1" readingOrder="1"/>
      <protection locked="0"/>
    </xf>
    <xf numFmtId="175" fontId="18" fillId="0" borderId="0" xfId="9" applyNumberFormat="1" applyFont="1" applyBorder="1" applyAlignment="1" applyProtection="1">
      <alignment horizontal="left" vertical="top" wrapText="1" indent="6" readingOrder="1"/>
      <protection locked="0"/>
    </xf>
    <xf numFmtId="0" fontId="19" fillId="0" borderId="0" xfId="0" applyFont="1" applyBorder="1" applyAlignment="1" applyProtection="1">
      <alignment vertical="top" wrapText="1" readingOrder="1"/>
      <protection locked="0"/>
    </xf>
    <xf numFmtId="175" fontId="19" fillId="0" borderId="0" xfId="9" applyNumberFormat="1" applyFont="1" applyBorder="1" applyAlignment="1" applyProtection="1">
      <alignment horizontal="left" vertical="top" wrapText="1" indent="6" readingOrder="1"/>
      <protection locked="0"/>
    </xf>
    <xf numFmtId="175" fontId="5" fillId="0" borderId="0" xfId="9" applyNumberFormat="1" applyFont="1" applyBorder="1" applyAlignment="1">
      <alignment horizontal="left" indent="6"/>
    </xf>
    <xf numFmtId="175" fontId="5" fillId="0" borderId="0" xfId="9" applyNumberFormat="1" applyFont="1" applyFill="1" applyBorder="1" applyAlignment="1">
      <alignment horizontal="left" indent="6"/>
    </xf>
    <xf numFmtId="0" fontId="26" fillId="0" borderId="0" xfId="0" applyFont="1"/>
    <xf numFmtId="0" fontId="5" fillId="0" borderId="0" xfId="0" applyFont="1" applyAlignment="1">
      <alignment horizontal="left" indent="2"/>
    </xf>
    <xf numFmtId="0" fontId="5" fillId="0" borderId="0" xfId="0" applyFont="1" applyAlignment="1">
      <alignment horizontal="center"/>
    </xf>
    <xf numFmtId="0" fontId="6" fillId="0" borderId="0" xfId="0" applyFont="1" applyAlignment="1">
      <alignment horizontal="center"/>
    </xf>
    <xf numFmtId="0" fontId="5" fillId="0" borderId="0" xfId="0" applyFont="1" applyBorder="1" applyAlignment="1">
      <alignment horizontal="left" vertical="top"/>
    </xf>
    <xf numFmtId="0" fontId="5" fillId="0" borderId="0" xfId="4" applyFont="1" applyFill="1" applyBorder="1" applyAlignment="1">
      <alignment horizontal="left" vertical="top" indent="2"/>
    </xf>
    <xf numFmtId="0" fontId="26" fillId="0" borderId="0" xfId="0" applyFont="1" applyAlignment="1">
      <alignment horizontal="right"/>
    </xf>
    <xf numFmtId="0" fontId="26" fillId="0" borderId="0" xfId="0" applyFont="1" applyAlignment="1">
      <alignment horizontal="left"/>
    </xf>
    <xf numFmtId="0" fontId="27" fillId="0" borderId="0" xfId="4" applyFont="1" applyFill="1" applyBorder="1" applyAlignment="1"/>
    <xf numFmtId="0" fontId="27" fillId="0" borderId="0" xfId="0" applyNumberFormat="1" applyFont="1" applyFill="1" applyBorder="1" applyAlignment="1">
      <alignment horizontal="center"/>
    </xf>
    <xf numFmtId="49" fontId="5" fillId="0" borderId="0" xfId="0" applyNumberFormat="1" applyFont="1" applyAlignment="1">
      <alignment horizontal="left" wrapText="1"/>
    </xf>
    <xf numFmtId="166" fontId="5" fillId="0" borderId="0" xfId="0" applyNumberFormat="1" applyFont="1" applyFill="1"/>
    <xf numFmtId="0" fontId="8" fillId="0" borderId="0" xfId="0" applyFont="1" applyBorder="1" applyAlignment="1">
      <alignment horizontal="left"/>
    </xf>
    <xf numFmtId="0" fontId="8" fillId="0" borderId="0" xfId="0" applyNumberFormat="1" applyFont="1" applyBorder="1"/>
    <xf numFmtId="0" fontId="8" fillId="0" borderId="0" xfId="0" applyFont="1" applyBorder="1" applyAlignment="1">
      <alignment horizontal="left" indent="1"/>
    </xf>
    <xf numFmtId="0" fontId="9" fillId="0" borderId="0" xfId="0" applyFont="1" applyBorder="1" applyAlignment="1">
      <alignment horizontal="left" indent="2"/>
    </xf>
    <xf numFmtId="0" fontId="9" fillId="0" borderId="0" xfId="0" applyNumberFormat="1" applyFont="1" applyBorder="1"/>
    <xf numFmtId="0" fontId="5" fillId="0" borderId="0" xfId="0" applyFont="1" applyFill="1" applyAlignment="1">
      <alignment horizontal="left" wrapText="1"/>
    </xf>
    <xf numFmtId="0" fontId="9" fillId="0" borderId="0" xfId="0" applyFont="1" applyFill="1"/>
    <xf numFmtId="0" fontId="6" fillId="0" borderId="0" xfId="10" applyFont="1" applyFill="1"/>
    <xf numFmtId="0" fontId="18" fillId="0" borderId="0" xfId="0" applyNumberFormat="1" applyFont="1" applyBorder="1" applyAlignment="1" applyProtection="1">
      <alignment horizontal="right" vertical="top" wrapText="1" readingOrder="1"/>
      <protection locked="0"/>
    </xf>
    <xf numFmtId="0" fontId="5" fillId="0" borderId="0" xfId="10" applyFont="1" applyFill="1"/>
    <xf numFmtId="166" fontId="19" fillId="0" borderId="0" xfId="0" applyNumberFormat="1" applyFont="1" applyFill="1" applyBorder="1" applyAlignment="1" applyProtection="1">
      <alignment horizontal="right" vertical="top" wrapText="1" readingOrder="1"/>
      <protection locked="0"/>
    </xf>
    <xf numFmtId="0" fontId="6" fillId="0" borderId="0" xfId="4" applyFont="1" applyAlignment="1">
      <alignment horizontal="justify" wrapText="1"/>
    </xf>
    <xf numFmtId="166" fontId="18" fillId="0" borderId="0" xfId="0" applyNumberFormat="1" applyFont="1" applyBorder="1" applyAlignment="1" applyProtection="1">
      <alignment horizontal="right" vertical="top" wrapText="1" readingOrder="1"/>
      <protection locked="0"/>
    </xf>
    <xf numFmtId="0" fontId="6" fillId="0" borderId="0" xfId="4" applyFont="1" applyBorder="1" applyAlignment="1">
      <alignment horizontal="center" vertical="center" wrapText="1"/>
    </xf>
    <xf numFmtId="166" fontId="5" fillId="0" borderId="0" xfId="5" applyNumberFormat="1" applyFont="1"/>
    <xf numFmtId="0" fontId="6" fillId="0" borderId="0" xfId="11" quotePrefix="1" applyFont="1" applyFill="1" applyBorder="1" applyAlignment="1"/>
    <xf numFmtId="0" fontId="5" fillId="0" borderId="0" xfId="11" quotePrefix="1" applyFont="1" applyFill="1" applyBorder="1" applyAlignment="1"/>
    <xf numFmtId="0" fontId="6" fillId="0" borderId="3" xfId="5" applyFont="1" applyBorder="1" applyAlignment="1">
      <alignment horizontal="center" vertical="center"/>
    </xf>
    <xf numFmtId="166" fontId="5" fillId="0" borderId="0" xfId="5" applyNumberFormat="1" applyFont="1" applyAlignment="1">
      <alignment horizontal="right"/>
    </xf>
    <xf numFmtId="0" fontId="6" fillId="0" borderId="3" xfId="5" applyFont="1" applyBorder="1" applyAlignment="1">
      <alignment horizontal="center" vertical="center" wrapText="1"/>
    </xf>
    <xf numFmtId="168" fontId="5" fillId="0" borderId="0" xfId="1" applyFont="1"/>
    <xf numFmtId="172" fontId="5" fillId="0" borderId="0" xfId="4" applyNumberFormat="1" applyFont="1"/>
    <xf numFmtId="0" fontId="5" fillId="0" borderId="0" xfId="29736" applyFont="1" applyBorder="1"/>
    <xf numFmtId="0" fontId="5" fillId="0" borderId="0" xfId="29736" applyFont="1"/>
    <xf numFmtId="0" fontId="6" fillId="0" borderId="0" xfId="29736" applyFont="1" applyBorder="1" applyAlignment="1">
      <alignment horizontal="left" vertical="center"/>
    </xf>
    <xf numFmtId="3" fontId="6" fillId="0" borderId="0" xfId="29736" applyNumberFormat="1" applyFont="1" applyBorder="1" applyAlignment="1">
      <alignment horizontal="right" vertical="center"/>
    </xf>
    <xf numFmtId="3" fontId="6" fillId="0" borderId="0" xfId="29736" applyNumberFormat="1" applyFont="1" applyBorder="1"/>
    <xf numFmtId="3" fontId="5" fillId="0" borderId="0" xfId="29736" applyNumberFormat="1" applyFont="1" applyBorder="1"/>
    <xf numFmtId="3" fontId="5" fillId="0" borderId="0" xfId="29736" applyNumberFormat="1" applyFont="1" applyFill="1" applyBorder="1"/>
    <xf numFmtId="0" fontId="5" fillId="0" borderId="0" xfId="29736" applyFont="1" applyFill="1" applyBorder="1"/>
    <xf numFmtId="0" fontId="9" fillId="0" borderId="0" xfId="29736" applyFont="1" applyFill="1" applyAlignment="1">
      <alignment vertical="center"/>
    </xf>
    <xf numFmtId="0" fontId="5" fillId="0" borderId="0" xfId="29736" applyFont="1" applyFill="1"/>
    <xf numFmtId="0" fontId="6" fillId="0" borderId="0" xfId="29736" applyFont="1" applyFill="1" applyAlignment="1">
      <alignment wrapText="1"/>
    </xf>
    <xf numFmtId="0" fontId="5" fillId="0" borderId="33" xfId="29736" applyFont="1" applyBorder="1"/>
    <xf numFmtId="0" fontId="6" fillId="0" borderId="3" xfId="29736" applyFont="1" applyFill="1" applyBorder="1" applyAlignment="1">
      <alignment horizontal="center" vertical="center" wrapText="1"/>
    </xf>
    <xf numFmtId="0" fontId="6" fillId="0" borderId="0" xfId="29736" applyFont="1" applyFill="1" applyBorder="1" applyAlignment="1">
      <alignment horizontal="left" vertical="center"/>
    </xf>
    <xf numFmtId="169" fontId="18" fillId="0" borderId="0" xfId="7705" applyNumberFormat="1" applyFont="1" applyBorder="1" applyAlignment="1">
      <alignment horizontal="right" vertical="top"/>
    </xf>
    <xf numFmtId="178" fontId="5" fillId="0" borderId="0" xfId="29736" applyNumberFormat="1" applyFont="1"/>
    <xf numFmtId="169" fontId="19" fillId="0" borderId="0" xfId="7705" applyNumberFormat="1" applyFont="1" applyBorder="1" applyAlignment="1">
      <alignment horizontal="right" vertical="top"/>
    </xf>
    <xf numFmtId="169" fontId="5" fillId="0" borderId="0" xfId="7705" applyNumberFormat="1" applyFont="1" applyFill="1" applyBorder="1"/>
    <xf numFmtId="169" fontId="9" fillId="0" borderId="0" xfId="7705" applyNumberFormat="1" applyFont="1"/>
    <xf numFmtId="169" fontId="5" fillId="0" borderId="0" xfId="29736" applyNumberFormat="1" applyFont="1"/>
    <xf numFmtId="0" fontId="6" fillId="0" borderId="34" xfId="29736" applyFont="1" applyFill="1" applyBorder="1" applyAlignment="1">
      <alignment horizontal="center" vertical="center" wrapText="1"/>
    </xf>
    <xf numFmtId="169" fontId="18" fillId="0" borderId="0" xfId="7705" applyNumberFormat="1" applyFont="1" applyFill="1" applyBorder="1" applyAlignment="1">
      <alignment horizontal="right" vertical="top"/>
    </xf>
    <xf numFmtId="169" fontId="19" fillId="0" borderId="0" xfId="7705" applyNumberFormat="1" applyFont="1" applyFill="1" applyBorder="1" applyAlignment="1">
      <alignment horizontal="right" vertical="top"/>
    </xf>
    <xf numFmtId="178" fontId="18" fillId="0" borderId="0" xfId="36416" applyNumberFormat="1" applyFont="1" applyFill="1" applyBorder="1" applyAlignment="1">
      <alignment horizontal="right" vertical="top"/>
    </xf>
    <xf numFmtId="178" fontId="19" fillId="0" borderId="0" xfId="36416" applyNumberFormat="1" applyFont="1" applyFill="1" applyBorder="1" applyAlignment="1">
      <alignment horizontal="right" vertical="top"/>
    </xf>
    <xf numFmtId="0" fontId="5" fillId="0" borderId="0" xfId="29736" applyFont="1" applyFill="1" applyAlignment="1"/>
    <xf numFmtId="0" fontId="6" fillId="0" borderId="0" xfId="29736" applyFont="1" applyFill="1"/>
    <xf numFmtId="0" fontId="5" fillId="0" borderId="0" xfId="29736" applyFont="1" applyFill="1" applyAlignment="1">
      <alignment horizontal="center" vertical="center"/>
    </xf>
    <xf numFmtId="0" fontId="6" fillId="0" borderId="3" xfId="29736" applyFont="1" applyFill="1" applyBorder="1" applyAlignment="1">
      <alignment horizontal="center" vertical="center"/>
    </xf>
    <xf numFmtId="166" fontId="6" fillId="0" borderId="0" xfId="29736" applyNumberFormat="1" applyFont="1" applyFill="1" applyAlignment="1">
      <alignment horizontal="right"/>
    </xf>
    <xf numFmtId="3" fontId="5" fillId="0" borderId="0" xfId="29186" applyNumberFormat="1" applyFont="1" applyFill="1" applyAlignment="1" applyProtection="1">
      <alignment horizontal="left" vertical="center"/>
      <protection locked="0"/>
    </xf>
    <xf numFmtId="166" fontId="5" fillId="0" borderId="0" xfId="29736" applyNumberFormat="1" applyFont="1" applyFill="1" applyAlignment="1">
      <alignment horizontal="right"/>
    </xf>
    <xf numFmtId="166" fontId="5" fillId="0" borderId="0" xfId="29736" applyNumberFormat="1" applyFont="1" applyFill="1"/>
    <xf numFmtId="3" fontId="5" fillId="0" borderId="0" xfId="29736" applyNumberFormat="1" applyFont="1" applyFill="1" applyAlignment="1" applyProtection="1">
      <alignment horizontal="left" vertical="center"/>
      <protection locked="0"/>
    </xf>
    <xf numFmtId="0" fontId="5" fillId="0" borderId="0" xfId="29736" applyFont="1" applyFill="1" applyAlignment="1">
      <alignment horizontal="right"/>
    </xf>
    <xf numFmtId="0" fontId="5" fillId="0" borderId="0" xfId="29736" applyFont="1" applyAlignment="1">
      <alignment wrapText="1"/>
    </xf>
    <xf numFmtId="0" fontId="24" fillId="0" borderId="0" xfId="36417" applyFont="1" applyBorder="1"/>
    <xf numFmtId="0" fontId="9" fillId="0" borderId="0" xfId="29736" applyFont="1" applyAlignment="1">
      <alignment vertical="center" wrapText="1"/>
    </xf>
    <xf numFmtId="0" fontId="5" fillId="0" borderId="0" xfId="29736" applyFont="1" applyFill="1" applyAlignment="1">
      <alignment wrapText="1"/>
    </xf>
    <xf numFmtId="0" fontId="6" fillId="0" borderId="3" xfId="29736" applyFont="1" applyBorder="1" applyAlignment="1">
      <alignment horizontal="center" vertical="center" wrapText="1"/>
    </xf>
    <xf numFmtId="0" fontId="5" fillId="0" borderId="0" xfId="29736" applyFont="1" applyAlignment="1">
      <alignment horizontal="center"/>
    </xf>
    <xf numFmtId="0" fontId="5" fillId="0" borderId="0" xfId="29736" applyFont="1" applyFill="1" applyAlignment="1">
      <alignment horizontal="center"/>
    </xf>
    <xf numFmtId="0" fontId="9" fillId="0" borderId="0" xfId="29736" applyFont="1"/>
    <xf numFmtId="0" fontId="9" fillId="0" borderId="0" xfId="29736" applyFont="1" applyBorder="1"/>
    <xf numFmtId="0" fontId="9" fillId="0" borderId="0" xfId="29736" applyFont="1" applyFill="1"/>
    <xf numFmtId="0" fontId="9" fillId="0" borderId="0" xfId="29736" applyFont="1" applyFill="1" applyAlignment="1">
      <alignment wrapText="1"/>
    </xf>
    <xf numFmtId="0" fontId="5" fillId="0" borderId="0" xfId="29736" applyFont="1" applyAlignment="1">
      <alignment vertical="center" wrapText="1"/>
    </xf>
    <xf numFmtId="0" fontId="5" fillId="0" borderId="0" xfId="29736" applyFont="1" applyAlignment="1">
      <alignment horizontal="justify"/>
    </xf>
    <xf numFmtId="0" fontId="5" fillId="0" borderId="0" xfId="29736" applyFont="1" applyAlignment="1">
      <alignment horizontal="right"/>
    </xf>
    <xf numFmtId="0" fontId="6" fillId="0" borderId="0" xfId="29736" applyFont="1" applyAlignment="1"/>
    <xf numFmtId="0" fontId="6" fillId="0" borderId="0" xfId="36417" applyFont="1" applyFill="1" applyBorder="1" applyAlignment="1"/>
    <xf numFmtId="0" fontId="5" fillId="0" borderId="0" xfId="29736" applyFont="1" applyFill="1" applyBorder="1" applyAlignment="1"/>
    <xf numFmtId="0" fontId="6" fillId="0" borderId="0" xfId="29736" applyFont="1" applyFill="1" applyBorder="1" applyAlignment="1"/>
    <xf numFmtId="0" fontId="6" fillId="0" borderId="3" xfId="36417" applyFont="1" applyFill="1" applyBorder="1" applyAlignment="1">
      <alignment horizontal="center" vertical="center"/>
    </xf>
    <xf numFmtId="0" fontId="5" fillId="0" borderId="0" xfId="29736" applyFont="1" applyFill="1" applyAlignment="1">
      <alignment vertical="center"/>
    </xf>
    <xf numFmtId="0" fontId="6" fillId="0" borderId="0" xfId="36417" applyFont="1" applyFill="1" applyBorder="1" applyAlignment="1">
      <alignment vertical="center"/>
    </xf>
    <xf numFmtId="0" fontId="5" fillId="0" borderId="0" xfId="29736" applyFont="1" applyFill="1" applyBorder="1" applyAlignment="1">
      <alignment horizontal="center" vertical="center"/>
    </xf>
    <xf numFmtId="0" fontId="6" fillId="0" borderId="0" xfId="36418" applyFont="1" applyFill="1" applyBorder="1"/>
    <xf numFmtId="166" fontId="6" fillId="0" borderId="0" xfId="36418" applyNumberFormat="1" applyFont="1" applyFill="1" applyBorder="1"/>
    <xf numFmtId="166" fontId="6" fillId="0" borderId="0" xfId="29736" applyNumberFormat="1" applyFont="1" applyFill="1" applyBorder="1" applyAlignment="1">
      <alignment horizontal="right"/>
    </xf>
    <xf numFmtId="0" fontId="6" fillId="0" borderId="0" xfId="36418" applyFont="1" applyFill="1" applyBorder="1" applyAlignment="1"/>
    <xf numFmtId="3" fontId="5" fillId="0" borderId="0" xfId="29293" applyNumberFormat="1" applyFont="1" applyFill="1" applyBorder="1" applyAlignment="1" applyProtection="1">
      <alignment horizontal="left" vertical="center"/>
      <protection locked="0"/>
    </xf>
    <xf numFmtId="166" fontId="5" fillId="0" borderId="0" xfId="29736" applyNumberFormat="1" applyFont="1" applyFill="1" applyBorder="1" applyAlignment="1">
      <alignment horizontal="right"/>
    </xf>
    <xf numFmtId="3" fontId="5" fillId="0" borderId="0" xfId="29736" applyNumberFormat="1" applyFont="1" applyFill="1" applyBorder="1" applyAlignment="1" applyProtection="1">
      <alignment horizontal="left" vertical="center"/>
      <protection locked="0"/>
    </xf>
    <xf numFmtId="49" fontId="5" fillId="0" borderId="0" xfId="29736" applyNumberFormat="1" applyFont="1" applyFill="1" applyAlignment="1">
      <alignment vertical="center" wrapText="1"/>
    </xf>
    <xf numFmtId="0" fontId="5" fillId="0" borderId="0" xfId="36418" applyFont="1" applyFill="1" applyBorder="1"/>
    <xf numFmtId="0" fontId="5" fillId="0" borderId="0" xfId="36418" applyFont="1" applyFill="1"/>
    <xf numFmtId="0" fontId="5" fillId="0" borderId="0" xfId="36417" applyFont="1" applyFill="1" applyBorder="1" applyAlignment="1"/>
    <xf numFmtId="0" fontId="5" fillId="0" borderId="0" xfId="36417" applyFont="1" applyFill="1" applyBorder="1"/>
    <xf numFmtId="0" fontId="4" fillId="0" borderId="0" xfId="29736" applyFont="1"/>
    <xf numFmtId="0" fontId="49" fillId="0" borderId="0" xfId="29736" applyFont="1" applyAlignment="1">
      <alignment vertical="center"/>
    </xf>
    <xf numFmtId="0" fontId="5" fillId="0" borderId="0" xfId="29736" applyFont="1" applyFill="1" applyBorder="1" applyAlignment="1">
      <alignment wrapText="1"/>
    </xf>
    <xf numFmtId="0" fontId="5" fillId="0" borderId="0" xfId="29736" applyFont="1" applyFill="1" applyBorder="1" applyAlignment="1">
      <alignment vertical="center"/>
    </xf>
    <xf numFmtId="0" fontId="5" fillId="0" borderId="0" xfId="36417" applyFont="1" applyFill="1" applyBorder="1" applyAlignment="1">
      <alignment vertical="center"/>
    </xf>
    <xf numFmtId="166" fontId="6" fillId="0" borderId="0" xfId="29736" applyNumberFormat="1" applyFont="1" applyFill="1" applyBorder="1"/>
    <xf numFmtId="0" fontId="5" fillId="0" borderId="0" xfId="36418" applyFont="1" applyFill="1" applyBorder="1" applyAlignment="1"/>
    <xf numFmtId="3" fontId="5" fillId="0" borderId="0" xfId="29055" applyNumberFormat="1" applyFont="1" applyFill="1" applyBorder="1" applyAlignment="1" applyProtection="1">
      <alignment horizontal="left" vertical="center"/>
      <protection locked="0"/>
    </xf>
    <xf numFmtId="166" fontId="5" fillId="0" borderId="0" xfId="29736" applyNumberFormat="1" applyFont="1" applyFill="1" applyBorder="1"/>
    <xf numFmtId="0" fontId="5" fillId="0" borderId="0" xfId="36417" applyFont="1" applyFill="1" applyBorder="1" applyAlignment="1">
      <alignment horizontal="left"/>
    </xf>
    <xf numFmtId="0" fontId="5" fillId="0" borderId="0" xfId="29736" applyFont="1" applyFill="1" applyBorder="1" applyAlignment="1">
      <alignment horizontal="center"/>
    </xf>
    <xf numFmtId="0" fontId="6" fillId="0" borderId="3" xfId="29736" applyFont="1" applyFill="1" applyBorder="1" applyAlignment="1">
      <alignment vertical="center"/>
    </xf>
    <xf numFmtId="0" fontId="6" fillId="0" borderId="3" xfId="29736" applyFont="1" applyFill="1" applyBorder="1" applyAlignment="1">
      <alignment horizontal="right" vertical="center"/>
    </xf>
    <xf numFmtId="0" fontId="6" fillId="0" borderId="0" xfId="29736" applyFont="1" applyFill="1" applyBorder="1"/>
    <xf numFmtId="0" fontId="5" fillId="0" borderId="0" xfId="29736" applyNumberFormat="1" applyFont="1" applyFill="1" applyAlignment="1">
      <alignment horizontal="left"/>
    </xf>
    <xf numFmtId="0" fontId="5" fillId="0" borderId="0" xfId="36417" applyFont="1" applyFill="1" applyBorder="1" applyAlignment="1">
      <alignment wrapText="1"/>
    </xf>
    <xf numFmtId="0" fontId="5" fillId="0" borderId="0" xfId="29736" applyNumberFormat="1" applyFont="1" applyFill="1" applyBorder="1" applyAlignment="1">
      <alignment vertical="center"/>
    </xf>
    <xf numFmtId="0" fontId="5" fillId="0" borderId="0" xfId="29736" applyFont="1" applyFill="1" applyBorder="1" applyAlignment="1">
      <alignment vertical="center" wrapText="1"/>
    </xf>
    <xf numFmtId="0" fontId="5" fillId="0" borderId="0" xfId="36418" applyFont="1" applyFill="1" applyBorder="1" applyAlignment="1">
      <alignment vertical="center"/>
    </xf>
    <xf numFmtId="0" fontId="5" fillId="0" borderId="0" xfId="36418" applyFont="1" applyFill="1" applyAlignment="1">
      <alignment vertical="center"/>
    </xf>
    <xf numFmtId="0" fontId="6" fillId="0" borderId="0" xfId="36417" applyFont="1" applyFill="1" applyBorder="1" applyAlignment="1">
      <alignment horizontal="left" vertical="center"/>
    </xf>
    <xf numFmtId="179" fontId="6" fillId="0" borderId="0" xfId="29736" applyNumberFormat="1" applyFont="1" applyFill="1" applyBorder="1" applyAlignment="1">
      <alignment horizontal="center" vertical="center"/>
    </xf>
    <xf numFmtId="0" fontId="5" fillId="0" borderId="0" xfId="36417" applyFont="1" applyFill="1" applyBorder="1" applyAlignment="1">
      <alignment vertical="center" wrapText="1"/>
    </xf>
    <xf numFmtId="179" fontId="5" fillId="0" borderId="0" xfId="7720" applyNumberFormat="1" applyFont="1" applyFill="1" applyBorder="1" applyAlignment="1">
      <alignment vertical="center"/>
    </xf>
    <xf numFmtId="180" fontId="5" fillId="0" borderId="0" xfId="7720" applyNumberFormat="1" applyFont="1" applyFill="1" applyBorder="1" applyAlignment="1">
      <alignment vertical="center"/>
    </xf>
    <xf numFmtId="180" fontId="19" fillId="0" borderId="0" xfId="2" applyNumberFormat="1" applyFont="1" applyBorder="1" applyAlignment="1" applyProtection="1">
      <alignment horizontal="right" vertical="center" wrapText="1" readingOrder="1"/>
      <protection locked="0"/>
    </xf>
    <xf numFmtId="172" fontId="5" fillId="0" borderId="0" xfId="36248" applyNumberFormat="1" applyFont="1" applyFill="1" applyAlignment="1">
      <alignment vertical="center"/>
    </xf>
    <xf numFmtId="3" fontId="5" fillId="0" borderId="0" xfId="29736" applyNumberFormat="1" applyFont="1" applyFill="1" applyBorder="1" applyAlignment="1">
      <alignment vertical="center"/>
    </xf>
    <xf numFmtId="179" fontId="5" fillId="0" borderId="0" xfId="7720" applyNumberFormat="1" applyFont="1" applyFill="1" applyBorder="1" applyAlignment="1">
      <alignment horizontal="right" vertical="center"/>
    </xf>
    <xf numFmtId="180" fontId="19" fillId="0" borderId="0" xfId="2" applyNumberFormat="1" applyFont="1" applyFill="1" applyBorder="1" applyAlignment="1" applyProtection="1">
      <alignment horizontal="right" vertical="center" wrapText="1" readingOrder="1"/>
      <protection locked="0"/>
    </xf>
    <xf numFmtId="0" fontId="50" fillId="0" borderId="0" xfId="29736" applyFont="1" applyFill="1" applyAlignment="1">
      <alignment vertical="center"/>
    </xf>
    <xf numFmtId="3" fontId="5" fillId="0" borderId="0" xfId="29736" applyNumberFormat="1" applyFont="1" applyFill="1" applyBorder="1" applyAlignment="1">
      <alignment horizontal="right" vertical="center"/>
    </xf>
    <xf numFmtId="180" fontId="5" fillId="0" borderId="0" xfId="7720" applyNumberFormat="1" applyFont="1" applyFill="1" applyBorder="1" applyAlignment="1"/>
    <xf numFmtId="3" fontId="5" fillId="0" borderId="0" xfId="29736" applyNumberFormat="1" applyFont="1" applyFill="1" applyBorder="1" applyAlignment="1">
      <alignment horizontal="right"/>
    </xf>
    <xf numFmtId="0" fontId="5" fillId="0" borderId="0" xfId="36417" applyFont="1" applyFill="1" applyBorder="1" applyAlignment="1">
      <alignment horizontal="right"/>
    </xf>
    <xf numFmtId="180" fontId="5" fillId="0" borderId="0" xfId="29736" applyNumberFormat="1" applyFont="1" applyFill="1" applyBorder="1" applyAlignment="1"/>
    <xf numFmtId="1" fontId="4" fillId="0" borderId="0" xfId="29736" applyNumberFormat="1" applyFont="1"/>
    <xf numFmtId="181" fontId="6" fillId="0" borderId="0" xfId="29736" applyNumberFormat="1" applyFont="1" applyFill="1" applyBorder="1" applyAlignment="1">
      <alignment horizontal="right"/>
    </xf>
    <xf numFmtId="181" fontId="5" fillId="0" borderId="0" xfId="29736" applyNumberFormat="1" applyFont="1" applyFill="1" applyBorder="1" applyAlignment="1">
      <alignment horizontal="right"/>
    </xf>
    <xf numFmtId="181" fontId="5" fillId="0" borderId="0" xfId="7705" applyNumberFormat="1" applyFont="1" applyFill="1" applyBorder="1" applyAlignment="1">
      <alignment horizontal="right"/>
    </xf>
    <xf numFmtId="180" fontId="5" fillId="0" borderId="0" xfId="7720" applyNumberFormat="1" applyFont="1" applyFill="1" applyBorder="1" applyAlignment="1">
      <alignment horizontal="right"/>
    </xf>
    <xf numFmtId="180" fontId="19" fillId="0" borderId="0" xfId="2" applyNumberFormat="1" applyFont="1" applyFill="1" applyBorder="1" applyAlignment="1" applyProtection="1">
      <alignment horizontal="right" wrapText="1"/>
      <protection locked="0"/>
    </xf>
    <xf numFmtId="180" fontId="6" fillId="0" borderId="0" xfId="7720" applyNumberFormat="1" applyFont="1" applyFill="1" applyBorder="1"/>
    <xf numFmtId="0" fontId="5" fillId="0" borderId="0" xfId="36417" applyFont="1" applyFill="1" applyBorder="1" applyAlignment="1">
      <alignment horizontal="right" wrapText="1"/>
    </xf>
    <xf numFmtId="165" fontId="5" fillId="0" borderId="0" xfId="29736" applyNumberFormat="1" applyFont="1" applyFill="1" applyBorder="1" applyAlignment="1">
      <alignment horizontal="center"/>
    </xf>
    <xf numFmtId="172" fontId="5" fillId="0" borderId="0" xfId="7" applyNumberFormat="1" applyFont="1"/>
    <xf numFmtId="0" fontId="18" fillId="0" borderId="3" xfId="7" applyFont="1" applyBorder="1" applyAlignment="1" applyProtection="1">
      <alignment horizontal="center" vertical="center" wrapText="1" readingOrder="1"/>
      <protection locked="0"/>
    </xf>
    <xf numFmtId="0" fontId="18" fillId="0" borderId="3" xfId="7" applyFont="1" applyBorder="1" applyAlignment="1" applyProtection="1">
      <alignment horizontal="center" vertical="top" wrapText="1" readingOrder="1"/>
      <protection locked="0"/>
    </xf>
    <xf numFmtId="166" fontId="18" fillId="0" borderId="0" xfId="7" applyNumberFormat="1" applyFont="1" applyBorder="1" applyAlignment="1" applyProtection="1">
      <alignment horizontal="center" vertical="top" wrapText="1" readingOrder="1"/>
      <protection locked="0"/>
    </xf>
    <xf numFmtId="166" fontId="6" fillId="0" borderId="0" xfId="7" applyNumberFormat="1" applyFont="1" applyBorder="1" applyAlignment="1" applyProtection="1">
      <alignment horizontal="center" vertical="top" wrapText="1" readingOrder="1"/>
      <protection locked="0"/>
    </xf>
    <xf numFmtId="166" fontId="6" fillId="0" borderId="0" xfId="7" applyNumberFormat="1" applyFont="1" applyFill="1"/>
    <xf numFmtId="0" fontId="17" fillId="0" borderId="0" xfId="7" applyFont="1" applyFill="1" applyBorder="1" applyAlignment="1">
      <alignment horizontal="left" vertical="center" wrapText="1"/>
    </xf>
    <xf numFmtId="175" fontId="19" fillId="0" borderId="0" xfId="9" applyNumberFormat="1" applyFont="1" applyFill="1" applyBorder="1" applyAlignment="1" applyProtection="1">
      <alignment horizontal="right" vertical="top" wrapText="1" readingOrder="1"/>
      <protection locked="0"/>
    </xf>
    <xf numFmtId="166" fontId="19" fillId="0" borderId="0" xfId="7" applyNumberFormat="1" applyFont="1" applyFill="1" applyBorder="1" applyAlignment="1" applyProtection="1">
      <alignment horizontal="right" vertical="top" wrapText="1" readingOrder="1"/>
      <protection locked="0"/>
    </xf>
    <xf numFmtId="0" fontId="5" fillId="0" borderId="0" xfId="7" applyFont="1" applyFill="1" applyBorder="1" applyAlignment="1">
      <alignment horizontal="left" vertical="center"/>
    </xf>
    <xf numFmtId="166" fontId="6" fillId="0" borderId="0" xfId="7" applyNumberFormat="1" applyFont="1" applyBorder="1" applyAlignment="1" applyProtection="1">
      <alignment horizontal="right" vertical="top" wrapText="1" readingOrder="1"/>
      <protection locked="0"/>
    </xf>
    <xf numFmtId="166" fontId="5" fillId="0" borderId="0" xfId="7" applyNumberFormat="1" applyFont="1" applyBorder="1" applyAlignment="1" applyProtection="1">
      <alignment horizontal="right" vertical="top" wrapText="1" readingOrder="1"/>
      <protection locked="0"/>
    </xf>
    <xf numFmtId="166" fontId="19" fillId="0" borderId="0" xfId="7" applyNumberFormat="1" applyFont="1" applyBorder="1" applyAlignment="1" applyProtection="1">
      <alignment horizontal="right" vertical="top" wrapText="1" readingOrder="1"/>
      <protection locked="0"/>
    </xf>
    <xf numFmtId="0" fontId="8" fillId="0" borderId="3" xfId="29737" applyFont="1" applyBorder="1" applyAlignment="1">
      <alignment horizontal="center" vertical="center" wrapText="1"/>
    </xf>
    <xf numFmtId="0" fontId="6" fillId="0" borderId="0" xfId="7" applyFont="1" applyBorder="1"/>
    <xf numFmtId="169" fontId="8" fillId="0" borderId="0" xfId="7705" applyNumberFormat="1" applyFont="1" applyBorder="1" applyAlignment="1">
      <alignment wrapText="1"/>
    </xf>
    <xf numFmtId="166" fontId="16" fillId="0" borderId="0" xfId="9" applyNumberFormat="1" applyFont="1" applyBorder="1" applyAlignment="1">
      <alignment horizontal="right" wrapText="1"/>
    </xf>
    <xf numFmtId="0" fontId="5" fillId="0" borderId="0" xfId="7" applyFont="1" applyBorder="1" applyAlignment="1">
      <alignment horizontal="left" vertical="center"/>
    </xf>
    <xf numFmtId="169" fontId="5" fillId="0" borderId="0" xfId="7705" applyNumberFormat="1" applyFont="1" applyFill="1" applyBorder="1" applyAlignment="1">
      <alignment wrapText="1"/>
    </xf>
    <xf numFmtId="166" fontId="5" fillId="0" borderId="0" xfId="9" applyNumberFormat="1" applyFont="1" applyAlignment="1">
      <alignment horizontal="right" wrapText="1"/>
    </xf>
    <xf numFmtId="166" fontId="5" fillId="0" borderId="0" xfId="9" applyNumberFormat="1" applyFont="1" applyBorder="1" applyAlignment="1">
      <alignment horizontal="right" wrapText="1"/>
    </xf>
    <xf numFmtId="166" fontId="5" fillId="0" borderId="0" xfId="7" applyNumberFormat="1" applyFont="1" applyBorder="1" applyAlignment="1">
      <alignment horizontal="right" wrapText="1"/>
    </xf>
    <xf numFmtId="0" fontId="5" fillId="0" borderId="0" xfId="29055" applyFont="1"/>
    <xf numFmtId="0" fontId="5" fillId="0" borderId="42" xfId="36419" applyFont="1" applyFill="1" applyBorder="1" applyAlignment="1"/>
    <xf numFmtId="0" fontId="6" fillId="0" borderId="3" xfId="36419" applyFont="1" applyFill="1" applyBorder="1" applyAlignment="1">
      <alignment horizontal="center" vertical="center" wrapText="1"/>
    </xf>
    <xf numFmtId="0" fontId="6" fillId="0" borderId="0" xfId="8055" applyFont="1" applyFill="1" applyBorder="1"/>
    <xf numFmtId="169" fontId="6" fillId="0" borderId="0" xfId="7705" applyNumberFormat="1" applyFont="1" applyFill="1" applyBorder="1" applyAlignment="1">
      <alignment horizontal="left"/>
    </xf>
    <xf numFmtId="3" fontId="5" fillId="0" borderId="0" xfId="29163" applyNumberFormat="1" applyFont="1" applyFill="1" applyBorder="1" applyAlignment="1" applyProtection="1">
      <alignment horizontal="left" vertical="center"/>
      <protection locked="0"/>
    </xf>
    <xf numFmtId="169" fontId="5" fillId="0" borderId="0" xfId="7705" applyNumberFormat="1" applyFont="1" applyFill="1" applyBorder="1" applyAlignment="1">
      <alignment horizontal="left"/>
    </xf>
    <xf numFmtId="169" fontId="5" fillId="0" borderId="0" xfId="7705" applyNumberFormat="1" applyFont="1" applyAlignment="1">
      <alignment horizontal="left"/>
    </xf>
    <xf numFmtId="0" fontId="5" fillId="0" borderId="0" xfId="8055" applyFont="1" applyFill="1" applyAlignment="1"/>
    <xf numFmtId="0" fontId="5" fillId="0" borderId="42" xfId="8055" applyFont="1" applyFill="1" applyBorder="1" applyAlignment="1">
      <alignment wrapText="1"/>
    </xf>
    <xf numFmtId="166" fontId="6" fillId="0" borderId="0" xfId="36417" applyNumberFormat="1" applyFont="1" applyFill="1" applyBorder="1"/>
    <xf numFmtId="3" fontId="5" fillId="0" borderId="0" xfId="29164" applyNumberFormat="1" applyFont="1" applyFill="1" applyBorder="1" applyAlignment="1" applyProtection="1">
      <alignment horizontal="left" vertical="center"/>
      <protection locked="0"/>
    </xf>
    <xf numFmtId="166" fontId="5" fillId="0" borderId="0" xfId="36417" applyNumberFormat="1" applyFont="1" applyFill="1" applyBorder="1"/>
    <xf numFmtId="0" fontId="5" fillId="0" borderId="0" xfId="8055" applyFont="1" applyFill="1" applyBorder="1"/>
    <xf numFmtId="0" fontId="5" fillId="0" borderId="0" xfId="8055" applyFont="1" applyFill="1" applyBorder="1" applyAlignment="1"/>
    <xf numFmtId="0" fontId="5" fillId="0" borderId="0" xfId="8055" applyFont="1" applyFill="1" applyBorder="1" applyAlignment="1">
      <alignment wrapText="1"/>
    </xf>
    <xf numFmtId="0" fontId="5" fillId="0" borderId="0" xfId="36417" applyFont="1" applyFill="1" applyBorder="1" applyAlignment="1">
      <alignment horizontal="center"/>
    </xf>
    <xf numFmtId="0" fontId="5" fillId="0" borderId="0" xfId="29055" applyFont="1" applyAlignment="1">
      <alignment vertical="center"/>
    </xf>
    <xf numFmtId="0" fontId="6" fillId="0" borderId="0" xfId="36417" applyFont="1" applyFill="1" applyBorder="1" applyAlignment="1">
      <alignment horizontal="justify"/>
    </xf>
    <xf numFmtId="3" fontId="6" fillId="0" borderId="0" xfId="36417" applyNumberFormat="1" applyFont="1" applyFill="1" applyBorder="1"/>
    <xf numFmtId="0" fontId="6" fillId="0" borderId="0" xfId="36417" applyFont="1" applyFill="1" applyBorder="1"/>
    <xf numFmtId="182" fontId="6" fillId="0" borderId="0" xfId="7705" applyNumberFormat="1" applyFont="1" applyFill="1" applyBorder="1" applyAlignment="1"/>
    <xf numFmtId="0" fontId="6" fillId="0" borderId="0" xfId="36419" applyFont="1" applyFill="1" applyBorder="1" applyAlignment="1">
      <alignment horizontal="center" vertical="center" wrapText="1"/>
    </xf>
    <xf numFmtId="166" fontId="6" fillId="0" borderId="0" xfId="29055" applyNumberFormat="1" applyFont="1" applyFill="1" applyBorder="1" applyAlignment="1">
      <alignment horizontal="right"/>
    </xf>
    <xf numFmtId="3" fontId="5" fillId="0" borderId="0" xfId="29165" applyNumberFormat="1" applyFont="1" applyFill="1" applyBorder="1" applyAlignment="1" applyProtection="1">
      <alignment horizontal="left" vertical="center"/>
      <protection locked="0"/>
    </xf>
    <xf numFmtId="166" fontId="5" fillId="0" borderId="0" xfId="29055" applyNumberFormat="1" applyFont="1" applyFill="1" applyBorder="1" applyAlignment="1">
      <alignment horizontal="right"/>
    </xf>
    <xf numFmtId="0" fontId="5" fillId="0" borderId="0" xfId="29055" applyFont="1" applyFill="1"/>
    <xf numFmtId="0" fontId="5" fillId="0" borderId="0" xfId="29055" applyFont="1" applyAlignment="1"/>
    <xf numFmtId="0" fontId="19" fillId="0" borderId="0" xfId="7" applyFont="1" applyBorder="1" applyAlignment="1" applyProtection="1">
      <alignment vertical="top" wrapText="1" readingOrder="1"/>
      <protection locked="0"/>
    </xf>
    <xf numFmtId="175" fontId="18" fillId="0" borderId="0" xfId="9" applyNumberFormat="1" applyFont="1" applyBorder="1" applyAlignment="1" applyProtection="1">
      <alignment horizontal="right" vertical="top" wrapText="1" readingOrder="1"/>
      <protection locked="0"/>
    </xf>
    <xf numFmtId="175" fontId="19" fillId="0" borderId="0" xfId="9" applyNumberFormat="1" applyFont="1" applyBorder="1" applyAlignment="1" applyProtection="1">
      <alignment horizontal="right" vertical="top" wrapText="1" readingOrder="1"/>
      <protection locked="0"/>
    </xf>
    <xf numFmtId="0" fontId="4" fillId="0" borderId="0" xfId="7" applyBorder="1"/>
    <xf numFmtId="0" fontId="51" fillId="0" borderId="0" xfId="36417" applyFont="1" applyFill="1" applyBorder="1" applyAlignment="1">
      <alignment vertical="center"/>
    </xf>
    <xf numFmtId="0" fontId="51" fillId="0" borderId="0" xfId="29055" applyFont="1" applyFill="1" applyBorder="1"/>
    <xf numFmtId="0" fontId="5" fillId="0" borderId="0" xfId="29055" applyFont="1" applyFill="1" applyBorder="1"/>
    <xf numFmtId="0" fontId="24" fillId="0" borderId="0" xfId="36417" applyFont="1" applyFill="1" applyBorder="1" applyAlignment="1">
      <alignment vertical="center"/>
    </xf>
    <xf numFmtId="0" fontId="6" fillId="0" borderId="3" xfId="36419" applyFont="1" applyFill="1" applyBorder="1" applyAlignment="1">
      <alignment horizontal="center" vertical="center"/>
    </xf>
    <xf numFmtId="0" fontId="17" fillId="0" borderId="0" xfId="29055" applyFont="1" applyFill="1" applyBorder="1" applyAlignment="1">
      <alignment vertical="center"/>
    </xf>
    <xf numFmtId="0" fontId="5" fillId="0" borderId="0" xfId="36417" applyFont="1" applyFill="1" applyBorder="1" applyAlignment="1">
      <alignment horizontal="center" vertical="center"/>
    </xf>
    <xf numFmtId="0" fontId="6" fillId="0" borderId="0" xfId="36417" applyFont="1" applyFill="1" applyBorder="1" applyAlignment="1">
      <alignment horizontal="center" vertical="center"/>
    </xf>
    <xf numFmtId="0" fontId="17" fillId="0" borderId="0" xfId="29055" applyFont="1" applyFill="1" applyBorder="1" applyAlignment="1">
      <alignment horizontal="right" vertical="center"/>
    </xf>
    <xf numFmtId="0" fontId="9" fillId="0" borderId="0" xfId="8055" applyFont="1" applyFill="1" applyBorder="1" applyAlignment="1">
      <alignment horizontal="center" vertical="center"/>
    </xf>
    <xf numFmtId="0" fontId="9" fillId="0" borderId="0" xfId="29055" applyFont="1" applyBorder="1" applyAlignment="1">
      <alignment horizontal="center"/>
    </xf>
    <xf numFmtId="0" fontId="9" fillId="0" borderId="0" xfId="29055" applyFont="1" applyFill="1" applyBorder="1"/>
    <xf numFmtId="0" fontId="5" fillId="0" borderId="0" xfId="29055" applyFont="1" applyBorder="1" applyAlignment="1">
      <alignment horizontal="center"/>
    </xf>
    <xf numFmtId="0" fontId="9" fillId="0" borderId="0" xfId="8055" applyFont="1" applyFill="1" applyBorder="1" applyAlignment="1">
      <alignment vertical="center"/>
    </xf>
    <xf numFmtId="0" fontId="6" fillId="0" borderId="0" xfId="36420" applyFont="1" applyFill="1" applyBorder="1" applyAlignment="1"/>
    <xf numFmtId="0" fontId="5" fillId="0" borderId="0" xfId="36419" applyFont="1" applyFill="1" applyBorder="1" applyAlignment="1">
      <alignment horizontal="center" vertical="center" wrapText="1"/>
    </xf>
    <xf numFmtId="169" fontId="6" fillId="0" borderId="0" xfId="7705" applyNumberFormat="1" applyFont="1" applyFill="1" applyBorder="1" applyAlignment="1">
      <alignment horizontal="distributed"/>
    </xf>
    <xf numFmtId="3" fontId="5" fillId="0" borderId="0" xfId="29166" applyNumberFormat="1" applyFont="1" applyFill="1" applyBorder="1" applyAlignment="1" applyProtection="1">
      <alignment horizontal="left" vertical="center"/>
      <protection locked="0"/>
    </xf>
    <xf numFmtId="169" fontId="5" fillId="0" borderId="0" xfId="7705" applyNumberFormat="1" applyFont="1" applyFill="1" applyBorder="1" applyAlignment="1">
      <alignment horizontal="distributed"/>
    </xf>
    <xf numFmtId="0" fontId="5" fillId="0" borderId="0" xfId="8055" applyFont="1" applyFill="1" applyBorder="1" applyAlignment="1">
      <alignment horizontal="left"/>
    </xf>
    <xf numFmtId="0" fontId="5" fillId="0" borderId="0" xfId="8055" applyFont="1" applyFill="1" applyAlignment="1">
      <alignment horizontal="left"/>
    </xf>
    <xf numFmtId="0" fontId="5" fillId="0" borderId="42" xfId="8055" applyFont="1" applyFill="1" applyBorder="1" applyAlignment="1">
      <alignment vertical="top"/>
    </xf>
    <xf numFmtId="182" fontId="5" fillId="0" borderId="0" xfId="7705" applyNumberFormat="1" applyFont="1" applyFill="1" applyBorder="1" applyAlignment="1"/>
    <xf numFmtId="3" fontId="5" fillId="0" borderId="0" xfId="29167" applyNumberFormat="1" applyFont="1" applyFill="1" applyBorder="1" applyAlignment="1" applyProtection="1">
      <alignment horizontal="left" vertical="center"/>
      <protection locked="0"/>
    </xf>
    <xf numFmtId="0" fontId="5" fillId="0" borderId="0" xfId="36419" applyFont="1" applyFill="1" applyBorder="1" applyAlignment="1">
      <alignment horizontal="center"/>
    </xf>
    <xf numFmtId="169" fontId="6" fillId="0" borderId="0" xfId="7705" applyNumberFormat="1" applyFont="1" applyFill="1" applyBorder="1" applyAlignment="1"/>
    <xf numFmtId="169" fontId="5" fillId="0" borderId="0" xfId="7705" applyNumberFormat="1" applyFont="1" applyFill="1" applyBorder="1" applyAlignment="1"/>
    <xf numFmtId="0" fontId="5" fillId="0" borderId="42" xfId="8055" applyFont="1" applyFill="1" applyBorder="1" applyAlignment="1">
      <alignment horizontal="left" vertical="top"/>
    </xf>
    <xf numFmtId="3" fontId="5" fillId="0" borderId="0" xfId="29168" applyNumberFormat="1" applyFont="1" applyFill="1" applyBorder="1" applyAlignment="1" applyProtection="1">
      <alignment horizontal="left" vertical="center"/>
      <protection locked="0"/>
    </xf>
    <xf numFmtId="0" fontId="9" fillId="0" borderId="0" xfId="29055" applyFont="1" applyFill="1" applyBorder="1" applyAlignment="1">
      <alignment vertical="center"/>
    </xf>
    <xf numFmtId="0" fontId="9" fillId="0" borderId="0" xfId="29055" applyFont="1" applyFill="1" applyBorder="1" applyAlignment="1">
      <alignment horizontal="center" vertical="center"/>
    </xf>
    <xf numFmtId="0" fontId="9" fillId="0" borderId="0" xfId="29055" applyFont="1" applyFill="1" applyBorder="1" applyAlignment="1">
      <alignment horizontal="right" vertical="center"/>
    </xf>
    <xf numFmtId="0" fontId="9" fillId="0" borderId="0" xfId="8055" applyFont="1" applyFill="1" applyBorder="1" applyAlignment="1">
      <alignment horizontal="right" vertical="center"/>
    </xf>
    <xf numFmtId="0" fontId="9" fillId="0" borderId="0" xfId="29055" applyFont="1" applyFill="1" applyBorder="1" applyAlignment="1">
      <alignment horizontal="right"/>
    </xf>
    <xf numFmtId="0" fontId="9" fillId="0" borderId="0" xfId="36420" applyFont="1"/>
    <xf numFmtId="0" fontId="5" fillId="0" borderId="0" xfId="29055" applyFont="1" applyFill="1" applyBorder="1" applyAlignment="1">
      <alignment vertical="center"/>
    </xf>
    <xf numFmtId="0" fontId="5" fillId="0" borderId="0" xfId="29055" applyFont="1" applyFill="1" applyBorder="1" applyAlignment="1">
      <alignment vertical="center" wrapText="1"/>
    </xf>
    <xf numFmtId="0" fontId="5" fillId="0" borderId="0" xfId="29055" applyFont="1" applyFill="1" applyBorder="1" applyAlignment="1">
      <alignment horizontal="center" vertical="center"/>
    </xf>
    <xf numFmtId="0" fontId="8" fillId="0" borderId="0" xfId="8055" applyFont="1" applyFill="1" applyBorder="1" applyAlignment="1">
      <alignment horizontal="right" vertical="center"/>
    </xf>
    <xf numFmtId="0" fontId="9" fillId="0" borderId="0" xfId="29055" applyFont="1" applyAlignment="1">
      <alignment vertical="center"/>
    </xf>
    <xf numFmtId="0" fontId="51" fillId="0" borderId="0" xfId="36417" applyFont="1" applyFill="1" applyBorder="1" applyAlignment="1">
      <alignment vertical="center" wrapText="1"/>
    </xf>
    <xf numFmtId="0" fontId="51" fillId="0" borderId="0" xfId="29055" applyFont="1" applyFill="1" applyBorder="1" applyAlignment="1">
      <alignment horizontal="right" vertical="center" wrapText="1"/>
    </xf>
    <xf numFmtId="3" fontId="5" fillId="0" borderId="0" xfId="29055" applyNumberFormat="1" applyFont="1" applyFill="1" applyBorder="1" applyAlignment="1">
      <alignment horizontal="right" vertical="center"/>
    </xf>
    <xf numFmtId="181" fontId="6" fillId="0" borderId="0" xfId="36417" applyNumberFormat="1" applyFont="1" applyFill="1" applyBorder="1" applyAlignment="1">
      <alignment horizontal="right" vertical="center"/>
    </xf>
    <xf numFmtId="181" fontId="5" fillId="0" borderId="0" xfId="36417" applyNumberFormat="1" applyFont="1" applyFill="1" applyBorder="1" applyAlignment="1">
      <alignment horizontal="right" vertical="center"/>
    </xf>
    <xf numFmtId="181" fontId="9" fillId="0" borderId="0" xfId="7705" applyNumberFormat="1" applyFont="1" applyFill="1" applyBorder="1" applyAlignment="1">
      <alignment horizontal="right" vertical="center"/>
    </xf>
    <xf numFmtId="181" fontId="9" fillId="0" borderId="0" xfId="29055" applyNumberFormat="1" applyFont="1" applyFill="1" applyBorder="1" applyAlignment="1">
      <alignment horizontal="right" vertical="center"/>
    </xf>
    <xf numFmtId="181" fontId="5" fillId="0" borderId="0" xfId="29055" applyNumberFormat="1" applyFont="1" applyFill="1" applyBorder="1" applyAlignment="1">
      <alignment horizontal="right" vertical="center"/>
    </xf>
    <xf numFmtId="0" fontId="51" fillId="0" borderId="0" xfId="36417" applyFont="1" applyFill="1" applyBorder="1" applyAlignment="1"/>
    <xf numFmtId="179" fontId="6" fillId="0" borderId="0" xfId="7720" applyNumberFormat="1" applyFont="1" applyFill="1" applyBorder="1" applyAlignment="1">
      <alignment vertical="center"/>
    </xf>
    <xf numFmtId="179" fontId="9" fillId="0" borderId="0" xfId="7720" applyNumberFormat="1" applyFont="1" applyFill="1" applyBorder="1" applyAlignment="1">
      <alignment horizontal="right" vertical="center"/>
    </xf>
    <xf numFmtId="180" fontId="19" fillId="0" borderId="0" xfId="36421" applyNumberFormat="1" applyFont="1" applyFill="1" applyBorder="1" applyAlignment="1" applyProtection="1">
      <alignment horizontal="right" vertical="top" wrapText="1" readingOrder="1"/>
      <protection locked="0"/>
    </xf>
    <xf numFmtId="0" fontId="18" fillId="0" borderId="37" xfId="7" applyFont="1" applyBorder="1" applyAlignment="1" applyProtection="1">
      <alignment horizontal="center" vertical="top" wrapText="1" readingOrder="1"/>
      <protection locked="0"/>
    </xf>
    <xf numFmtId="175" fontId="6" fillId="0" borderId="0" xfId="9" applyNumberFormat="1" applyFont="1" applyFill="1" applyBorder="1"/>
    <xf numFmtId="175" fontId="5" fillId="0" borderId="0" xfId="9" applyNumberFormat="1" applyFont="1" applyFill="1" applyBorder="1"/>
    <xf numFmtId="175" fontId="19" fillId="0" borderId="0" xfId="9" applyNumberFormat="1" applyFont="1" applyBorder="1" applyAlignment="1" applyProtection="1">
      <alignment horizontal="left" vertical="top" wrapText="1" readingOrder="1"/>
      <protection locked="0"/>
    </xf>
    <xf numFmtId="172" fontId="0" fillId="0" borderId="0" xfId="36248" applyNumberFormat="1" applyFont="1"/>
    <xf numFmtId="175" fontId="19" fillId="0" borderId="0" xfId="9" applyNumberFormat="1" applyFont="1" applyBorder="1" applyAlignment="1" applyProtection="1">
      <alignment horizontal="center" vertical="top" wrapText="1" readingOrder="1"/>
      <protection locked="0"/>
    </xf>
    <xf numFmtId="0" fontId="4" fillId="0" borderId="0" xfId="7" applyFill="1"/>
    <xf numFmtId="0" fontId="18" fillId="0" borderId="37" xfId="7" applyFont="1" applyFill="1" applyBorder="1" applyAlignment="1" applyProtection="1">
      <alignment horizontal="center" vertical="top" wrapText="1" readingOrder="1"/>
      <protection locked="0"/>
    </xf>
    <xf numFmtId="0" fontId="18" fillId="0" borderId="37" xfId="6" applyFont="1" applyBorder="1" applyAlignment="1" applyProtection="1">
      <alignment horizontal="center" vertical="top" wrapText="1" readingOrder="1"/>
      <protection locked="0"/>
    </xf>
    <xf numFmtId="0" fontId="18" fillId="0" borderId="37" xfId="7" applyFont="1" applyBorder="1" applyAlignment="1" applyProtection="1">
      <alignment horizontal="center" vertical="center" wrapText="1" readingOrder="1"/>
      <protection locked="0"/>
    </xf>
    <xf numFmtId="0" fontId="18" fillId="0" borderId="0" xfId="6" applyFont="1" applyBorder="1" applyAlignment="1" applyProtection="1">
      <alignment vertical="top" wrapText="1" readingOrder="1"/>
      <protection locked="0"/>
    </xf>
    <xf numFmtId="175" fontId="18" fillId="0" borderId="0" xfId="36422" applyNumberFormat="1" applyFont="1" applyBorder="1" applyAlignment="1" applyProtection="1">
      <alignment horizontal="right" vertical="top" wrapText="1" readingOrder="1"/>
      <protection locked="0"/>
    </xf>
    <xf numFmtId="0" fontId="19" fillId="0" borderId="0" xfId="6" applyFont="1" applyBorder="1" applyAlignment="1" applyProtection="1">
      <alignment vertical="top" wrapText="1" readingOrder="1"/>
      <protection locked="0"/>
    </xf>
    <xf numFmtId="175" fontId="19" fillId="0" borderId="0" xfId="36422" applyNumberFormat="1" applyFont="1" applyBorder="1" applyAlignment="1" applyProtection="1">
      <alignment horizontal="right" vertical="top" wrapText="1" readingOrder="1"/>
      <protection locked="0"/>
    </xf>
    <xf numFmtId="175" fontId="5" fillId="0" borderId="0" xfId="6" applyNumberFormat="1" applyFont="1"/>
    <xf numFmtId="175" fontId="19" fillId="0" borderId="0" xfId="9" applyNumberFormat="1" applyFont="1" applyFill="1" applyBorder="1" applyAlignment="1" applyProtection="1">
      <alignment horizontal="left" vertical="top" wrapText="1" readingOrder="1"/>
      <protection locked="0"/>
    </xf>
    <xf numFmtId="0" fontId="5" fillId="0" borderId="0" xfId="6" applyFont="1" applyFill="1"/>
    <xf numFmtId="0" fontId="6" fillId="0" borderId="37" xfId="6" applyFont="1" applyFill="1" applyBorder="1" applyAlignment="1" applyProtection="1">
      <alignment horizontal="center" vertical="center" wrapText="1" readingOrder="1"/>
      <protection locked="0"/>
    </xf>
    <xf numFmtId="0" fontId="5" fillId="0" borderId="0" xfId="6" applyFont="1" applyFill="1" applyBorder="1" applyAlignment="1" applyProtection="1">
      <alignment horizontal="left" vertical="top" wrapText="1" readingOrder="1"/>
      <protection locked="0"/>
    </xf>
    <xf numFmtId="175" fontId="6" fillId="0" borderId="0" xfId="36422" applyNumberFormat="1" applyFont="1" applyFill="1" applyBorder="1"/>
    <xf numFmtId="175" fontId="5" fillId="0" borderId="0" xfId="36422" applyNumberFormat="1" applyFont="1" applyFill="1" applyBorder="1"/>
    <xf numFmtId="175" fontId="5" fillId="0" borderId="0" xfId="36422" applyNumberFormat="1" applyFont="1" applyFill="1" applyBorder="1" applyAlignment="1" applyProtection="1">
      <alignment wrapText="1" readingOrder="1"/>
      <protection locked="0"/>
    </xf>
    <xf numFmtId="0" fontId="18" fillId="0" borderId="36" xfId="7" applyFont="1" applyBorder="1" applyAlignment="1" applyProtection="1">
      <alignment horizontal="center" vertical="center" wrapText="1" readingOrder="1"/>
      <protection locked="0"/>
    </xf>
    <xf numFmtId="175" fontId="5" fillId="0" borderId="0" xfId="9" applyNumberFormat="1" applyFont="1" applyBorder="1"/>
    <xf numFmtId="0" fontId="4" fillId="0" borderId="0" xfId="7" applyAlignment="1">
      <alignment horizontal="left"/>
    </xf>
    <xf numFmtId="0" fontId="4" fillId="0" borderId="0" xfId="7" applyNumberFormat="1"/>
    <xf numFmtId="0" fontId="4" fillId="0" borderId="0" xfId="4" applyFont="1" applyFill="1"/>
    <xf numFmtId="0" fontId="5" fillId="0" borderId="0" xfId="4" applyFont="1" applyFill="1" applyAlignment="1">
      <alignment horizontal="right"/>
    </xf>
    <xf numFmtId="0" fontId="6" fillId="0" borderId="0" xfId="4" applyFont="1" applyFill="1" applyBorder="1" applyAlignment="1">
      <alignment vertical="center"/>
    </xf>
    <xf numFmtId="9" fontId="6" fillId="0" borderId="0" xfId="4" applyNumberFormat="1" applyFont="1" applyFill="1" applyBorder="1" applyAlignment="1">
      <alignment horizontal="right" vertical="center"/>
    </xf>
    <xf numFmtId="169" fontId="6" fillId="0" borderId="0" xfId="7710" applyNumberFormat="1" applyFont="1" applyFill="1" applyBorder="1" applyAlignment="1">
      <alignment horizontal="right" vertical="center"/>
    </xf>
    <xf numFmtId="166" fontId="5" fillId="0" borderId="0" xfId="4" applyNumberFormat="1" applyFont="1" applyFill="1" applyAlignment="1">
      <alignment horizontal="right"/>
    </xf>
    <xf numFmtId="169" fontId="5" fillId="0" borderId="0" xfId="36417" applyNumberFormat="1" applyFont="1" applyFill="1" applyBorder="1" applyAlignment="1">
      <alignment horizontal="right"/>
    </xf>
    <xf numFmtId="10" fontId="5" fillId="0" borderId="0" xfId="3" applyNumberFormat="1" applyFont="1" applyFill="1" applyBorder="1" applyAlignment="1">
      <alignment horizontal="right" vertical="center"/>
    </xf>
    <xf numFmtId="166" fontId="5" fillId="0" borderId="0" xfId="4" applyNumberFormat="1" applyFont="1" applyFill="1" applyBorder="1" applyAlignment="1">
      <alignment horizontal="right" vertical="center"/>
    </xf>
    <xf numFmtId="168" fontId="5" fillId="0" borderId="0" xfId="36417" applyNumberFormat="1" applyFont="1" applyFill="1" applyBorder="1" applyAlignment="1">
      <alignment horizontal="right"/>
    </xf>
    <xf numFmtId="3" fontId="5" fillId="0" borderId="0" xfId="36417" applyNumberFormat="1" applyFont="1" applyFill="1" applyBorder="1"/>
    <xf numFmtId="3" fontId="5" fillId="0" borderId="0" xfId="36417" applyNumberFormat="1" applyFont="1" applyFill="1" applyBorder="1" applyAlignment="1">
      <alignment horizontal="right"/>
    </xf>
    <xf numFmtId="166" fontId="5" fillId="0" borderId="0" xfId="36417" applyNumberFormat="1" applyFont="1" applyFill="1" applyBorder="1" applyAlignment="1">
      <alignment horizontal="right"/>
    </xf>
    <xf numFmtId="1" fontId="5" fillId="0" borderId="0" xfId="36417" applyNumberFormat="1" applyFont="1" applyFill="1" applyBorder="1" applyAlignment="1">
      <alignment horizontal="right"/>
    </xf>
    <xf numFmtId="169" fontId="5" fillId="0" borderId="0" xfId="4" applyNumberFormat="1" applyFont="1" applyFill="1" applyBorder="1" applyAlignment="1">
      <alignment horizontal="right" vertical="center"/>
    </xf>
    <xf numFmtId="169" fontId="5" fillId="0" borderId="0" xfId="7705" applyNumberFormat="1" applyFont="1" applyFill="1" applyBorder="1" applyAlignment="1">
      <alignment horizontal="right" vertical="center"/>
    </xf>
    <xf numFmtId="169" fontId="5" fillId="0" borderId="0" xfId="7710" applyNumberFormat="1" applyFont="1" applyFill="1" applyBorder="1" applyAlignment="1">
      <alignment horizontal="right" vertical="center"/>
    </xf>
    <xf numFmtId="1" fontId="5" fillId="0" borderId="0" xfId="7710" applyNumberFormat="1" applyFont="1" applyFill="1" applyBorder="1" applyAlignment="1">
      <alignment horizontal="right" vertical="center"/>
    </xf>
    <xf numFmtId="2" fontId="5" fillId="0" borderId="0" xfId="4" applyNumberFormat="1" applyFont="1" applyFill="1" applyBorder="1" applyAlignment="1">
      <alignment horizontal="right" vertical="center"/>
    </xf>
    <xf numFmtId="0" fontId="49" fillId="0" borderId="0" xfId="4" applyFont="1" applyFill="1" applyAlignment="1">
      <alignment vertical="center"/>
    </xf>
    <xf numFmtId="0" fontId="5" fillId="0" borderId="0" xfId="36417" applyFont="1" applyFill="1" applyBorder="1" applyAlignment="1">
      <alignment horizontal="center" wrapText="1"/>
    </xf>
    <xf numFmtId="0" fontId="6" fillId="0" borderId="60" xfId="36417" applyFont="1" applyFill="1" applyBorder="1" applyAlignment="1">
      <alignment horizontal="center" vertical="center" wrapText="1"/>
    </xf>
    <xf numFmtId="166" fontId="6" fillId="0" borderId="0" xfId="36417" applyNumberFormat="1" applyFont="1" applyFill="1" applyBorder="1" applyAlignment="1"/>
    <xf numFmtId="9" fontId="6" fillId="0" borderId="0" xfId="36249" applyFont="1" applyFill="1" applyBorder="1"/>
    <xf numFmtId="4" fontId="5" fillId="0" borderId="0" xfId="4" applyNumberFormat="1" applyFont="1" applyFill="1" applyBorder="1" applyAlignment="1" applyProtection="1">
      <alignment horizontal="left" vertical="center"/>
      <protection locked="0"/>
    </xf>
    <xf numFmtId="10" fontId="5" fillId="0" borderId="0" xfId="36417" applyNumberFormat="1" applyFont="1" applyFill="1" applyBorder="1"/>
    <xf numFmtId="3" fontId="5" fillId="0" borderId="0" xfId="29185" applyNumberFormat="1" applyFont="1" applyFill="1" applyBorder="1" applyAlignment="1" applyProtection="1">
      <alignment horizontal="left" vertical="center"/>
      <protection locked="0"/>
    </xf>
    <xf numFmtId="3" fontId="5" fillId="0" borderId="0" xfId="4" applyNumberFormat="1" applyFont="1" applyFill="1" applyBorder="1" applyAlignment="1" applyProtection="1">
      <alignment horizontal="left" vertical="center"/>
      <protection locked="0"/>
    </xf>
    <xf numFmtId="10" fontId="5" fillId="0" borderId="0" xfId="36249" applyNumberFormat="1" applyFont="1" applyFill="1" applyBorder="1" applyAlignment="1">
      <alignment horizontal="right"/>
    </xf>
    <xf numFmtId="10" fontId="5" fillId="0" borderId="0" xfId="36249" applyNumberFormat="1" applyFont="1" applyFill="1" applyBorder="1"/>
    <xf numFmtId="166" fontId="5" fillId="0" borderId="0" xfId="36417" applyNumberFormat="1" applyFont="1" applyFill="1" applyBorder="1" applyAlignment="1"/>
    <xf numFmtId="3" fontId="5" fillId="0" borderId="0" xfId="36417" applyNumberFormat="1" applyFont="1" applyFill="1" applyBorder="1" applyAlignment="1">
      <alignment wrapText="1"/>
    </xf>
    <xf numFmtId="10" fontId="5" fillId="0" borderId="0" xfId="36417" applyNumberFormat="1" applyFont="1" applyFill="1" applyBorder="1" applyAlignment="1">
      <alignment wrapText="1"/>
    </xf>
    <xf numFmtId="0" fontId="4" fillId="0" borderId="0" xfId="4" applyFont="1" applyFill="1" applyAlignment="1">
      <alignment horizontal="center"/>
    </xf>
    <xf numFmtId="0" fontId="5" fillId="0" borderId="0" xfId="4" applyFont="1" applyFill="1" applyAlignment="1">
      <alignment vertical="center"/>
    </xf>
    <xf numFmtId="0" fontId="5" fillId="0" borderId="0" xfId="4" applyFont="1" applyFill="1" applyAlignment="1">
      <alignment horizontal="left" vertical="center" wrapText="1"/>
    </xf>
    <xf numFmtId="0" fontId="5" fillId="0" borderId="0" xfId="4" applyFont="1" applyFill="1" applyBorder="1" applyAlignment="1">
      <alignment horizontal="right"/>
    </xf>
    <xf numFmtId="0" fontId="6" fillId="0" borderId="60" xfId="4" applyFont="1" applyFill="1" applyBorder="1" applyAlignment="1">
      <alignment horizontal="center" vertical="center"/>
    </xf>
    <xf numFmtId="169" fontId="6" fillId="0" borderId="0" xfId="7705" applyNumberFormat="1" applyFont="1" applyFill="1" applyBorder="1" applyAlignment="1">
      <alignment horizontal="right" vertical="center"/>
    </xf>
    <xf numFmtId="172" fontId="5" fillId="0" borderId="0" xfId="4" applyNumberFormat="1" applyFont="1" applyFill="1" applyBorder="1" applyAlignment="1">
      <alignment horizontal="right" vertical="center"/>
    </xf>
    <xf numFmtId="9" fontId="6" fillId="0" borderId="0" xfId="7705" applyNumberFormat="1" applyFont="1" applyFill="1" applyBorder="1" applyAlignment="1">
      <alignment horizontal="right" vertical="center"/>
    </xf>
    <xf numFmtId="166" fontId="5" fillId="0" borderId="0" xfId="0" applyNumberFormat="1" applyFont="1" applyFill="1" applyBorder="1" applyAlignment="1" applyProtection="1">
      <alignment horizontal="right" vertical="top" wrapText="1" readingOrder="1"/>
      <protection locked="0"/>
    </xf>
    <xf numFmtId="10" fontId="5" fillId="0" borderId="0" xfId="4" applyNumberFormat="1" applyFont="1" applyFill="1" applyBorder="1" applyAlignment="1">
      <alignment horizontal="right" vertical="center"/>
    </xf>
    <xf numFmtId="0" fontId="5" fillId="0" borderId="0" xfId="36417" applyFont="1" applyFill="1" applyBorder="1" applyAlignment="1">
      <alignment horizontal="left" vertical="center" wrapText="1"/>
    </xf>
    <xf numFmtId="0" fontId="6" fillId="0" borderId="0" xfId="4" applyFont="1" applyAlignment="1"/>
    <xf numFmtId="0" fontId="5" fillId="0" borderId="0" xfId="36417" applyFont="1" applyBorder="1"/>
    <xf numFmtId="0" fontId="6" fillId="0" borderId="0" xfId="36417" applyFont="1" applyBorder="1"/>
    <xf numFmtId="0" fontId="6" fillId="0" borderId="0" xfId="4" applyFont="1" applyFill="1" applyAlignment="1">
      <alignment wrapText="1"/>
    </xf>
    <xf numFmtId="0" fontId="6" fillId="0" borderId="0" xfId="36417" applyFont="1" applyBorder="1" applyAlignment="1">
      <alignment vertical="center"/>
    </xf>
    <xf numFmtId="0" fontId="5" fillId="0" borderId="0" xfId="36417" applyFont="1" applyBorder="1" applyAlignment="1">
      <alignment vertical="center"/>
    </xf>
    <xf numFmtId="0" fontId="6" fillId="0" borderId="59" xfId="36417" applyFont="1" applyBorder="1" applyAlignment="1">
      <alignment horizontal="center" vertical="center"/>
    </xf>
    <xf numFmtId="0" fontId="6" fillId="0" borderId="0" xfId="4" applyFont="1" applyFill="1" applyAlignment="1">
      <alignment horizontal="left"/>
    </xf>
    <xf numFmtId="169" fontId="6" fillId="0" borderId="0" xfId="7705" applyNumberFormat="1" applyFont="1" applyBorder="1"/>
    <xf numFmtId="166" fontId="18" fillId="0" borderId="0" xfId="1" applyNumberFormat="1" applyFont="1" applyBorder="1" applyAlignment="1" applyProtection="1">
      <alignment horizontal="right" vertical="top" wrapText="1" readingOrder="1"/>
      <protection locked="0"/>
    </xf>
    <xf numFmtId="0" fontId="4" fillId="0" borderId="0" xfId="4" applyFont="1"/>
    <xf numFmtId="0" fontId="4" fillId="0" borderId="0" xfId="4" applyFont="1" applyBorder="1"/>
    <xf numFmtId="0" fontId="6" fillId="0" borderId="60" xfId="4" applyFont="1" applyFill="1" applyBorder="1" applyAlignment="1">
      <alignment horizontal="center" vertical="center" wrapText="1"/>
    </xf>
    <xf numFmtId="3" fontId="6" fillId="0" borderId="0" xfId="36417" applyNumberFormat="1" applyFont="1" applyFill="1" applyBorder="1" applyAlignment="1">
      <alignment horizontal="right"/>
    </xf>
    <xf numFmtId="0" fontId="49" fillId="0" borderId="0" xfId="4" applyFont="1" applyFill="1" applyAlignment="1">
      <alignment vertical="center" wrapText="1"/>
    </xf>
    <xf numFmtId="2" fontId="6" fillId="0" borderId="0" xfId="4" applyNumberFormat="1" applyFont="1" applyFill="1" applyAlignment="1">
      <alignment wrapText="1"/>
    </xf>
    <xf numFmtId="166" fontId="6" fillId="0" borderId="0" xfId="36417" applyNumberFormat="1" applyFont="1" applyFill="1" applyBorder="1" applyAlignment="1">
      <alignment horizontal="right"/>
    </xf>
    <xf numFmtId="0" fontId="5" fillId="0" borderId="0" xfId="4" applyFont="1" applyFill="1" applyBorder="1" applyAlignment="1">
      <alignment horizontal="left" vertical="center" wrapText="1"/>
    </xf>
    <xf numFmtId="0" fontId="6" fillId="0" borderId="0" xfId="36417" applyFont="1" applyBorder="1" applyAlignment="1">
      <alignment horizontal="center" vertical="center"/>
    </xf>
    <xf numFmtId="0" fontId="18" fillId="0" borderId="0" xfId="7" applyFont="1" applyBorder="1" applyAlignment="1" applyProtection="1">
      <alignment horizontal="center" vertical="top" wrapText="1" readingOrder="1"/>
      <protection locked="0"/>
    </xf>
    <xf numFmtId="0" fontId="4" fillId="0" borderId="0" xfId="7" applyFont="1"/>
    <xf numFmtId="0" fontId="54" fillId="0" borderId="0" xfId="7" applyFont="1"/>
    <xf numFmtId="0" fontId="6" fillId="0" borderId="3" xfId="36417" applyFont="1" applyBorder="1" applyAlignment="1">
      <alignment horizontal="center" vertical="center"/>
    </xf>
    <xf numFmtId="0" fontId="0" fillId="0" borderId="0" xfId="0" applyFill="1"/>
    <xf numFmtId="0" fontId="18" fillId="0" borderId="0" xfId="36423" applyFont="1" applyBorder="1" applyAlignment="1">
      <alignment horizontal="left" vertical="center" wrapText="1"/>
    </xf>
    <xf numFmtId="0" fontId="18" fillId="0" borderId="3" xfId="36423" applyFont="1" applyFill="1" applyBorder="1" applyAlignment="1">
      <alignment horizontal="center" vertical="center" wrapText="1"/>
    </xf>
    <xf numFmtId="0" fontId="6" fillId="0" borderId="0" xfId="0" applyFont="1" applyFill="1" applyBorder="1" applyAlignment="1">
      <alignment horizontal="left" wrapText="1"/>
    </xf>
    <xf numFmtId="166" fontId="18" fillId="0" borderId="0" xfId="36423" applyNumberFormat="1" applyFont="1" applyFill="1" applyBorder="1" applyAlignment="1">
      <alignment horizontal="right" vertical="center" wrapText="1"/>
    </xf>
    <xf numFmtId="183" fontId="18" fillId="0" borderId="0" xfId="36251" applyNumberFormat="1" applyFont="1" applyFill="1" applyBorder="1" applyAlignment="1">
      <alignment horizontal="right" vertical="center"/>
    </xf>
    <xf numFmtId="166" fontId="6" fillId="0" borderId="0" xfId="36423" applyNumberFormat="1" applyFont="1" applyFill="1" applyBorder="1" applyAlignment="1">
      <alignment horizontal="right" vertical="center" wrapText="1"/>
    </xf>
    <xf numFmtId="0" fontId="19" fillId="0" borderId="0" xfId="36423" applyFont="1" applyFill="1" applyBorder="1" applyAlignment="1">
      <alignment horizontal="left" vertical="center" wrapText="1"/>
    </xf>
    <xf numFmtId="166" fontId="19" fillId="0" borderId="0" xfId="36423" applyNumberFormat="1" applyFont="1" applyFill="1" applyBorder="1" applyAlignment="1">
      <alignment horizontal="right" vertical="center"/>
    </xf>
    <xf numFmtId="184" fontId="19" fillId="0" borderId="0" xfId="36251" applyNumberFormat="1" applyFont="1" applyFill="1" applyBorder="1" applyAlignment="1">
      <alignment horizontal="right" vertical="center"/>
    </xf>
    <xf numFmtId="9" fontId="18" fillId="0" borderId="0" xfId="36249" applyFont="1" applyFill="1" applyBorder="1" applyAlignment="1">
      <alignment horizontal="right" vertical="center"/>
    </xf>
    <xf numFmtId="172" fontId="19" fillId="0" borderId="0" xfId="36249" applyNumberFormat="1" applyFont="1" applyFill="1" applyBorder="1" applyAlignment="1">
      <alignment horizontal="right" vertical="center"/>
    </xf>
    <xf numFmtId="9" fontId="6" fillId="0" borderId="0" xfId="36249" applyFont="1" applyFill="1" applyBorder="1" applyAlignment="1">
      <alignment horizontal="right" vertical="center"/>
    </xf>
    <xf numFmtId="166" fontId="5" fillId="0" borderId="0" xfId="36423" applyNumberFormat="1" applyFont="1" applyFill="1" applyBorder="1" applyAlignment="1">
      <alignment horizontal="right" vertical="center"/>
    </xf>
    <xf numFmtId="172" fontId="5" fillId="0" borderId="0" xfId="36249" applyNumberFormat="1" applyFont="1" applyFill="1" applyBorder="1" applyAlignment="1">
      <alignment horizontal="right" vertical="center"/>
    </xf>
    <xf numFmtId="9" fontId="6" fillId="0" borderId="0" xfId="36249" applyNumberFormat="1" applyFont="1" applyFill="1" applyBorder="1" applyAlignment="1">
      <alignment horizontal="right" vertical="center"/>
    </xf>
    <xf numFmtId="9" fontId="5" fillId="0" borderId="0" xfId="36249" applyFont="1" applyFill="1" applyBorder="1" applyAlignment="1">
      <alignment horizontal="right" vertical="center"/>
    </xf>
    <xf numFmtId="0" fontId="25" fillId="0" borderId="0" xfId="0" applyFont="1"/>
    <xf numFmtId="0" fontId="25" fillId="0" borderId="0" xfId="0" applyFont="1" applyFill="1"/>
    <xf numFmtId="49" fontId="5" fillId="0" borderId="0" xfId="0" applyNumberFormat="1" applyFont="1" applyFill="1" applyAlignment="1">
      <alignment horizontal="left" vertical="center" wrapText="1"/>
    </xf>
    <xf numFmtId="0" fontId="19" fillId="0" borderId="0" xfId="36423" applyFont="1" applyFill="1" applyBorder="1" applyAlignment="1">
      <alignment horizontal="left" vertical="center"/>
    </xf>
    <xf numFmtId="0" fontId="4" fillId="0" borderId="0" xfId="7" applyFont="1" applyFill="1" applyBorder="1"/>
    <xf numFmtId="0" fontId="6" fillId="0" borderId="3" xfId="7" applyFont="1" applyFill="1" applyBorder="1" applyAlignment="1" applyProtection="1">
      <alignment horizontal="center" vertical="top" wrapText="1" readingOrder="1"/>
      <protection locked="0"/>
    </xf>
    <xf numFmtId="0" fontId="6" fillId="0" borderId="0" xfId="7" applyFont="1" applyFill="1" applyBorder="1" applyAlignment="1" applyProtection="1">
      <alignment vertical="top" wrapText="1" readingOrder="1"/>
      <protection locked="0"/>
    </xf>
    <xf numFmtId="166" fontId="6" fillId="0" borderId="0" xfId="9" applyNumberFormat="1" applyFont="1" applyFill="1" applyBorder="1" applyAlignment="1" applyProtection="1">
      <alignment horizontal="right" vertical="top" wrapText="1" readingOrder="1"/>
      <protection locked="0"/>
    </xf>
    <xf numFmtId="0" fontId="5" fillId="0" borderId="0" xfId="7" applyFont="1" applyFill="1" applyBorder="1" applyAlignment="1" applyProtection="1">
      <alignment vertical="top" wrapText="1" readingOrder="1"/>
      <protection locked="0"/>
    </xf>
    <xf numFmtId="166" fontId="5" fillId="0" borderId="0" xfId="9" applyNumberFormat="1" applyFont="1" applyFill="1" applyBorder="1" applyAlignment="1" applyProtection="1">
      <alignment vertical="top" wrapText="1" readingOrder="1"/>
      <protection locked="0"/>
    </xf>
    <xf numFmtId="166" fontId="5" fillId="0" borderId="0" xfId="9" applyNumberFormat="1" applyFont="1" applyFill="1" applyBorder="1" applyAlignment="1" applyProtection="1">
      <alignment horizontal="right" vertical="top" wrapText="1" readingOrder="1"/>
      <protection locked="0"/>
    </xf>
    <xf numFmtId="0" fontId="56" fillId="0" borderId="0" xfId="0" applyFont="1" applyAlignment="1"/>
    <xf numFmtId="0" fontId="5" fillId="0" borderId="0" xfId="0" applyFont="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wrapText="1"/>
    </xf>
    <xf numFmtId="0" fontId="6" fillId="0" borderId="0" xfId="0" applyFont="1" applyBorder="1" applyAlignment="1">
      <alignment horizontal="right"/>
    </xf>
    <xf numFmtId="0" fontId="49" fillId="0" borderId="0" xfId="4" applyFont="1" applyAlignment="1">
      <alignment vertical="center"/>
    </xf>
    <xf numFmtId="3" fontId="6" fillId="0" borderId="0" xfId="36417" applyNumberFormat="1" applyFont="1" applyBorder="1" applyAlignment="1">
      <alignment horizontal="right"/>
    </xf>
    <xf numFmtId="3" fontId="5" fillId="0" borderId="0" xfId="36417" applyNumberFormat="1" applyFont="1" applyAlignment="1"/>
    <xf numFmtId="3" fontId="5" fillId="0" borderId="0" xfId="36417" applyNumberFormat="1" applyFont="1" applyBorder="1" applyAlignment="1"/>
    <xf numFmtId="0" fontId="5" fillId="0" borderId="0" xfId="36417" applyNumberFormat="1" applyFont="1" applyBorder="1"/>
    <xf numFmtId="0" fontId="5" fillId="0" borderId="0" xfId="36417" applyFont="1" applyBorder="1" applyAlignment="1"/>
    <xf numFmtId="3" fontId="5" fillId="0" borderId="0" xfId="36417" applyNumberFormat="1" applyFont="1" applyFill="1" applyAlignment="1">
      <alignment horizontal="right"/>
    </xf>
    <xf numFmtId="166" fontId="5" fillId="0" borderId="0" xfId="36417" applyNumberFormat="1" applyFont="1" applyFill="1" applyAlignment="1">
      <alignment horizontal="right"/>
    </xf>
    <xf numFmtId="0" fontId="5" fillId="0" borderId="0" xfId="36417" applyFont="1" applyBorder="1" applyAlignment="1">
      <alignment horizontal="center"/>
    </xf>
    <xf numFmtId="3" fontId="5" fillId="0" borderId="0" xfId="36417" applyNumberFormat="1" applyFont="1" applyBorder="1" applyAlignment="1">
      <alignment horizontal="right"/>
    </xf>
    <xf numFmtId="171" fontId="5" fillId="0" borderId="0" xfId="7705" applyNumberFormat="1" applyFont="1" applyBorder="1" applyAlignment="1">
      <alignment horizontal="right" vertical="center" wrapText="1"/>
    </xf>
    <xf numFmtId="0" fontId="6" fillId="0" borderId="0" xfId="36417" applyFont="1" applyBorder="1" applyAlignment="1">
      <alignment horizontal="left"/>
    </xf>
    <xf numFmtId="169" fontId="5" fillId="0" borderId="0" xfId="7705" applyNumberFormat="1" applyFont="1" applyBorder="1" applyAlignment="1"/>
    <xf numFmtId="3" fontId="6" fillId="0" borderId="0" xfId="7705" applyNumberFormat="1" applyFont="1" applyBorder="1"/>
    <xf numFmtId="3" fontId="5" fillId="0" borderId="0" xfId="7705" applyNumberFormat="1" applyFont="1" applyBorder="1" applyAlignment="1">
      <alignment horizontal="right" wrapText="1" indent="1"/>
    </xf>
    <xf numFmtId="169" fontId="5" fillId="0" borderId="0" xfId="7705" applyNumberFormat="1" applyFont="1" applyBorder="1" applyAlignment="1">
      <alignment horizontal="right" wrapText="1" indent="1"/>
    </xf>
    <xf numFmtId="169" fontId="5" fillId="0" borderId="0" xfId="7705" applyNumberFormat="1" applyFont="1" applyFill="1" applyBorder="1" applyAlignment="1">
      <alignment horizontal="right"/>
    </xf>
    <xf numFmtId="169" fontId="5" fillId="0" borderId="0" xfId="7705" applyNumberFormat="1" applyFont="1" applyBorder="1" applyAlignment="1">
      <alignment horizontal="right"/>
    </xf>
    <xf numFmtId="169" fontId="5" fillId="0" borderId="0" xfId="7705" applyNumberFormat="1" applyFont="1" applyBorder="1" applyAlignment="1">
      <alignment horizontal="right" wrapText="1"/>
    </xf>
    <xf numFmtId="4" fontId="5" fillId="0" borderId="0" xfId="36417" applyNumberFormat="1" applyFont="1" applyFill="1" applyBorder="1" applyAlignment="1">
      <alignment horizontal="right"/>
    </xf>
    <xf numFmtId="3" fontId="5" fillId="0" borderId="0" xfId="36417" applyNumberFormat="1" applyFont="1" applyFill="1" applyBorder="1" applyAlignment="1"/>
    <xf numFmtId="3" fontId="5" fillId="0" borderId="0" xfId="36417" applyNumberFormat="1" applyFont="1" applyBorder="1"/>
    <xf numFmtId="49" fontId="5" fillId="0" borderId="0" xfId="4" applyNumberFormat="1" applyFont="1" applyFill="1" applyAlignment="1">
      <alignment horizontal="left" vertical="center" wrapText="1"/>
    </xf>
    <xf numFmtId="0" fontId="6" fillId="0" borderId="3" xfId="36417" applyFont="1" applyBorder="1" applyAlignment="1">
      <alignment horizontal="center" vertical="center" wrapText="1"/>
    </xf>
    <xf numFmtId="169" fontId="5" fillId="0" borderId="0" xfId="7705" applyNumberFormat="1" applyFont="1" applyBorder="1" applyAlignment="1">
      <alignment horizontal="right" vertical="center" wrapText="1"/>
    </xf>
    <xf numFmtId="175" fontId="5" fillId="0" borderId="0" xfId="9" applyNumberFormat="1" applyFont="1" applyFill="1"/>
    <xf numFmtId="0" fontId="4" fillId="0" borderId="0" xfId="7" applyFill="1" applyBorder="1"/>
    <xf numFmtId="175" fontId="4" fillId="0" borderId="0" xfId="7" applyNumberFormat="1" applyFill="1"/>
    <xf numFmtId="0" fontId="6" fillId="0" borderId="3" xfId="4" applyNumberFormat="1" applyFont="1" applyFill="1" applyBorder="1" applyAlignment="1">
      <alignment horizontal="center" vertical="center"/>
    </xf>
    <xf numFmtId="166" fontId="5" fillId="0" borderId="0" xfId="4" applyNumberFormat="1" applyFont="1" applyFill="1" applyBorder="1"/>
    <xf numFmtId="0" fontId="5" fillId="0" borderId="0" xfId="7" applyFont="1" applyFill="1" applyBorder="1" applyAlignment="1" applyProtection="1">
      <alignment vertical="top" wrapText="1"/>
      <protection locked="0"/>
    </xf>
    <xf numFmtId="169" fontId="6" fillId="0" borderId="0" xfId="7705" applyNumberFormat="1" applyFont="1" applyFill="1" applyBorder="1"/>
    <xf numFmtId="3" fontId="5" fillId="0" borderId="0" xfId="4" applyNumberFormat="1" applyFont="1" applyFill="1" applyBorder="1"/>
    <xf numFmtId="0" fontId="6" fillId="0" borderId="0" xfId="4" applyFont="1" applyFill="1" applyAlignment="1"/>
    <xf numFmtId="0" fontId="5" fillId="0" borderId="0" xfId="4" applyFont="1" applyFill="1" applyAlignment="1"/>
    <xf numFmtId="0" fontId="5" fillId="0" borderId="0" xfId="4" applyFont="1" applyFill="1" applyAlignment="1">
      <alignment horizontal="right" vertical="center"/>
    </xf>
    <xf numFmtId="3" fontId="6" fillId="0" borderId="0" xfId="4" applyNumberFormat="1" applyFont="1" applyFill="1" applyBorder="1" applyAlignment="1">
      <alignment horizontal="right" vertical="center"/>
    </xf>
    <xf numFmtId="0" fontId="5" fillId="0" borderId="0" xfId="4" applyFont="1" applyFill="1" applyBorder="1" applyAlignment="1">
      <alignment vertical="center" wrapText="1"/>
    </xf>
    <xf numFmtId="0" fontId="5" fillId="0" borderId="0" xfId="4" applyFont="1" applyAlignment="1">
      <alignment vertical="center"/>
    </xf>
    <xf numFmtId="0" fontId="18" fillId="0" borderId="36" xfId="7" applyFont="1" applyBorder="1" applyAlignment="1" applyProtection="1">
      <alignment horizontal="center" vertical="top" wrapText="1" readingOrder="1"/>
      <protection locked="0"/>
    </xf>
    <xf numFmtId="0" fontId="6" fillId="0" borderId="0" xfId="4" applyFont="1" applyFill="1" applyAlignment="1">
      <alignment horizontal="left" wrapText="1"/>
    </xf>
    <xf numFmtId="3" fontId="5" fillId="0" borderId="0" xfId="4" applyNumberFormat="1" applyFont="1" applyFill="1" applyBorder="1" applyAlignment="1">
      <alignment horizontal="right" vertical="center"/>
    </xf>
    <xf numFmtId="0" fontId="57" fillId="0" borderId="3" xfId="4" applyFont="1" applyFill="1" applyBorder="1" applyAlignment="1">
      <alignment horizontal="center"/>
    </xf>
    <xf numFmtId="0" fontId="5" fillId="0" borderId="0" xfId="4" applyFont="1" applyFill="1" applyBorder="1" applyAlignment="1">
      <alignment horizontal="right" vertical="center"/>
    </xf>
    <xf numFmtId="0" fontId="4" fillId="0" borderId="0" xfId="7" applyAlignment="1">
      <alignment horizontal="justify"/>
    </xf>
    <xf numFmtId="0" fontId="6" fillId="0" borderId="0" xfId="4" applyFont="1" applyFill="1" applyBorder="1" applyAlignment="1" applyProtection="1">
      <alignment vertical="center" readingOrder="1"/>
      <protection locked="0"/>
    </xf>
    <xf numFmtId="0" fontId="6" fillId="0" borderId="0" xfId="4" applyFont="1" applyFill="1" applyBorder="1" applyAlignment="1" applyProtection="1">
      <alignment vertical="top" readingOrder="1"/>
      <protection locked="0"/>
    </xf>
    <xf numFmtId="0" fontId="5" fillId="0" borderId="0" xfId="4" applyFont="1" applyFill="1" applyBorder="1" applyAlignment="1" applyProtection="1">
      <alignment vertical="top" readingOrder="1"/>
      <protection locked="0"/>
    </xf>
    <xf numFmtId="0" fontId="6" fillId="0" borderId="37" xfId="4" applyFont="1" applyFill="1" applyBorder="1" applyAlignment="1" applyProtection="1">
      <alignment horizontal="center" vertical="center" wrapText="1" readingOrder="1"/>
      <protection locked="0"/>
    </xf>
    <xf numFmtId="0" fontId="6" fillId="0" borderId="0" xfId="4" applyFont="1" applyFill="1" applyBorder="1" applyAlignment="1" applyProtection="1">
      <alignment horizontal="center" vertical="top" readingOrder="1"/>
      <protection locked="0"/>
    </xf>
    <xf numFmtId="0" fontId="6" fillId="0" borderId="0" xfId="4" applyFont="1" applyFill="1" applyBorder="1" applyAlignment="1" applyProtection="1">
      <alignment vertical="top" wrapText="1" readingOrder="1"/>
      <protection locked="0"/>
    </xf>
    <xf numFmtId="175" fontId="6" fillId="0" borderId="0" xfId="36422" applyNumberFormat="1" applyFont="1" applyFill="1" applyBorder="1" applyAlignment="1" applyProtection="1">
      <alignment horizontal="right" vertical="top" wrapText="1" readingOrder="1"/>
      <protection locked="0"/>
    </xf>
    <xf numFmtId="0" fontId="5" fillId="0" borderId="0" xfId="4" applyFont="1" applyFill="1" applyBorder="1" applyAlignment="1" applyProtection="1">
      <alignment vertical="top" wrapText="1" readingOrder="1"/>
      <protection locked="0"/>
    </xf>
    <xf numFmtId="175" fontId="5" fillId="0" borderId="0" xfId="36422" applyNumberFormat="1" applyFont="1" applyFill="1" applyBorder="1" applyAlignment="1" applyProtection="1">
      <alignment horizontal="right" vertical="top" wrapText="1" readingOrder="1"/>
      <protection locked="0"/>
    </xf>
    <xf numFmtId="175" fontId="18" fillId="0" borderId="0" xfId="36422" applyNumberFormat="1" applyFont="1" applyFill="1" applyBorder="1" applyAlignment="1" applyProtection="1">
      <alignment horizontal="right" vertical="top" wrapText="1" readingOrder="1"/>
      <protection locked="0"/>
    </xf>
    <xf numFmtId="175" fontId="19" fillId="0" borderId="0" xfId="36422" applyNumberFormat="1" applyFont="1" applyBorder="1" applyAlignment="1" applyProtection="1">
      <alignment horizontal="left" vertical="top" wrapText="1" readingOrder="1"/>
      <protection locked="0"/>
    </xf>
    <xf numFmtId="0" fontId="6" fillId="0" borderId="37" xfId="4" applyFont="1" applyFill="1" applyBorder="1" applyAlignment="1" applyProtection="1">
      <alignment horizontal="center" vertical="top" wrapText="1" readingOrder="1"/>
      <protection locked="0"/>
    </xf>
    <xf numFmtId="0" fontId="5" fillId="0" borderId="0" xfId="4" applyFont="1" applyFill="1" applyBorder="1" applyAlignment="1" applyProtection="1">
      <alignment horizontal="left" vertical="top" wrapText="1" readingOrder="1"/>
      <protection locked="0"/>
    </xf>
    <xf numFmtId="0" fontId="18" fillId="0" borderId="36" xfId="7" applyFont="1" applyBorder="1" applyAlignment="1" applyProtection="1">
      <alignment horizontal="center" wrapText="1" readingOrder="1"/>
      <protection locked="0"/>
    </xf>
    <xf numFmtId="0" fontId="18" fillId="0" borderId="37" xfId="7" applyFont="1" applyBorder="1" applyAlignment="1" applyProtection="1">
      <alignment horizontal="center" wrapText="1" readingOrder="1"/>
      <protection locked="0"/>
    </xf>
    <xf numFmtId="166" fontId="18" fillId="0" borderId="0" xfId="7" applyNumberFormat="1" applyFont="1" applyBorder="1" applyAlignment="1" applyProtection="1">
      <alignment horizontal="right" vertical="top" wrapText="1" readingOrder="1"/>
      <protection locked="0"/>
    </xf>
    <xf numFmtId="0" fontId="5" fillId="0" borderId="0" xfId="4" applyFont="1" applyBorder="1" applyAlignment="1">
      <alignment wrapText="1"/>
    </xf>
    <xf numFmtId="0" fontId="5" fillId="0" borderId="0" xfId="4" applyFont="1" applyBorder="1" applyAlignment="1">
      <alignment horizontal="center" wrapText="1"/>
    </xf>
    <xf numFmtId="0" fontId="5" fillId="0" borderId="0" xfId="4" applyFont="1" applyAlignment="1">
      <alignment horizontal="left" vertical="center"/>
    </xf>
    <xf numFmtId="0" fontId="5" fillId="0" borderId="0" xfId="4" applyFont="1" applyBorder="1" applyAlignment="1">
      <alignment horizontal="left" vertical="center"/>
    </xf>
    <xf numFmtId="0" fontId="8" fillId="0" borderId="0" xfId="0" applyFont="1" applyAlignment="1">
      <alignment horizontal="justify" wrapText="1"/>
    </xf>
    <xf numFmtId="0" fontId="8" fillId="0" borderId="60" xfId="0" applyFont="1" applyBorder="1" applyAlignment="1">
      <alignment horizontal="center"/>
    </xf>
    <xf numFmtId="0" fontId="8" fillId="0" borderId="0" xfId="0" applyFont="1" applyBorder="1" applyAlignment="1">
      <alignment horizontal="left" vertical="center"/>
    </xf>
    <xf numFmtId="3" fontId="8" fillId="0" borderId="0" xfId="0" applyNumberFormat="1" applyFont="1"/>
    <xf numFmtId="3" fontId="9" fillId="0" borderId="0" xfId="0" applyNumberFormat="1" applyFont="1"/>
    <xf numFmtId="0" fontId="9" fillId="0" borderId="0" xfId="0" applyFont="1" applyFill="1" applyBorder="1" applyAlignment="1">
      <alignment horizontal="left"/>
    </xf>
    <xf numFmtId="0" fontId="8" fillId="0" borderId="60" xfId="0" applyFont="1" applyBorder="1" applyAlignment="1">
      <alignment horizontal="center" vertical="center"/>
    </xf>
    <xf numFmtId="0" fontId="9" fillId="0" borderId="0" xfId="0" applyFont="1" applyAlignment="1">
      <alignment vertical="center"/>
    </xf>
    <xf numFmtId="0" fontId="9" fillId="0" borderId="0" xfId="0" applyFont="1" applyFill="1" applyAlignment="1">
      <alignment vertical="center"/>
    </xf>
    <xf numFmtId="0" fontId="8" fillId="0" borderId="0" xfId="0" applyFont="1" applyBorder="1"/>
    <xf numFmtId="3" fontId="8" fillId="0" borderId="0" xfId="0" applyNumberFormat="1" applyFont="1" applyBorder="1"/>
    <xf numFmtId="3" fontId="8" fillId="0" borderId="0" xfId="0" applyNumberFormat="1" applyFont="1" applyFill="1"/>
    <xf numFmtId="3" fontId="5" fillId="0" borderId="0" xfId="0" applyNumberFormat="1" applyFont="1" applyBorder="1" applyAlignment="1"/>
    <xf numFmtId="3" fontId="9" fillId="0" borderId="0" xfId="0" applyNumberFormat="1" applyFont="1" applyBorder="1"/>
    <xf numFmtId="0" fontId="9" fillId="0" borderId="0" xfId="0" applyFont="1" applyBorder="1"/>
    <xf numFmtId="0" fontId="9" fillId="0" borderId="0" xfId="0" applyFont="1" applyFill="1" applyBorder="1"/>
    <xf numFmtId="3" fontId="9" fillId="0" borderId="0" xfId="0" applyNumberFormat="1" applyFont="1" applyFill="1" applyBorder="1"/>
    <xf numFmtId="0" fontId="8" fillId="0" borderId="0" xfId="0" applyFont="1" applyFill="1" applyAlignment="1">
      <alignment horizontal="justify" wrapText="1"/>
    </xf>
    <xf numFmtId="0" fontId="8" fillId="0" borderId="0" xfId="0" applyFont="1" applyFill="1" applyBorder="1" applyAlignment="1">
      <alignment horizontal="left" vertical="center"/>
    </xf>
    <xf numFmtId="166" fontId="8" fillId="0" borderId="0" xfId="0" applyNumberFormat="1" applyFont="1" applyFill="1" applyBorder="1" applyAlignment="1">
      <alignment horizontal="right" vertical="center"/>
    </xf>
    <xf numFmtId="49" fontId="9" fillId="0" borderId="0" xfId="0" applyNumberFormat="1" applyFont="1" applyFill="1"/>
    <xf numFmtId="0" fontId="8" fillId="0" borderId="60" xfId="0" applyFont="1" applyBorder="1" applyAlignment="1">
      <alignment vertical="center"/>
    </xf>
    <xf numFmtId="169" fontId="8" fillId="0" borderId="0" xfId="1" applyNumberFormat="1" applyFont="1" applyBorder="1" applyAlignment="1">
      <alignment horizontal="right" vertical="center"/>
    </xf>
    <xf numFmtId="169" fontId="8" fillId="0" borderId="0" xfId="1" applyNumberFormat="1" applyFont="1"/>
    <xf numFmtId="49" fontId="9" fillId="0" borderId="0" xfId="0" applyNumberFormat="1" applyFont="1"/>
    <xf numFmtId="0" fontId="8" fillId="0" borderId="0" xfId="0" applyFont="1" applyAlignment="1">
      <alignment horizontal="left"/>
    </xf>
    <xf numFmtId="0" fontId="8" fillId="0" borderId="60" xfId="0" applyFont="1" applyBorder="1" applyAlignment="1">
      <alignment horizontal="center" vertical="center" wrapText="1"/>
    </xf>
    <xf numFmtId="0" fontId="26" fillId="0" borderId="0" xfId="0" applyNumberFormat="1" applyFont="1"/>
    <xf numFmtId="0" fontId="9" fillId="0" borderId="0" xfId="0" applyFont="1" applyAlignment="1"/>
    <xf numFmtId="0" fontId="8" fillId="0" borderId="0" xfId="0" applyFont="1"/>
    <xf numFmtId="0" fontId="9" fillId="0" borderId="0" xfId="0" applyFont="1" applyAlignment="1">
      <alignment wrapText="1"/>
    </xf>
    <xf numFmtId="0" fontId="8" fillId="0" borderId="0" xfId="0" applyFont="1" applyAlignment="1">
      <alignment horizontal="center" vertical="center"/>
    </xf>
    <xf numFmtId="0" fontId="9" fillId="0" borderId="0" xfId="0" applyFont="1" applyBorder="1" applyAlignment="1">
      <alignment horizontal="center"/>
    </xf>
    <xf numFmtId="0" fontId="9" fillId="0" borderId="0" xfId="0" applyFont="1" applyBorder="1" applyAlignment="1">
      <alignment wrapText="1"/>
    </xf>
    <xf numFmtId="0" fontId="39" fillId="0" borderId="0" xfId="29735"/>
    <xf numFmtId="0" fontId="39" fillId="0" borderId="0" xfId="29735" applyFill="1"/>
    <xf numFmtId="0" fontId="18" fillId="0" borderId="0" xfId="7" applyFont="1" applyFill="1" applyBorder="1" applyAlignment="1" applyProtection="1">
      <alignment vertical="justify" readingOrder="1"/>
      <protection locked="0"/>
    </xf>
    <xf numFmtId="0" fontId="5" fillId="0" borderId="0" xfId="7" applyFont="1" applyBorder="1" applyAlignment="1" applyProtection="1">
      <alignment vertical="top" wrapText="1"/>
      <protection locked="0"/>
    </xf>
    <xf numFmtId="0" fontId="5" fillId="0" borderId="0" xfId="29279" applyFont="1" applyFill="1" applyBorder="1" applyAlignment="1">
      <alignment horizontal="right" vertical="top" wrapText="1"/>
    </xf>
    <xf numFmtId="172" fontId="5" fillId="0" borderId="0" xfId="36417" applyNumberFormat="1" applyFont="1" applyFill="1" applyBorder="1"/>
    <xf numFmtId="0" fontId="5" fillId="0" borderId="0" xfId="29279" applyFont="1" applyBorder="1" applyAlignment="1">
      <alignment horizontal="right" vertical="top" wrapText="1"/>
    </xf>
    <xf numFmtId="3" fontId="5" fillId="0" borderId="0" xfId="29279" applyNumberFormat="1" applyFont="1" applyFill="1" applyBorder="1" applyAlignment="1">
      <alignment horizontal="right" vertical="top" wrapText="1"/>
    </xf>
    <xf numFmtId="3" fontId="5" fillId="0" borderId="0" xfId="29279" applyNumberFormat="1" applyFont="1" applyBorder="1" applyAlignment="1">
      <alignment horizontal="right" vertical="top" wrapText="1"/>
    </xf>
    <xf numFmtId="0" fontId="18" fillId="0" borderId="3" xfId="7" applyFont="1" applyFill="1" applyBorder="1" applyAlignment="1" applyProtection="1">
      <alignment horizontal="center" vertical="top" wrapText="1" readingOrder="1"/>
      <protection locked="0"/>
    </xf>
    <xf numFmtId="0" fontId="18" fillId="0" borderId="0" xfId="7" applyFont="1" applyFill="1" applyBorder="1" applyAlignment="1" applyProtection="1">
      <alignment vertical="top" wrapText="1" readingOrder="1"/>
      <protection locked="0"/>
    </xf>
    <xf numFmtId="175" fontId="18" fillId="0" borderId="0" xfId="36426" applyNumberFormat="1" applyFont="1" applyFill="1" applyBorder="1" applyAlignment="1" applyProtection="1">
      <alignment vertical="top" wrapText="1" readingOrder="1"/>
      <protection locked="0"/>
    </xf>
    <xf numFmtId="175" fontId="18" fillId="0" borderId="0" xfId="36426" applyNumberFormat="1" applyFont="1" applyFill="1" applyBorder="1" applyAlignment="1" applyProtection="1">
      <alignment horizontal="right" vertical="top" wrapText="1" readingOrder="1"/>
      <protection locked="0"/>
    </xf>
    <xf numFmtId="175" fontId="19" fillId="0" borderId="0" xfId="36426" applyNumberFormat="1" applyFont="1" applyFill="1" applyBorder="1" applyAlignment="1" applyProtection="1">
      <alignment vertical="top" wrapText="1" readingOrder="1"/>
      <protection locked="0"/>
    </xf>
    <xf numFmtId="175" fontId="19" fillId="0" borderId="0" xfId="36426" applyNumberFormat="1" applyFont="1" applyFill="1" applyBorder="1" applyAlignment="1" applyProtection="1">
      <alignment horizontal="right" vertical="top" wrapText="1" readingOrder="1"/>
      <protection locked="0"/>
    </xf>
    <xf numFmtId="0" fontId="1" fillId="0" borderId="0" xfId="11"/>
    <xf numFmtId="0" fontId="1" fillId="0" borderId="0" xfId="11" applyFill="1" applyBorder="1"/>
    <xf numFmtId="0" fontId="1" fillId="0" borderId="0" xfId="11" applyFill="1"/>
    <xf numFmtId="0" fontId="5" fillId="0" borderId="0" xfId="11" applyFont="1" applyFill="1" applyBorder="1"/>
    <xf numFmtId="166" fontId="19" fillId="0" borderId="0" xfId="11" applyNumberFormat="1" applyFont="1" applyBorder="1" applyAlignment="1" applyProtection="1">
      <alignment horizontal="right" vertical="top" wrapText="1" readingOrder="1"/>
      <protection locked="0"/>
    </xf>
    <xf numFmtId="0" fontId="6" fillId="0" borderId="0" xfId="36417" applyFont="1" applyFill="1" applyBorder="1" applyAlignment="1">
      <alignment horizontal="left"/>
    </xf>
    <xf numFmtId="0" fontId="6" fillId="0" borderId="0" xfId="11" applyFont="1" applyFill="1" applyBorder="1" applyAlignment="1"/>
    <xf numFmtId="0" fontId="6" fillId="0" borderId="0" xfId="36417" applyFont="1" applyBorder="1" applyAlignment="1"/>
    <xf numFmtId="0" fontId="5" fillId="0" borderId="0" xfId="36417" applyFont="1" applyBorder="1" applyAlignment="1">
      <alignment horizontal="left"/>
    </xf>
    <xf numFmtId="0" fontId="6" fillId="0" borderId="0" xfId="36417" applyFont="1" applyFill="1" applyBorder="1" applyAlignment="1">
      <alignment horizontal="justify" vertical="center" wrapText="1"/>
    </xf>
    <xf numFmtId="0" fontId="6" fillId="0" borderId="0" xfId="36417" applyFont="1" applyBorder="1" applyAlignment="1">
      <alignment horizontal="center"/>
    </xf>
    <xf numFmtId="0" fontId="6" fillId="0" borderId="3" xfId="36417" applyFont="1" applyBorder="1" applyAlignment="1">
      <alignment horizontal="center" wrapText="1"/>
    </xf>
    <xf numFmtId="0" fontId="6" fillId="0" borderId="0" xfId="36417" applyFont="1" applyBorder="1" applyAlignment="1">
      <alignment horizontal="center" wrapText="1"/>
    </xf>
    <xf numFmtId="0" fontId="5" fillId="0" borderId="0" xfId="36417" applyFont="1" applyFill="1"/>
    <xf numFmtId="166" fontId="19" fillId="0" borderId="0" xfId="11" applyNumberFormat="1" applyFont="1" applyFill="1" applyBorder="1" applyAlignment="1" applyProtection="1">
      <alignment horizontal="right" vertical="top" wrapText="1" readingOrder="1"/>
      <protection locked="0"/>
    </xf>
    <xf numFmtId="0" fontId="6" fillId="0" borderId="0" xfId="36417" applyFont="1" applyFill="1"/>
    <xf numFmtId="0" fontId="6" fillId="0" borderId="0" xfId="7" applyFont="1" applyFill="1" applyBorder="1" applyAlignment="1" applyProtection="1">
      <alignment vertical="justify" readingOrder="1"/>
      <protection locked="0"/>
    </xf>
    <xf numFmtId="0" fontId="6" fillId="0" borderId="0" xfId="7" applyFont="1" applyBorder="1" applyAlignment="1" applyProtection="1">
      <alignment horizontal="left" vertical="top" wrapText="1" readingOrder="1"/>
      <protection locked="0"/>
    </xf>
    <xf numFmtId="9" fontId="6" fillId="0" borderId="0" xfId="36417" applyNumberFormat="1" applyFont="1" applyFill="1" applyBorder="1"/>
    <xf numFmtId="3" fontId="5" fillId="0" borderId="0" xfId="7" applyNumberFormat="1" applyFont="1" applyFill="1" applyBorder="1" applyAlignment="1">
      <alignment horizontal="right" vertical="top" wrapText="1"/>
    </xf>
    <xf numFmtId="0" fontId="5" fillId="0" borderId="0" xfId="7" applyFont="1" applyFill="1" applyBorder="1" applyAlignment="1">
      <alignment horizontal="right" vertical="top" wrapText="1"/>
    </xf>
    <xf numFmtId="0" fontId="5" fillId="0" borderId="0" xfId="7" applyFont="1" applyFill="1" applyBorder="1" applyAlignment="1" applyProtection="1">
      <alignment vertical="top" readingOrder="1"/>
      <protection locked="0"/>
    </xf>
    <xf numFmtId="0" fontId="5" fillId="0" borderId="0" xfId="29308" applyFont="1" applyFill="1" applyBorder="1" applyAlignment="1">
      <alignment horizontal="right" vertical="top" wrapText="1"/>
    </xf>
    <xf numFmtId="0" fontId="5" fillId="0" borderId="0" xfId="29308" applyFont="1" applyBorder="1" applyAlignment="1">
      <alignment horizontal="right" vertical="top" wrapText="1"/>
    </xf>
    <xf numFmtId="3" fontId="5" fillId="0" borderId="0" xfId="29308" applyNumberFormat="1" applyFont="1" applyFill="1" applyBorder="1" applyAlignment="1">
      <alignment horizontal="right" vertical="top" wrapText="1"/>
    </xf>
    <xf numFmtId="0" fontId="5" fillId="0" borderId="0" xfId="29313" applyFont="1" applyFill="1" applyBorder="1" applyAlignment="1">
      <alignment horizontal="right" vertical="top" wrapText="1"/>
    </xf>
    <xf numFmtId="0" fontId="5" fillId="0" borderId="0" xfId="29313" applyFont="1" applyBorder="1" applyAlignment="1">
      <alignment horizontal="right" vertical="top" wrapText="1"/>
    </xf>
    <xf numFmtId="10" fontId="6" fillId="0" borderId="3" xfId="36417" applyNumberFormat="1" applyFont="1" applyFill="1" applyBorder="1" applyAlignment="1">
      <alignment horizontal="center" vertical="center"/>
    </xf>
    <xf numFmtId="0" fontId="6" fillId="0" borderId="0" xfId="36417" applyFont="1" applyFill="1" applyBorder="1" applyAlignment="1">
      <alignment horizontal="right" vertical="center"/>
    </xf>
    <xf numFmtId="9" fontId="6" fillId="0" borderId="0" xfId="36417" applyNumberFormat="1" applyFont="1" applyFill="1" applyBorder="1" applyAlignment="1">
      <alignment horizontal="right" vertical="center"/>
    </xf>
    <xf numFmtId="10" fontId="5" fillId="0" borderId="0" xfId="36417" applyNumberFormat="1" applyFont="1" applyFill="1" applyBorder="1" applyAlignment="1">
      <alignment horizontal="right"/>
    </xf>
    <xf numFmtId="172" fontId="5" fillId="0" borderId="0" xfId="36249" applyNumberFormat="1" applyFont="1" applyFill="1" applyBorder="1" applyAlignment="1">
      <alignment horizontal="right"/>
    </xf>
    <xf numFmtId="0" fontId="19" fillId="0" borderId="0" xfId="7" applyNumberFormat="1" applyFont="1" applyBorder="1" applyAlignment="1" applyProtection="1">
      <alignment horizontal="right" vertical="top" wrapText="1" readingOrder="1"/>
      <protection locked="0"/>
    </xf>
    <xf numFmtId="0" fontId="18" fillId="0" borderId="0" xfId="7" applyFont="1" applyFill="1" applyBorder="1" applyAlignment="1" applyProtection="1">
      <alignment vertical="justify" wrapText="1" readingOrder="1"/>
      <protection locked="0"/>
    </xf>
    <xf numFmtId="0" fontId="18" fillId="0" borderId="0" xfId="7" applyFont="1" applyBorder="1" applyAlignment="1" applyProtection="1">
      <alignment vertical="justify" wrapText="1" readingOrder="1"/>
      <protection locked="0"/>
    </xf>
    <xf numFmtId="172" fontId="5" fillId="0" borderId="0" xfId="36417" applyNumberFormat="1" applyFont="1" applyFill="1" applyBorder="1" applyAlignment="1">
      <alignment horizontal="right"/>
    </xf>
    <xf numFmtId="3" fontId="5" fillId="0" borderId="0" xfId="7" applyNumberFormat="1" applyFont="1" applyBorder="1" applyAlignment="1">
      <alignment horizontal="right" vertical="top" wrapText="1"/>
    </xf>
    <xf numFmtId="0" fontId="5" fillId="0" borderId="0" xfId="7" applyFont="1" applyBorder="1" applyAlignment="1">
      <alignment horizontal="right" vertical="top" wrapText="1"/>
    </xf>
    <xf numFmtId="0" fontId="9" fillId="0" borderId="0" xfId="7" applyFont="1"/>
    <xf numFmtId="0" fontId="6" fillId="0" borderId="0" xfId="36417" applyFont="1" applyFill="1" applyBorder="1" applyAlignment="1">
      <alignment horizontal="left" wrapText="1"/>
    </xf>
    <xf numFmtId="0" fontId="5" fillId="0" borderId="0" xfId="7" applyFont="1" applyFill="1" applyAlignment="1"/>
    <xf numFmtId="0" fontId="6" fillId="0" borderId="0" xfId="36418" applyFont="1" applyFill="1" applyBorder="1" applyAlignment="1">
      <alignment vertical="center"/>
    </xf>
    <xf numFmtId="9" fontId="6" fillId="0" borderId="0" xfId="36417" applyNumberFormat="1" applyFont="1" applyFill="1" applyBorder="1" applyAlignment="1">
      <alignment vertical="center"/>
    </xf>
    <xf numFmtId="9" fontId="6" fillId="0" borderId="0" xfId="7" applyNumberFormat="1" applyFont="1" applyFill="1" applyBorder="1" applyAlignment="1">
      <alignment horizontal="right" vertical="center"/>
    </xf>
    <xf numFmtId="166" fontId="5" fillId="0" borderId="0" xfId="7" applyNumberFormat="1" applyFont="1" applyFill="1" applyBorder="1" applyAlignment="1">
      <alignment wrapText="1"/>
    </xf>
    <xf numFmtId="172" fontId="5" fillId="0" borderId="0" xfId="36249" applyNumberFormat="1" applyFont="1" applyFill="1" applyBorder="1" applyAlignment="1">
      <alignment wrapText="1"/>
    </xf>
    <xf numFmtId="166" fontId="5" fillId="0" borderId="0" xfId="7" applyNumberFormat="1" applyFont="1" applyFill="1" applyBorder="1" applyAlignment="1">
      <alignment horizontal="right" wrapText="1"/>
    </xf>
    <xf numFmtId="0" fontId="5" fillId="0" borderId="0" xfId="7" applyFont="1" applyFill="1" applyBorder="1" applyAlignment="1">
      <alignment wrapText="1"/>
    </xf>
    <xf numFmtId="0" fontId="5" fillId="0" borderId="0" xfId="7" applyFont="1" applyFill="1" applyBorder="1" applyAlignment="1">
      <alignment vertical="top"/>
    </xf>
    <xf numFmtId="166" fontId="6" fillId="0" borderId="0" xfId="36417" applyNumberFormat="1" applyFont="1" applyFill="1" applyBorder="1" applyAlignment="1">
      <alignment horizontal="right" vertical="center"/>
    </xf>
    <xf numFmtId="166" fontId="5" fillId="0" borderId="0" xfId="36417" applyNumberFormat="1" applyFont="1" applyFill="1" applyBorder="1" applyAlignment="1">
      <alignment horizontal="right" vertical="center"/>
    </xf>
    <xf numFmtId="172" fontId="5" fillId="0" borderId="0" xfId="36251" applyNumberFormat="1" applyFont="1" applyFill="1" applyBorder="1" applyAlignment="1">
      <alignment horizontal="right" vertical="center"/>
    </xf>
    <xf numFmtId="0" fontId="5" fillId="0" borderId="0" xfId="7" applyFont="1" applyFill="1" applyBorder="1" applyAlignment="1">
      <alignment horizontal="right" vertical="center" wrapText="1"/>
    </xf>
    <xf numFmtId="166" fontId="5" fillId="0" borderId="0" xfId="7" applyNumberFormat="1" applyFont="1" applyFill="1" applyBorder="1" applyAlignment="1">
      <alignment horizontal="right" vertical="center" wrapText="1"/>
    </xf>
    <xf numFmtId="0" fontId="6" fillId="0" borderId="0" xfId="7" applyFont="1" applyFill="1" applyBorder="1" applyAlignment="1" applyProtection="1">
      <alignment vertical="justify" wrapText="1" readingOrder="1"/>
      <protection locked="0"/>
    </xf>
    <xf numFmtId="0" fontId="6" fillId="0" borderId="3" xfId="7" applyFont="1" applyFill="1" applyBorder="1" applyAlignment="1">
      <alignment horizontal="center" vertical="center" wrapText="1"/>
    </xf>
    <xf numFmtId="3" fontId="6" fillId="0" borderId="0" xfId="7" applyNumberFormat="1" applyFont="1" applyFill="1" applyBorder="1" applyAlignment="1">
      <alignment horizontal="right" vertical="top" wrapText="1"/>
    </xf>
    <xf numFmtId="0" fontId="5" fillId="0" borderId="0" xfId="7" applyFont="1" applyBorder="1" applyAlignment="1">
      <alignment horizontal="right"/>
    </xf>
    <xf numFmtId="0" fontId="6" fillId="0" borderId="0" xfId="7" applyFont="1" applyFill="1" applyBorder="1" applyAlignment="1">
      <alignment wrapText="1"/>
    </xf>
    <xf numFmtId="0" fontId="6" fillId="0" borderId="0" xfId="7" applyFont="1" applyFill="1" applyBorder="1" applyAlignment="1"/>
    <xf numFmtId="0" fontId="9" fillId="0" borderId="0" xfId="7" applyFont="1" applyFill="1"/>
    <xf numFmtId="0" fontId="5" fillId="0" borderId="0" xfId="7" applyFont="1" applyBorder="1" applyAlignment="1"/>
    <xf numFmtId="0" fontId="5" fillId="0" borderId="0" xfId="7" applyFont="1" applyFill="1" applyBorder="1" applyAlignment="1">
      <alignment horizontal="center"/>
    </xf>
    <xf numFmtId="0" fontId="5" fillId="0" borderId="0" xfId="7" applyFont="1" applyBorder="1" applyAlignment="1">
      <alignment horizontal="center"/>
    </xf>
    <xf numFmtId="0" fontId="5" fillId="0" borderId="0" xfId="7" applyFont="1" applyBorder="1" applyAlignment="1">
      <alignment wrapText="1"/>
    </xf>
    <xf numFmtId="0" fontId="6" fillId="0" borderId="3" xfId="7" applyFont="1" applyBorder="1" applyAlignment="1">
      <alignment horizontal="center" wrapText="1"/>
    </xf>
    <xf numFmtId="0" fontId="6" fillId="0" borderId="3" xfId="7" applyFont="1" applyFill="1" applyBorder="1" applyAlignment="1">
      <alignment horizontal="center" wrapText="1"/>
    </xf>
    <xf numFmtId="0" fontId="6" fillId="0" borderId="3" xfId="7" applyFont="1" applyFill="1" applyBorder="1" applyAlignment="1">
      <alignment horizontal="center" vertical="center"/>
    </xf>
    <xf numFmtId="0" fontId="6" fillId="0" borderId="0" xfId="7" applyFont="1" applyBorder="1" applyAlignment="1">
      <alignment wrapText="1"/>
    </xf>
    <xf numFmtId="0" fontId="6" fillId="0" borderId="0" xfId="7" applyFont="1" applyBorder="1" applyAlignment="1">
      <alignment horizontal="center" wrapText="1"/>
    </xf>
    <xf numFmtId="0" fontId="6" fillId="0" borderId="0" xfId="7" applyFont="1" applyBorder="1" applyAlignment="1">
      <alignment horizontal="center"/>
    </xf>
    <xf numFmtId="0" fontId="5" fillId="0" borderId="0" xfId="7" applyFont="1" applyBorder="1" applyAlignment="1">
      <alignment horizontal="center" wrapText="1"/>
    </xf>
    <xf numFmtId="0" fontId="5" fillId="0" borderId="0" xfId="7" applyFont="1" applyFill="1" applyBorder="1" applyAlignment="1">
      <alignment horizontal="center" wrapText="1"/>
    </xf>
    <xf numFmtId="0" fontId="5" fillId="0" borderId="0" xfId="7" applyFont="1" applyFill="1" applyBorder="1" applyAlignment="1">
      <alignment horizontal="left" wrapText="1"/>
    </xf>
    <xf numFmtId="3" fontId="6" fillId="0" borderId="0" xfId="36417" applyNumberFormat="1" applyFont="1" applyBorder="1"/>
    <xf numFmtId="169" fontId="6" fillId="0" borderId="0" xfId="7705" applyNumberFormat="1" applyFont="1" applyFill="1"/>
    <xf numFmtId="169" fontId="2" fillId="0" borderId="0" xfId="36427" applyNumberFormat="1" applyFont="1"/>
    <xf numFmtId="170" fontId="1" fillId="0" borderId="0" xfId="11" applyNumberFormat="1"/>
    <xf numFmtId="169" fontId="1" fillId="0" borderId="0" xfId="11" applyNumberFormat="1"/>
    <xf numFmtId="0" fontId="9" fillId="0" borderId="0" xfId="11" applyFont="1"/>
    <xf numFmtId="2" fontId="6" fillId="0" borderId="3" xfId="6" applyNumberFormat="1" applyFont="1" applyBorder="1" applyAlignment="1">
      <alignment horizontal="center" vertical="center" wrapText="1"/>
    </xf>
    <xf numFmtId="0" fontId="6" fillId="0" borderId="0" xfId="36418" applyFont="1" applyBorder="1"/>
    <xf numFmtId="166" fontId="6" fillId="0" borderId="0" xfId="6" applyNumberFormat="1" applyFont="1" applyFill="1" applyBorder="1" applyAlignment="1"/>
    <xf numFmtId="166" fontId="6" fillId="0" borderId="0" xfId="6" applyNumberFormat="1" applyFont="1" applyAlignment="1"/>
    <xf numFmtId="3" fontId="5" fillId="0" borderId="0" xfId="29188" applyNumberFormat="1" applyFont="1" applyFill="1" applyAlignment="1" applyProtection="1">
      <alignment horizontal="left" vertical="center"/>
      <protection locked="0"/>
    </xf>
    <xf numFmtId="166" fontId="5" fillId="0" borderId="0" xfId="6" applyNumberFormat="1" applyFont="1" applyFill="1" applyBorder="1" applyAlignment="1"/>
    <xf numFmtId="166" fontId="8" fillId="0" borderId="0" xfId="11" applyNumberFormat="1" applyFont="1"/>
    <xf numFmtId="3" fontId="5" fillId="0" borderId="0" xfId="29189" applyNumberFormat="1" applyFont="1" applyFill="1" applyAlignment="1" applyProtection="1">
      <alignment horizontal="left" vertical="center"/>
      <protection locked="0"/>
    </xf>
    <xf numFmtId="166" fontId="5" fillId="0" borderId="0" xfId="6" applyNumberFormat="1" applyFont="1" applyBorder="1" applyAlignment="1">
      <alignment horizontal="right"/>
    </xf>
    <xf numFmtId="166" fontId="5" fillId="0" borderId="0" xfId="6" applyNumberFormat="1" applyFont="1" applyBorder="1"/>
    <xf numFmtId="0" fontId="9" fillId="0" borderId="0" xfId="11" applyFont="1" applyAlignment="1">
      <alignment vertical="center"/>
    </xf>
    <xf numFmtId="0" fontId="5" fillId="0" borderId="0" xfId="6" applyFont="1" applyAlignment="1">
      <alignment horizontal="center"/>
    </xf>
    <xf numFmtId="0" fontId="5" fillId="0" borderId="0" xfId="6" applyFont="1" applyBorder="1" applyAlignment="1">
      <alignment horizontal="center"/>
    </xf>
    <xf numFmtId="0" fontId="6" fillId="0" borderId="34" xfId="6" applyFont="1" applyFill="1" applyBorder="1" applyAlignment="1">
      <alignment horizontal="center" vertical="center"/>
    </xf>
    <xf numFmtId="3" fontId="6" fillId="0" borderId="0" xfId="6" applyNumberFormat="1" applyFont="1" applyFill="1"/>
    <xf numFmtId="0" fontId="5" fillId="0" borderId="0" xfId="6" applyFont="1" applyFill="1" applyBorder="1"/>
    <xf numFmtId="3" fontId="5" fillId="0" borderId="0" xfId="6" applyNumberFormat="1" applyFont="1" applyFill="1" applyBorder="1"/>
    <xf numFmtId="3" fontId="17" fillId="0" borderId="5" xfId="11" applyNumberFormat="1" applyFont="1" applyBorder="1" applyAlignment="1" applyProtection="1">
      <alignment horizontal="right" vertical="top" wrapText="1" readingOrder="1"/>
      <protection locked="0"/>
    </xf>
    <xf numFmtId="0" fontId="9" fillId="0" borderId="0" xfId="11" applyFont="1" applyFill="1"/>
    <xf numFmtId="0" fontId="6" fillId="0" borderId="3" xfId="6" applyFont="1" applyFill="1" applyBorder="1" applyAlignment="1">
      <alignment horizontal="center" vertical="center"/>
    </xf>
    <xf numFmtId="3" fontId="6" fillId="0" borderId="0" xfId="6" applyNumberFormat="1" applyFont="1"/>
    <xf numFmtId="169" fontId="5" fillId="0" borderId="0" xfId="7705" applyNumberFormat="1" applyFont="1"/>
    <xf numFmtId="185" fontId="5" fillId="0" borderId="5" xfId="11" applyNumberFormat="1" applyFont="1" applyBorder="1"/>
    <xf numFmtId="0" fontId="5" fillId="0" borderId="0" xfId="6" applyFont="1" applyAlignment="1">
      <alignment wrapText="1"/>
    </xf>
    <xf numFmtId="3" fontId="5" fillId="0" borderId="0" xfId="6" applyNumberFormat="1" applyFont="1" applyBorder="1"/>
    <xf numFmtId="185" fontId="5" fillId="0" borderId="5" xfId="11" applyNumberFormat="1" applyFont="1" applyFill="1" applyBorder="1"/>
    <xf numFmtId="0" fontId="8" fillId="0" borderId="3" xfId="6" applyFont="1" applyFill="1" applyBorder="1" applyAlignment="1">
      <alignment horizontal="center" vertical="center" wrapText="1"/>
    </xf>
    <xf numFmtId="0" fontId="5" fillId="0" borderId="0" xfId="6" applyFont="1" applyFill="1" applyBorder="1" applyAlignment="1">
      <alignment horizontal="left" vertical="top" wrapText="1"/>
    </xf>
    <xf numFmtId="169" fontId="5" fillId="0" borderId="0" xfId="36427" applyNumberFormat="1" applyFont="1" applyBorder="1" applyAlignment="1" applyProtection="1">
      <alignment horizontal="right" vertical="top" wrapText="1" readingOrder="1"/>
      <protection locked="0"/>
    </xf>
    <xf numFmtId="0" fontId="10" fillId="0" borderId="0" xfId="11" applyFont="1" applyFill="1"/>
    <xf numFmtId="0" fontId="5" fillId="0" borderId="0" xfId="6" applyFont="1" applyFill="1" applyBorder="1" applyAlignment="1"/>
    <xf numFmtId="0" fontId="6" fillId="0" borderId="0" xfId="6" applyFont="1" applyFill="1" applyBorder="1" applyAlignment="1">
      <alignment wrapText="1"/>
    </xf>
    <xf numFmtId="3" fontId="6" fillId="0" borderId="0" xfId="6" applyNumberFormat="1" applyFont="1" applyFill="1" applyBorder="1"/>
    <xf numFmtId="168" fontId="9" fillId="0" borderId="0" xfId="36427" applyNumberFormat="1" applyFont="1"/>
    <xf numFmtId="0" fontId="6" fillId="0" borderId="0" xfId="6" applyFont="1" applyBorder="1" applyAlignment="1">
      <alignment horizontal="left"/>
    </xf>
    <xf numFmtId="169" fontId="6" fillId="0" borderId="0" xfId="36427" applyNumberFormat="1" applyFont="1" applyFill="1" applyBorder="1" applyAlignment="1">
      <alignment horizontal="right"/>
    </xf>
    <xf numFmtId="169" fontId="6" fillId="0" borderId="0" xfId="36427" applyNumberFormat="1" applyFont="1" applyBorder="1" applyAlignment="1">
      <alignment horizontal="right"/>
    </xf>
    <xf numFmtId="0" fontId="5" fillId="0" borderId="0" xfId="6" applyFont="1" applyAlignment="1"/>
    <xf numFmtId="169" fontId="5" fillId="0" borderId="0" xfId="36427" applyNumberFormat="1" applyFont="1"/>
    <xf numFmtId="169" fontId="5" fillId="0" borderId="0" xfId="36427" applyNumberFormat="1" applyFont="1" applyFill="1" applyBorder="1" applyAlignment="1">
      <alignment horizontal="right"/>
    </xf>
    <xf numFmtId="169" fontId="5" fillId="0" borderId="0" xfId="36427" applyNumberFormat="1" applyFont="1" applyFill="1" applyBorder="1"/>
    <xf numFmtId="0" fontId="5" fillId="0" borderId="0" xfId="6" applyFont="1" applyFill="1" applyAlignment="1"/>
    <xf numFmtId="169" fontId="5" fillId="0" borderId="0" xfId="36427" applyNumberFormat="1" applyFont="1" applyFill="1"/>
    <xf numFmtId="166" fontId="5" fillId="0" borderId="0" xfId="6" applyNumberFormat="1" applyFont="1" applyFill="1" applyBorder="1"/>
    <xf numFmtId="0" fontId="5" fillId="0" borderId="0" xfId="6" applyFont="1" applyBorder="1" applyAlignment="1">
      <alignment wrapText="1"/>
    </xf>
    <xf numFmtId="3" fontId="5" fillId="0" borderId="0" xfId="7705" applyNumberFormat="1" applyFont="1" applyBorder="1" applyAlignment="1">
      <alignment horizontal="right"/>
    </xf>
    <xf numFmtId="169" fontId="5" fillId="0" borderId="0" xfId="36427" applyNumberFormat="1" applyFont="1" applyAlignment="1">
      <alignment horizontal="right"/>
    </xf>
    <xf numFmtId="3" fontId="5" fillId="0" borderId="0" xfId="7705" applyNumberFormat="1" applyFont="1" applyAlignment="1">
      <alignment horizontal="right"/>
    </xf>
    <xf numFmtId="3" fontId="5" fillId="0" borderId="0" xfId="6" applyNumberFormat="1" applyFont="1" applyFill="1" applyBorder="1" applyAlignment="1">
      <alignment horizontal="right"/>
    </xf>
    <xf numFmtId="0" fontId="5" fillId="0" borderId="0" xfId="36427" applyNumberFormat="1" applyFont="1" applyFill="1" applyAlignment="1">
      <alignment horizontal="right"/>
    </xf>
    <xf numFmtId="3" fontId="5" fillId="0" borderId="0" xfId="29190" applyNumberFormat="1" applyFont="1" applyFill="1" applyAlignment="1" applyProtection="1">
      <alignment horizontal="left" vertical="center"/>
      <protection locked="0"/>
    </xf>
    <xf numFmtId="3" fontId="5" fillId="0" borderId="5" xfId="11" applyNumberFormat="1" applyFont="1" applyBorder="1" applyAlignment="1" applyProtection="1">
      <alignment horizontal="right" vertical="top" wrapText="1" readingOrder="1"/>
      <protection locked="0"/>
    </xf>
    <xf numFmtId="3" fontId="5" fillId="0" borderId="0" xfId="6" applyNumberFormat="1" applyFont="1" applyFill="1" applyAlignment="1" applyProtection="1">
      <alignment horizontal="left" vertical="center"/>
      <protection locked="0"/>
    </xf>
    <xf numFmtId="0" fontId="5" fillId="0" borderId="0" xfId="11" applyFont="1"/>
    <xf numFmtId="3" fontId="61" fillId="0" borderId="0" xfId="6" applyNumberFormat="1" applyFont="1" applyBorder="1"/>
    <xf numFmtId="3" fontId="9" fillId="0" borderId="0" xfId="6" applyNumberFormat="1" applyFont="1" applyFill="1" applyAlignment="1" applyProtection="1">
      <alignment horizontal="left" vertical="center" wrapText="1"/>
      <protection locked="0"/>
    </xf>
    <xf numFmtId="3" fontId="9" fillId="0" borderId="0" xfId="6" applyNumberFormat="1" applyFont="1"/>
    <xf numFmtId="3" fontId="9" fillId="0" borderId="0" xfId="6" applyNumberFormat="1" applyFont="1" applyFill="1"/>
    <xf numFmtId="3" fontId="9" fillId="0" borderId="0" xfId="6" applyNumberFormat="1" applyFont="1" applyAlignment="1">
      <alignment horizontal="right"/>
    </xf>
    <xf numFmtId="3" fontId="5" fillId="0" borderId="0" xfId="6" applyNumberFormat="1" applyFont="1" applyFill="1" applyAlignment="1" applyProtection="1">
      <alignment horizontal="left" vertical="center" wrapText="1"/>
      <protection locked="0"/>
    </xf>
    <xf numFmtId="3" fontId="5" fillId="0" borderId="0" xfId="6" applyNumberFormat="1" applyFont="1" applyFill="1"/>
    <xf numFmtId="3" fontId="5" fillId="0" borderId="0" xfId="6" applyNumberFormat="1" applyFont="1" applyFill="1" applyAlignment="1">
      <alignment horizontal="right"/>
    </xf>
    <xf numFmtId="3" fontId="5" fillId="0" borderId="0" xfId="29191" applyNumberFormat="1" applyFont="1" applyFill="1" applyAlignment="1" applyProtection="1">
      <alignment horizontal="left" vertical="center"/>
      <protection locked="0"/>
    </xf>
    <xf numFmtId="0" fontId="5" fillId="0" borderId="5" xfId="11" applyFont="1" applyFill="1" applyBorder="1" applyAlignment="1" applyProtection="1">
      <alignment horizontal="left" vertical="top" wrapText="1" readingOrder="1"/>
      <protection locked="0"/>
    </xf>
    <xf numFmtId="0" fontId="6" fillId="0" borderId="0" xfId="8055" applyFont="1" applyBorder="1" applyAlignment="1">
      <alignment wrapText="1"/>
    </xf>
    <xf numFmtId="0" fontId="6" fillId="0" borderId="0" xfId="8055" applyFont="1" applyFill="1" applyBorder="1" applyAlignment="1">
      <alignment wrapText="1"/>
    </xf>
    <xf numFmtId="3" fontId="6" fillId="0" borderId="0" xfId="8055" applyNumberFormat="1" applyFont="1" applyBorder="1"/>
    <xf numFmtId="3" fontId="59" fillId="0" borderId="0" xfId="8055" applyNumberFormat="1" applyFont="1" applyBorder="1"/>
    <xf numFmtId="0" fontId="5" fillId="0" borderId="0" xfId="8055" applyFont="1" applyBorder="1" applyAlignment="1">
      <alignment horizontal="justify"/>
    </xf>
    <xf numFmtId="0" fontId="18" fillId="0" borderId="74" xfId="29735" applyFont="1" applyBorder="1" applyAlignment="1" applyProtection="1">
      <alignment horizontal="center" vertical="top" wrapText="1" readingOrder="1"/>
      <protection locked="0"/>
    </xf>
    <xf numFmtId="0" fontId="19" fillId="0" borderId="0" xfId="29735" applyFont="1" applyBorder="1" applyAlignment="1" applyProtection="1">
      <alignment horizontal="left" vertical="top" wrapText="1" readingOrder="1"/>
      <protection locked="0"/>
    </xf>
    <xf numFmtId="0" fontId="5" fillId="0" borderId="0" xfId="29735" applyNumberFormat="1" applyFont="1" applyFill="1" applyBorder="1"/>
    <xf numFmtId="0" fontId="6" fillId="0" borderId="0" xfId="29735" applyNumberFormat="1" applyFont="1" applyFill="1" applyBorder="1"/>
    <xf numFmtId="0" fontId="5" fillId="0" borderId="0" xfId="29735" applyNumberFormat="1" applyFont="1" applyFill="1" applyBorder="1" applyAlignment="1">
      <alignment wrapText="1"/>
    </xf>
    <xf numFmtId="0" fontId="9" fillId="0" borderId="0" xfId="29735" applyNumberFormat="1" applyFont="1" applyBorder="1" applyAlignment="1">
      <alignment horizontal="right" vertical="center"/>
    </xf>
    <xf numFmtId="0" fontId="9" fillId="0" borderId="0" xfId="29735" applyNumberFormat="1" applyFont="1" applyBorder="1" applyAlignment="1">
      <alignment horizontal="right" vertical="center" wrapText="1"/>
    </xf>
    <xf numFmtId="166" fontId="19" fillId="0" borderId="0" xfId="29735" applyNumberFormat="1" applyFont="1" applyFill="1" applyBorder="1" applyAlignment="1" applyProtection="1">
      <alignment horizontal="right" vertical="top" wrapText="1" readingOrder="1"/>
      <protection locked="0"/>
    </xf>
    <xf numFmtId="1" fontId="19" fillId="0" borderId="0" xfId="29735" applyNumberFormat="1" applyFont="1" applyFill="1" applyBorder="1" applyAlignment="1" applyProtection="1">
      <alignment horizontal="right" vertical="top" wrapText="1" readingOrder="1"/>
      <protection locked="0"/>
    </xf>
    <xf numFmtId="0" fontId="18" fillId="0" borderId="0" xfId="29735" applyFont="1" applyBorder="1" applyAlignment="1" applyProtection="1">
      <alignment vertical="top" wrapText="1" readingOrder="1"/>
      <protection locked="0"/>
    </xf>
    <xf numFmtId="175" fontId="18" fillId="0" borderId="0" xfId="9" applyNumberFormat="1" applyFont="1" applyFill="1" applyBorder="1" applyAlignment="1" applyProtection="1">
      <alignment horizontal="right" vertical="top" wrapText="1" readingOrder="1"/>
      <protection locked="0"/>
    </xf>
    <xf numFmtId="0" fontId="19" fillId="0" borderId="0" xfId="29735" applyFont="1" applyBorder="1" applyAlignment="1" applyProtection="1">
      <alignment vertical="top" wrapText="1" readingOrder="1"/>
      <protection locked="0"/>
    </xf>
    <xf numFmtId="0" fontId="18" fillId="0" borderId="36" xfId="29735" applyFont="1" applyBorder="1" applyAlignment="1" applyProtection="1">
      <alignment horizontal="center" vertical="top" wrapText="1" readingOrder="1"/>
      <protection locked="0"/>
    </xf>
    <xf numFmtId="166" fontId="18" fillId="0" borderId="0" xfId="29735" applyNumberFormat="1" applyFont="1" applyFill="1" applyBorder="1" applyAlignment="1" applyProtection="1">
      <alignment horizontal="right" vertical="top" wrapText="1" readingOrder="1"/>
      <protection locked="0"/>
    </xf>
    <xf numFmtId="166" fontId="18" fillId="0" borderId="0" xfId="29735" applyNumberFormat="1" applyFont="1" applyBorder="1" applyAlignment="1" applyProtection="1">
      <alignment horizontal="right" vertical="top" wrapText="1" readingOrder="1"/>
      <protection locked="0"/>
    </xf>
    <xf numFmtId="166" fontId="19" fillId="0" borderId="0" xfId="29735" applyNumberFormat="1" applyFont="1" applyBorder="1" applyAlignment="1" applyProtection="1">
      <alignment horizontal="right" vertical="top" wrapText="1" readingOrder="1"/>
      <protection locked="0"/>
    </xf>
    <xf numFmtId="0" fontId="19" fillId="0" borderId="0" xfId="29735" applyFont="1" applyBorder="1" applyAlignment="1" applyProtection="1">
      <alignment horizontal="right" vertical="top" wrapText="1" readingOrder="1"/>
      <protection locked="0"/>
    </xf>
    <xf numFmtId="0" fontId="19" fillId="0" borderId="0" xfId="29735" applyFont="1" applyFill="1" applyBorder="1" applyAlignment="1" applyProtection="1">
      <alignment vertical="top" wrapText="1" readingOrder="1"/>
      <protection locked="0"/>
    </xf>
    <xf numFmtId="0" fontId="19" fillId="0" borderId="0" xfId="29735" applyFont="1" applyFill="1" applyBorder="1" applyAlignment="1" applyProtection="1">
      <alignment horizontal="right" vertical="top" wrapText="1" readingOrder="1"/>
      <protection locked="0"/>
    </xf>
    <xf numFmtId="0" fontId="5" fillId="0" borderId="0" xfId="29735" applyFont="1" applyFill="1"/>
    <xf numFmtId="0" fontId="18" fillId="0" borderId="65" xfId="29735" applyFont="1" applyFill="1" applyBorder="1" applyAlignment="1" applyProtection="1">
      <alignment vertical="top" wrapText="1" readingOrder="1"/>
      <protection locked="0"/>
    </xf>
    <xf numFmtId="0" fontId="5" fillId="0" borderId="0" xfId="29735" applyFont="1" applyFill="1" applyBorder="1" applyAlignment="1" applyProtection="1">
      <alignment vertical="top" wrapText="1"/>
      <protection locked="0"/>
    </xf>
    <xf numFmtId="0" fontId="18" fillId="0" borderId="71" xfId="29735" applyFont="1" applyFill="1" applyBorder="1" applyAlignment="1" applyProtection="1">
      <alignment horizontal="center" vertical="top" wrapText="1" readingOrder="1"/>
      <protection locked="0"/>
    </xf>
    <xf numFmtId="0" fontId="18" fillId="0" borderId="71" xfId="29735" applyFont="1" applyFill="1" applyBorder="1" applyAlignment="1" applyProtection="1">
      <alignment horizontal="center" wrapText="1" readingOrder="1"/>
      <protection locked="0"/>
    </xf>
    <xf numFmtId="0" fontId="18" fillId="0" borderId="0" xfId="29735" applyFont="1" applyFill="1" applyBorder="1" applyAlignment="1" applyProtection="1">
      <alignment vertical="top" wrapText="1" readingOrder="1"/>
      <protection locked="0"/>
    </xf>
    <xf numFmtId="0" fontId="5" fillId="0" borderId="0" xfId="29735" applyFont="1" applyFill="1" applyBorder="1"/>
    <xf numFmtId="0" fontId="5" fillId="0" borderId="0" xfId="6" applyFont="1" applyFill="1" applyBorder="1" applyAlignment="1">
      <alignment vertical="center"/>
    </xf>
    <xf numFmtId="0" fontId="5" fillId="0" borderId="0" xfId="29735" applyFont="1"/>
    <xf numFmtId="0" fontId="18" fillId="0" borderId="65" xfId="29735" applyFont="1" applyBorder="1" applyAlignment="1" applyProtection="1">
      <alignment vertical="top" wrapText="1" readingOrder="1"/>
      <protection locked="0"/>
    </xf>
    <xf numFmtId="0" fontId="5" fillId="0" borderId="65" xfId="29735" applyFont="1" applyBorder="1" applyAlignment="1" applyProtection="1">
      <alignment vertical="top" wrapText="1"/>
      <protection locked="0"/>
    </xf>
    <xf numFmtId="0" fontId="6" fillId="0" borderId="77" xfId="29735" applyFont="1" applyBorder="1" applyAlignment="1">
      <alignment horizontal="center" vertical="center" wrapText="1"/>
    </xf>
    <xf numFmtId="0" fontId="18" fillId="0" borderId="81" xfId="29735" applyFont="1" applyBorder="1" applyAlignment="1" applyProtection="1">
      <alignment horizontal="center" vertical="center" wrapText="1" readingOrder="1"/>
      <protection locked="0"/>
    </xf>
    <xf numFmtId="0" fontId="18" fillId="0" borderId="0" xfId="29735" applyFont="1" applyBorder="1" applyAlignment="1" applyProtection="1">
      <alignment horizontal="left" vertical="top" wrapText="1" readingOrder="1"/>
      <protection locked="0"/>
    </xf>
    <xf numFmtId="3" fontId="6" fillId="0" borderId="0" xfId="7705" applyNumberFormat="1" applyFont="1" applyBorder="1" applyAlignment="1">
      <alignment horizontal="right"/>
    </xf>
    <xf numFmtId="1" fontId="6" fillId="0" borderId="0" xfId="7705" applyNumberFormat="1" applyFont="1" applyBorder="1" applyAlignment="1">
      <alignment horizontal="right"/>
    </xf>
    <xf numFmtId="3" fontId="6" fillId="0" borderId="0" xfId="29735" applyNumberFormat="1" applyFont="1" applyBorder="1" applyAlignment="1">
      <alignment horizontal="right"/>
    </xf>
    <xf numFmtId="0" fontId="5" fillId="0" borderId="0" xfId="29735" applyFont="1" applyBorder="1"/>
    <xf numFmtId="3" fontId="5" fillId="0" borderId="0" xfId="7705" applyNumberFormat="1" applyFont="1" applyBorder="1" applyAlignment="1">
      <alignment horizontal="right" vertical="top" wrapText="1"/>
    </xf>
    <xf numFmtId="169" fontId="5" fillId="0" borderId="0" xfId="7705" applyNumberFormat="1" applyFont="1" applyBorder="1" applyAlignment="1">
      <alignment horizontal="right" vertical="top" wrapText="1"/>
    </xf>
    <xf numFmtId="1" fontId="5" fillId="0" borderId="0" xfId="7705" applyNumberFormat="1" applyFont="1" applyBorder="1" applyAlignment="1">
      <alignment horizontal="right" vertical="top"/>
    </xf>
    <xf numFmtId="1" fontId="5" fillId="0" borderId="0" xfId="7705" applyNumberFormat="1" applyFont="1" applyBorder="1" applyAlignment="1">
      <alignment horizontal="right" vertical="top" wrapText="1"/>
    </xf>
    <xf numFmtId="1" fontId="5" fillId="0" borderId="0" xfId="7705" applyNumberFormat="1" applyFont="1" applyBorder="1" applyAlignment="1">
      <alignment horizontal="right"/>
    </xf>
    <xf numFmtId="1" fontId="6" fillId="0" borderId="0" xfId="29735" applyNumberFormat="1" applyFont="1" applyBorder="1" applyAlignment="1">
      <alignment horizontal="right"/>
    </xf>
    <xf numFmtId="0" fontId="18" fillId="0" borderId="71" xfId="7" applyFont="1" applyBorder="1" applyAlignment="1" applyProtection="1">
      <alignment horizontal="center" vertical="center" wrapText="1" readingOrder="1"/>
      <protection locked="0"/>
    </xf>
    <xf numFmtId="0" fontId="19" fillId="0" borderId="83" xfId="7" applyNumberFormat="1" applyFont="1" applyBorder="1" applyAlignment="1" applyProtection="1">
      <alignment horizontal="center" vertical="top" wrapText="1" readingOrder="1"/>
      <protection locked="0"/>
    </xf>
    <xf numFmtId="0" fontId="19" fillId="0" borderId="83" xfId="7" applyNumberFormat="1" applyFont="1" applyBorder="1" applyAlignment="1" applyProtection="1">
      <alignment horizontal="right" vertical="top" wrapText="1" readingOrder="1"/>
      <protection locked="0"/>
    </xf>
    <xf numFmtId="0" fontId="19" fillId="0" borderId="0" xfId="7" applyNumberFormat="1" applyFont="1" applyBorder="1" applyAlignment="1" applyProtection="1">
      <alignment horizontal="center" vertical="top" wrapText="1" readingOrder="1"/>
      <protection locked="0"/>
    </xf>
    <xf numFmtId="0" fontId="5" fillId="0" borderId="0" xfId="7" applyFont="1" applyFill="1" applyBorder="1"/>
    <xf numFmtId="0" fontId="8" fillId="0" borderId="0" xfId="36428" applyFont="1" applyFill="1" applyBorder="1" applyAlignment="1">
      <alignment wrapText="1"/>
    </xf>
    <xf numFmtId="0" fontId="9" fillId="0" borderId="0" xfId="36428" applyFont="1" applyAlignment="1">
      <alignment wrapText="1"/>
    </xf>
    <xf numFmtId="0" fontId="8" fillId="0" borderId="0" xfId="36428" applyFont="1" applyFill="1" applyBorder="1" applyAlignment="1">
      <alignment horizontal="left" wrapText="1"/>
    </xf>
    <xf numFmtId="0" fontId="8" fillId="0" borderId="3" xfId="36428" applyFont="1" applyBorder="1" applyAlignment="1">
      <alignment horizontal="center" vertical="center" wrapText="1"/>
    </xf>
    <xf numFmtId="0" fontId="8" fillId="0" borderId="3" xfId="36428" applyFont="1" applyFill="1" applyBorder="1" applyAlignment="1">
      <alignment horizontal="center" vertical="center" wrapText="1"/>
    </xf>
    <xf numFmtId="0" fontId="8" fillId="0" borderId="0" xfId="36428" applyFont="1" applyFill="1" applyBorder="1" applyAlignment="1">
      <alignment vertical="center" wrapText="1"/>
    </xf>
    <xf numFmtId="3" fontId="8" fillId="0" borderId="0" xfId="36429" applyNumberFormat="1" applyFont="1" applyFill="1" applyBorder="1" applyAlignment="1">
      <alignment horizontal="right" vertical="center" wrapText="1"/>
    </xf>
    <xf numFmtId="3" fontId="8" fillId="0" borderId="0" xfId="36429" applyNumberFormat="1" applyFont="1" applyAlignment="1">
      <alignment horizontal="right" wrapText="1"/>
    </xf>
    <xf numFmtId="0" fontId="9" fillId="0" borderId="0" xfId="36428" applyFont="1" applyFill="1" applyBorder="1" applyAlignment="1">
      <alignment wrapText="1"/>
    </xf>
    <xf numFmtId="3" fontId="9" fillId="0" borderId="0" xfId="36428" applyNumberFormat="1" applyFont="1" applyAlignment="1">
      <alignment horizontal="right" wrapText="1"/>
    </xf>
    <xf numFmtId="3" fontId="9" fillId="0" borderId="0" xfId="36428" applyNumberFormat="1" applyFont="1" applyAlignment="1">
      <alignment horizontal="right"/>
    </xf>
    <xf numFmtId="3" fontId="9" fillId="0" borderId="0" xfId="36428" applyNumberFormat="1" applyFont="1" applyFill="1" applyAlignment="1">
      <alignment horizontal="right" wrapText="1"/>
    </xf>
    <xf numFmtId="0" fontId="8" fillId="0" borderId="0" xfId="36428" applyFont="1" applyFill="1" applyBorder="1" applyAlignment="1">
      <alignment vertical="center"/>
    </xf>
    <xf numFmtId="3" fontId="8" fillId="0" borderId="0" xfId="36429" applyNumberFormat="1" applyFont="1" applyFill="1" applyAlignment="1">
      <alignment horizontal="right" wrapText="1"/>
    </xf>
    <xf numFmtId="0" fontId="9" fillId="0" borderId="0" xfId="36428" applyFont="1" applyBorder="1" applyAlignment="1">
      <alignment wrapText="1"/>
    </xf>
    <xf numFmtId="0" fontId="9" fillId="0" borderId="0" xfId="36428" applyFont="1" applyFill="1" applyBorder="1" applyAlignment="1">
      <alignment horizontal="left" wrapText="1"/>
    </xf>
    <xf numFmtId="0" fontId="9" fillId="0" borderId="0" xfId="36428" applyFont="1" applyFill="1" applyBorder="1" applyAlignment="1">
      <alignment vertical="top" wrapText="1"/>
    </xf>
    <xf numFmtId="0" fontId="9" fillId="0" borderId="0" xfId="36428" applyFont="1" applyFill="1" applyBorder="1" applyAlignment="1">
      <alignment horizontal="left" vertical="top" wrapText="1"/>
    </xf>
    <xf numFmtId="0" fontId="9" fillId="0" borderId="0" xfId="36428" applyFont="1" applyFill="1" applyAlignment="1">
      <alignment wrapText="1"/>
    </xf>
    <xf numFmtId="0" fontId="8" fillId="0" borderId="61" xfId="36428" applyFont="1" applyFill="1" applyBorder="1" applyAlignment="1">
      <alignment horizontal="center" vertical="center" wrapText="1"/>
    </xf>
    <xf numFmtId="0" fontId="8" fillId="0" borderId="84" xfId="36428" applyFont="1" applyFill="1" applyBorder="1" applyAlignment="1">
      <alignment vertical="center" wrapText="1"/>
    </xf>
    <xf numFmtId="169" fontId="8" fillId="0" borderId="84" xfId="36429" applyNumberFormat="1" applyFont="1" applyFill="1" applyBorder="1" applyAlignment="1">
      <alignment horizontal="right" vertical="center" wrapText="1"/>
    </xf>
    <xf numFmtId="169" fontId="8" fillId="0" borderId="85" xfId="36429" applyNumberFormat="1" applyFont="1" applyFill="1" applyBorder="1" applyAlignment="1">
      <alignment horizontal="right" vertical="center" wrapText="1"/>
    </xf>
    <xf numFmtId="169" fontId="8" fillId="0" borderId="86" xfId="36429" applyNumberFormat="1" applyFont="1" applyFill="1" applyBorder="1" applyAlignment="1">
      <alignment horizontal="right" vertical="center" wrapText="1"/>
    </xf>
    <xf numFmtId="169" fontId="8" fillId="0" borderId="85" xfId="36429" applyNumberFormat="1" applyFont="1" applyFill="1" applyBorder="1" applyAlignment="1">
      <alignment horizontal="center" vertical="center" wrapText="1"/>
    </xf>
    <xf numFmtId="169" fontId="8" fillId="0" borderId="86" xfId="36429" applyNumberFormat="1" applyFont="1" applyFill="1" applyBorder="1" applyAlignment="1">
      <alignment horizontal="center" vertical="center" wrapText="1"/>
    </xf>
    <xf numFmtId="0" fontId="8" fillId="0" borderId="44" xfId="36428" applyFont="1" applyFill="1" applyBorder="1" applyAlignment="1">
      <alignment vertical="center" wrapText="1"/>
    </xf>
    <xf numFmtId="169" fontId="8" fillId="0" borderId="44" xfId="36429" applyNumberFormat="1" applyFont="1" applyBorder="1" applyAlignment="1">
      <alignment horizontal="right" wrapText="1"/>
    </xf>
    <xf numFmtId="169" fontId="8" fillId="0" borderId="0" xfId="36429" applyNumberFormat="1" applyFont="1" applyBorder="1" applyAlignment="1">
      <alignment horizontal="right" wrapText="1"/>
    </xf>
    <xf numFmtId="169" fontId="8" fillId="0" borderId="0" xfId="36429" applyNumberFormat="1" applyFont="1" applyFill="1" applyBorder="1" applyAlignment="1">
      <alignment horizontal="right" wrapText="1"/>
    </xf>
    <xf numFmtId="169" fontId="8" fillId="0" borderId="39" xfId="36429" applyNumberFormat="1" applyFont="1" applyFill="1" applyBorder="1" applyAlignment="1">
      <alignment horizontal="right" wrapText="1"/>
    </xf>
    <xf numFmtId="169" fontId="8" fillId="0" borderId="0" xfId="36429" applyNumberFormat="1" applyFont="1" applyFill="1" applyBorder="1" applyAlignment="1">
      <alignment wrapText="1"/>
    </xf>
    <xf numFmtId="169" fontId="8" fillId="0" borderId="39" xfId="36429" applyNumberFormat="1" applyFont="1" applyFill="1" applyBorder="1" applyAlignment="1">
      <alignment wrapText="1"/>
    </xf>
    <xf numFmtId="169" fontId="8" fillId="0" borderId="44" xfId="36429" applyNumberFormat="1" applyFont="1" applyFill="1" applyBorder="1" applyAlignment="1">
      <alignment horizontal="right" wrapText="1"/>
    </xf>
    <xf numFmtId="0" fontId="9" fillId="0" borderId="44" xfId="36428" applyFont="1" applyFill="1" applyBorder="1" applyAlignment="1">
      <alignment wrapText="1"/>
    </xf>
    <xf numFmtId="169" fontId="9" fillId="0" borderId="44" xfId="36429" applyNumberFormat="1" applyFont="1" applyBorder="1" applyAlignment="1">
      <alignment horizontal="right" wrapText="1"/>
    </xf>
    <xf numFmtId="169" fontId="9" fillId="0" borderId="0" xfId="36429" applyNumberFormat="1" applyFont="1" applyBorder="1" applyAlignment="1">
      <alignment horizontal="right" wrapText="1"/>
    </xf>
    <xf numFmtId="169" fontId="9" fillId="0" borderId="0" xfId="36429" applyNumberFormat="1" applyFont="1" applyFill="1" applyBorder="1" applyAlignment="1">
      <alignment horizontal="right" wrapText="1"/>
    </xf>
    <xf numFmtId="169" fontId="9" fillId="0" borderId="39" xfId="36429" applyNumberFormat="1" applyFont="1" applyFill="1" applyBorder="1" applyAlignment="1">
      <alignment horizontal="right" wrapText="1"/>
    </xf>
    <xf numFmtId="169" fontId="9" fillId="0" borderId="0" xfId="36429" applyNumberFormat="1" applyFont="1" applyFill="1" applyBorder="1" applyAlignment="1">
      <alignment wrapText="1"/>
    </xf>
    <xf numFmtId="169" fontId="9" fillId="0" borderId="0" xfId="36429" applyNumberFormat="1" applyFont="1" applyFill="1" applyAlignment="1">
      <alignment wrapText="1"/>
    </xf>
    <xf numFmtId="169" fontId="9" fillId="0" borderId="44" xfId="36429" applyNumberFormat="1" applyFont="1" applyFill="1" applyBorder="1" applyAlignment="1">
      <alignment horizontal="right" wrapText="1"/>
    </xf>
    <xf numFmtId="169" fontId="9" fillId="0" borderId="39" xfId="36429" applyNumberFormat="1" applyFont="1" applyFill="1" applyBorder="1" applyAlignment="1">
      <alignment wrapText="1"/>
    </xf>
    <xf numFmtId="169" fontId="9" fillId="0" borderId="44" xfId="36429" applyNumberFormat="1" applyFont="1" applyFill="1" applyBorder="1" applyAlignment="1">
      <alignment wrapText="1"/>
    </xf>
    <xf numFmtId="0" fontId="8" fillId="0" borderId="44" xfId="36428" applyFont="1" applyFill="1" applyBorder="1" applyAlignment="1">
      <alignment wrapText="1"/>
    </xf>
    <xf numFmtId="169" fontId="9" fillId="0" borderId="44" xfId="36429" applyNumberFormat="1" applyFont="1" applyFill="1" applyBorder="1" applyAlignment="1">
      <alignment horizontal="right" vertical="top" wrapText="1"/>
    </xf>
    <xf numFmtId="169" fontId="9" fillId="0" borderId="0" xfId="36429" applyNumberFormat="1" applyFont="1" applyFill="1" applyBorder="1" applyAlignment="1">
      <alignment horizontal="right" vertical="top" wrapText="1"/>
    </xf>
    <xf numFmtId="0" fontId="9" fillId="0" borderId="87" xfId="36428" applyFont="1" applyFill="1" applyBorder="1" applyAlignment="1">
      <alignment wrapText="1"/>
    </xf>
    <xf numFmtId="169" fontId="9" fillId="0" borderId="87" xfId="36429" applyNumberFormat="1" applyFont="1" applyFill="1" applyBorder="1" applyAlignment="1">
      <alignment horizontal="right" vertical="top" wrapText="1"/>
    </xf>
    <xf numFmtId="169" fontId="9" fillId="0" borderId="88" xfId="36429" applyNumberFormat="1" applyFont="1" applyFill="1" applyBorder="1" applyAlignment="1">
      <alignment horizontal="right" vertical="top" wrapText="1"/>
    </xf>
    <xf numFmtId="169" fontId="9" fillId="0" borderId="88" xfId="36429" applyNumberFormat="1" applyFont="1" applyFill="1" applyBorder="1" applyAlignment="1">
      <alignment horizontal="right" wrapText="1"/>
    </xf>
    <xf numFmtId="169" fontId="9" fillId="0" borderId="41" xfId="36429" applyNumberFormat="1" applyFont="1" applyFill="1" applyBorder="1" applyAlignment="1">
      <alignment horizontal="right" wrapText="1"/>
    </xf>
    <xf numFmtId="169" fontId="9" fillId="0" borderId="87" xfId="36429" applyNumberFormat="1" applyFont="1" applyFill="1" applyBorder="1" applyAlignment="1">
      <alignment wrapText="1"/>
    </xf>
    <xf numFmtId="169" fontId="9" fillId="0" borderId="88" xfId="36429" applyNumberFormat="1" applyFont="1" applyFill="1" applyBorder="1" applyAlignment="1">
      <alignment wrapText="1"/>
    </xf>
    <xf numFmtId="169" fontId="9" fillId="0" borderId="41" xfId="36429" applyNumberFormat="1" applyFont="1" applyFill="1" applyBorder="1" applyAlignment="1">
      <alignment wrapText="1"/>
    </xf>
    <xf numFmtId="169" fontId="9" fillId="0" borderId="87" xfId="36429" applyNumberFormat="1" applyFont="1" applyFill="1" applyBorder="1" applyAlignment="1">
      <alignment horizontal="right" wrapText="1"/>
    </xf>
    <xf numFmtId="0" fontId="9" fillId="0" borderId="0" xfId="36428" applyFont="1" applyBorder="1"/>
    <xf numFmtId="0" fontId="1" fillId="0" borderId="0" xfId="36428"/>
    <xf numFmtId="0" fontId="9" fillId="0" borderId="0" xfId="36428" applyFont="1" applyFill="1"/>
    <xf numFmtId="0" fontId="9" fillId="0" borderId="0" xfId="36428" applyFont="1"/>
    <xf numFmtId="0" fontId="9" fillId="0" borderId="0" xfId="36428" applyFont="1" applyFill="1" applyBorder="1" applyAlignment="1">
      <alignment vertical="center" wrapText="1"/>
    </xf>
    <xf numFmtId="0" fontId="8" fillId="0" borderId="3" xfId="36428" applyFont="1" applyFill="1" applyBorder="1" applyAlignment="1">
      <alignment horizontal="center" wrapText="1"/>
    </xf>
    <xf numFmtId="3" fontId="8" fillId="0" borderId="0" xfId="36428" applyNumberFormat="1" applyFont="1" applyFill="1" applyBorder="1" applyAlignment="1">
      <alignment wrapText="1"/>
    </xf>
    <xf numFmtId="9" fontId="8" fillId="0" borderId="0" xfId="36430" applyNumberFormat="1" applyFont="1" applyFill="1" applyBorder="1" applyAlignment="1">
      <alignment wrapText="1"/>
    </xf>
    <xf numFmtId="3" fontId="9" fillId="0" borderId="0" xfId="36428" applyNumberFormat="1" applyFont="1" applyFill="1"/>
    <xf numFmtId="9" fontId="9" fillId="0" borderId="0" xfId="36430" applyNumberFormat="1" applyFont="1"/>
    <xf numFmtId="3" fontId="9" fillId="0" borderId="0" xfId="36428" applyNumberFormat="1" applyFont="1" applyFill="1" applyBorder="1" applyAlignment="1">
      <alignment wrapText="1"/>
    </xf>
    <xf numFmtId="3" fontId="9" fillId="0" borderId="0" xfId="36428" applyNumberFormat="1" applyFont="1" applyFill="1" applyBorder="1"/>
    <xf numFmtId="9" fontId="9" fillId="0" borderId="0" xfId="36430" applyNumberFormat="1" applyFont="1" applyBorder="1"/>
    <xf numFmtId="3" fontId="8" fillId="0" borderId="0" xfId="36428" applyNumberFormat="1" applyFont="1" applyFill="1" applyBorder="1" applyAlignment="1"/>
    <xf numFmtId="9" fontId="9" fillId="0" borderId="0" xfId="36428" applyNumberFormat="1" applyFont="1"/>
    <xf numFmtId="9" fontId="9" fillId="0" borderId="0" xfId="36430" applyFont="1"/>
    <xf numFmtId="0" fontId="9" fillId="0" borderId="0" xfId="36428" applyFont="1" applyFill="1" applyAlignment="1"/>
    <xf numFmtId="0" fontId="26" fillId="0" borderId="0" xfId="36428" applyFont="1" applyFill="1" applyAlignment="1"/>
    <xf numFmtId="0" fontId="6" fillId="0" borderId="0" xfId="6" applyFont="1" applyFill="1" applyBorder="1" applyAlignment="1"/>
    <xf numFmtId="0" fontId="26" fillId="0" borderId="0" xfId="36428" applyFont="1" applyFill="1" applyBorder="1" applyAlignment="1"/>
    <xf numFmtId="0" fontId="6" fillId="0" borderId="0" xfId="6" applyFont="1" applyFill="1" applyAlignment="1">
      <alignment horizontal="left" wrapText="1"/>
    </xf>
    <xf numFmtId="0" fontId="9" fillId="0" borderId="0" xfId="36428" applyFont="1" applyFill="1" applyBorder="1" applyAlignment="1"/>
    <xf numFmtId="0" fontId="8" fillId="0" borderId="0" xfId="36428" applyFont="1" applyFill="1" applyBorder="1" applyAlignment="1"/>
    <xf numFmtId="0" fontId="8" fillId="0" borderId="0" xfId="36428" applyFont="1" applyFill="1" applyBorder="1" applyAlignment="1">
      <alignment horizontal="center" wrapText="1"/>
    </xf>
    <xf numFmtId="0" fontId="4" fillId="0" borderId="0" xfId="4" applyFill="1"/>
    <xf numFmtId="0" fontId="18" fillId="0" borderId="0" xfId="4" applyFont="1" applyFill="1" applyAlignment="1" applyProtection="1">
      <alignment vertical="top" wrapText="1" readingOrder="1"/>
      <protection locked="0"/>
    </xf>
    <xf numFmtId="0" fontId="19" fillId="0" borderId="0" xfId="4" applyFont="1" applyFill="1" applyAlignment="1" applyProtection="1">
      <alignment vertical="top" wrapText="1" readingOrder="1"/>
      <protection locked="0"/>
    </xf>
    <xf numFmtId="0" fontId="18" fillId="0" borderId="3" xfId="4" applyFont="1" applyFill="1" applyBorder="1" applyAlignment="1" applyProtection="1">
      <alignment horizontal="center" vertical="top" wrapText="1" readingOrder="1"/>
      <protection locked="0"/>
    </xf>
    <xf numFmtId="166" fontId="18" fillId="0" borderId="0" xfId="4" applyNumberFormat="1" applyFont="1" applyFill="1" applyBorder="1" applyAlignment="1" applyProtection="1">
      <alignment vertical="top" wrapText="1" readingOrder="1"/>
      <protection locked="0"/>
    </xf>
    <xf numFmtId="166" fontId="18" fillId="0" borderId="0" xfId="36422" applyNumberFormat="1" applyFont="1" applyFill="1" applyBorder="1" applyAlignment="1" applyProtection="1">
      <alignment vertical="top" wrapText="1" readingOrder="1"/>
      <protection locked="0"/>
    </xf>
    <xf numFmtId="166" fontId="18" fillId="0" borderId="0" xfId="36422" applyNumberFormat="1" applyFont="1" applyFill="1" applyBorder="1" applyAlignment="1" applyProtection="1">
      <alignment horizontal="right" vertical="top" wrapText="1" readingOrder="1"/>
      <protection locked="0"/>
    </xf>
    <xf numFmtId="0" fontId="57" fillId="0" borderId="0" xfId="4" applyFont="1" applyFill="1"/>
    <xf numFmtId="166" fontId="19" fillId="0" borderId="0" xfId="4" applyNumberFormat="1" applyFont="1" applyFill="1" applyBorder="1" applyAlignment="1" applyProtection="1">
      <alignment vertical="top" wrapText="1" readingOrder="1"/>
      <protection locked="0"/>
    </xf>
    <xf numFmtId="166" fontId="19" fillId="0" borderId="0" xfId="36422" applyNumberFormat="1" applyFont="1" applyFill="1" applyBorder="1" applyAlignment="1" applyProtection="1">
      <alignment vertical="top" wrapText="1" readingOrder="1"/>
      <protection locked="0"/>
    </xf>
    <xf numFmtId="166" fontId="19" fillId="0" borderId="0" xfId="36422" applyNumberFormat="1" applyFont="1" applyFill="1" applyBorder="1" applyAlignment="1" applyProtection="1">
      <alignment horizontal="right" vertical="top" wrapText="1" readingOrder="1"/>
      <protection locked="0"/>
    </xf>
    <xf numFmtId="0" fontId="19" fillId="0" borderId="0" xfId="4" applyFont="1" applyFill="1" applyBorder="1" applyAlignment="1" applyProtection="1">
      <alignment vertical="top" wrapText="1" readingOrder="1"/>
      <protection locked="0"/>
    </xf>
    <xf numFmtId="0" fontId="4" fillId="0" borderId="0" xfId="4" applyFill="1" applyBorder="1"/>
    <xf numFmtId="0" fontId="18" fillId="0" borderId="0" xfId="4" applyFont="1" applyFill="1" applyBorder="1" applyAlignment="1" applyProtection="1">
      <alignment vertical="top" wrapText="1" readingOrder="1"/>
      <protection locked="0"/>
    </xf>
    <xf numFmtId="0" fontId="64" fillId="0" borderId="0" xfId="29279" applyFont="1" applyFill="1" applyAlignment="1"/>
    <xf numFmtId="0" fontId="65" fillId="0" borderId="0" xfId="29279" applyFont="1" applyFill="1"/>
    <xf numFmtId="0" fontId="63" fillId="0" borderId="0" xfId="36417" applyFont="1" applyFill="1"/>
    <xf numFmtId="0" fontId="8" fillId="0" borderId="0" xfId="29279" applyFont="1" applyFill="1" applyBorder="1" applyAlignment="1">
      <alignment horizontal="left" vertical="center" wrapText="1"/>
    </xf>
    <xf numFmtId="0" fontId="63" fillId="0" borderId="0" xfId="36417" applyFont="1" applyFill="1" applyBorder="1"/>
    <xf numFmtId="0" fontId="63" fillId="0" borderId="0" xfId="36417" applyFont="1" applyFill="1" applyAlignment="1">
      <alignment vertical="center"/>
    </xf>
    <xf numFmtId="0" fontId="6" fillId="0" borderId="3" xfId="29279" applyFont="1" applyFill="1" applyBorder="1" applyAlignment="1">
      <alignment horizontal="center" vertical="center"/>
    </xf>
    <xf numFmtId="0" fontId="8" fillId="0" borderId="0" xfId="29279" applyFont="1" applyFill="1" applyBorder="1" applyAlignment="1">
      <alignment horizontal="left"/>
    </xf>
    <xf numFmtId="169" fontId="8" fillId="0" borderId="0" xfId="7705" applyNumberFormat="1" applyFont="1" applyFill="1" applyBorder="1"/>
    <xf numFmtId="169" fontId="8" fillId="0" borderId="0" xfId="7705" applyNumberFormat="1" applyFont="1" applyFill="1" applyBorder="1" applyAlignment="1">
      <alignment horizontal="right"/>
    </xf>
    <xf numFmtId="3" fontId="5" fillId="0" borderId="0" xfId="29262" applyNumberFormat="1" applyFont="1" applyFill="1" applyAlignment="1" applyProtection="1">
      <alignment horizontal="left" vertical="center"/>
      <protection locked="0"/>
    </xf>
    <xf numFmtId="169" fontId="9" fillId="0" borderId="0" xfId="7705" applyNumberFormat="1" applyFont="1" applyFill="1" applyBorder="1"/>
    <xf numFmtId="3" fontId="5" fillId="0" borderId="0" xfId="36417" applyNumberFormat="1" applyFont="1" applyFill="1"/>
    <xf numFmtId="169" fontId="19" fillId="0" borderId="0" xfId="36431" applyNumberFormat="1" applyFont="1" applyBorder="1" applyAlignment="1" applyProtection="1">
      <alignment horizontal="right" vertical="top" wrapText="1" readingOrder="1"/>
      <protection locked="0"/>
    </xf>
    <xf numFmtId="169" fontId="19" fillId="0" borderId="0" xfId="36431" applyNumberFormat="1" applyFont="1" applyFill="1" applyBorder="1" applyAlignment="1" applyProtection="1">
      <alignment horizontal="right" vertical="top" wrapText="1" readingOrder="1"/>
      <protection locked="0"/>
    </xf>
    <xf numFmtId="3" fontId="5" fillId="0" borderId="0" xfId="29279" applyNumberFormat="1" applyFont="1" applyFill="1" applyAlignment="1" applyProtection="1">
      <alignment horizontal="left" vertical="center" wrapText="1"/>
      <protection locked="0"/>
    </xf>
    <xf numFmtId="169" fontId="9" fillId="0" borderId="0" xfId="7705" applyNumberFormat="1" applyFont="1" applyFill="1" applyBorder="1" applyAlignment="1"/>
    <xf numFmtId="3" fontId="5" fillId="0" borderId="0" xfId="36417" applyNumberFormat="1" applyFont="1" applyFill="1" applyAlignment="1"/>
    <xf numFmtId="3" fontId="6" fillId="0" borderId="0" xfId="29279" applyNumberFormat="1" applyFont="1" applyFill="1" applyAlignment="1" applyProtection="1">
      <alignment horizontal="left" vertical="center" wrapText="1"/>
      <protection locked="0"/>
    </xf>
    <xf numFmtId="0" fontId="5" fillId="0" borderId="0" xfId="36417" applyFont="1" applyFill="1" applyAlignment="1">
      <alignment vertical="top"/>
    </xf>
    <xf numFmtId="0" fontId="54" fillId="0" borderId="0" xfId="29279" applyFont="1" applyFill="1"/>
    <xf numFmtId="0" fontId="4" fillId="0" borderId="0" xfId="36425" applyFont="1" applyAlignment="1">
      <alignment vertical="center"/>
    </xf>
    <xf numFmtId="0" fontId="4" fillId="0" borderId="0" xfId="36425" applyFont="1"/>
    <xf numFmtId="0" fontId="6" fillId="0" borderId="0" xfId="36425" applyFont="1" applyFill="1"/>
    <xf numFmtId="0" fontId="5" fillId="0" borderId="0" xfId="36425" applyFont="1"/>
    <xf numFmtId="0" fontId="6" fillId="0" borderId="3" xfId="36425" applyFont="1" applyFill="1" applyBorder="1" applyAlignment="1">
      <alignment horizontal="center" vertical="center"/>
    </xf>
    <xf numFmtId="0" fontId="6" fillId="0" borderId="3" xfId="36425" applyFont="1" applyBorder="1" applyAlignment="1">
      <alignment horizontal="center" vertical="center"/>
    </xf>
    <xf numFmtId="0" fontId="5" fillId="0" borderId="0" xfId="36425" applyFont="1" applyFill="1"/>
    <xf numFmtId="0" fontId="66" fillId="0" borderId="0" xfId="36425" applyFont="1"/>
    <xf numFmtId="0" fontId="5" fillId="0" borderId="0" xfId="29309" applyFont="1" applyFill="1" applyBorder="1">
      <alignment wrapText="1"/>
    </xf>
    <xf numFmtId="0" fontId="6" fillId="0" borderId="3" xfId="29309" applyFont="1" applyFill="1" applyBorder="1" applyAlignment="1">
      <alignment horizontal="center" vertical="top" wrapText="1"/>
    </xf>
    <xf numFmtId="0" fontId="6" fillId="0" borderId="31" xfId="29309" applyFont="1" applyFill="1" applyBorder="1" applyAlignment="1">
      <alignment vertical="top" wrapText="1"/>
    </xf>
    <xf numFmtId="0" fontId="6" fillId="0" borderId="0" xfId="29309" applyFont="1" applyFill="1" applyBorder="1" applyAlignment="1">
      <alignment vertical="top" wrapText="1"/>
    </xf>
    <xf numFmtId="169" fontId="6" fillId="0" borderId="0" xfId="36431" applyNumberFormat="1" applyFont="1" applyFill="1" applyBorder="1" applyAlignment="1">
      <alignment vertical="top" wrapText="1"/>
    </xf>
    <xf numFmtId="169" fontId="6" fillId="0" borderId="85" xfId="36431" applyNumberFormat="1" applyFont="1" applyFill="1" applyBorder="1" applyAlignment="1">
      <alignment vertical="top" wrapText="1"/>
    </xf>
    <xf numFmtId="3" fontId="5" fillId="0" borderId="0" xfId="29309" applyNumberFormat="1" applyFont="1" applyAlignment="1"/>
    <xf numFmtId="169" fontId="6" fillId="0" borderId="0" xfId="36431" applyNumberFormat="1" applyFont="1" applyFill="1" applyBorder="1" applyAlignment="1" applyProtection="1">
      <alignment vertical="top" wrapText="1"/>
    </xf>
    <xf numFmtId="169" fontId="5" fillId="0" borderId="0" xfId="36431" applyNumberFormat="1" applyFont="1" applyFill="1" applyBorder="1" applyAlignment="1" applyProtection="1">
      <alignment vertical="top" wrapText="1"/>
    </xf>
    <xf numFmtId="0" fontId="5" fillId="0" borderId="0" xfId="29309" applyFont="1" applyFill="1" applyBorder="1" applyAlignment="1" applyProtection="1">
      <alignment vertical="top" wrapText="1"/>
    </xf>
    <xf numFmtId="186" fontId="6" fillId="0" borderId="0" xfId="29309" applyNumberFormat="1" applyFont="1" applyFill="1" applyBorder="1" applyAlignment="1">
      <alignment vertical="top" wrapText="1"/>
    </xf>
    <xf numFmtId="186" fontId="5" fillId="0" borderId="0" xfId="29309" applyNumberFormat="1" applyFont="1" applyFill="1" applyBorder="1" applyAlignment="1" applyProtection="1">
      <alignment vertical="top" wrapText="1"/>
    </xf>
    <xf numFmtId="0" fontId="5" fillId="0" borderId="0" xfId="29309" applyFont="1" applyFill="1" applyBorder="1" applyAlignment="1">
      <alignment vertical="top" wrapText="1"/>
    </xf>
    <xf numFmtId="0" fontId="5" fillId="0" borderId="0" xfId="29309" applyFont="1" applyFill="1">
      <alignment wrapText="1"/>
    </xf>
    <xf numFmtId="0" fontId="6" fillId="0" borderId="3" xfId="29309" applyFont="1" applyFill="1" applyBorder="1" applyAlignment="1">
      <alignment horizontal="center" vertical="center" wrapText="1"/>
    </xf>
    <xf numFmtId="0" fontId="6" fillId="0" borderId="3" xfId="29309" applyFont="1" applyFill="1" applyBorder="1" applyAlignment="1">
      <alignment horizontal="right" vertical="center" wrapText="1"/>
    </xf>
    <xf numFmtId="0" fontId="5" fillId="0" borderId="0" xfId="29309" applyFont="1" applyFill="1" applyBorder="1" applyAlignment="1">
      <alignment vertical="center" wrapText="1"/>
    </xf>
    <xf numFmtId="0" fontId="5" fillId="0" borderId="0" xfId="29309" applyFont="1" applyFill="1" applyAlignment="1">
      <alignment vertical="center" wrapText="1"/>
    </xf>
    <xf numFmtId="0" fontId="6" fillId="0" borderId="85" xfId="29309" applyFont="1" applyFill="1" applyBorder="1" applyAlignment="1">
      <alignment horizontal="left" vertical="top" wrapText="1"/>
    </xf>
    <xf numFmtId="169" fontId="6" fillId="0" borderId="0" xfId="36431" applyNumberFormat="1" applyFont="1" applyFill="1" applyBorder="1" applyAlignment="1">
      <alignment horizontal="right" vertical="top" wrapText="1"/>
    </xf>
    <xf numFmtId="9" fontId="6" fillId="0" borderId="0" xfId="3" applyFont="1" applyFill="1" applyBorder="1" applyAlignment="1">
      <alignment horizontal="right" vertical="top" wrapText="1"/>
    </xf>
    <xf numFmtId="0" fontId="5" fillId="0" borderId="0" xfId="29309" applyFont="1" applyFill="1" applyBorder="1" applyAlignment="1" applyProtection="1">
      <alignment horizontal="left" vertical="top" wrapText="1"/>
    </xf>
    <xf numFmtId="169" fontId="5" fillId="0" borderId="0" xfId="36431" applyNumberFormat="1" applyFont="1" applyFill="1" applyBorder="1" applyAlignment="1" applyProtection="1">
      <alignment horizontal="right" vertical="top" wrapText="1"/>
    </xf>
    <xf numFmtId="172" fontId="5" fillId="0" borderId="0" xfId="3" applyNumberFormat="1" applyFont="1" applyFill="1" applyBorder="1" applyAlignment="1">
      <alignment vertical="top" wrapText="1"/>
    </xf>
    <xf numFmtId="186" fontId="5" fillId="0" borderId="0" xfId="29309" applyNumberFormat="1" applyFont="1" applyFill="1" applyBorder="1" applyAlignment="1" applyProtection="1">
      <alignment horizontal="right" vertical="top" wrapText="1"/>
    </xf>
    <xf numFmtId="187" fontId="5" fillId="0" borderId="0" xfId="29309" applyNumberFormat="1" applyFont="1" applyFill="1" applyBorder="1" applyAlignment="1" applyProtection="1">
      <alignment horizontal="right" vertical="top" wrapText="1"/>
    </xf>
    <xf numFmtId="0" fontId="5" fillId="0" borderId="0" xfId="29309" applyFont="1" applyFill="1" applyAlignment="1">
      <alignment vertical="top" wrapText="1"/>
    </xf>
    <xf numFmtId="0" fontId="6" fillId="0" borderId="0" xfId="29309" applyFont="1" applyFill="1" applyBorder="1" applyAlignment="1" applyProtection="1">
      <alignment vertical="top" wrapText="1"/>
    </xf>
    <xf numFmtId="0" fontId="6" fillId="0" borderId="0" xfId="29309" applyFont="1" applyFill="1" applyBorder="1" applyAlignment="1">
      <alignment horizontal="justify" vertical="top" wrapText="1"/>
    </xf>
    <xf numFmtId="0" fontId="6" fillId="0" borderId="0" xfId="29309" applyFont="1" applyFill="1" applyBorder="1" applyAlignment="1">
      <alignment horizontal="center" vertical="center" wrapText="1"/>
    </xf>
    <xf numFmtId="0" fontId="5" fillId="0" borderId="0" xfId="29309" applyFont="1" applyFill="1" applyAlignment="1">
      <alignment wrapText="1"/>
    </xf>
    <xf numFmtId="166" fontId="6" fillId="0" borderId="0" xfId="29309" applyNumberFormat="1" applyFont="1" applyFill="1" applyBorder="1" applyAlignment="1">
      <alignment vertical="top" wrapText="1"/>
    </xf>
    <xf numFmtId="166" fontId="5" fillId="0" borderId="0" xfId="29309" applyNumberFormat="1" applyFont="1" applyFill="1" applyBorder="1" applyAlignment="1" applyProtection="1">
      <alignment vertical="top" wrapText="1"/>
    </xf>
    <xf numFmtId="166" fontId="6" fillId="0" borderId="0" xfId="29309" applyNumberFormat="1" applyFont="1" applyFill="1" applyBorder="1" applyAlignment="1" applyProtection="1">
      <alignment vertical="top" wrapText="1"/>
    </xf>
    <xf numFmtId="0" fontId="5" fillId="0" borderId="0" xfId="29309" applyFont="1" applyFill="1" applyBorder="1" applyAlignment="1">
      <alignment horizontal="justify" vertical="top" wrapText="1"/>
    </xf>
    <xf numFmtId="0" fontId="6" fillId="0" borderId="85" xfId="29309" applyFont="1" applyFill="1" applyBorder="1" applyAlignment="1">
      <alignment vertical="top" wrapText="1"/>
    </xf>
    <xf numFmtId="175" fontId="5" fillId="0" borderId="0" xfId="7714" applyNumberFormat="1" applyFont="1" applyFill="1" applyBorder="1" applyAlignment="1">
      <alignment horizontal="right" vertical="top" wrapText="1"/>
    </xf>
    <xf numFmtId="175" fontId="6" fillId="0" borderId="0" xfId="7714" applyNumberFormat="1" applyFont="1" applyFill="1" applyBorder="1" applyAlignment="1" applyProtection="1">
      <alignment horizontal="right" vertical="top" wrapText="1"/>
    </xf>
    <xf numFmtId="175" fontId="5" fillId="0" borderId="0" xfId="7714" applyNumberFormat="1" applyFont="1" applyFill="1" applyBorder="1" applyAlignment="1" applyProtection="1">
      <alignment horizontal="right" vertical="top" wrapText="1"/>
    </xf>
    <xf numFmtId="188" fontId="6" fillId="0" borderId="0" xfId="7714" applyNumberFormat="1" applyFont="1" applyFill="1" applyBorder="1" applyAlignment="1">
      <alignment horizontal="right" vertical="top" wrapText="1"/>
    </xf>
    <xf numFmtId="188" fontId="5" fillId="0" borderId="0" xfId="7714" applyNumberFormat="1" applyFont="1" applyFill="1" applyBorder="1" applyAlignment="1" applyProtection="1">
      <alignment horizontal="right" vertical="top" wrapText="1"/>
    </xf>
    <xf numFmtId="170" fontId="5" fillId="0" borderId="0" xfId="29309" applyNumberFormat="1" applyFont="1" applyFill="1">
      <alignment wrapText="1"/>
    </xf>
    <xf numFmtId="188" fontId="6" fillId="0" borderId="0" xfId="7714" applyNumberFormat="1" applyFont="1" applyFill="1" applyBorder="1" applyAlignment="1" applyProtection="1">
      <alignment horizontal="right" vertical="top" wrapText="1"/>
    </xf>
    <xf numFmtId="0" fontId="5" fillId="0" borderId="0" xfId="29309" applyFont="1" applyFill="1" applyBorder="1" applyAlignment="1">
      <alignment wrapText="1"/>
    </xf>
    <xf numFmtId="166" fontId="6" fillId="0" borderId="0" xfId="7714" applyNumberFormat="1" applyFont="1" applyFill="1" applyBorder="1" applyAlignment="1">
      <alignment horizontal="right" vertical="top" wrapText="1"/>
    </xf>
    <xf numFmtId="166" fontId="5" fillId="0" borderId="0" xfId="7714" applyNumberFormat="1" applyFont="1" applyFill="1" applyBorder="1" applyAlignment="1" applyProtection="1">
      <alignment horizontal="right" vertical="top" wrapText="1"/>
    </xf>
    <xf numFmtId="186" fontId="5" fillId="0" borderId="0" xfId="29309" applyNumberFormat="1" applyFont="1" applyFill="1">
      <alignment wrapText="1"/>
    </xf>
    <xf numFmtId="186" fontId="5" fillId="0" borderId="0" xfId="29309" applyNumberFormat="1" applyFont="1" applyFill="1" applyBorder="1" applyAlignment="1">
      <alignment vertical="top" wrapText="1"/>
    </xf>
    <xf numFmtId="0" fontId="6" fillId="0" borderId="0" xfId="29309" applyFont="1" applyFill="1" applyBorder="1" applyAlignment="1">
      <alignment horizontal="left" vertical="top" wrapText="1"/>
    </xf>
    <xf numFmtId="186" fontId="6" fillId="0" borderId="0" xfId="29309" applyNumberFormat="1" applyFont="1" applyFill="1" applyBorder="1" applyAlignment="1">
      <alignment horizontal="right" vertical="top" wrapText="1"/>
    </xf>
    <xf numFmtId="186" fontId="6" fillId="0" borderId="0" xfId="29309" applyNumberFormat="1" applyFont="1" applyFill="1" applyBorder="1" applyAlignment="1" applyProtection="1">
      <alignment horizontal="right" vertical="top" wrapText="1"/>
    </xf>
    <xf numFmtId="189" fontId="6" fillId="0" borderId="0" xfId="29309" applyNumberFormat="1" applyFont="1" applyFill="1" applyBorder="1" applyAlignment="1">
      <alignment horizontal="right" vertical="top" wrapText="1"/>
    </xf>
    <xf numFmtId="189" fontId="5" fillId="0" borderId="0" xfId="29309" applyNumberFormat="1" applyFont="1" applyFill="1" applyBorder="1" applyAlignment="1" applyProtection="1">
      <alignment horizontal="right" vertical="top" wrapText="1"/>
    </xf>
    <xf numFmtId="172" fontId="5" fillId="0" borderId="0" xfId="3" applyNumberFormat="1" applyFont="1" applyFill="1" applyBorder="1" applyAlignment="1" applyProtection="1">
      <alignment vertical="top" wrapText="1"/>
    </xf>
    <xf numFmtId="189" fontId="6" fillId="0" borderId="0" xfId="29309" applyNumberFormat="1" applyFont="1" applyFill="1" applyBorder="1" applyAlignment="1" applyProtection="1">
      <alignment horizontal="right" vertical="top" wrapText="1"/>
    </xf>
    <xf numFmtId="189" fontId="5" fillId="0" borderId="0" xfId="29309" applyNumberFormat="1" applyFont="1" applyFill="1" applyBorder="1" applyAlignment="1">
      <alignment horizontal="right" vertical="top" wrapText="1"/>
    </xf>
    <xf numFmtId="189" fontId="6" fillId="0" borderId="85" xfId="29309" applyNumberFormat="1" applyFont="1" applyFill="1" applyBorder="1" applyAlignment="1">
      <alignment vertical="center" wrapText="1"/>
    </xf>
    <xf numFmtId="3" fontId="5" fillId="0" borderId="0" xfId="29309" applyNumberFormat="1" applyFont="1" applyFill="1" applyAlignment="1">
      <alignment vertical="center" wrapText="1"/>
    </xf>
    <xf numFmtId="189" fontId="6" fillId="0" borderId="0" xfId="29309" applyNumberFormat="1" applyFont="1" applyFill="1" applyBorder="1" applyAlignment="1">
      <alignment vertical="top" wrapText="1"/>
    </xf>
    <xf numFmtId="189" fontId="5" fillId="0" borderId="0" xfId="29309" applyNumberFormat="1" applyFont="1" applyFill="1" applyBorder="1" applyAlignment="1" applyProtection="1">
      <alignment vertical="top" wrapText="1"/>
    </xf>
    <xf numFmtId="0" fontId="6" fillId="0" borderId="0" xfId="36432" applyFont="1" applyFill="1" applyAlignment="1">
      <alignment horizontal="center" vertical="center" wrapText="1"/>
    </xf>
    <xf numFmtId="0" fontId="5" fillId="0" borderId="0" xfId="36432" applyFont="1" applyFill="1" applyBorder="1" applyAlignment="1">
      <alignment vertical="top" wrapText="1"/>
    </xf>
    <xf numFmtId="0" fontId="5" fillId="0" borderId="0" xfId="36432" applyFont="1" applyFill="1">
      <alignment wrapText="1"/>
    </xf>
    <xf numFmtId="0" fontId="6" fillId="0" borderId="3" xfId="36432" applyFont="1" applyFill="1" applyBorder="1" applyAlignment="1">
      <alignment horizontal="center" vertical="center" wrapText="1"/>
    </xf>
    <xf numFmtId="0" fontId="5" fillId="0" borderId="0" xfId="36432" applyFont="1" applyFill="1" applyAlignment="1">
      <alignment horizontal="center" vertical="center" wrapText="1"/>
    </xf>
    <xf numFmtId="0" fontId="6" fillId="0" borderId="85" xfId="36432" applyFont="1" applyFill="1" applyBorder="1" applyAlignment="1">
      <alignment horizontal="left" vertical="top" wrapText="1"/>
    </xf>
    <xf numFmtId="3" fontId="6" fillId="0" borderId="0" xfId="36432" applyNumberFormat="1" applyFont="1" applyFill="1" applyBorder="1" applyAlignment="1">
      <alignment horizontal="right" vertical="top" wrapText="1"/>
    </xf>
    <xf numFmtId="49" fontId="5" fillId="0" borderId="0" xfId="36432" applyNumberFormat="1" applyFont="1" applyFill="1" applyBorder="1" applyAlignment="1" applyProtection="1">
      <alignment horizontal="left" vertical="top" wrapText="1"/>
    </xf>
    <xf numFmtId="3" fontId="5" fillId="0" borderId="0" xfId="36432" applyNumberFormat="1" applyFont="1" applyFill="1" applyBorder="1" applyAlignment="1" applyProtection="1">
      <alignment horizontal="right" vertical="top" wrapText="1"/>
    </xf>
    <xf numFmtId="3" fontId="5" fillId="0" borderId="0" xfId="36432" applyNumberFormat="1" applyFont="1" applyFill="1" applyBorder="1" applyAlignment="1" applyProtection="1">
      <alignment vertical="top" wrapText="1"/>
    </xf>
    <xf numFmtId="0" fontId="5" fillId="0" borderId="0" xfId="36432" applyFont="1" applyFill="1" applyAlignment="1">
      <alignment vertical="top" wrapText="1"/>
    </xf>
    <xf numFmtId="0" fontId="6" fillId="0" borderId="0" xfId="7" applyFont="1" applyAlignment="1"/>
    <xf numFmtId="0" fontId="5" fillId="0" borderId="0" xfId="7" applyFont="1" applyFill="1" applyAlignment="1">
      <alignment horizontal="left"/>
    </xf>
    <xf numFmtId="0" fontId="5" fillId="0" borderId="0" xfId="7" applyFont="1" applyFill="1" applyAlignment="1">
      <alignment horizontal="justify"/>
    </xf>
    <xf numFmtId="169" fontId="9" fillId="0" borderId="0" xfId="7705" applyNumberFormat="1" applyFont="1" applyFill="1" applyBorder="1" applyAlignment="1">
      <alignment horizontal="right"/>
    </xf>
    <xf numFmtId="0" fontId="67" fillId="0" borderId="0" xfId="7" applyFont="1"/>
    <xf numFmtId="0" fontId="63" fillId="0" borderId="0" xfId="7" applyFont="1"/>
    <xf numFmtId="0" fontId="24" fillId="0" borderId="0" xfId="7" applyFont="1"/>
    <xf numFmtId="0" fontId="8" fillId="0" borderId="3" xfId="7" applyFont="1" applyFill="1" applyBorder="1" applyAlignment="1">
      <alignment horizontal="center" vertical="center"/>
    </xf>
    <xf numFmtId="0" fontId="8" fillId="0" borderId="0" xfId="7" applyFont="1" applyFill="1" applyBorder="1" applyAlignment="1">
      <alignment horizontal="left"/>
    </xf>
    <xf numFmtId="166" fontId="6" fillId="0" borderId="0" xfId="7" applyNumberFormat="1" applyFont="1" applyFill="1" applyBorder="1" applyAlignment="1">
      <alignment horizontal="center" vertical="center"/>
    </xf>
    <xf numFmtId="166" fontId="5" fillId="0" borderId="0" xfId="7" applyNumberFormat="1" applyFont="1" applyFill="1" applyBorder="1" applyAlignment="1">
      <alignment horizontal="center" vertical="center"/>
    </xf>
    <xf numFmtId="0" fontId="68" fillId="0" borderId="0" xfId="29279" applyFont="1" applyFill="1"/>
    <xf numFmtId="0" fontId="8" fillId="0" borderId="0" xfId="7" applyFont="1" applyFill="1" applyBorder="1" applyAlignment="1">
      <alignment horizontal="center" vertical="center"/>
    </xf>
    <xf numFmtId="0" fontId="9" fillId="0" borderId="0" xfId="7" applyFont="1" applyFill="1" applyAlignment="1">
      <alignment horizontal="left"/>
    </xf>
    <xf numFmtId="0" fontId="9" fillId="0" borderId="0" xfId="7" applyFont="1" applyFill="1" applyAlignment="1">
      <alignment wrapText="1"/>
    </xf>
    <xf numFmtId="0" fontId="5" fillId="0" borderId="0" xfId="36417" applyFont="1" applyFill="1" applyAlignment="1">
      <alignment horizontal="left" vertical="top"/>
    </xf>
    <xf numFmtId="0" fontId="5" fillId="0" borderId="0" xfId="36417" applyFont="1" applyFill="1" applyAlignment="1">
      <alignment horizontal="left" vertical="top" wrapText="1"/>
    </xf>
    <xf numFmtId="0" fontId="4" fillId="0" borderId="0" xfId="29279" applyAlignment="1">
      <alignment vertical="center"/>
    </xf>
    <xf numFmtId="0" fontId="4" fillId="0" borderId="0" xfId="29279"/>
    <xf numFmtId="0" fontId="4" fillId="0" borderId="0" xfId="29279" applyFill="1"/>
    <xf numFmtId="0" fontId="5" fillId="0" borderId="0" xfId="8055" applyFont="1" applyFill="1"/>
    <xf numFmtId="0" fontId="69" fillId="0" borderId="0" xfId="8055" applyFont="1" applyFill="1"/>
    <xf numFmtId="0" fontId="6" fillId="0" borderId="3" xfId="8055" applyFont="1" applyFill="1" applyBorder="1" applyAlignment="1">
      <alignment vertical="center"/>
    </xf>
    <xf numFmtId="169" fontId="6" fillId="0" borderId="0" xfId="36431" applyNumberFormat="1" applyFont="1" applyFill="1" applyBorder="1" applyAlignment="1">
      <alignment wrapText="1"/>
    </xf>
    <xf numFmtId="9" fontId="6" fillId="0" borderId="0" xfId="3" applyFont="1" applyFill="1" applyBorder="1" applyAlignment="1"/>
    <xf numFmtId="169" fontId="5" fillId="0" borderId="0" xfId="36431" applyNumberFormat="1" applyFont="1" applyFill="1" applyBorder="1" applyAlignment="1">
      <alignment wrapText="1"/>
    </xf>
    <xf numFmtId="172" fontId="5" fillId="0" borderId="0" xfId="3" applyNumberFormat="1" applyFont="1" applyFill="1" applyBorder="1" applyAlignment="1"/>
    <xf numFmtId="0" fontId="5" fillId="0" borderId="0" xfId="8055" applyFont="1"/>
    <xf numFmtId="0" fontId="5" fillId="0" borderId="0" xfId="8055" applyFont="1" applyBorder="1"/>
    <xf numFmtId="0" fontId="5" fillId="0" borderId="0" xfId="8055" applyFont="1" applyBorder="1" applyAlignment="1">
      <alignment horizontal="left" wrapText="1"/>
    </xf>
    <xf numFmtId="190" fontId="5" fillId="0" borderId="0" xfId="8055" applyNumberFormat="1" applyFont="1" applyFill="1" applyBorder="1" applyAlignment="1"/>
    <xf numFmtId="0" fontId="4" fillId="0" borderId="0" xfId="29279" applyFont="1" applyBorder="1"/>
    <xf numFmtId="0" fontId="5" fillId="0" borderId="0" xfId="29279" applyFont="1" applyFill="1" applyBorder="1" applyAlignment="1">
      <alignment vertical="center"/>
    </xf>
    <xf numFmtId="0" fontId="5" fillId="0" borderId="0" xfId="29279" applyFont="1" applyFill="1" applyBorder="1"/>
    <xf numFmtId="0" fontId="6" fillId="0" borderId="0" xfId="8055" applyFont="1" applyFill="1" applyBorder="1" applyAlignment="1">
      <alignment horizontal="justify" wrapText="1"/>
    </xf>
    <xf numFmtId="0" fontId="6" fillId="0" borderId="3" xfId="8055" applyFont="1" applyFill="1" applyBorder="1" applyAlignment="1">
      <alignment horizontal="center"/>
    </xf>
    <xf numFmtId="0" fontId="6" fillId="0" borderId="31" xfId="8055" applyFont="1" applyFill="1" applyBorder="1" applyAlignment="1">
      <alignment horizontal="center"/>
    </xf>
    <xf numFmtId="3" fontId="6" fillId="0" borderId="0" xfId="8055" applyNumberFormat="1" applyFont="1" applyFill="1" applyBorder="1" applyAlignment="1">
      <alignment horizontal="right"/>
    </xf>
    <xf numFmtId="9" fontId="6" fillId="0" borderId="0" xfId="3" applyFont="1" applyFill="1" applyBorder="1" applyAlignment="1">
      <alignment horizontal="right"/>
    </xf>
    <xf numFmtId="0" fontId="5" fillId="0" borderId="0" xfId="8055" applyFont="1" applyFill="1" applyBorder="1" applyAlignment="1">
      <alignment vertical="center" wrapText="1"/>
    </xf>
    <xf numFmtId="172" fontId="5" fillId="0" borderId="0" xfId="3" applyNumberFormat="1" applyFont="1" applyFill="1" applyBorder="1" applyAlignment="1">
      <alignment horizontal="right"/>
    </xf>
    <xf numFmtId="0" fontId="19" fillId="0" borderId="0" xfId="0" applyFont="1" applyFill="1" applyBorder="1" applyAlignment="1" applyProtection="1">
      <alignment horizontal="left" vertical="top" readingOrder="1"/>
      <protection locked="0"/>
    </xf>
    <xf numFmtId="0" fontId="9" fillId="0" borderId="0" xfId="0" applyFont="1" applyFill="1" applyBorder="1" applyAlignment="1" applyProtection="1">
      <alignment horizontal="left" vertical="top" wrapText="1" readingOrder="1"/>
      <protection locked="0"/>
    </xf>
    <xf numFmtId="0" fontId="9" fillId="0" borderId="0" xfId="0" applyFont="1" applyFill="1" applyBorder="1" applyAlignment="1" applyProtection="1">
      <alignment horizontal="left" vertical="top" readingOrder="1"/>
      <protection locked="0"/>
    </xf>
    <xf numFmtId="0" fontId="5" fillId="0" borderId="0" xfId="8055" applyFont="1" applyFill="1" applyBorder="1" applyAlignment="1">
      <alignment readingOrder="1"/>
    </xf>
    <xf numFmtId="0" fontId="5" fillId="0" borderId="0" xfId="8055" applyFont="1" applyFill="1" applyBorder="1" applyAlignment="1">
      <alignment horizontal="justify"/>
    </xf>
    <xf numFmtId="172" fontId="5" fillId="0" borderId="0" xfId="3" applyNumberFormat="1" applyFont="1" applyFill="1" applyBorder="1"/>
    <xf numFmtId="0" fontId="5" fillId="0" borderId="0" xfId="29279" applyFont="1" applyAlignment="1">
      <alignment vertical="center"/>
    </xf>
    <xf numFmtId="0" fontId="5" fillId="0" borderId="0" xfId="29279" applyFont="1"/>
    <xf numFmtId="0" fontId="6" fillId="0" borderId="0" xfId="8055" applyFont="1" applyFill="1" applyBorder="1" applyAlignment="1">
      <alignment horizontal="center" wrapText="1"/>
    </xf>
    <xf numFmtId="169" fontId="6" fillId="0" borderId="0" xfId="36431" applyNumberFormat="1" applyFont="1" applyFill="1" applyBorder="1" applyAlignment="1"/>
    <xf numFmtId="169" fontId="5" fillId="0" borderId="0" xfId="36431" applyNumberFormat="1" applyFont="1" applyFill="1"/>
    <xf numFmtId="190" fontId="5" fillId="0" borderId="0" xfId="8055" applyNumberFormat="1" applyFont="1" applyFill="1"/>
    <xf numFmtId="166" fontId="6" fillId="0" borderId="0" xfId="8055" applyNumberFormat="1" applyFont="1" applyFill="1" applyBorder="1" applyAlignment="1"/>
    <xf numFmtId="172" fontId="6" fillId="0" borderId="0" xfId="3" applyNumberFormat="1" applyFont="1" applyFill="1" applyBorder="1" applyAlignment="1"/>
    <xf numFmtId="191" fontId="19" fillId="0" borderId="0" xfId="0" applyNumberFormat="1" applyFont="1" applyFill="1" applyBorder="1" applyAlignment="1" applyProtection="1">
      <alignment horizontal="right" vertical="top" wrapText="1" readingOrder="1"/>
      <protection locked="0"/>
    </xf>
    <xf numFmtId="10" fontId="5" fillId="0" borderId="0" xfId="3" applyNumberFormat="1" applyFont="1" applyFill="1" applyBorder="1" applyAlignment="1"/>
    <xf numFmtId="0" fontId="5" fillId="0" borderId="0" xfId="36423" applyFont="1" applyFill="1" applyBorder="1" applyAlignment="1">
      <alignment horizontal="left" vertical="top"/>
    </xf>
    <xf numFmtId="166" fontId="5" fillId="0" borderId="0" xfId="7705" applyNumberFormat="1" applyFont="1" applyBorder="1" applyAlignment="1">
      <alignment horizontal="right"/>
    </xf>
    <xf numFmtId="190" fontId="5" fillId="0" borderId="0" xfId="8055" applyNumberFormat="1" applyFont="1"/>
    <xf numFmtId="173" fontId="5" fillId="0" borderId="0" xfId="7705" applyNumberFormat="1" applyFont="1"/>
    <xf numFmtId="191" fontId="5" fillId="0" borderId="0" xfId="0" applyNumberFormat="1" applyFont="1" applyFill="1" applyBorder="1"/>
    <xf numFmtId="166" fontId="5" fillId="0" borderId="0" xfId="36433" applyNumberFormat="1" applyFont="1" applyFill="1" applyBorder="1" applyAlignment="1">
      <alignment horizontal="right" vertical="top"/>
    </xf>
    <xf numFmtId="172" fontId="5" fillId="0" borderId="0" xfId="3" applyNumberFormat="1" applyFont="1" applyBorder="1" applyAlignment="1">
      <alignment horizontal="right"/>
    </xf>
    <xf numFmtId="10" fontId="5" fillId="0" borderId="0" xfId="3" applyNumberFormat="1" applyFont="1" applyBorder="1" applyAlignment="1">
      <alignment horizontal="right"/>
    </xf>
    <xf numFmtId="191" fontId="5" fillId="0" borderId="0" xfId="0" applyNumberFormat="1" applyFont="1" applyBorder="1"/>
    <xf numFmtId="166" fontId="5" fillId="0" borderId="0" xfId="36433" applyNumberFormat="1" applyFont="1" applyBorder="1" applyAlignment="1">
      <alignment horizontal="right" vertical="top"/>
    </xf>
    <xf numFmtId="0" fontId="5" fillId="0" borderId="0" xfId="36423" applyFont="1" applyBorder="1" applyAlignment="1">
      <alignment horizontal="left" vertical="top"/>
    </xf>
    <xf numFmtId="0" fontId="19" fillId="0" borderId="0" xfId="0" applyFont="1" applyBorder="1" applyAlignment="1" applyProtection="1">
      <alignment horizontal="right" vertical="top" wrapText="1" readingOrder="1"/>
      <protection locked="0"/>
    </xf>
    <xf numFmtId="0" fontId="5" fillId="0" borderId="0" xfId="29279" applyFont="1" applyFill="1"/>
    <xf numFmtId="0" fontId="6" fillId="0" borderId="0" xfId="29279" applyFont="1" applyFill="1" applyBorder="1"/>
    <xf numFmtId="9" fontId="6" fillId="0" borderId="0" xfId="3" applyFont="1" applyFill="1" applyBorder="1"/>
    <xf numFmtId="172" fontId="5" fillId="0" borderId="0" xfId="36249" applyNumberFormat="1" applyFont="1" applyFill="1" applyBorder="1"/>
    <xf numFmtId="169" fontId="5" fillId="0" borderId="0" xfId="36431" applyNumberFormat="1" applyFont="1" applyFill="1" applyBorder="1" applyAlignment="1">
      <alignment horizontal="right" vertical="center"/>
    </xf>
    <xf numFmtId="169" fontId="5" fillId="0" borderId="0" xfId="7705" applyNumberFormat="1" applyFont="1" applyFill="1" applyBorder="1" applyAlignment="1">
      <alignment horizontal="right" vertical="top"/>
    </xf>
    <xf numFmtId="178" fontId="5" fillId="0" borderId="0" xfId="36434" applyNumberFormat="1" applyFont="1" applyFill="1" applyBorder="1" applyAlignment="1">
      <alignment horizontal="right" vertical="center"/>
    </xf>
    <xf numFmtId="0" fontId="5" fillId="0" borderId="0" xfId="29279" applyFont="1" applyFill="1" applyBorder="1" applyAlignment="1">
      <alignment horizontal="left" vertical="center" wrapText="1"/>
    </xf>
    <xf numFmtId="0" fontId="6" fillId="0" borderId="3" xfId="29279" applyFont="1" applyBorder="1" applyAlignment="1">
      <alignment horizontal="center"/>
    </xf>
    <xf numFmtId="0" fontId="8" fillId="0" borderId="0" xfId="29279" applyFont="1" applyBorder="1" applyAlignment="1"/>
    <xf numFmtId="9" fontId="6" fillId="0" borderId="0" xfId="36249" applyFont="1" applyBorder="1"/>
    <xf numFmtId="169" fontId="6" fillId="0" borderId="0" xfId="36431" applyNumberFormat="1" applyFont="1" applyBorder="1"/>
    <xf numFmtId="0" fontId="5" fillId="0" borderId="0" xfId="29279" applyFont="1" applyBorder="1" applyAlignment="1">
      <alignment horizontal="left" wrapText="1" indent="3"/>
    </xf>
    <xf numFmtId="169" fontId="5" fillId="0" borderId="0" xfId="7705" applyNumberFormat="1" applyFont="1" applyBorder="1"/>
    <xf numFmtId="172" fontId="5" fillId="0" borderId="0" xfId="36249" applyNumberFormat="1" applyFont="1" applyBorder="1"/>
    <xf numFmtId="169" fontId="19" fillId="0" borderId="0" xfId="7705" applyNumberFormat="1" applyFont="1" applyBorder="1" applyAlignment="1">
      <alignment horizontal="right" vertical="center"/>
    </xf>
    <xf numFmtId="169" fontId="5" fillId="0" borderId="0" xfId="36431" applyNumberFormat="1" applyFont="1" applyBorder="1"/>
    <xf numFmtId="1" fontId="5" fillId="0" borderId="0" xfId="29279" applyNumberFormat="1" applyFont="1" applyBorder="1"/>
    <xf numFmtId="178" fontId="19" fillId="0" borderId="0" xfId="36434" applyNumberFormat="1" applyFont="1" applyBorder="1" applyAlignment="1">
      <alignment horizontal="right" vertical="center"/>
    </xf>
    <xf numFmtId="0" fontId="18" fillId="0" borderId="3" xfId="4" applyFont="1" applyFill="1" applyBorder="1" applyAlignment="1" applyProtection="1">
      <alignment horizontal="center" vertical="center" wrapText="1" readingOrder="1"/>
      <protection locked="0"/>
    </xf>
    <xf numFmtId="0" fontId="6" fillId="0" borderId="3" xfId="36417" applyFont="1" applyFill="1" applyBorder="1" applyAlignment="1">
      <alignment horizontal="center" vertical="center" wrapText="1"/>
    </xf>
    <xf numFmtId="0" fontId="18" fillId="0" borderId="91" xfId="4" applyFont="1" applyBorder="1" applyAlignment="1" applyProtection="1">
      <alignment horizontal="center" vertical="center" wrapText="1" readingOrder="1"/>
      <protection locked="0"/>
    </xf>
    <xf numFmtId="0" fontId="18" fillId="0" borderId="92" xfId="4" applyFont="1" applyBorder="1" applyAlignment="1" applyProtection="1">
      <alignment vertical="top" wrapText="1" readingOrder="1"/>
      <protection locked="0"/>
    </xf>
    <xf numFmtId="166" fontId="6" fillId="0" borderId="0" xfId="36417" applyNumberFormat="1" applyFont="1" applyBorder="1" applyAlignment="1">
      <alignment vertical="top" wrapText="1"/>
    </xf>
    <xf numFmtId="169" fontId="6" fillId="0" borderId="0" xfId="7705" applyNumberFormat="1" applyFont="1" applyBorder="1" applyAlignment="1">
      <alignment vertical="top" wrapText="1"/>
    </xf>
    <xf numFmtId="166" fontId="18" fillId="0" borderId="93" xfId="4" applyNumberFormat="1" applyFont="1" applyFill="1" applyBorder="1" applyAlignment="1" applyProtection="1">
      <alignment horizontal="right" vertical="top" wrapText="1" readingOrder="1"/>
      <protection locked="0"/>
    </xf>
    <xf numFmtId="0" fontId="19" fillId="0" borderId="0" xfId="4" applyFont="1" applyBorder="1" applyAlignment="1" applyProtection="1">
      <alignment vertical="top" wrapText="1" readingOrder="1"/>
      <protection locked="0"/>
    </xf>
    <xf numFmtId="166" fontId="5" fillId="0" borderId="0" xfId="36417" applyNumberFormat="1" applyFont="1" applyBorder="1" applyAlignment="1">
      <alignment vertical="top" wrapText="1"/>
    </xf>
    <xf numFmtId="166" fontId="5" fillId="0" borderId="0" xfId="36417" applyNumberFormat="1" applyFont="1" applyBorder="1"/>
    <xf numFmtId="166" fontId="19" fillId="0" borderId="0" xfId="4" applyNumberFormat="1" applyFont="1" applyBorder="1" applyAlignment="1" applyProtection="1">
      <alignment horizontal="right" vertical="top" wrapText="1" readingOrder="1"/>
      <protection locked="0"/>
    </xf>
    <xf numFmtId="166" fontId="5" fillId="0" borderId="0" xfId="36417" applyNumberFormat="1" applyFont="1" applyBorder="1" applyAlignment="1">
      <alignment horizontal="right" vertical="top" wrapText="1"/>
    </xf>
    <xf numFmtId="0" fontId="4" fillId="0" borderId="0" xfId="4"/>
    <xf numFmtId="0" fontId="6" fillId="0" borderId="0" xfId="36417" applyFont="1" applyFill="1" applyBorder="1" applyAlignment="1">
      <alignment wrapText="1"/>
    </xf>
    <xf numFmtId="175" fontId="6" fillId="0" borderId="0" xfId="36422" applyNumberFormat="1" applyFont="1" applyBorder="1" applyAlignment="1">
      <alignment horizontal="right"/>
    </xf>
    <xf numFmtId="0" fontId="6" fillId="0" borderId="0" xfId="36417" applyFont="1" applyBorder="1" applyAlignment="1">
      <alignment wrapText="1"/>
    </xf>
    <xf numFmtId="0" fontId="5" fillId="0" borderId="0" xfId="36417" applyFont="1" applyBorder="1" applyAlignment="1">
      <alignment wrapText="1"/>
    </xf>
    <xf numFmtId="175" fontId="5" fillId="0" borderId="0" xfId="36422" applyNumberFormat="1" applyFont="1" applyBorder="1" applyAlignment="1">
      <alignment horizontal="right"/>
    </xf>
    <xf numFmtId="175" fontId="5" fillId="0" borderId="0" xfId="36422" applyNumberFormat="1" applyFont="1" applyFill="1" applyBorder="1" applyAlignment="1">
      <alignment horizontal="right"/>
    </xf>
    <xf numFmtId="3" fontId="6" fillId="0" borderId="0" xfId="7719" applyNumberFormat="1" applyFont="1" applyBorder="1" applyAlignment="1">
      <alignment horizontal="right"/>
    </xf>
    <xf numFmtId="0" fontId="5" fillId="0" borderId="0" xfId="7" applyFont="1" applyBorder="1" applyAlignment="1">
      <alignment horizontal="left"/>
    </xf>
    <xf numFmtId="3" fontId="5" fillId="0" borderId="0" xfId="7719" applyNumberFormat="1" applyFont="1" applyBorder="1" applyAlignment="1">
      <alignment horizontal="right"/>
    </xf>
    <xf numFmtId="0" fontId="4" fillId="0" borderId="0" xfId="4" applyBorder="1"/>
    <xf numFmtId="175" fontId="5" fillId="0" borderId="0" xfId="36422" applyNumberFormat="1" applyFont="1" applyBorder="1" applyAlignment="1" applyProtection="1">
      <alignment horizontal="right" vertical="top" wrapText="1" readingOrder="1"/>
      <protection locked="0"/>
    </xf>
    <xf numFmtId="169" fontId="6" fillId="0" borderId="3" xfId="7705" applyNumberFormat="1" applyFont="1" applyFill="1" applyBorder="1" applyAlignment="1">
      <alignment horizontal="center"/>
    </xf>
    <xf numFmtId="0" fontId="6" fillId="0" borderId="3" xfId="36417" applyFont="1" applyFill="1" applyBorder="1" applyAlignment="1">
      <alignment horizontal="center"/>
    </xf>
    <xf numFmtId="0" fontId="18" fillId="0" borderId="3" xfId="4" applyFont="1" applyBorder="1" applyAlignment="1" applyProtection="1">
      <alignment horizontal="center" vertical="top" wrapText="1" readingOrder="1"/>
      <protection locked="0"/>
    </xf>
    <xf numFmtId="175" fontId="6" fillId="0" borderId="0" xfId="36422" applyNumberFormat="1" applyFont="1" applyBorder="1" applyAlignment="1">
      <alignment horizontal="left" wrapText="1"/>
    </xf>
    <xf numFmtId="175" fontId="6" fillId="0" borderId="0" xfId="36422" applyNumberFormat="1" applyFont="1" applyFill="1" applyBorder="1" applyAlignment="1">
      <alignment horizontal="right"/>
    </xf>
    <xf numFmtId="0" fontId="5" fillId="0" borderId="0" xfId="29279" applyFont="1" applyBorder="1"/>
    <xf numFmtId="0" fontId="6" fillId="0" borderId="3" xfId="29279" applyFont="1" applyFill="1" applyBorder="1" applyAlignment="1">
      <alignment horizontal="center"/>
    </xf>
    <xf numFmtId="0" fontId="5" fillId="0" borderId="0" xfId="29279" applyFont="1" applyFill="1" applyAlignment="1">
      <alignment vertical="center"/>
    </xf>
    <xf numFmtId="49" fontId="5" fillId="0" borderId="0" xfId="29279" applyNumberFormat="1" applyFont="1" applyFill="1" applyBorder="1" applyAlignment="1">
      <alignment horizontal="left" vertical="center"/>
    </xf>
    <xf numFmtId="0" fontId="19" fillId="0" borderId="0" xfId="0" applyFont="1" applyFill="1" applyBorder="1" applyAlignment="1" applyProtection="1">
      <alignment horizontal="right" vertical="top" wrapText="1" readingOrder="1"/>
      <protection locked="0"/>
    </xf>
    <xf numFmtId="49" fontId="5" fillId="0" borderId="0" xfId="29279" applyNumberFormat="1" applyFont="1" applyFill="1" applyBorder="1" applyAlignment="1">
      <alignment horizontal="center" vertical="center"/>
    </xf>
    <xf numFmtId="0" fontId="5" fillId="0" borderId="0" xfId="29279" applyFont="1" applyBorder="1" applyAlignment="1"/>
    <xf numFmtId="0" fontId="5" fillId="0" borderId="0" xfId="8055" applyFont="1" applyAlignment="1"/>
    <xf numFmtId="49" fontId="5" fillId="0" borderId="0" xfId="0" applyNumberFormat="1" applyFont="1" applyBorder="1" applyAlignment="1">
      <alignment horizontal="left" vertical="center"/>
    </xf>
    <xf numFmtId="49" fontId="5" fillId="0" borderId="0" xfId="36425" applyNumberFormat="1" applyFont="1" applyBorder="1" applyAlignment="1">
      <alignment horizontal="left" vertical="center"/>
    </xf>
    <xf numFmtId="169" fontId="5" fillId="0" borderId="0" xfId="7705" applyNumberFormat="1" applyFont="1" applyBorder="1" applyAlignment="1">
      <alignment horizontal="right" vertical="top"/>
    </xf>
    <xf numFmtId="0" fontId="18" fillId="0" borderId="73" xfId="0" applyFont="1" applyFill="1" applyBorder="1" applyAlignment="1" applyProtection="1">
      <alignment horizontal="center" vertical="top" wrapText="1" readingOrder="1"/>
      <protection locked="0"/>
    </xf>
    <xf numFmtId="0" fontId="6" fillId="0" borderId="0" xfId="36435" applyFont="1" applyFill="1" applyBorder="1" applyAlignment="1">
      <alignment horizontal="left" vertical="top"/>
    </xf>
    <xf numFmtId="1" fontId="6" fillId="0" borderId="0" xfId="29279" applyNumberFormat="1" applyFont="1" applyFill="1" applyBorder="1"/>
    <xf numFmtId="170" fontId="5" fillId="0" borderId="0" xfId="0" applyNumberFormat="1" applyFont="1" applyFill="1" applyBorder="1"/>
    <xf numFmtId="10" fontId="5" fillId="0" borderId="0" xfId="3" applyNumberFormat="1" applyFont="1" applyFill="1" applyBorder="1"/>
    <xf numFmtId="170" fontId="5" fillId="0" borderId="0" xfId="36425" applyNumberFormat="1" applyFont="1" applyFill="1" applyBorder="1"/>
    <xf numFmtId="1" fontId="5" fillId="0" borderId="0" xfId="0" applyNumberFormat="1" applyFont="1" applyFill="1" applyBorder="1"/>
    <xf numFmtId="178" fontId="5" fillId="0" borderId="0" xfId="36436" applyNumberFormat="1" applyFont="1" applyFill="1" applyBorder="1" applyAlignment="1">
      <alignment horizontal="right" vertical="top"/>
    </xf>
    <xf numFmtId="1" fontId="5" fillId="0" borderId="0" xfId="0" applyNumberFormat="1" applyFont="1" applyBorder="1"/>
    <xf numFmtId="178" fontId="5" fillId="0" borderId="0" xfId="36436" applyNumberFormat="1" applyFont="1" applyBorder="1" applyAlignment="1">
      <alignment horizontal="right" vertical="top"/>
    </xf>
    <xf numFmtId="0" fontId="5" fillId="0" borderId="0" xfId="29279" applyFont="1" applyAlignment="1">
      <alignment horizontal="justify"/>
    </xf>
    <xf numFmtId="0" fontId="6" fillId="0" borderId="0" xfId="29279" applyFont="1" applyFill="1" applyBorder="1" applyAlignment="1">
      <alignment horizontal="left"/>
    </xf>
    <xf numFmtId="0" fontId="6" fillId="0" borderId="3" xfId="36437" applyFont="1" applyFill="1" applyBorder="1" applyAlignment="1">
      <alignment horizontal="center" wrapText="1"/>
    </xf>
    <xf numFmtId="0" fontId="6" fillId="0" borderId="0" xfId="36437" applyFont="1" applyFill="1" applyBorder="1" applyAlignment="1">
      <alignment horizontal="left" vertical="top" wrapText="1"/>
    </xf>
    <xf numFmtId="0" fontId="5" fillId="0" borderId="0" xfId="36437" applyFont="1" applyFill="1" applyBorder="1" applyAlignment="1">
      <alignment horizontal="left" vertical="top" wrapText="1"/>
    </xf>
    <xf numFmtId="178" fontId="5" fillId="0" borderId="0" xfId="36438" applyNumberFormat="1" applyFont="1" applyFill="1" applyBorder="1" applyAlignment="1">
      <alignment horizontal="right" vertical="top"/>
    </xf>
    <xf numFmtId="0" fontId="5" fillId="0" borderId="0" xfId="29279" applyFont="1" applyBorder="1" applyAlignment="1">
      <alignment vertical="center"/>
    </xf>
    <xf numFmtId="0" fontId="5" fillId="0" borderId="94" xfId="29279" applyFont="1" applyFill="1" applyBorder="1" applyAlignment="1">
      <alignment horizontal="left"/>
    </xf>
    <xf numFmtId="0" fontId="6" fillId="0" borderId="3" xfId="36435" applyFont="1" applyFill="1" applyBorder="1" applyAlignment="1">
      <alignment horizontal="center" vertical="center" wrapText="1"/>
    </xf>
    <xf numFmtId="0" fontId="6" fillId="0" borderId="0" xfId="36435" applyFont="1" applyFill="1" applyBorder="1" applyAlignment="1">
      <alignment horizontal="left" vertical="center"/>
    </xf>
    <xf numFmtId="3" fontId="6" fillId="0" borderId="0" xfId="7705" applyNumberFormat="1" applyFont="1" applyFill="1" applyBorder="1" applyAlignment="1">
      <alignment vertical="center"/>
    </xf>
    <xf numFmtId="9" fontId="6" fillId="0" borderId="0" xfId="36249" applyFont="1" applyFill="1" applyBorder="1" applyAlignment="1">
      <alignment vertical="center"/>
    </xf>
    <xf numFmtId="0" fontId="5" fillId="0" borderId="0" xfId="36435" applyFont="1" applyFill="1" applyBorder="1" applyAlignment="1">
      <alignment horizontal="left" vertical="center"/>
    </xf>
    <xf numFmtId="3" fontId="5" fillId="0" borderId="0" xfId="7705" applyNumberFormat="1" applyFont="1" applyFill="1" applyBorder="1" applyAlignment="1">
      <alignment horizontal="right" vertical="center"/>
    </xf>
    <xf numFmtId="3" fontId="5" fillId="0" borderId="0" xfId="36423" applyNumberFormat="1" applyFont="1" applyFill="1" applyBorder="1" applyAlignment="1">
      <alignment horizontal="right" vertical="center"/>
    </xf>
    <xf numFmtId="166" fontId="19" fillId="0" borderId="0" xfId="0" applyNumberFormat="1" applyFont="1" applyFill="1" applyBorder="1" applyAlignment="1" applyProtection="1">
      <alignment horizontal="right" vertical="center" wrapText="1" readingOrder="1"/>
      <protection locked="0"/>
    </xf>
    <xf numFmtId="0" fontId="5" fillId="0" borderId="0" xfId="8055" applyFont="1" applyBorder="1" applyAlignment="1"/>
    <xf numFmtId="166" fontId="6" fillId="0" borderId="0" xfId="29279" applyNumberFormat="1" applyFont="1" applyFill="1" applyBorder="1"/>
    <xf numFmtId="166" fontId="6" fillId="0" borderId="0" xfId="29279" applyNumberFormat="1" applyFont="1" applyFill="1" applyBorder="1" applyAlignment="1"/>
    <xf numFmtId="3" fontId="5" fillId="0" borderId="0" xfId="29195" applyNumberFormat="1" applyFont="1" applyFill="1" applyAlignment="1" applyProtection="1">
      <alignment horizontal="left" vertical="center"/>
      <protection locked="0"/>
    </xf>
    <xf numFmtId="166" fontId="6" fillId="0" borderId="0" xfId="29279" applyNumberFormat="1" applyFont="1" applyFill="1" applyBorder="1" applyAlignment="1">
      <alignment horizontal="right"/>
    </xf>
    <xf numFmtId="3" fontId="5" fillId="0" borderId="0" xfId="29279" applyNumberFormat="1" applyFont="1" applyFill="1" applyAlignment="1" applyProtection="1">
      <alignment horizontal="left" vertical="center"/>
      <protection locked="0"/>
    </xf>
    <xf numFmtId="0" fontId="5" fillId="0" borderId="0" xfId="29279" applyFont="1" applyFill="1" applyAlignment="1">
      <alignment horizontal="left" vertical="center" wrapText="1"/>
    </xf>
    <xf numFmtId="0" fontId="5" fillId="0" borderId="0" xfId="29279" applyFont="1" applyFill="1" applyBorder="1" applyAlignment="1"/>
    <xf numFmtId="0" fontId="6" fillId="0" borderId="0" xfId="29279" applyFont="1" applyAlignment="1"/>
    <xf numFmtId="0" fontId="6" fillId="0" borderId="0" xfId="29279" applyFont="1"/>
    <xf numFmtId="0" fontId="6" fillId="0" borderId="0" xfId="36418" applyFont="1" applyBorder="1" applyAlignment="1">
      <alignment horizontal="left"/>
    </xf>
    <xf numFmtId="166" fontId="6" fillId="0" borderId="0" xfId="36418" applyNumberFormat="1" applyFont="1" applyBorder="1" applyAlignment="1">
      <alignment horizontal="right"/>
    </xf>
    <xf numFmtId="3" fontId="5" fillId="0" borderId="0" xfId="29264" applyNumberFormat="1" applyFont="1" applyFill="1" applyAlignment="1" applyProtection="1">
      <alignment horizontal="left" vertical="center"/>
      <protection locked="0"/>
    </xf>
    <xf numFmtId="166" fontId="5" fillId="0" borderId="0" xfId="29279" applyNumberFormat="1" applyFont="1"/>
    <xf numFmtId="3" fontId="5" fillId="0" borderId="0" xfId="29279" applyNumberFormat="1" applyFont="1" applyAlignment="1" applyProtection="1">
      <alignment horizontal="left" vertical="center" wrapText="1"/>
      <protection locked="0"/>
    </xf>
    <xf numFmtId="0" fontId="18" fillId="0" borderId="36" xfId="4" applyFont="1" applyBorder="1" applyAlignment="1" applyProtection="1">
      <alignment horizontal="center" vertical="top" wrapText="1" readingOrder="1"/>
      <protection locked="0"/>
    </xf>
    <xf numFmtId="0" fontId="18" fillId="0" borderId="74" xfId="4" applyFont="1" applyBorder="1" applyAlignment="1" applyProtection="1">
      <alignment horizontal="center" vertical="top" wrapText="1" readingOrder="1"/>
      <protection locked="0"/>
    </xf>
    <xf numFmtId="0" fontId="18" fillId="0" borderId="0" xfId="4" applyFont="1" applyBorder="1" applyAlignment="1" applyProtection="1">
      <alignment vertical="top" wrapText="1" readingOrder="1"/>
      <protection locked="0"/>
    </xf>
    <xf numFmtId="175" fontId="6" fillId="0" borderId="3" xfId="36439" applyNumberFormat="1" applyFont="1" applyFill="1" applyBorder="1" applyAlignment="1"/>
    <xf numFmtId="0" fontId="18" fillId="0" borderId="0" xfId="0" applyFont="1"/>
    <xf numFmtId="3" fontId="18" fillId="0" borderId="0" xfId="0" applyNumberFormat="1" applyFont="1"/>
    <xf numFmtId="3" fontId="0" fillId="0" borderId="0" xfId="0" applyNumberFormat="1"/>
    <xf numFmtId="0" fontId="8" fillId="0" borderId="3" xfId="0" applyFont="1" applyBorder="1"/>
    <xf numFmtId="3" fontId="8" fillId="0" borderId="0" xfId="0" applyNumberFormat="1" applyFont="1" applyFill="1" applyBorder="1"/>
    <xf numFmtId="0" fontId="5" fillId="0" borderId="0" xfId="36440" applyFont="1" applyAlignment="1">
      <alignment vertical="center"/>
    </xf>
    <xf numFmtId="0" fontId="5" fillId="0" borderId="0" xfId="36440" applyFont="1" applyFill="1"/>
    <xf numFmtId="0" fontId="6" fillId="0" borderId="0" xfId="36442" applyFont="1" applyFill="1"/>
    <xf numFmtId="0" fontId="6" fillId="0" borderId="0" xfId="36441" applyFont="1" applyFill="1" applyBorder="1" applyAlignment="1">
      <alignment horizontal="left" wrapText="1"/>
    </xf>
    <xf numFmtId="0" fontId="5" fillId="0" borderId="0" xfId="36442" applyFont="1" applyFill="1"/>
    <xf numFmtId="4" fontId="6" fillId="0" borderId="3" xfId="36442" applyNumberFormat="1" applyFont="1" applyFill="1" applyBorder="1" applyAlignment="1">
      <alignment horizontal="center" vertical="center"/>
    </xf>
    <xf numFmtId="3" fontId="5" fillId="0" borderId="0" xfId="36440" applyNumberFormat="1" applyFont="1" applyFill="1"/>
    <xf numFmtId="0" fontId="5" fillId="0" borderId="0" xfId="36418" applyFont="1" applyFill="1" applyAlignment="1"/>
    <xf numFmtId="0" fontId="5" fillId="0" borderId="0" xfId="36440" applyFont="1" applyFill="1" applyAlignment="1"/>
    <xf numFmtId="49" fontId="6" fillId="0" borderId="94" xfId="0" applyNumberFormat="1" applyFont="1" applyFill="1" applyBorder="1" applyAlignment="1">
      <alignment horizontal="left" wrapText="1"/>
    </xf>
    <xf numFmtId="0" fontId="6" fillId="0" borderId="103" xfId="0" applyFont="1" applyFill="1" applyBorder="1" applyAlignment="1">
      <alignment horizontal="center" vertical="center" wrapText="1"/>
    </xf>
    <xf numFmtId="0" fontId="6" fillId="0" borderId="106" xfId="0" applyFont="1" applyFill="1" applyBorder="1" applyAlignment="1">
      <alignment horizontal="left"/>
    </xf>
    <xf numFmtId="169" fontId="6" fillId="0" borderId="106" xfId="1" applyNumberFormat="1" applyFont="1" applyFill="1" applyBorder="1"/>
    <xf numFmtId="169" fontId="5" fillId="0" borderId="0" xfId="1" applyNumberFormat="1" applyFont="1" applyFill="1" applyBorder="1" applyAlignment="1">
      <alignment horizontal="right" vertical="top"/>
    </xf>
    <xf numFmtId="0" fontId="6" fillId="0" borderId="0" xfId="0" applyFont="1" applyFill="1" applyBorder="1" applyAlignment="1">
      <alignment horizontal="left"/>
    </xf>
    <xf numFmtId="0" fontId="9" fillId="0" borderId="0" xfId="0" applyFont="1" applyFill="1" applyBorder="1" applyAlignment="1"/>
    <xf numFmtId="0" fontId="8" fillId="0" borderId="0" xfId="0" applyFont="1" applyFill="1" applyBorder="1" applyAlignment="1">
      <alignment horizontal="left"/>
    </xf>
    <xf numFmtId="166" fontId="6" fillId="0" borderId="0" xfId="1" applyNumberFormat="1" applyFont="1" applyFill="1" applyBorder="1" applyAlignment="1">
      <alignment horizontal="center"/>
    </xf>
    <xf numFmtId="0" fontId="9" fillId="0" borderId="0" xfId="0" applyFont="1" applyFill="1" applyBorder="1" applyAlignment="1">
      <alignment horizontal="left" indent="1"/>
    </xf>
    <xf numFmtId="166" fontId="5" fillId="0" borderId="0" xfId="1" applyNumberFormat="1" applyFont="1" applyFill="1" applyBorder="1" applyAlignment="1">
      <alignment horizontal="center"/>
    </xf>
    <xf numFmtId="169" fontId="9" fillId="0" borderId="0" xfId="0" applyNumberFormat="1" applyFont="1" applyFill="1" applyBorder="1" applyAlignment="1"/>
    <xf numFmtId="0" fontId="9" fillId="0" borderId="0" xfId="0" applyFont="1" applyFill="1" applyBorder="1" applyAlignment="1">
      <alignment wrapText="1"/>
    </xf>
    <xf numFmtId="0" fontId="24" fillId="0" borderId="0" xfId="0" applyFont="1" applyFill="1" applyBorder="1" applyAlignment="1">
      <alignment wrapText="1"/>
    </xf>
    <xf numFmtId="0" fontId="8" fillId="0" borderId="103" xfId="0" applyFont="1" applyFill="1" applyBorder="1" applyAlignment="1">
      <alignment horizontal="center" vertical="center" wrapText="1"/>
    </xf>
    <xf numFmtId="166" fontId="6" fillId="0" borderId="0" xfId="0" applyNumberFormat="1" applyFont="1" applyFill="1" applyBorder="1" applyAlignment="1">
      <alignment horizontal="center"/>
    </xf>
    <xf numFmtId="0" fontId="8" fillId="0" borderId="0" xfId="0" applyFont="1" applyFill="1" applyBorder="1" applyAlignment="1">
      <alignment wrapText="1"/>
    </xf>
    <xf numFmtId="166" fontId="5"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3" fontId="9" fillId="0" borderId="0" xfId="0" applyNumberFormat="1" applyFont="1" applyFill="1" applyBorder="1" applyAlignment="1">
      <alignment wrapText="1"/>
    </xf>
    <xf numFmtId="169" fontId="9" fillId="0" borderId="0" xfId="1" applyNumberFormat="1" applyFont="1" applyFill="1" applyBorder="1"/>
    <xf numFmtId="0" fontId="6" fillId="0" borderId="0" xfId="0" applyFont="1" applyFill="1" applyBorder="1" applyAlignment="1"/>
    <xf numFmtId="0" fontId="8" fillId="0" borderId="0" xfId="0" applyFont="1" applyFill="1" applyBorder="1" applyAlignment="1"/>
    <xf numFmtId="0" fontId="8" fillId="0" borderId="103" xfId="0" applyNumberFormat="1" applyFont="1" applyFill="1" applyBorder="1" applyAlignment="1">
      <alignment horizontal="center" vertical="center" wrapText="1"/>
    </xf>
    <xf numFmtId="0" fontId="6" fillId="0" borderId="0" xfId="0" applyFont="1" applyFill="1" applyAlignment="1">
      <alignment horizontal="left"/>
    </xf>
    <xf numFmtId="166" fontId="6" fillId="0" borderId="97" xfId="0" applyNumberFormat="1" applyFont="1" applyFill="1" applyBorder="1"/>
    <xf numFmtId="166" fontId="6" fillId="0" borderId="106" xfId="0" applyNumberFormat="1" applyFont="1" applyFill="1" applyBorder="1"/>
    <xf numFmtId="166" fontId="6" fillId="0" borderId="95" xfId="0" applyNumberFormat="1" applyFont="1" applyFill="1" applyBorder="1"/>
    <xf numFmtId="166" fontId="6" fillId="0" borderId="44" xfId="0" applyNumberFormat="1" applyFont="1" applyFill="1" applyBorder="1"/>
    <xf numFmtId="166" fontId="6" fillId="0" borderId="39" xfId="0" applyNumberFormat="1" applyFont="1" applyFill="1" applyBorder="1"/>
    <xf numFmtId="0" fontId="5" fillId="0" borderId="0" xfId="0" applyFont="1" applyFill="1" applyAlignment="1">
      <alignment horizontal="left" indent="1"/>
    </xf>
    <xf numFmtId="166" fontId="5" fillId="0" borderId="44" xfId="0" applyNumberFormat="1" applyFont="1" applyFill="1" applyBorder="1"/>
    <xf numFmtId="166" fontId="5" fillId="0" borderId="39" xfId="0" applyNumberFormat="1" applyFont="1" applyFill="1" applyBorder="1"/>
    <xf numFmtId="169" fontId="8" fillId="0" borderId="0" xfId="1" applyNumberFormat="1" applyFont="1" applyFill="1" applyBorder="1"/>
    <xf numFmtId="0" fontId="8" fillId="0" borderId="0" xfId="0" applyFont="1" applyFill="1" applyBorder="1"/>
    <xf numFmtId="0" fontId="5" fillId="0" borderId="41" xfId="0" applyFont="1" applyFill="1" applyBorder="1" applyAlignment="1">
      <alignment horizontal="left" indent="1"/>
    </xf>
    <xf numFmtId="166" fontId="5" fillId="0" borderId="87" xfId="0" applyNumberFormat="1" applyFont="1" applyFill="1" applyBorder="1"/>
    <xf numFmtId="166" fontId="5" fillId="0" borderId="41" xfId="0" applyNumberFormat="1" applyFont="1" applyFill="1" applyBorder="1"/>
    <xf numFmtId="169" fontId="9" fillId="0" borderId="0" xfId="1" applyNumberFormat="1" applyFont="1" applyFill="1" applyBorder="1" applyAlignment="1"/>
    <xf numFmtId="0" fontId="6" fillId="0" borderId="0" xfId="0" applyFont="1" applyFill="1" applyBorder="1" applyAlignment="1">
      <alignment horizontal="left" wrapText="1"/>
    </xf>
    <xf numFmtId="169" fontId="8" fillId="0" borderId="103" xfId="1" applyNumberFormat="1" applyFont="1" applyFill="1" applyBorder="1" applyAlignment="1">
      <alignment horizontal="center" vertical="center"/>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6" fillId="0" borderId="100" xfId="0" applyFont="1" applyFill="1" applyBorder="1" applyAlignment="1">
      <alignment horizontal="center" vertical="center" wrapText="1"/>
    </xf>
    <xf numFmtId="0" fontId="6" fillId="0" borderId="104" xfId="0" applyFont="1" applyFill="1" applyBorder="1" applyAlignment="1">
      <alignment horizontal="center" vertical="center" wrapText="1"/>
    </xf>
    <xf numFmtId="166" fontId="6" fillId="0" borderId="40" xfId="0" applyNumberFormat="1" applyFont="1" applyFill="1" applyBorder="1"/>
    <xf numFmtId="0" fontId="5" fillId="0" borderId="94" xfId="0" applyFont="1" applyFill="1" applyBorder="1" applyAlignment="1">
      <alignment horizontal="left"/>
    </xf>
    <xf numFmtId="166" fontId="6" fillId="0" borderId="34" xfId="0" applyNumberFormat="1" applyFont="1" applyFill="1" applyBorder="1"/>
    <xf numFmtId="166" fontId="5" fillId="0" borderId="94" xfId="0" applyNumberFormat="1" applyFont="1" applyFill="1" applyBorder="1"/>
    <xf numFmtId="169" fontId="8" fillId="0" borderId="0" xfId="1" applyNumberFormat="1" applyFont="1" applyFill="1" applyBorder="1" applyAlignment="1">
      <alignment horizontal="center"/>
    </xf>
    <xf numFmtId="169" fontId="9" fillId="0" borderId="0" xfId="1" applyNumberFormat="1" applyFont="1" applyFill="1" applyBorder="1" applyAlignment="1">
      <alignment horizontal="center"/>
    </xf>
    <xf numFmtId="0" fontId="9" fillId="0" borderId="0" xfId="0" applyFont="1" applyFill="1" applyBorder="1" applyAlignment="1">
      <alignment horizontal="right" wrapText="1"/>
    </xf>
    <xf numFmtId="0" fontId="9" fillId="0" borderId="0" xfId="0" applyFont="1" applyFill="1" applyBorder="1" applyAlignment="1">
      <alignment horizontal="right"/>
    </xf>
    <xf numFmtId="0" fontId="8" fillId="0" borderId="0" xfId="0" applyFont="1" applyFill="1" applyBorder="1" applyAlignment="1">
      <alignment horizontal="center"/>
    </xf>
    <xf numFmtId="0" fontId="8" fillId="0" borderId="0" xfId="0" applyFont="1" applyFill="1" applyBorder="1" applyAlignment="1">
      <alignment horizontal="left" wrapText="1"/>
    </xf>
    <xf numFmtId="166" fontId="24" fillId="0" borderId="0" xfId="0" applyNumberFormat="1" applyFont="1" applyFill="1" applyBorder="1"/>
    <xf numFmtId="166" fontId="9" fillId="0" borderId="0" xfId="0" applyNumberFormat="1" applyFont="1" applyFill="1" applyBorder="1"/>
    <xf numFmtId="166" fontId="8" fillId="0" borderId="0" xfId="0" applyNumberFormat="1" applyFont="1" applyFill="1" applyBorder="1"/>
    <xf numFmtId="0" fontId="63" fillId="0" borderId="0" xfId="15382" applyFont="1" applyAlignment="1">
      <alignment vertical="center"/>
    </xf>
    <xf numFmtId="0" fontId="70" fillId="0" borderId="0" xfId="15382" applyFont="1" applyFill="1" applyAlignment="1"/>
    <xf numFmtId="0" fontId="5" fillId="0" borderId="0" xfId="15382" applyFont="1" applyFill="1" applyBorder="1" applyAlignment="1">
      <alignment wrapText="1"/>
    </xf>
    <xf numFmtId="0" fontId="6" fillId="0" borderId="103" xfId="36417" applyFont="1" applyFill="1" applyBorder="1" applyAlignment="1">
      <alignment horizontal="center" vertical="center" wrapText="1"/>
    </xf>
    <xf numFmtId="0" fontId="6" fillId="0" borderId="0" xfId="36417" applyFont="1" applyFill="1" applyBorder="1" applyAlignment="1">
      <alignment vertical="top" wrapText="1"/>
    </xf>
    <xf numFmtId="0" fontId="6" fillId="0" borderId="0" xfId="36417" applyFont="1" applyFill="1" applyBorder="1" applyAlignment="1">
      <alignment horizontal="right"/>
    </xf>
    <xf numFmtId="171" fontId="6" fillId="0" borderId="0" xfId="7710" applyNumberFormat="1" applyFont="1" applyFill="1" applyBorder="1" applyAlignment="1">
      <alignment horizontal="right"/>
    </xf>
    <xf numFmtId="0" fontId="6" fillId="0" borderId="0" xfId="36417" applyFont="1" applyFill="1" applyAlignment="1">
      <alignment horizontal="right"/>
    </xf>
    <xf numFmtId="0" fontId="6" fillId="0" borderId="106" xfId="36417" applyFont="1" applyFill="1" applyBorder="1" applyAlignment="1"/>
    <xf numFmtId="169" fontId="6" fillId="0" borderId="0" xfId="1" applyNumberFormat="1" applyFont="1" applyBorder="1" applyAlignment="1" applyProtection="1">
      <alignment horizontal="right" vertical="top" wrapText="1" readingOrder="1"/>
      <protection locked="0"/>
    </xf>
    <xf numFmtId="3" fontId="5" fillId="0" borderId="0" xfId="29260" applyNumberFormat="1" applyFont="1" applyFill="1" applyAlignment="1" applyProtection="1">
      <alignment horizontal="left" vertical="center"/>
      <protection locked="0"/>
    </xf>
    <xf numFmtId="3" fontId="5" fillId="0" borderId="0" xfId="15382" applyNumberFormat="1" applyFont="1" applyFill="1" applyBorder="1" applyAlignment="1">
      <alignment horizontal="right"/>
    </xf>
    <xf numFmtId="171" fontId="5" fillId="0" borderId="0" xfId="7710" applyNumberFormat="1" applyFont="1" applyFill="1" applyBorder="1" applyAlignment="1">
      <alignment horizontal="right"/>
    </xf>
    <xf numFmtId="0" fontId="5" fillId="0" borderId="0" xfId="36417" applyFont="1" applyFill="1" applyAlignment="1">
      <alignment horizontal="right"/>
    </xf>
    <xf numFmtId="0" fontId="5" fillId="0" borderId="0" xfId="36417" applyFont="1" applyFill="1" applyAlignment="1"/>
    <xf numFmtId="169" fontId="5" fillId="0" borderId="0" xfId="1" applyNumberFormat="1" applyFont="1" applyBorder="1" applyAlignment="1" applyProtection="1">
      <alignment horizontal="right" vertical="top" wrapText="1" readingOrder="1"/>
      <protection locked="0"/>
    </xf>
    <xf numFmtId="0" fontId="9" fillId="0" borderId="0" xfId="15382" applyFont="1" applyFill="1" applyAlignment="1">
      <alignment horizontal="right"/>
    </xf>
    <xf numFmtId="3" fontId="5" fillId="0" borderId="0" xfId="15382" applyNumberFormat="1" applyFont="1" applyFill="1" applyAlignment="1" applyProtection="1">
      <alignment horizontal="left" vertical="center" wrapText="1"/>
      <protection locked="0"/>
    </xf>
    <xf numFmtId="0" fontId="9" fillId="0" borderId="0" xfId="15382" applyFont="1" applyFill="1" applyAlignment="1">
      <alignment horizontal="center"/>
    </xf>
    <xf numFmtId="171" fontId="5" fillId="0" borderId="0" xfId="7710" applyNumberFormat="1" applyFont="1" applyFill="1" applyBorder="1" applyAlignment="1">
      <alignment horizontal="center"/>
    </xf>
    <xf numFmtId="0" fontId="5" fillId="0" borderId="0" xfId="36417" applyFont="1" applyFill="1" applyAlignment="1">
      <alignment horizontal="center"/>
    </xf>
    <xf numFmtId="0" fontId="63" fillId="0" borderId="0" xfId="36417" applyFont="1" applyFill="1" applyBorder="1" applyAlignment="1">
      <alignment horizontal="left" wrapText="1"/>
    </xf>
    <xf numFmtId="0" fontId="5" fillId="0" borderId="0" xfId="15382" applyFont="1"/>
    <xf numFmtId="0" fontId="63" fillId="0" borderId="0" xfId="15382" applyFont="1"/>
    <xf numFmtId="0" fontId="6" fillId="0" borderId="0" xfId="36417" applyFont="1" applyFill="1" applyBorder="1" applyAlignment="1">
      <alignment horizontal="left" vertical="top" wrapText="1"/>
    </xf>
    <xf numFmtId="169" fontId="18" fillId="0" borderId="0" xfId="1" applyNumberFormat="1" applyFont="1" applyBorder="1" applyAlignment="1" applyProtection="1">
      <alignment horizontal="right" vertical="top" wrapText="1" readingOrder="1"/>
      <protection locked="0"/>
    </xf>
    <xf numFmtId="3" fontId="5" fillId="0" borderId="0" xfId="29261" applyNumberFormat="1" applyFont="1" applyFill="1" applyAlignment="1" applyProtection="1">
      <alignment horizontal="left" vertical="center"/>
      <protection locked="0"/>
    </xf>
    <xf numFmtId="169" fontId="19" fillId="0" borderId="0" xfId="1" applyNumberFormat="1" applyFont="1" applyBorder="1" applyAlignment="1" applyProtection="1">
      <alignment horizontal="right" vertical="top" wrapText="1" readingOrder="1"/>
      <protection locked="0"/>
    </xf>
    <xf numFmtId="171" fontId="5" fillId="0" borderId="0" xfId="7705" applyNumberFormat="1" applyFont="1" applyFill="1" applyBorder="1" applyAlignment="1">
      <alignment horizontal="center"/>
    </xf>
    <xf numFmtId="3" fontId="63" fillId="0" borderId="0" xfId="36417" applyNumberFormat="1" applyFont="1" applyFill="1"/>
    <xf numFmtId="0" fontId="64" fillId="0" borderId="0" xfId="15382" applyFont="1" applyAlignment="1"/>
    <xf numFmtId="3" fontId="63" fillId="0" borderId="0" xfId="36417" applyNumberFormat="1" applyFont="1" applyFill="1" applyBorder="1" applyAlignment="1">
      <alignment horizontal="center"/>
    </xf>
    <xf numFmtId="0" fontId="5" fillId="0" borderId="0" xfId="36417" applyFont="1" applyFill="1" applyBorder="1" applyAlignment="1">
      <alignment vertical="top" wrapText="1"/>
    </xf>
    <xf numFmtId="166" fontId="5" fillId="0" borderId="0" xfId="7705" applyNumberFormat="1" applyFont="1" applyFill="1" applyBorder="1" applyAlignment="1">
      <alignment horizontal="right" wrapText="1"/>
    </xf>
    <xf numFmtId="166" fontId="9" fillId="0" borderId="0" xfId="7705" applyNumberFormat="1" applyFont="1" applyFill="1" applyBorder="1" applyAlignment="1">
      <alignment horizontal="right" wrapText="1"/>
    </xf>
    <xf numFmtId="169" fontId="19" fillId="0" borderId="0" xfId="1" applyNumberFormat="1" applyFont="1" applyBorder="1" applyAlignment="1" applyProtection="1">
      <alignment horizontal="right" vertical="top" wrapText="1"/>
      <protection locked="0"/>
    </xf>
    <xf numFmtId="169" fontId="5" fillId="0" borderId="0" xfId="36417" applyNumberFormat="1" applyFont="1" applyFill="1" applyBorder="1"/>
    <xf numFmtId="3" fontId="5" fillId="0" borderId="0" xfId="15382" quotePrefix="1" applyNumberFormat="1" applyFont="1" applyFill="1" applyAlignment="1" applyProtection="1">
      <alignment horizontal="left" vertical="center"/>
      <protection locked="0"/>
    </xf>
    <xf numFmtId="169" fontId="5" fillId="0" borderId="0" xfId="36417" applyNumberFormat="1" applyFont="1" applyFill="1"/>
    <xf numFmtId="0" fontId="5" fillId="0" borderId="0" xfId="36417" applyFont="1" applyFill="1" applyBorder="1" applyAlignment="1">
      <alignment horizontal="left" vertical="top"/>
    </xf>
    <xf numFmtId="0" fontId="63" fillId="0" borderId="0" xfId="36417" applyFont="1" applyFill="1" applyBorder="1" applyAlignment="1">
      <alignment vertical="top" wrapText="1"/>
    </xf>
    <xf numFmtId="0" fontId="63" fillId="0" borderId="0" xfId="36417" applyFont="1" applyFill="1" applyAlignment="1">
      <alignment vertical="top" wrapText="1"/>
    </xf>
    <xf numFmtId="0" fontId="6" fillId="0" borderId="34" xfId="36417" applyFont="1" applyFill="1" applyBorder="1" applyAlignment="1">
      <alignment horizontal="center" vertical="center" wrapText="1"/>
    </xf>
    <xf numFmtId="0" fontId="6" fillId="0" borderId="34" xfId="36417" applyFont="1" applyFill="1" applyBorder="1" applyAlignment="1">
      <alignment horizontal="center"/>
    </xf>
    <xf numFmtId="2" fontId="6" fillId="0" borderId="0" xfId="36417" applyNumberFormat="1" applyFont="1" applyFill="1"/>
    <xf numFmtId="0" fontId="6" fillId="0" borderId="0" xfId="36417" applyNumberFormat="1" applyFont="1" applyFill="1"/>
    <xf numFmtId="2" fontId="5" fillId="0" borderId="0" xfId="36417" applyNumberFormat="1" applyFont="1" applyFill="1" applyBorder="1"/>
    <xf numFmtId="170" fontId="63" fillId="0" borderId="0" xfId="36417" applyNumberFormat="1" applyFont="1" applyFill="1"/>
    <xf numFmtId="0" fontId="63" fillId="0" borderId="0" xfId="15382" applyFont="1" applyFill="1"/>
    <xf numFmtId="0" fontId="63" fillId="0" borderId="0" xfId="15382" applyFont="1" applyFill="1" applyAlignment="1"/>
    <xf numFmtId="0" fontId="5" fillId="0" borderId="0" xfId="15382" applyFont="1" applyFill="1" applyAlignment="1"/>
    <xf numFmtId="0" fontId="6" fillId="0" borderId="103" xfId="15382" applyFont="1" applyFill="1" applyBorder="1" applyAlignment="1">
      <alignment horizontal="center" vertical="center" wrapText="1"/>
    </xf>
    <xf numFmtId="169" fontId="63" fillId="0" borderId="0" xfId="7705" applyNumberFormat="1" applyFont="1" applyFill="1" applyBorder="1" applyAlignment="1">
      <alignment horizontal="center"/>
    </xf>
    <xf numFmtId="0" fontId="5" fillId="0" borderId="0" xfId="15382" applyFont="1" applyFill="1" applyBorder="1" applyAlignment="1">
      <alignment horizontal="justify" vertical="center" wrapText="1"/>
    </xf>
    <xf numFmtId="169" fontId="6" fillId="0" borderId="0" xfId="7705" applyNumberFormat="1" applyFont="1" applyFill="1" applyBorder="1" applyAlignment="1">
      <alignment horizontal="right" wrapText="1"/>
    </xf>
    <xf numFmtId="169" fontId="6" fillId="0" borderId="0" xfId="1" applyNumberFormat="1" applyFont="1" applyFill="1" applyBorder="1" applyAlignment="1">
      <alignment horizontal="right" wrapText="1"/>
    </xf>
    <xf numFmtId="169" fontId="6" fillId="0" borderId="0" xfId="7705" applyNumberFormat="1" applyFont="1" applyFill="1" applyBorder="1" applyAlignment="1">
      <alignment horizontal="center" wrapText="1"/>
    </xf>
    <xf numFmtId="0" fontId="5" fillId="0" borderId="0" xfId="15382" applyFont="1" applyFill="1" applyBorder="1" applyAlignment="1">
      <alignment horizontal="justify" vertical="center"/>
    </xf>
    <xf numFmtId="0" fontId="5" fillId="0" borderId="0" xfId="36417" applyFont="1" applyFill="1" applyBorder="1" applyAlignment="1">
      <alignment horizontal="left" vertical="top" wrapText="1"/>
    </xf>
    <xf numFmtId="0" fontId="5" fillId="0" borderId="0" xfId="15382" applyFont="1" applyFill="1" applyBorder="1" applyAlignment="1">
      <alignment horizontal="justify"/>
    </xf>
    <xf numFmtId="0" fontId="6" fillId="0" borderId="103" xfId="36417" applyFont="1" applyFill="1" applyBorder="1" applyAlignment="1">
      <alignment horizontal="center" vertical="top" wrapText="1"/>
    </xf>
    <xf numFmtId="0" fontId="5" fillId="0" borderId="0" xfId="15382" applyFont="1" applyFill="1" applyBorder="1" applyAlignment="1">
      <alignment horizontal="left" vertical="center" wrapText="1"/>
    </xf>
    <xf numFmtId="172" fontId="5" fillId="0" borderId="0" xfId="15382" applyNumberFormat="1" applyFont="1" applyFill="1" applyBorder="1" applyAlignment="1">
      <alignment wrapText="1"/>
    </xf>
    <xf numFmtId="172" fontId="9" fillId="0" borderId="0" xfId="15382" applyNumberFormat="1" applyFont="1" applyFill="1" applyBorder="1" applyAlignment="1">
      <alignment horizontal="right"/>
    </xf>
    <xf numFmtId="172" fontId="9" fillId="0" borderId="0" xfId="3" applyNumberFormat="1" applyFont="1" applyFill="1" applyBorder="1" applyAlignment="1">
      <alignment horizontal="right"/>
    </xf>
    <xf numFmtId="170" fontId="5" fillId="0" borderId="0" xfId="15382" applyNumberFormat="1" applyFont="1" applyFill="1" applyBorder="1" applyAlignment="1">
      <alignment wrapText="1"/>
    </xf>
    <xf numFmtId="170" fontId="5" fillId="0" borderId="0" xfId="15382" applyNumberFormat="1" applyFont="1" applyFill="1" applyBorder="1" applyAlignment="1">
      <alignment horizontal="right"/>
    </xf>
    <xf numFmtId="170" fontId="9" fillId="0" borderId="0" xfId="15382" applyNumberFormat="1" applyFont="1" applyFill="1" applyBorder="1" applyAlignment="1">
      <alignment horizontal="right"/>
    </xf>
    <xf numFmtId="49" fontId="6" fillId="0" borderId="103" xfId="0" applyNumberFormat="1" applyFont="1" applyFill="1" applyBorder="1" applyAlignment="1" applyProtection="1">
      <alignment horizontal="center" vertical="center" wrapText="1" readingOrder="1"/>
      <protection locked="0"/>
    </xf>
    <xf numFmtId="0" fontId="71" fillId="0" borderId="0" xfId="0" applyFont="1" applyFill="1" applyAlignment="1">
      <alignment horizontal="left"/>
    </xf>
    <xf numFmtId="170" fontId="5" fillId="0" borderId="0" xfId="0" applyNumberFormat="1" applyFont="1" applyFill="1" applyBorder="1" applyAlignment="1" applyProtection="1">
      <alignment horizontal="right" vertical="top" wrapText="1" readingOrder="1"/>
      <protection locked="0"/>
    </xf>
    <xf numFmtId="0" fontId="72" fillId="0" borderId="0" xfId="0" applyFont="1" applyFill="1" applyAlignment="1">
      <alignment horizontal="left"/>
    </xf>
    <xf numFmtId="170" fontId="6" fillId="0" borderId="0" xfId="0" applyNumberFormat="1" applyFont="1" applyFill="1" applyBorder="1"/>
    <xf numFmtId="170" fontId="6" fillId="0" borderId="0" xfId="0" applyNumberFormat="1" applyFont="1" applyFill="1" applyBorder="1" applyAlignment="1" applyProtection="1">
      <alignment horizontal="right" vertical="top" wrapText="1" readingOrder="1"/>
      <protection locked="0"/>
    </xf>
    <xf numFmtId="0" fontId="71" fillId="0" borderId="0" xfId="0" applyFont="1" applyFill="1"/>
    <xf numFmtId="0" fontId="5" fillId="0" borderId="0" xfId="0" applyFont="1" applyFill="1" applyBorder="1" applyAlignment="1">
      <alignment wrapText="1"/>
    </xf>
    <xf numFmtId="0" fontId="5" fillId="0" borderId="0" xfId="15382" applyFont="1" applyFill="1" applyBorder="1"/>
    <xf numFmtId="0" fontId="18" fillId="0" borderId="103" xfId="7" applyFont="1" applyBorder="1" applyAlignment="1" applyProtection="1">
      <alignment horizontal="center" vertical="top" wrapText="1" readingOrder="1"/>
      <protection locked="0"/>
    </xf>
    <xf numFmtId="3" fontId="6" fillId="0" borderId="0" xfId="15382" applyNumberFormat="1" applyFont="1" applyFill="1" applyBorder="1" applyAlignment="1">
      <alignment horizontal="right" vertical="center" wrapText="1"/>
    </xf>
    <xf numFmtId="3" fontId="6" fillId="0" borderId="0" xfId="15382" applyNumberFormat="1" applyFont="1" applyFill="1" applyBorder="1" applyAlignment="1">
      <alignment horizontal="right" vertical="center"/>
    </xf>
    <xf numFmtId="0" fontId="19" fillId="0" borderId="0" xfId="7" applyFont="1" applyFill="1" applyBorder="1" applyAlignment="1" applyProtection="1">
      <alignment horizontal="right" vertical="top" wrapText="1" readingOrder="1"/>
      <protection locked="0"/>
    </xf>
    <xf numFmtId="3" fontId="5" fillId="0" borderId="0" xfId="15382" applyNumberFormat="1" applyFont="1" applyFill="1" applyBorder="1" applyAlignment="1">
      <alignment horizontal="right" vertical="center"/>
    </xf>
    <xf numFmtId="0" fontId="19" fillId="0" borderId="0" xfId="7" applyFont="1" applyBorder="1" applyAlignment="1" applyProtection="1">
      <alignment vertical="center" wrapText="1" readingOrder="1"/>
      <protection locked="0"/>
    </xf>
    <xf numFmtId="3" fontId="5" fillId="0" borderId="0" xfId="7" applyNumberFormat="1" applyFont="1"/>
    <xf numFmtId="0" fontId="6" fillId="0" borderId="103" xfId="10817" applyFont="1" applyFill="1" applyBorder="1" applyAlignment="1">
      <alignment horizontal="center" vertical="center" wrapText="1"/>
    </xf>
    <xf numFmtId="3" fontId="6" fillId="0" borderId="0" xfId="10817" applyNumberFormat="1" applyFont="1" applyFill="1" applyBorder="1" applyAlignment="1">
      <alignment horizontal="right" vertical="center" wrapText="1"/>
    </xf>
    <xf numFmtId="172" fontId="6" fillId="0" borderId="0" xfId="10817" applyNumberFormat="1" applyFont="1" applyFill="1" applyBorder="1" applyAlignment="1">
      <alignment horizontal="right" vertical="center" wrapText="1"/>
    </xf>
    <xf numFmtId="3" fontId="18" fillId="0" borderId="0" xfId="7" applyNumberFormat="1" applyFont="1" applyFill="1" applyBorder="1" applyAlignment="1" applyProtection="1">
      <alignment horizontal="right" vertical="top" wrapText="1" readingOrder="1"/>
      <protection locked="0"/>
    </xf>
    <xf numFmtId="9" fontId="18" fillId="0" borderId="0" xfId="36248" applyFont="1" applyFill="1" applyBorder="1" applyAlignment="1" applyProtection="1">
      <alignment horizontal="right" vertical="top" wrapText="1" readingOrder="1"/>
      <protection locked="0"/>
    </xf>
    <xf numFmtId="0" fontId="54" fillId="0" borderId="0" xfId="7" applyFont="1" applyBorder="1"/>
    <xf numFmtId="3" fontId="19" fillId="0" borderId="0" xfId="7" applyNumberFormat="1" applyFont="1" applyFill="1" applyBorder="1" applyAlignment="1" applyProtection="1">
      <alignment horizontal="right" vertical="top" wrapText="1" readingOrder="1"/>
      <protection locked="0"/>
    </xf>
    <xf numFmtId="10" fontId="19" fillId="0" borderId="0" xfId="7" applyNumberFormat="1" applyFont="1" applyFill="1" applyBorder="1" applyAlignment="1" applyProtection="1">
      <alignment horizontal="right" vertical="top" wrapText="1" readingOrder="1"/>
      <protection locked="0"/>
    </xf>
    <xf numFmtId="10" fontId="5" fillId="0" borderId="0" xfId="10817" applyNumberFormat="1" applyFont="1" applyFill="1" applyBorder="1" applyAlignment="1">
      <alignment horizontal="right" vertical="center"/>
    </xf>
    <xf numFmtId="0" fontId="6" fillId="0" borderId="103" xfId="36419" applyFont="1" applyFill="1" applyBorder="1" applyAlignment="1">
      <alignment horizontal="center" vertical="center"/>
    </xf>
    <xf numFmtId="0" fontId="6" fillId="0" borderId="105" xfId="36419" applyFont="1" applyFill="1" applyBorder="1" applyAlignment="1">
      <alignment horizontal="center" vertical="center"/>
    </xf>
    <xf numFmtId="0" fontId="6" fillId="0" borderId="0" xfId="15382" applyFont="1" applyFill="1" applyBorder="1" applyAlignment="1">
      <alignment vertical="center"/>
    </xf>
    <xf numFmtId="175" fontId="6" fillId="0" borderId="44" xfId="36426" applyNumberFormat="1" applyFont="1" applyFill="1" applyBorder="1" applyAlignment="1">
      <alignment vertical="center"/>
    </xf>
    <xf numFmtId="175" fontId="6" fillId="0" borderId="0" xfId="36426" applyNumberFormat="1" applyFont="1" applyFill="1" applyBorder="1" applyAlignment="1">
      <alignment vertical="center"/>
    </xf>
    <xf numFmtId="3" fontId="5" fillId="0" borderId="0" xfId="29216" applyNumberFormat="1" applyFont="1" applyFill="1" applyAlignment="1" applyProtection="1">
      <alignment horizontal="left" vertical="center"/>
      <protection locked="0"/>
    </xf>
    <xf numFmtId="175" fontId="5" fillId="0" borderId="0" xfId="36426" applyNumberFormat="1" applyFont="1" applyFill="1" applyBorder="1" applyAlignment="1">
      <alignment vertical="center"/>
    </xf>
    <xf numFmtId="0" fontId="19" fillId="0" borderId="0" xfId="7" applyFont="1" applyAlignment="1" applyProtection="1">
      <alignment vertical="top" wrapText="1" readingOrder="1"/>
      <protection locked="0"/>
    </xf>
    <xf numFmtId="3" fontId="6" fillId="0" borderId="44" xfId="15382" applyNumberFormat="1" applyFont="1" applyFill="1" applyBorder="1" applyAlignment="1">
      <alignment horizontal="right" vertical="center"/>
    </xf>
    <xf numFmtId="0" fontId="5" fillId="0" borderId="0" xfId="15382" applyFont="1" applyFill="1" applyBorder="1" applyAlignment="1">
      <alignment vertical="center"/>
    </xf>
    <xf numFmtId="175" fontId="18" fillId="0" borderId="0" xfId="36426" applyNumberFormat="1" applyFont="1" applyBorder="1" applyAlignment="1" applyProtection="1">
      <alignment horizontal="right" vertical="top" wrapText="1" readingOrder="1"/>
      <protection locked="0"/>
    </xf>
    <xf numFmtId="175" fontId="19" fillId="0" borderId="0" xfId="36426" applyNumberFormat="1" applyFont="1" applyBorder="1" applyAlignment="1" applyProtection="1">
      <alignment horizontal="right" vertical="top" wrapText="1" readingOrder="1"/>
      <protection locked="0"/>
    </xf>
    <xf numFmtId="180" fontId="18" fillId="0" borderId="0" xfId="7" applyNumberFormat="1" applyFont="1" applyFill="1" applyBorder="1" applyAlignment="1" applyProtection="1">
      <alignment vertical="top" wrapText="1" readingOrder="1"/>
      <protection locked="0"/>
    </xf>
    <xf numFmtId="180" fontId="6" fillId="0" borderId="0" xfId="7720" applyNumberFormat="1" applyFont="1" applyFill="1" applyBorder="1" applyAlignment="1">
      <alignment vertical="center"/>
    </xf>
    <xf numFmtId="0" fontId="19" fillId="0" borderId="112" xfId="7" applyFont="1" applyFill="1" applyBorder="1" applyAlignment="1" applyProtection="1">
      <alignment vertical="top" wrapText="1" readingOrder="1"/>
      <protection locked="0"/>
    </xf>
    <xf numFmtId="180" fontId="6" fillId="0" borderId="0" xfId="7" applyNumberFormat="1" applyFont="1" applyFill="1" applyBorder="1"/>
    <xf numFmtId="180" fontId="18" fillId="0" borderId="0" xfId="7720" applyNumberFormat="1" applyFont="1" applyFill="1" applyBorder="1" applyAlignment="1" applyProtection="1">
      <alignment horizontal="right" vertical="top" wrapText="1" readingOrder="1"/>
      <protection locked="0"/>
    </xf>
    <xf numFmtId="180" fontId="19" fillId="0" borderId="0" xfId="7720" applyNumberFormat="1" applyFont="1" applyFill="1" applyBorder="1" applyAlignment="1" applyProtection="1">
      <alignment horizontal="right" vertical="top" wrapText="1" readingOrder="1"/>
      <protection locked="0"/>
    </xf>
    <xf numFmtId="0" fontId="6" fillId="0" borderId="104" xfId="15382" applyFont="1" applyFill="1" applyBorder="1" applyAlignment="1">
      <alignment horizontal="center" vertical="center"/>
    </xf>
    <xf numFmtId="0" fontId="6" fillId="0" borderId="3" xfId="15382" applyFont="1" applyFill="1" applyBorder="1" applyAlignment="1">
      <alignment horizontal="center" vertical="center" wrapText="1"/>
    </xf>
    <xf numFmtId="0" fontId="6" fillId="0" borderId="34" xfId="15382" applyFont="1" applyFill="1" applyBorder="1" applyAlignment="1">
      <alignment horizontal="center" vertical="center" wrapText="1"/>
    </xf>
    <xf numFmtId="0" fontId="18" fillId="0" borderId="3" xfId="7" applyFont="1" applyFill="1" applyBorder="1" applyAlignment="1" applyProtection="1">
      <alignment horizontal="center" vertical="center" wrapText="1"/>
      <protection locked="0"/>
    </xf>
    <xf numFmtId="0" fontId="19" fillId="0" borderId="0" xfId="7" applyNumberFormat="1" applyFont="1" applyFill="1" applyAlignment="1" applyProtection="1">
      <alignment vertical="top" wrapText="1" readingOrder="1"/>
      <protection locked="0"/>
    </xf>
    <xf numFmtId="3" fontId="5" fillId="0" borderId="0" xfId="7" applyNumberFormat="1" applyFont="1" applyFill="1"/>
    <xf numFmtId="0" fontId="18" fillId="0" borderId="3" xfId="7" applyFont="1" applyFill="1" applyBorder="1" applyAlignment="1" applyProtection="1">
      <alignment horizontal="center" vertical="center" wrapText="1" readingOrder="1"/>
      <protection locked="0"/>
    </xf>
    <xf numFmtId="166" fontId="6" fillId="0" borderId="0" xfId="15382" applyNumberFormat="1" applyFont="1" applyFill="1" applyBorder="1" applyAlignment="1">
      <alignment vertical="center"/>
    </xf>
    <xf numFmtId="166" fontId="18" fillId="0" borderId="0" xfId="7" applyNumberFormat="1" applyFont="1" applyFill="1" applyBorder="1" applyAlignment="1" applyProtection="1">
      <alignment horizontal="right" vertical="top" wrapText="1" readingOrder="1"/>
      <protection locked="0"/>
    </xf>
    <xf numFmtId="166" fontId="6" fillId="0" borderId="0" xfId="15382" applyNumberFormat="1" applyFont="1" applyFill="1" applyBorder="1"/>
    <xf numFmtId="166" fontId="5" fillId="0" borderId="0" xfId="15382" applyNumberFormat="1" applyFont="1" applyFill="1" applyBorder="1" applyAlignment="1">
      <alignment vertical="center"/>
    </xf>
    <xf numFmtId="166" fontId="5" fillId="0" borderId="0" xfId="15382" applyNumberFormat="1" applyFont="1" applyFill="1" applyBorder="1" applyAlignment="1">
      <alignment horizontal="right" vertical="center"/>
    </xf>
    <xf numFmtId="0" fontId="5" fillId="0" borderId="0" xfId="8055" applyFont="1" applyFill="1" applyAlignment="1">
      <alignment vertical="center"/>
    </xf>
    <xf numFmtId="0" fontId="6" fillId="0" borderId="3" xfId="21928" applyFont="1" applyFill="1" applyBorder="1" applyAlignment="1">
      <alignment horizontal="center" vertical="center"/>
    </xf>
    <xf numFmtId="193" fontId="6" fillId="0" borderId="0" xfId="7705" applyNumberFormat="1" applyFont="1" applyFill="1" applyBorder="1" applyAlignment="1">
      <alignment horizontal="right" vertical="center"/>
    </xf>
    <xf numFmtId="164" fontId="6" fillId="0" borderId="0" xfId="7705" applyNumberFormat="1" applyFont="1" applyFill="1" applyBorder="1" applyAlignment="1">
      <alignment horizontal="right" vertical="center"/>
    </xf>
    <xf numFmtId="166" fontId="6" fillId="0" borderId="0" xfId="7705" applyNumberFormat="1" applyFont="1" applyFill="1" applyBorder="1" applyAlignment="1">
      <alignment horizontal="right" vertical="center"/>
    </xf>
    <xf numFmtId="0" fontId="5" fillId="0" borderId="0" xfId="8055" applyFont="1" applyFill="1" applyBorder="1" applyAlignment="1">
      <alignment vertical="center"/>
    </xf>
    <xf numFmtId="0" fontId="5" fillId="0" borderId="0" xfId="21928" applyFont="1" applyFill="1" applyBorder="1" applyAlignment="1">
      <alignment vertical="center" wrapText="1"/>
    </xf>
    <xf numFmtId="0" fontId="5" fillId="0" borderId="0" xfId="21928" applyFont="1" applyFill="1" applyBorder="1" applyAlignment="1">
      <alignment vertical="center"/>
    </xf>
    <xf numFmtId="0" fontId="5" fillId="0" borderId="0" xfId="21928" applyFont="1" applyFill="1" applyBorder="1" applyAlignment="1">
      <alignment horizontal="right" vertical="center"/>
    </xf>
    <xf numFmtId="179" fontId="5" fillId="0" borderId="0" xfId="21928" applyNumberFormat="1" applyFont="1" applyFill="1" applyBorder="1" applyAlignment="1">
      <alignment horizontal="right" vertical="center"/>
    </xf>
    <xf numFmtId="166" fontId="5" fillId="0" borderId="0" xfId="21928" applyNumberFormat="1" applyFont="1" applyFill="1" applyBorder="1" applyAlignment="1">
      <alignment horizontal="right" vertical="center"/>
    </xf>
    <xf numFmtId="193" fontId="5" fillId="0" borderId="0" xfId="7705" applyNumberFormat="1" applyFont="1" applyFill="1" applyBorder="1" applyAlignment="1">
      <alignment horizontal="right" vertical="center"/>
    </xf>
    <xf numFmtId="0" fontId="6" fillId="0" borderId="0" xfId="8055" applyFont="1" applyFill="1" applyAlignment="1">
      <alignment vertical="center"/>
    </xf>
    <xf numFmtId="194" fontId="6" fillId="0" borderId="0" xfId="7705" applyNumberFormat="1" applyFont="1" applyFill="1" applyBorder="1" applyAlignment="1">
      <alignment horizontal="right" vertical="center"/>
    </xf>
    <xf numFmtId="194" fontId="5" fillId="0" borderId="0" xfId="7705" applyNumberFormat="1" applyFont="1" applyFill="1" applyBorder="1" applyAlignment="1">
      <alignment horizontal="right" vertical="center"/>
    </xf>
    <xf numFmtId="166" fontId="19" fillId="0" borderId="0" xfId="7" applyNumberFormat="1" applyFont="1" applyBorder="1" applyAlignment="1" applyProtection="1">
      <alignment horizontal="left" vertical="top" wrapText="1" readingOrder="1"/>
      <protection locked="0"/>
    </xf>
    <xf numFmtId="0" fontId="19" fillId="0" borderId="94" xfId="7" applyFont="1" applyBorder="1" applyAlignment="1" applyProtection="1">
      <alignment vertical="top" wrapText="1" readingOrder="1"/>
      <protection locked="0"/>
    </xf>
    <xf numFmtId="0" fontId="6" fillId="0" borderId="3" xfId="22851" applyFont="1" applyFill="1" applyBorder="1" applyAlignment="1">
      <alignment horizontal="center" vertical="center"/>
    </xf>
    <xf numFmtId="0" fontId="6" fillId="0" borderId="3" xfId="22851" applyFont="1" applyFill="1" applyBorder="1" applyAlignment="1">
      <alignment horizontal="center" vertical="center" wrapText="1"/>
    </xf>
    <xf numFmtId="0" fontId="6" fillId="0" borderId="104" xfId="22851" applyFont="1" applyFill="1" applyBorder="1" applyAlignment="1">
      <alignment horizontal="center" vertical="center"/>
    </xf>
    <xf numFmtId="166" fontId="6" fillId="0" borderId="0" xfId="22851" applyNumberFormat="1" applyFont="1" applyFill="1" applyBorder="1" applyAlignment="1">
      <alignment horizontal="right"/>
    </xf>
    <xf numFmtId="0" fontId="5" fillId="0" borderId="0" xfId="22851" applyFont="1" applyFill="1" applyBorder="1" applyAlignment="1">
      <alignment vertical="center" wrapText="1"/>
    </xf>
    <xf numFmtId="0" fontId="5" fillId="0" borderId="0" xfId="22851" applyFont="1" applyFill="1" applyBorder="1" applyAlignment="1">
      <alignment vertical="center"/>
    </xf>
    <xf numFmtId="166" fontId="5" fillId="0" borderId="0" xfId="22851" applyNumberFormat="1" applyFont="1" applyFill="1" applyBorder="1" applyAlignment="1">
      <alignment horizontal="right"/>
    </xf>
    <xf numFmtId="166" fontId="5" fillId="0" borderId="0" xfId="22851" applyNumberFormat="1" applyFont="1" applyFill="1" applyBorder="1" applyAlignment="1">
      <alignment horizontal="right" vertical="center"/>
    </xf>
    <xf numFmtId="166" fontId="6" fillId="0" borderId="0" xfId="7705" applyNumberFormat="1" applyFont="1" applyFill="1" applyBorder="1" applyAlignment="1">
      <alignment horizontal="right"/>
    </xf>
    <xf numFmtId="166" fontId="6" fillId="0" borderId="0" xfId="7705" applyNumberFormat="1" applyFont="1" applyFill="1" applyBorder="1" applyAlignment="1"/>
    <xf numFmtId="166" fontId="6" fillId="0" borderId="106" xfId="7705" applyNumberFormat="1" applyFont="1" applyFill="1" applyBorder="1" applyAlignment="1">
      <alignment horizontal="right"/>
    </xf>
    <xf numFmtId="166" fontId="5" fillId="0" borderId="0" xfId="8055" applyNumberFormat="1" applyFont="1" applyFill="1" applyBorder="1" applyAlignment="1"/>
    <xf numFmtId="193" fontId="5" fillId="0" borderId="0" xfId="7705" applyNumberFormat="1" applyFont="1" applyFill="1" applyBorder="1" applyAlignment="1">
      <alignment vertical="center"/>
    </xf>
    <xf numFmtId="181" fontId="5" fillId="0" borderId="0" xfId="8055" applyNumberFormat="1" applyFont="1" applyFill="1" applyBorder="1" applyAlignment="1">
      <alignment vertical="center"/>
    </xf>
    <xf numFmtId="0" fontId="5" fillId="0" borderId="0" xfId="22851" applyFont="1" applyFill="1" applyBorder="1" applyAlignment="1">
      <alignment horizontal="right" vertical="center"/>
    </xf>
    <xf numFmtId="179" fontId="5" fillId="0" borderId="0" xfId="22851" applyNumberFormat="1" applyFont="1" applyFill="1" applyBorder="1" applyAlignment="1">
      <alignment horizontal="right" vertical="center"/>
    </xf>
    <xf numFmtId="0" fontId="18" fillId="0" borderId="0" xfId="7" applyFont="1" applyFill="1" applyBorder="1" applyAlignment="1" applyProtection="1">
      <alignment horizontal="right" wrapText="1" readingOrder="1"/>
      <protection locked="0"/>
    </xf>
    <xf numFmtId="166" fontId="18" fillId="0" borderId="0" xfId="7" applyNumberFormat="1" applyFont="1" applyFill="1" applyBorder="1" applyAlignment="1" applyProtection="1">
      <alignment horizontal="right" wrapText="1" readingOrder="1"/>
      <protection locked="0"/>
    </xf>
    <xf numFmtId="0" fontId="19" fillId="0" borderId="0" xfId="7" applyFont="1" applyFill="1" applyBorder="1" applyAlignment="1" applyProtection="1">
      <alignment horizontal="right" wrapText="1" readingOrder="1"/>
      <protection locked="0"/>
    </xf>
    <xf numFmtId="166" fontId="19" fillId="0" borderId="0" xfId="7" applyNumberFormat="1" applyFont="1" applyFill="1" applyBorder="1" applyAlignment="1" applyProtection="1">
      <alignment horizontal="right" wrapText="1" readingOrder="1"/>
      <protection locked="0"/>
    </xf>
    <xf numFmtId="0" fontId="6" fillId="0" borderId="3" xfId="23774" applyFont="1" applyFill="1" applyBorder="1" applyAlignment="1">
      <alignment horizontal="center" vertical="center" wrapText="1"/>
    </xf>
    <xf numFmtId="166" fontId="6" fillId="0" borderId="0" xfId="7705" applyNumberFormat="1" applyFont="1" applyFill="1" applyBorder="1" applyAlignment="1">
      <alignment horizontal="right" vertical="center" wrapText="1"/>
    </xf>
    <xf numFmtId="166" fontId="5" fillId="0" borderId="0" xfId="23774" applyNumberFormat="1" applyFont="1" applyFill="1" applyBorder="1" applyAlignment="1">
      <alignment vertical="center"/>
    </xf>
    <xf numFmtId="166" fontId="5" fillId="0" borderId="0" xfId="23774" applyNumberFormat="1" applyFont="1" applyFill="1" applyBorder="1" applyAlignment="1">
      <alignment horizontal="right" vertical="center" wrapText="1"/>
    </xf>
    <xf numFmtId="166" fontId="5" fillId="0" borderId="0" xfId="23774" applyNumberFormat="1" applyFont="1" applyFill="1" applyBorder="1" applyAlignment="1">
      <alignment horizontal="right" vertical="center"/>
    </xf>
    <xf numFmtId="0" fontId="6" fillId="0" borderId="0" xfId="8055" applyFont="1" applyFill="1" applyBorder="1" applyAlignment="1">
      <alignment vertical="center"/>
    </xf>
    <xf numFmtId="0" fontId="6" fillId="0" borderId="3" xfId="23774" applyFont="1" applyFill="1" applyBorder="1" applyAlignment="1">
      <alignment horizontal="center" wrapText="1"/>
    </xf>
    <xf numFmtId="0" fontId="18" fillId="0" borderId="3" xfId="7" applyFont="1" applyBorder="1" applyAlignment="1" applyProtection="1">
      <alignment horizontal="center" wrapText="1" readingOrder="1"/>
      <protection locked="0"/>
    </xf>
    <xf numFmtId="0" fontId="54" fillId="0" borderId="0" xfId="7" applyFont="1" applyBorder="1" applyAlignment="1"/>
    <xf numFmtId="166" fontId="5" fillId="0" borderId="0" xfId="15382" applyNumberFormat="1" applyFont="1" applyFill="1" applyBorder="1" applyAlignment="1"/>
    <xf numFmtId="166" fontId="5" fillId="0" borderId="0" xfId="15382" applyNumberFormat="1" applyFont="1" applyFill="1" applyBorder="1"/>
    <xf numFmtId="0" fontId="6" fillId="0" borderId="3" xfId="17444" applyFont="1" applyFill="1" applyBorder="1" applyAlignment="1">
      <alignment horizontal="center" vertical="center" wrapText="1"/>
    </xf>
    <xf numFmtId="0" fontId="6" fillId="0" borderId="3" xfId="17444" applyFont="1" applyFill="1" applyBorder="1" applyAlignment="1">
      <alignment horizontal="center" vertical="center"/>
    </xf>
    <xf numFmtId="3" fontId="6" fillId="0" borderId="0" xfId="17444" applyNumberFormat="1" applyFont="1" applyFill="1" applyBorder="1" applyAlignment="1"/>
    <xf numFmtId="179" fontId="6" fillId="0" borderId="0" xfId="17444" applyNumberFormat="1" applyFont="1" applyFill="1" applyBorder="1" applyAlignment="1"/>
    <xf numFmtId="175" fontId="6" fillId="0" borderId="0" xfId="36426" applyNumberFormat="1" applyFont="1" applyFill="1" applyBorder="1" applyAlignment="1"/>
    <xf numFmtId="179" fontId="18" fillId="0" borderId="0" xfId="36426" applyNumberFormat="1" applyFont="1" applyBorder="1" applyAlignment="1" applyProtection="1">
      <alignment horizontal="right" wrapText="1" readingOrder="1"/>
      <protection locked="0"/>
    </xf>
    <xf numFmtId="0" fontId="5" fillId="0" borderId="0" xfId="17444" applyFont="1" applyFill="1" applyBorder="1" applyAlignment="1"/>
    <xf numFmtId="179" fontId="5" fillId="0" borderId="0" xfId="17444" applyNumberFormat="1" applyFont="1" applyFill="1" applyBorder="1" applyAlignment="1"/>
    <xf numFmtId="0" fontId="6" fillId="0" borderId="3" xfId="24959" applyFont="1" applyFill="1" applyBorder="1" applyAlignment="1">
      <alignment horizontal="center" vertical="center"/>
    </xf>
    <xf numFmtId="0" fontId="6" fillId="0" borderId="3" xfId="24959" applyFont="1" applyFill="1" applyBorder="1" applyAlignment="1">
      <alignment horizontal="center" vertical="center" wrapText="1"/>
    </xf>
    <xf numFmtId="166" fontId="6" fillId="0" borderId="0" xfId="24959" applyNumberFormat="1" applyFont="1" applyFill="1" applyBorder="1" applyAlignment="1">
      <alignment horizontal="right" vertical="center"/>
    </xf>
    <xf numFmtId="166" fontId="5" fillId="0" borderId="0" xfId="24959" applyNumberFormat="1" applyFont="1" applyFill="1" applyBorder="1" applyAlignment="1">
      <alignment horizontal="right" vertical="center"/>
    </xf>
    <xf numFmtId="0" fontId="6" fillId="0" borderId="3" xfId="15382" applyFont="1" applyBorder="1" applyAlignment="1">
      <alignment horizontal="center" vertical="center" wrapText="1"/>
    </xf>
    <xf numFmtId="0" fontId="6" fillId="0" borderId="3" xfId="15382" applyFont="1" applyBorder="1" applyAlignment="1">
      <alignment horizontal="center" vertical="center"/>
    </xf>
    <xf numFmtId="166" fontId="6" fillId="0" borderId="0" xfId="15382" applyNumberFormat="1" applyFont="1" applyBorder="1" applyAlignment="1">
      <alignment horizontal="right"/>
    </xf>
    <xf numFmtId="166" fontId="6" fillId="0" borderId="0" xfId="15382" applyNumberFormat="1" applyFont="1" applyFill="1" applyBorder="1" applyAlignment="1">
      <alignment horizontal="right"/>
    </xf>
    <xf numFmtId="195" fontId="6" fillId="0" borderId="0" xfId="15382" applyNumberFormat="1" applyFont="1" applyFill="1" applyBorder="1" applyAlignment="1">
      <alignment horizontal="right"/>
    </xf>
    <xf numFmtId="166" fontId="5" fillId="0" borderId="0" xfId="15382" applyNumberFormat="1" applyFont="1" applyBorder="1" applyAlignment="1">
      <alignment horizontal="right"/>
    </xf>
    <xf numFmtId="166" fontId="19" fillId="0" borderId="0" xfId="7" applyNumberFormat="1" applyFont="1" applyBorder="1" applyAlignment="1" applyProtection="1">
      <alignment horizontal="right" vertical="top" wrapText="1"/>
      <protection locked="0"/>
    </xf>
    <xf numFmtId="166" fontId="5" fillId="0" borderId="0" xfId="15382" applyNumberFormat="1" applyFont="1" applyFill="1" applyBorder="1" applyAlignment="1">
      <alignment horizontal="right"/>
    </xf>
    <xf numFmtId="3" fontId="5" fillId="0" borderId="0" xfId="15382" applyNumberFormat="1" applyFont="1" applyFill="1" applyBorder="1" applyAlignment="1">
      <alignment vertical="center"/>
    </xf>
    <xf numFmtId="3" fontId="6" fillId="0" borderId="0" xfId="8055" applyNumberFormat="1" applyFont="1" applyBorder="1" applyAlignment="1"/>
    <xf numFmtId="3" fontId="6" fillId="0" borderId="0" xfId="8055" applyNumberFormat="1" applyFont="1" applyFill="1" applyBorder="1" applyAlignment="1"/>
    <xf numFmtId="3" fontId="5" fillId="0" borderId="0" xfId="15382" applyNumberFormat="1" applyFont="1" applyFill="1" applyBorder="1"/>
    <xf numFmtId="0" fontId="5" fillId="0" borderId="0" xfId="15382" applyFont="1" applyFill="1" applyBorder="1" applyAlignment="1">
      <alignment horizontal="right"/>
    </xf>
    <xf numFmtId="0" fontId="5" fillId="0" borderId="0" xfId="15382" applyNumberFormat="1" applyFont="1" applyBorder="1" applyAlignment="1">
      <alignment horizontal="right"/>
    </xf>
    <xf numFmtId="0" fontId="6" fillId="0" borderId="0" xfId="15382" applyFont="1" applyFill="1" applyBorder="1"/>
    <xf numFmtId="0" fontId="6" fillId="0" borderId="3" xfId="8055" applyFont="1" applyFill="1" applyBorder="1" applyAlignment="1">
      <alignment horizontal="center" vertical="center"/>
    </xf>
    <xf numFmtId="3" fontId="6" fillId="0" borderId="0" xfId="7705" applyNumberFormat="1" applyFont="1" applyFill="1" applyBorder="1" applyAlignment="1">
      <alignment vertical="center" wrapText="1"/>
    </xf>
    <xf numFmtId="3" fontId="5" fillId="0" borderId="0" xfId="15382" applyNumberFormat="1" applyFont="1" applyFill="1" applyBorder="1" applyAlignment="1"/>
    <xf numFmtId="0" fontId="5" fillId="0" borderId="0" xfId="15382" applyFont="1" applyFill="1" applyBorder="1" applyAlignment="1"/>
    <xf numFmtId="0" fontId="6" fillId="0" borderId="3" xfId="8055" applyFont="1" applyBorder="1" applyAlignment="1">
      <alignment horizontal="center" vertical="center"/>
    </xf>
    <xf numFmtId="169" fontId="6" fillId="0" borderId="0" xfId="7705" applyNumberFormat="1" applyFont="1" applyFill="1" applyBorder="1" applyAlignment="1">
      <alignment horizontal="right"/>
    </xf>
    <xf numFmtId="169" fontId="5" fillId="0" borderId="0" xfId="15382" applyNumberFormat="1" applyFont="1" applyFill="1" applyBorder="1"/>
    <xf numFmtId="3" fontId="5" fillId="0" borderId="0" xfId="8055" applyNumberFormat="1" applyFont="1" applyFill="1" applyBorder="1" applyAlignment="1">
      <alignment horizontal="right"/>
    </xf>
    <xf numFmtId="169" fontId="5" fillId="0" borderId="0" xfId="15382" applyNumberFormat="1" applyFont="1" applyFill="1" applyBorder="1" applyAlignment="1">
      <alignment horizontal="right"/>
    </xf>
    <xf numFmtId="0" fontId="18" fillId="0" borderId="102" xfId="7" applyFont="1" applyBorder="1" applyAlignment="1" applyProtection="1">
      <alignment horizontal="center" vertical="top" wrapText="1" readingOrder="1"/>
      <protection locked="0"/>
    </xf>
    <xf numFmtId="175" fontId="5" fillId="0" borderId="0" xfId="36422" applyNumberFormat="1" applyFont="1" applyBorder="1"/>
    <xf numFmtId="0" fontId="18" fillId="0" borderId="102" xfId="7" applyFont="1" applyBorder="1" applyAlignment="1" applyProtection="1">
      <alignment horizontal="center" vertical="center" wrapText="1" readingOrder="1"/>
      <protection locked="0"/>
    </xf>
    <xf numFmtId="172" fontId="18" fillId="0" borderId="0" xfId="36248" applyNumberFormat="1" applyFont="1" applyBorder="1" applyAlignment="1" applyProtection="1">
      <alignment horizontal="right" vertical="top" wrapText="1" readingOrder="1"/>
      <protection locked="0"/>
    </xf>
    <xf numFmtId="175" fontId="19" fillId="0" borderId="0" xfId="36422" applyNumberFormat="1" applyFont="1" applyFill="1" applyBorder="1" applyAlignment="1" applyProtection="1">
      <alignment horizontal="right" vertical="top" wrapText="1" readingOrder="1"/>
      <protection locked="0"/>
    </xf>
    <xf numFmtId="0" fontId="5" fillId="0" borderId="0" xfId="15382" applyFont="1" applyFill="1"/>
    <xf numFmtId="0" fontId="6" fillId="0" borderId="36" xfId="15382" applyFont="1" applyFill="1" applyBorder="1" applyAlignment="1" applyProtection="1">
      <alignment horizontal="center" vertical="top" wrapText="1" readingOrder="1"/>
      <protection locked="0"/>
    </xf>
    <xf numFmtId="0" fontId="6" fillId="0" borderId="102" xfId="15382" applyFont="1" applyFill="1" applyBorder="1" applyAlignment="1" applyProtection="1">
      <alignment horizontal="center" vertical="top" wrapText="1" readingOrder="1"/>
      <protection locked="0"/>
    </xf>
    <xf numFmtId="0" fontId="6" fillId="0" borderId="0" xfId="15382" applyFont="1" applyFill="1"/>
    <xf numFmtId="0" fontId="6" fillId="0" borderId="0" xfId="15382" applyFont="1" applyFill="1" applyBorder="1" applyAlignment="1" applyProtection="1">
      <alignment vertical="top" wrapText="1" readingOrder="1"/>
      <protection locked="0"/>
    </xf>
    <xf numFmtId="0" fontId="5" fillId="0" borderId="0" xfId="15382" applyFont="1" applyFill="1" applyBorder="1" applyAlignment="1" applyProtection="1">
      <alignment vertical="top" wrapText="1" readingOrder="1"/>
      <protection locked="0"/>
    </xf>
    <xf numFmtId="175" fontId="5" fillId="0" borderId="0" xfId="15382" applyNumberFormat="1" applyFont="1" applyFill="1"/>
    <xf numFmtId="175" fontId="19" fillId="0" borderId="0" xfId="36422" applyNumberFormat="1" applyFont="1" applyFill="1" applyBorder="1" applyAlignment="1" applyProtection="1">
      <alignment horizontal="left" vertical="top" wrapText="1" readingOrder="1"/>
      <protection locked="0"/>
    </xf>
    <xf numFmtId="0" fontId="5" fillId="0" borderId="114" xfId="7" applyFont="1" applyBorder="1" applyAlignment="1" applyProtection="1">
      <alignment vertical="top"/>
      <protection locked="0"/>
    </xf>
    <xf numFmtId="175" fontId="9" fillId="0" borderId="0" xfId="36422" applyNumberFormat="1" applyFont="1" applyFill="1" applyBorder="1"/>
    <xf numFmtId="0" fontId="5" fillId="0" borderId="0" xfId="15382" applyFont="1" applyFill="1" applyBorder="1" applyAlignment="1" applyProtection="1">
      <alignment horizontal="left" vertical="top" wrapText="1" readingOrder="1"/>
      <protection locked="0"/>
    </xf>
    <xf numFmtId="0" fontId="5" fillId="0" borderId="114" xfId="15382" applyFont="1" applyFill="1" applyBorder="1" applyAlignment="1" applyProtection="1">
      <alignment vertical="top"/>
      <protection locked="0"/>
    </xf>
    <xf numFmtId="0" fontId="5" fillId="0" borderId="0" xfId="0" applyFont="1" applyFill="1" applyBorder="1" applyAlignment="1">
      <alignment vertical="center"/>
    </xf>
    <xf numFmtId="0" fontId="5" fillId="0" borderId="0" xfId="0" applyFont="1" applyFill="1" applyBorder="1" applyAlignment="1">
      <alignment horizontal="left" vertical="center" wrapText="1"/>
    </xf>
    <xf numFmtId="3" fontId="5" fillId="0" borderId="0" xfId="36446"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xf>
    <xf numFmtId="169" fontId="5" fillId="0" borderId="0" xfId="1" applyNumberFormat="1" applyFont="1" applyFill="1" applyBorder="1" applyAlignment="1">
      <alignment horizontal="left" vertical="center" indent="2"/>
    </xf>
    <xf numFmtId="3" fontId="5" fillId="0" borderId="0" xfId="0" applyNumberFormat="1" applyFont="1" applyFill="1" applyBorder="1" applyAlignment="1">
      <alignment horizontal="center"/>
    </xf>
    <xf numFmtId="0" fontId="6" fillId="0" borderId="0" xfId="7" applyFont="1" applyFill="1" applyAlignment="1">
      <alignment vertical="top" wrapText="1"/>
    </xf>
    <xf numFmtId="0" fontId="6" fillId="0" borderId="0" xfId="7" applyFont="1" applyFill="1" applyAlignment="1">
      <alignment vertical="top"/>
    </xf>
    <xf numFmtId="0" fontId="6" fillId="0" borderId="0" xfId="7" applyFont="1" applyFill="1" applyAlignment="1">
      <alignment vertical="center"/>
    </xf>
    <xf numFmtId="0" fontId="6" fillId="0" borderId="18" xfId="7" applyFont="1" applyFill="1" applyBorder="1" applyAlignment="1">
      <alignment horizontal="center" vertical="center"/>
    </xf>
    <xf numFmtId="0" fontId="6" fillId="0" borderId="0" xfId="7" applyFont="1" applyFill="1" applyBorder="1" applyAlignment="1">
      <alignment horizontal="center" vertical="center"/>
    </xf>
    <xf numFmtId="0" fontId="6" fillId="0" borderId="0" xfId="7" applyFont="1" applyFill="1" applyBorder="1" applyAlignment="1">
      <alignment horizontal="left" vertical="center"/>
    </xf>
    <xf numFmtId="166" fontId="6" fillId="0" borderId="0" xfId="7" applyNumberFormat="1" applyFont="1" applyFill="1" applyBorder="1" applyAlignment="1">
      <alignment horizontal="right" vertical="center"/>
    </xf>
    <xf numFmtId="3" fontId="6" fillId="0" borderId="0" xfId="7" applyNumberFormat="1" applyFont="1" applyFill="1" applyBorder="1" applyAlignment="1">
      <alignment horizontal="right" vertical="center"/>
    </xf>
    <xf numFmtId="169" fontId="6" fillId="0" borderId="0" xfId="1" applyNumberFormat="1" applyFont="1" applyFill="1" applyBorder="1" applyAlignment="1">
      <alignment horizontal="right"/>
    </xf>
    <xf numFmtId="3" fontId="6" fillId="0" borderId="0" xfId="7" applyNumberFormat="1" applyFont="1" applyFill="1" applyBorder="1" applyAlignment="1">
      <alignment horizontal="center"/>
    </xf>
    <xf numFmtId="3" fontId="5" fillId="0" borderId="0" xfId="0" applyNumberFormat="1" applyFont="1" applyFill="1" applyBorder="1"/>
    <xf numFmtId="166" fontId="5" fillId="0" borderId="0" xfId="7" applyNumberFormat="1" applyFont="1" applyFill="1" applyBorder="1" applyAlignment="1">
      <alignment horizontal="right" vertical="center"/>
    </xf>
    <xf numFmtId="169" fontId="5" fillId="0" borderId="0" xfId="1" applyNumberFormat="1" applyFont="1" applyFill="1" applyBorder="1" applyAlignment="1">
      <alignment horizontal="right" vertical="center"/>
    </xf>
    <xf numFmtId="3" fontId="5" fillId="0" borderId="0" xfId="7" applyNumberFormat="1" applyFont="1" applyFill="1" applyBorder="1" applyAlignment="1">
      <alignment horizontal="center" vertical="center"/>
    </xf>
    <xf numFmtId="169" fontId="5" fillId="0" borderId="0" xfId="1" applyNumberFormat="1" applyFont="1" applyFill="1" applyBorder="1" applyAlignment="1">
      <alignment horizontal="right"/>
    </xf>
    <xf numFmtId="3" fontId="5" fillId="0" borderId="0" xfId="7" applyNumberFormat="1" applyFont="1" applyFill="1" applyBorder="1" applyAlignment="1">
      <alignment horizontal="right" vertical="center"/>
    </xf>
    <xf numFmtId="0" fontId="0" fillId="0" borderId="0" xfId="0" applyFill="1" applyAlignment="1">
      <alignment horizontal="left" indent="2"/>
    </xf>
    <xf numFmtId="0" fontId="6" fillId="25" borderId="3" xfId="7" applyFont="1" applyFill="1" applyBorder="1" applyAlignment="1">
      <alignment horizontal="center" vertical="center"/>
    </xf>
    <xf numFmtId="169" fontId="6" fillId="0" borderId="0" xfId="1" applyNumberFormat="1" applyFont="1" applyFill="1" applyBorder="1" applyAlignment="1">
      <alignment horizontal="right" vertical="center"/>
    </xf>
    <xf numFmtId="172" fontId="0" fillId="0" borderId="0" xfId="3" applyNumberFormat="1" applyFont="1" applyFill="1"/>
    <xf numFmtId="169" fontId="5" fillId="0" borderId="0" xfId="1" applyNumberFormat="1" applyFont="1" applyFill="1" applyAlignment="1">
      <alignment wrapText="1"/>
    </xf>
    <xf numFmtId="169" fontId="5" fillId="0" borderId="0" xfId="1" applyNumberFormat="1" applyFont="1" applyFill="1" applyBorder="1" applyAlignment="1">
      <alignment vertical="center"/>
    </xf>
    <xf numFmtId="169" fontId="5" fillId="0" borderId="0" xfId="1" applyNumberFormat="1" applyFont="1" applyFill="1" applyAlignment="1">
      <alignment vertical="center" wrapText="1"/>
    </xf>
    <xf numFmtId="0" fontId="6" fillId="0" borderId="0" xfId="7" applyFont="1" applyAlignment="1">
      <alignment vertical="center" wrapText="1"/>
    </xf>
    <xf numFmtId="0" fontId="5" fillId="0" borderId="0" xfId="0" applyFont="1" applyFill="1" applyBorder="1" applyAlignment="1">
      <alignment horizontal="left" wrapText="1"/>
    </xf>
    <xf numFmtId="0" fontId="5" fillId="0" borderId="0" xfId="0" applyFont="1" applyFill="1" applyBorder="1" applyAlignment="1">
      <alignment horizontal="left" indent="2"/>
    </xf>
    <xf numFmtId="3" fontId="6" fillId="0" borderId="0" xfId="7" applyNumberFormat="1" applyFont="1" applyFill="1" applyBorder="1" applyAlignment="1">
      <alignment horizontal="center" vertical="center"/>
    </xf>
    <xf numFmtId="0" fontId="5" fillId="0" borderId="0" xfId="7" applyFont="1" applyFill="1" applyBorder="1" applyAlignment="1"/>
    <xf numFmtId="169" fontId="6" fillId="0" borderId="0" xfId="1" applyNumberFormat="1" applyFont="1" applyFill="1" applyBorder="1" applyAlignment="1">
      <alignment horizontal="center" vertical="center"/>
    </xf>
    <xf numFmtId="0" fontId="5" fillId="0" borderId="0" xfId="7" applyFont="1" applyFill="1" applyBorder="1" applyAlignment="1">
      <alignment horizontal="center" vertical="center"/>
    </xf>
    <xf numFmtId="3" fontId="5" fillId="0" borderId="0" xfId="29171" applyNumberFormat="1" applyFont="1" applyFill="1" applyAlignment="1" applyProtection="1">
      <alignment horizontal="left" vertical="center"/>
      <protection locked="0"/>
    </xf>
    <xf numFmtId="169" fontId="5" fillId="0" borderId="0" xfId="1" applyNumberFormat="1" applyFont="1" applyFill="1" applyBorder="1" applyAlignment="1">
      <alignment horizontal="center" vertical="center"/>
    </xf>
    <xf numFmtId="3" fontId="63" fillId="0" borderId="0" xfId="7" applyNumberFormat="1" applyFont="1" applyFill="1" applyBorder="1" applyAlignment="1">
      <alignment horizontal="center" vertical="center"/>
    </xf>
    <xf numFmtId="0" fontId="5" fillId="0" borderId="0" xfId="29735" applyFont="1" applyAlignment="1"/>
    <xf numFmtId="0" fontId="6" fillId="0" borderId="0" xfId="29735" applyFont="1" applyBorder="1" applyAlignment="1" applyProtection="1">
      <alignment vertical="top" wrapText="1" readingOrder="1"/>
      <protection locked="0"/>
    </xf>
    <xf numFmtId="175" fontId="6" fillId="0" borderId="0" xfId="36426" applyNumberFormat="1" applyFont="1" applyBorder="1" applyAlignment="1" applyProtection="1">
      <alignment vertical="center" wrapText="1" readingOrder="1"/>
      <protection locked="0"/>
    </xf>
    <xf numFmtId="0" fontId="5" fillId="0" borderId="0" xfId="29735" applyFont="1" applyBorder="1" applyAlignment="1" applyProtection="1">
      <alignment vertical="top" wrapText="1" readingOrder="1"/>
      <protection locked="0"/>
    </xf>
    <xf numFmtId="175" fontId="5" fillId="0" borderId="0" xfId="36426" applyNumberFormat="1" applyFont="1" applyBorder="1" applyAlignment="1" applyProtection="1">
      <alignment vertical="center" wrapText="1" readingOrder="1"/>
      <protection locked="0"/>
    </xf>
    <xf numFmtId="0" fontId="4" fillId="0" borderId="0" xfId="29735" applyFont="1" applyFill="1" applyBorder="1" applyAlignment="1" applyProtection="1">
      <alignment vertical="top" wrapText="1" readingOrder="1"/>
      <protection locked="0"/>
    </xf>
    <xf numFmtId="0" fontId="18" fillId="0" borderId="3" xfId="29735" applyFont="1" applyFill="1" applyBorder="1" applyAlignment="1" applyProtection="1">
      <alignment horizontal="center" vertical="top" wrapText="1" readingOrder="1"/>
      <protection locked="0"/>
    </xf>
    <xf numFmtId="3" fontId="18" fillId="0" borderId="0" xfId="29735" applyNumberFormat="1" applyFont="1" applyFill="1" applyBorder="1" applyAlignment="1" applyProtection="1">
      <alignment vertical="top" wrapText="1" readingOrder="1"/>
      <protection locked="0"/>
    </xf>
    <xf numFmtId="166" fontId="18" fillId="0" borderId="0" xfId="36426" applyNumberFormat="1" applyFont="1" applyFill="1" applyBorder="1" applyAlignment="1" applyProtection="1">
      <alignment vertical="top" wrapText="1" readingOrder="1"/>
      <protection locked="0"/>
    </xf>
    <xf numFmtId="3" fontId="19" fillId="0" borderId="0" xfId="29735" applyNumberFormat="1" applyFont="1" applyFill="1" applyBorder="1" applyAlignment="1" applyProtection="1">
      <alignment vertical="top" wrapText="1" readingOrder="1"/>
      <protection locked="0"/>
    </xf>
    <xf numFmtId="166" fontId="19" fillId="0" borderId="0" xfId="36426" applyNumberFormat="1" applyFont="1" applyFill="1" applyBorder="1" applyAlignment="1" applyProtection="1">
      <alignment vertical="top" wrapText="1" readingOrder="1"/>
      <protection locked="0"/>
    </xf>
    <xf numFmtId="0" fontId="19" fillId="0" borderId="0" xfId="29735" applyFont="1" applyFill="1" applyAlignment="1" applyProtection="1">
      <alignment vertical="top" wrapText="1" readingOrder="1"/>
      <protection locked="0"/>
    </xf>
    <xf numFmtId="0" fontId="39" fillId="0" borderId="0" xfId="29735" applyFill="1" applyBorder="1"/>
    <xf numFmtId="0" fontId="4" fillId="0" borderId="0" xfId="29735" applyFont="1" applyFill="1"/>
    <xf numFmtId="0" fontId="18" fillId="0" borderId="3" xfId="29735" applyFont="1" applyFill="1" applyBorder="1" applyAlignment="1" applyProtection="1">
      <alignment vertical="top" wrapText="1" readingOrder="1"/>
      <protection locked="0"/>
    </xf>
    <xf numFmtId="166" fontId="19" fillId="0" borderId="0" xfId="29735" applyNumberFormat="1" applyFont="1" applyFill="1" applyBorder="1" applyAlignment="1" applyProtection="1">
      <alignment vertical="top" wrapText="1" readingOrder="1"/>
      <protection locked="0"/>
    </xf>
    <xf numFmtId="3" fontId="6" fillId="0" borderId="0" xfId="5" applyNumberFormat="1" applyFont="1" applyFill="1" applyBorder="1" applyAlignment="1"/>
    <xf numFmtId="3" fontId="5" fillId="0" borderId="0" xfId="5" applyNumberFormat="1" applyFont="1" applyFill="1" applyBorder="1"/>
    <xf numFmtId="3" fontId="5" fillId="0" borderId="0" xfId="5" applyNumberFormat="1" applyFont="1" applyFill="1" applyBorder="1" applyAlignment="1"/>
    <xf numFmtId="0" fontId="5" fillId="0" borderId="0" xfId="29735" applyFont="1" applyFill="1" applyAlignment="1"/>
    <xf numFmtId="0" fontId="6" fillId="0" borderId="0" xfId="29735" applyNumberFormat="1" applyFont="1" applyFill="1" applyBorder="1" applyAlignment="1">
      <alignment horizontal="left"/>
    </xf>
    <xf numFmtId="182" fontId="6" fillId="0" borderId="0" xfId="29735" applyNumberFormat="1" applyFont="1" applyFill="1" applyBorder="1" applyAlignment="1">
      <alignment horizontal="left"/>
    </xf>
    <xf numFmtId="0" fontId="8" fillId="0" borderId="0" xfId="29735" applyFont="1" applyFill="1" applyBorder="1" applyAlignment="1">
      <alignment vertical="center"/>
    </xf>
    <xf numFmtId="182" fontId="5" fillId="0" borderId="0" xfId="29735" applyNumberFormat="1" applyFont="1" applyFill="1" applyBorder="1" applyAlignment="1">
      <alignment horizontal="left"/>
    </xf>
    <xf numFmtId="0" fontId="6" fillId="0" borderId="127" xfId="0" applyFont="1" applyFill="1" applyBorder="1" applyAlignment="1" applyProtection="1">
      <alignment horizontal="center" vertical="top" wrapText="1" readingOrder="1"/>
      <protection locked="0"/>
    </xf>
    <xf numFmtId="175" fontId="6" fillId="0" borderId="129" xfId="1" applyNumberFormat="1" applyFont="1" applyFill="1" applyBorder="1" applyAlignment="1" applyProtection="1">
      <alignment vertical="top" wrapText="1" readingOrder="1"/>
      <protection locked="0"/>
    </xf>
    <xf numFmtId="172" fontId="5" fillId="0" borderId="0" xfId="3" applyNumberFormat="1" applyFont="1" applyFill="1"/>
    <xf numFmtId="172" fontId="5" fillId="0" borderId="132" xfId="3" applyNumberFormat="1" applyFont="1" applyFill="1" applyBorder="1" applyAlignment="1" applyProtection="1">
      <alignment vertical="top" wrapText="1" readingOrder="1"/>
      <protection locked="0"/>
    </xf>
    <xf numFmtId="0" fontId="6" fillId="0" borderId="3" xfId="0" applyFont="1" applyFill="1" applyBorder="1" applyAlignment="1" applyProtection="1">
      <alignment horizontal="center" vertical="top" wrapText="1" readingOrder="1"/>
      <protection locked="0"/>
    </xf>
    <xf numFmtId="0" fontId="6" fillId="0" borderId="98" xfId="0" applyFont="1" applyFill="1" applyBorder="1" applyAlignment="1" applyProtection="1">
      <alignment vertical="center" wrapText="1" readingOrder="1"/>
      <protection locked="0"/>
    </xf>
    <xf numFmtId="0" fontId="6" fillId="0" borderId="3" xfId="36451" applyFont="1" applyFill="1" applyBorder="1" applyAlignment="1">
      <alignment horizontal="left" vertical="center" wrapText="1"/>
    </xf>
    <xf numFmtId="3" fontId="5" fillId="0" borderId="3" xfId="36451" applyNumberFormat="1" applyFont="1" applyFill="1" applyBorder="1" applyAlignment="1">
      <alignment horizontal="left" vertical="center" wrapText="1"/>
    </xf>
    <xf numFmtId="169" fontId="5" fillId="0" borderId="3" xfId="1" applyNumberFormat="1" applyFont="1" applyFill="1" applyBorder="1"/>
    <xf numFmtId="169" fontId="5" fillId="0" borderId="0" xfId="0" applyNumberFormat="1" applyFont="1" applyFill="1"/>
    <xf numFmtId="0" fontId="5" fillId="0" borderId="3" xfId="0" applyFont="1" applyFill="1" applyBorder="1" applyAlignment="1">
      <alignment wrapText="1"/>
    </xf>
    <xf numFmtId="169" fontId="6" fillId="0" borderId="3" xfId="1" applyNumberFormat="1" applyFont="1" applyFill="1" applyBorder="1" applyAlignment="1">
      <alignment horizontal="right"/>
    </xf>
    <xf numFmtId="169" fontId="6" fillId="0" borderId="3" xfId="0" applyNumberFormat="1" applyFont="1" applyFill="1" applyBorder="1" applyAlignment="1" applyProtection="1">
      <alignment horizontal="right" wrapText="1" readingOrder="1"/>
      <protection locked="0"/>
    </xf>
    <xf numFmtId="0" fontId="5" fillId="0" borderId="3" xfId="36451" applyFont="1" applyFill="1" applyBorder="1" applyAlignment="1">
      <alignment horizontal="left" vertical="center"/>
    </xf>
    <xf numFmtId="0" fontId="18" fillId="0" borderId="127" xfId="0" applyFont="1" applyBorder="1" applyAlignment="1" applyProtection="1">
      <alignment horizontal="center" vertical="center" wrapText="1" readingOrder="1"/>
      <protection locked="0"/>
    </xf>
    <xf numFmtId="175" fontId="18" fillId="0" borderId="129" xfId="1" applyNumberFormat="1" applyFont="1" applyBorder="1" applyAlignment="1" applyProtection="1">
      <alignment vertical="top" wrapText="1" readingOrder="1"/>
      <protection locked="0"/>
    </xf>
    <xf numFmtId="175" fontId="18" fillId="0" borderId="129" xfId="1" applyNumberFormat="1" applyFont="1" applyBorder="1" applyAlignment="1" applyProtection="1">
      <alignment horizontal="right" vertical="top" wrapText="1" readingOrder="1"/>
      <protection locked="0"/>
    </xf>
    <xf numFmtId="10" fontId="18" fillId="0" borderId="129" xfId="36251" applyNumberFormat="1" applyFont="1" applyBorder="1" applyAlignment="1" applyProtection="1">
      <alignment horizontal="right" vertical="top" wrapText="1" readingOrder="1"/>
      <protection locked="0"/>
    </xf>
    <xf numFmtId="0" fontId="18" fillId="0" borderId="134" xfId="0" applyFont="1" applyBorder="1" applyAlignment="1" applyProtection="1">
      <alignment horizontal="center" vertical="center" wrapText="1" readingOrder="1"/>
      <protection locked="0"/>
    </xf>
    <xf numFmtId="0" fontId="18" fillId="0" borderId="129" xfId="0" applyFont="1" applyBorder="1" applyAlignment="1" applyProtection="1">
      <alignment horizontal="center" vertical="center" wrapText="1" readingOrder="1"/>
      <protection locked="0"/>
    </xf>
    <xf numFmtId="0" fontId="18" fillId="0" borderId="134" xfId="0" applyFont="1" applyBorder="1" applyAlignment="1" applyProtection="1">
      <alignment vertical="center" readingOrder="1"/>
      <protection locked="0"/>
    </xf>
    <xf numFmtId="0" fontId="19" fillId="0" borderId="3" xfId="0" applyFont="1" applyBorder="1" applyAlignment="1" applyProtection="1">
      <alignment horizontal="right" vertical="top" wrapText="1" readingOrder="1"/>
      <protection locked="0"/>
    </xf>
    <xf numFmtId="175" fontId="18" fillId="0" borderId="129" xfId="0" applyNumberFormat="1" applyFont="1" applyBorder="1" applyAlignment="1" applyProtection="1">
      <alignment horizontal="right" vertical="center" wrapText="1" readingOrder="1"/>
      <protection locked="0"/>
    </xf>
    <xf numFmtId="0" fontId="18" fillId="0" borderId="3" xfId="0" applyFont="1" applyBorder="1" applyAlignment="1" applyProtection="1">
      <alignment vertical="top" wrapText="1" readingOrder="1"/>
      <protection locked="0"/>
    </xf>
    <xf numFmtId="0" fontId="19" fillId="0" borderId="3" xfId="0" applyFont="1" applyBorder="1" applyAlignment="1" applyProtection="1">
      <alignment vertical="top" wrapText="1" readingOrder="1"/>
      <protection locked="0"/>
    </xf>
    <xf numFmtId="175" fontId="19" fillId="0" borderId="129" xfId="1" applyNumberFormat="1" applyFont="1" applyBorder="1" applyAlignment="1" applyProtection="1">
      <alignment vertical="top" wrapText="1" readingOrder="1"/>
      <protection locked="0"/>
    </xf>
    <xf numFmtId="0" fontId="19" fillId="0" borderId="140" xfId="0" applyFont="1" applyBorder="1" applyAlignment="1" applyProtection="1">
      <alignment vertical="top" wrapText="1" readingOrder="1"/>
      <protection locked="0"/>
    </xf>
    <xf numFmtId="175" fontId="19" fillId="0" borderId="132" xfId="1" applyNumberFormat="1" applyFont="1" applyBorder="1" applyAlignment="1" applyProtection="1">
      <alignment vertical="top" wrapText="1" readingOrder="1"/>
      <protection locked="0"/>
    </xf>
    <xf numFmtId="175" fontId="5" fillId="0" borderId="0" xfId="0" applyNumberFormat="1" applyFont="1" applyFill="1"/>
    <xf numFmtId="0" fontId="6" fillId="0" borderId="143" xfId="0" applyFont="1" applyFill="1" applyBorder="1" applyAlignment="1" applyProtection="1">
      <alignment horizontal="center" wrapText="1" readingOrder="1"/>
      <protection locked="0"/>
    </xf>
    <xf numFmtId="0" fontId="6" fillId="0" borderId="144" xfId="0" applyFont="1" applyFill="1" applyBorder="1" applyAlignment="1" applyProtection="1">
      <alignment horizontal="center" wrapText="1" readingOrder="1"/>
      <protection locked="0"/>
    </xf>
    <xf numFmtId="0" fontId="6" fillId="0" borderId="145" xfId="0" applyFont="1" applyFill="1" applyBorder="1" applyAlignment="1" applyProtection="1">
      <alignment horizontal="center" wrapText="1" readingOrder="1"/>
      <protection locked="0"/>
    </xf>
    <xf numFmtId="0" fontId="6" fillId="0" borderId="134" xfId="0" applyFont="1" applyFill="1" applyBorder="1" applyAlignment="1" applyProtection="1">
      <alignment vertical="center" readingOrder="1"/>
      <protection locked="0"/>
    </xf>
    <xf numFmtId="0" fontId="5" fillId="0" borderId="3" xfId="0" applyFont="1" applyFill="1" applyBorder="1" applyAlignment="1" applyProtection="1">
      <alignment horizontal="right" vertical="center" readingOrder="1"/>
      <protection locked="0"/>
    </xf>
    <xf numFmtId="169" fontId="6" fillId="0" borderId="129" xfId="0" applyNumberFormat="1" applyFont="1" applyFill="1" applyBorder="1" applyAlignment="1" applyProtection="1">
      <alignment horizontal="right" vertical="top" wrapText="1" readingOrder="1"/>
      <protection locked="0"/>
    </xf>
    <xf numFmtId="0" fontId="6" fillId="0" borderId="3" xfId="0" applyFont="1" applyFill="1" applyBorder="1" applyAlignment="1" applyProtection="1">
      <alignment vertical="top" wrapText="1" readingOrder="1"/>
      <protection locked="0"/>
    </xf>
    <xf numFmtId="0" fontId="5" fillId="0" borderId="3" xfId="0" applyFont="1" applyFill="1" applyBorder="1" applyAlignment="1" applyProtection="1">
      <alignment vertical="top" wrapText="1" readingOrder="1"/>
      <protection locked="0"/>
    </xf>
    <xf numFmtId="175" fontId="5" fillId="0" borderId="129" xfId="1" applyNumberFormat="1" applyFont="1" applyFill="1" applyBorder="1" applyAlignment="1" applyProtection="1">
      <alignment vertical="top" wrapText="1" readingOrder="1"/>
      <protection locked="0"/>
    </xf>
    <xf numFmtId="0" fontId="6" fillId="0" borderId="146" xfId="36451" applyFont="1" applyFill="1" applyBorder="1" applyAlignment="1">
      <alignment horizontal="left" vertical="center" wrapText="1"/>
    </xf>
    <xf numFmtId="169" fontId="6" fillId="0" borderId="129" xfId="7710" applyNumberFormat="1" applyFont="1" applyFill="1" applyBorder="1" applyAlignment="1">
      <alignment horizontal="right" vertical="center"/>
    </xf>
    <xf numFmtId="3" fontId="5" fillId="0" borderId="0" xfId="36451" applyNumberFormat="1" applyFont="1" applyFill="1" applyBorder="1" applyAlignment="1">
      <alignment horizontal="left" vertical="center" wrapText="1"/>
    </xf>
    <xf numFmtId="169" fontId="5" fillId="0" borderId="129" xfId="1" applyNumberFormat="1" applyFont="1" applyFill="1" applyBorder="1"/>
    <xf numFmtId="3" fontId="5" fillId="0" borderId="44" xfId="36451" applyNumberFormat="1" applyFont="1" applyFill="1" applyBorder="1" applyAlignment="1">
      <alignment horizontal="left" vertical="center" wrapText="1"/>
    </xf>
    <xf numFmtId="169" fontId="5" fillId="0" borderId="129" xfId="7710" applyNumberFormat="1" applyFont="1" applyFill="1" applyBorder="1" applyAlignment="1">
      <alignment horizontal="right" vertical="center"/>
    </xf>
    <xf numFmtId="169" fontId="5" fillId="0" borderId="129" xfId="1" applyNumberFormat="1" applyFont="1" applyFill="1" applyBorder="1" applyAlignment="1">
      <alignment wrapText="1"/>
    </xf>
    <xf numFmtId="0" fontId="5" fillId="0" borderId="94" xfId="36451" applyFont="1" applyFill="1" applyBorder="1" applyAlignment="1">
      <alignment horizontal="left" vertical="center" wrapText="1"/>
    </xf>
    <xf numFmtId="169" fontId="5" fillId="0" borderId="148" xfId="1" applyNumberFormat="1" applyFont="1" applyFill="1" applyBorder="1" applyAlignment="1">
      <alignment wrapText="1"/>
    </xf>
    <xf numFmtId="169" fontId="6" fillId="0" borderId="129" xfId="0" applyNumberFormat="1" applyFont="1" applyFill="1" applyBorder="1"/>
    <xf numFmtId="169" fontId="6" fillId="0" borderId="3" xfId="7710" applyNumberFormat="1" applyFont="1" applyFill="1" applyBorder="1" applyAlignment="1">
      <alignment horizontal="right" vertical="center"/>
    </xf>
    <xf numFmtId="0" fontId="5" fillId="0" borderId="124" xfId="36451" applyFont="1" applyFill="1" applyBorder="1" applyAlignment="1">
      <alignment horizontal="left" vertical="center" wrapText="1"/>
    </xf>
    <xf numFmtId="169" fontId="5" fillId="0" borderId="132" xfId="1" applyNumberFormat="1" applyFont="1" applyFill="1" applyBorder="1"/>
    <xf numFmtId="0" fontId="6" fillId="0" borderId="3" xfId="36451" applyFont="1" applyFill="1" applyBorder="1" applyAlignment="1">
      <alignment horizontal="center" vertical="center" wrapText="1"/>
    </xf>
    <xf numFmtId="175" fontId="5" fillId="0" borderId="3" xfId="1" applyNumberFormat="1" applyFont="1" applyFill="1" applyBorder="1" applyAlignment="1" applyProtection="1">
      <alignment vertical="top" wrapText="1" readingOrder="1"/>
      <protection locked="0"/>
    </xf>
    <xf numFmtId="175" fontId="5" fillId="0" borderId="3" xfId="1" applyNumberFormat="1" applyFont="1" applyFill="1" applyBorder="1" applyAlignment="1" applyProtection="1">
      <alignment horizontal="right" vertical="top" wrapText="1" readingOrder="1"/>
      <protection locked="0"/>
    </xf>
    <xf numFmtId="172" fontId="5" fillId="0" borderId="3" xfId="36251" applyNumberFormat="1" applyFont="1" applyFill="1" applyBorder="1" applyAlignment="1" applyProtection="1">
      <alignment horizontal="right" vertical="top" wrapText="1" readingOrder="1"/>
      <protection locked="0"/>
    </xf>
    <xf numFmtId="0" fontId="5" fillId="0" borderId="44" xfId="0" applyFont="1" applyFill="1" applyBorder="1"/>
    <xf numFmtId="169" fontId="6" fillId="0" borderId="3" xfId="0" applyNumberFormat="1" applyFont="1" applyFill="1" applyBorder="1" applyAlignment="1">
      <alignment horizontal="left" vertical="center" wrapText="1"/>
    </xf>
    <xf numFmtId="169" fontId="6" fillId="0" borderId="0" xfId="0" applyNumberFormat="1" applyFont="1" applyFill="1" applyBorder="1" applyAlignment="1" applyProtection="1">
      <alignment horizontal="right" vertical="top" wrapText="1" readingOrder="1"/>
      <protection locked="0"/>
    </xf>
    <xf numFmtId="169" fontId="5" fillId="0" borderId="0" xfId="1" applyNumberFormat="1" applyFont="1" applyFill="1" applyBorder="1" applyAlignment="1">
      <alignment horizontal="center"/>
    </xf>
    <xf numFmtId="0" fontId="5" fillId="0" borderId="3" xfId="0" applyFont="1" applyFill="1" applyBorder="1"/>
    <xf numFmtId="169" fontId="5" fillId="0" borderId="0" xfId="1" applyNumberFormat="1" applyFont="1" applyFill="1" applyBorder="1" applyAlignment="1">
      <alignment wrapText="1"/>
    </xf>
    <xf numFmtId="169" fontId="5" fillId="0" borderId="3" xfId="0" applyNumberFormat="1" applyFont="1" applyFill="1" applyBorder="1" applyAlignment="1">
      <alignment horizontal="left" vertical="center" wrapText="1"/>
    </xf>
    <xf numFmtId="0" fontId="5" fillId="0" borderId="3" xfId="36451" applyFont="1" applyFill="1" applyBorder="1" applyAlignment="1">
      <alignment horizontal="justify" vertical="center" wrapText="1"/>
    </xf>
    <xf numFmtId="169" fontId="5" fillId="0" borderId="3" xfId="7710" applyNumberFormat="1" applyFont="1" applyFill="1" applyBorder="1"/>
    <xf numFmtId="169" fontId="5" fillId="0" borderId="0" xfId="0" applyNumberFormat="1" applyFont="1" applyFill="1" applyBorder="1"/>
    <xf numFmtId="169" fontId="6" fillId="0" borderId="149" xfId="7710" applyNumberFormat="1" applyFont="1" applyFill="1" applyBorder="1" applyAlignment="1">
      <alignment horizontal="right"/>
    </xf>
    <xf numFmtId="169" fontId="5" fillId="0" borderId="3" xfId="0" applyNumberFormat="1" applyFont="1" applyFill="1" applyBorder="1" applyAlignment="1">
      <alignment vertical="center"/>
    </xf>
    <xf numFmtId="169" fontId="5" fillId="0" borderId="3" xfId="7710" applyNumberFormat="1" applyFont="1" applyFill="1" applyBorder="1" applyAlignment="1">
      <alignment horizontal="right"/>
    </xf>
    <xf numFmtId="169" fontId="5" fillId="0" borderId="149" xfId="7710" applyNumberFormat="1" applyFont="1" applyFill="1" applyBorder="1" applyAlignment="1">
      <alignment horizontal="right"/>
    </xf>
    <xf numFmtId="0" fontId="6" fillId="0" borderId="3" xfId="36451" applyFont="1" applyFill="1" applyBorder="1" applyAlignment="1">
      <alignment horizontal="justify" vertical="center" wrapText="1"/>
    </xf>
    <xf numFmtId="169" fontId="6" fillId="0" borderId="3" xfId="7710" applyNumberFormat="1" applyFont="1" applyFill="1" applyBorder="1"/>
    <xf numFmtId="169" fontId="6" fillId="0" borderId="34" xfId="0" applyNumberFormat="1" applyFont="1" applyFill="1" applyBorder="1"/>
    <xf numFmtId="169" fontId="5" fillId="0" borderId="3" xfId="7710" applyNumberFormat="1" applyFont="1" applyFill="1" applyBorder="1" applyAlignment="1">
      <alignment horizontal="right" vertical="center"/>
    </xf>
    <xf numFmtId="169" fontId="6" fillId="0" borderId="3" xfId="0" applyNumberFormat="1" applyFont="1" applyFill="1" applyBorder="1" applyAlignment="1">
      <alignment horizontal="right" vertical="center" wrapText="1"/>
    </xf>
    <xf numFmtId="169" fontId="6" fillId="0" borderId="3" xfId="7710" applyNumberFormat="1" applyFont="1" applyFill="1" applyBorder="1" applyAlignment="1">
      <alignment horizontal="right"/>
    </xf>
    <xf numFmtId="0" fontId="5" fillId="0" borderId="0" xfId="0" applyFont="1" applyFill="1" applyBorder="1" applyAlignment="1">
      <alignment vertical="center" wrapText="1"/>
    </xf>
    <xf numFmtId="0" fontId="6" fillId="0" borderId="0" xfId="36452" applyFont="1" applyFill="1" applyBorder="1" applyAlignment="1">
      <alignment horizontal="left" vertical="center" wrapText="1"/>
    </xf>
    <xf numFmtId="9" fontId="6" fillId="0" borderId="0" xfId="36251" applyNumberFormat="1" applyFont="1" applyFill="1" applyBorder="1" applyAlignment="1">
      <alignment horizontal="right"/>
    </xf>
    <xf numFmtId="0" fontId="5" fillId="0" borderId="0" xfId="36451" applyFont="1" applyFill="1" applyBorder="1" applyAlignment="1">
      <alignment horizontal="justify" vertical="center" wrapText="1"/>
    </xf>
    <xf numFmtId="0" fontId="6" fillId="0" borderId="98" xfId="5" applyFont="1" applyFill="1" applyBorder="1" applyAlignment="1" applyProtection="1">
      <alignment horizontal="center" vertical="center" wrapText="1"/>
    </xf>
    <xf numFmtId="0" fontId="6" fillId="0" borderId="0" xfId="13775" applyFont="1" applyFill="1" applyBorder="1" applyAlignment="1" applyProtection="1">
      <alignment vertical="center"/>
    </xf>
    <xf numFmtId="166" fontId="6" fillId="0" borderId="44" xfId="5" applyNumberFormat="1" applyFont="1" applyFill="1" applyBorder="1" applyAlignment="1" applyProtection="1">
      <alignment horizontal="right" vertical="center" indent="1"/>
    </xf>
    <xf numFmtId="3" fontId="5" fillId="0" borderId="0" xfId="29305" applyNumberFormat="1" applyFont="1" applyFill="1" applyBorder="1" applyAlignment="1" applyProtection="1">
      <alignment horizontal="left" vertical="center"/>
      <protection locked="0"/>
    </xf>
    <xf numFmtId="166" fontId="19" fillId="0" borderId="44" xfId="0" applyNumberFormat="1" applyFont="1" applyBorder="1" applyAlignment="1" applyProtection="1">
      <alignment horizontal="right" vertical="top" wrapText="1" readingOrder="1"/>
      <protection locked="0"/>
    </xf>
    <xf numFmtId="3" fontId="5" fillId="0" borderId="0" xfId="29305" applyNumberFormat="1" applyFont="1" applyFill="1" applyAlignment="1" applyProtection="1">
      <alignment horizontal="left" vertical="center"/>
      <protection locked="0"/>
    </xf>
    <xf numFmtId="166" fontId="5" fillId="0" borderId="0" xfId="5" applyNumberFormat="1" applyFont="1" applyFill="1" applyBorder="1" applyAlignment="1" applyProtection="1">
      <alignment horizontal="right" vertical="center" indent="1"/>
    </xf>
    <xf numFmtId="0" fontId="6" fillId="0" borderId="3" xfId="13775" applyFont="1" applyFill="1" applyBorder="1" applyAlignment="1" applyProtection="1">
      <alignment horizontal="center" vertical="center" wrapText="1"/>
    </xf>
    <xf numFmtId="166" fontId="6" fillId="0" borderId="0" xfId="13775" applyNumberFormat="1" applyFont="1" applyFill="1" applyBorder="1" applyAlignment="1" applyProtection="1">
      <alignment horizontal="right" vertical="center" indent="1"/>
    </xf>
    <xf numFmtId="0" fontId="6" fillId="0" borderId="3" xfId="8055" applyFont="1" applyFill="1" applyBorder="1" applyAlignment="1">
      <alignment horizontal="center" vertical="center" wrapText="1"/>
    </xf>
    <xf numFmtId="166" fontId="6" fillId="0" borderId="0" xfId="8055" applyNumberFormat="1" applyFont="1" applyBorder="1" applyAlignment="1"/>
    <xf numFmtId="166" fontId="6" fillId="0" borderId="0" xfId="8055" applyNumberFormat="1" applyFont="1" applyBorder="1"/>
    <xf numFmtId="175" fontId="18" fillId="0" borderId="0" xfId="9" applyNumberFormat="1" applyFont="1" applyBorder="1" applyAlignment="1" applyProtection="1">
      <alignment horizontal="left" wrapText="1" readingOrder="1"/>
      <protection locked="0"/>
    </xf>
    <xf numFmtId="175" fontId="18" fillId="0" borderId="0" xfId="9" applyNumberFormat="1" applyFont="1" applyBorder="1" applyAlignment="1" applyProtection="1">
      <alignment horizontal="left" vertical="top" wrapText="1" indent="5" readingOrder="1"/>
      <protection locked="0"/>
    </xf>
    <xf numFmtId="175" fontId="19" fillId="0" borderId="0" xfId="9" applyNumberFormat="1" applyFont="1" applyBorder="1" applyAlignment="1" applyProtection="1">
      <alignment horizontal="left" vertical="top" wrapText="1" indent="5" readingOrder="1"/>
      <protection locked="0"/>
    </xf>
    <xf numFmtId="175" fontId="19" fillId="0" borderId="0" xfId="9" applyNumberFormat="1" applyFont="1" applyBorder="1" applyAlignment="1" applyProtection="1">
      <alignment horizontal="left" wrapText="1" indent="5" readingOrder="1"/>
      <protection locked="0"/>
    </xf>
    <xf numFmtId="0" fontId="19" fillId="0" borderId="0" xfId="7" applyFont="1" applyBorder="1" applyAlignment="1" applyProtection="1">
      <alignment horizontal="justify" vertical="top" wrapText="1" readingOrder="1"/>
      <protection locked="0"/>
    </xf>
    <xf numFmtId="0" fontId="5" fillId="0" borderId="0" xfId="7" applyFont="1" applyBorder="1" applyAlignment="1" applyProtection="1">
      <alignment horizontal="justify" vertical="top" wrapText="1" readingOrder="1"/>
      <protection locked="0"/>
    </xf>
    <xf numFmtId="175" fontId="18" fillId="0" borderId="0" xfId="9" applyNumberFormat="1" applyFont="1" applyFill="1" applyBorder="1" applyAlignment="1" applyProtection="1">
      <alignment horizontal="center" vertical="top" wrapText="1" readingOrder="1"/>
      <protection locked="0"/>
    </xf>
    <xf numFmtId="175" fontId="5" fillId="0" borderId="0" xfId="7" applyNumberFormat="1" applyFont="1" applyFill="1" applyBorder="1"/>
    <xf numFmtId="175" fontId="18" fillId="0" borderId="0" xfId="9" applyNumberFormat="1" applyFont="1" applyFill="1" applyBorder="1" applyAlignment="1" applyProtection="1">
      <alignment horizontal="center" vertical="center" wrapText="1" readingOrder="1"/>
      <protection locked="0"/>
    </xf>
    <xf numFmtId="175" fontId="19" fillId="0" borderId="0" xfId="9" applyNumberFormat="1" applyFont="1" applyFill="1" applyBorder="1" applyAlignment="1" applyProtection="1">
      <alignment horizontal="center" vertical="top" wrapText="1" readingOrder="1"/>
      <protection locked="0"/>
    </xf>
    <xf numFmtId="175" fontId="19" fillId="0" borderId="0" xfId="9" applyNumberFormat="1" applyFont="1" applyFill="1" applyBorder="1" applyAlignment="1" applyProtection="1">
      <alignment horizontal="center" vertical="center" wrapText="1" readingOrder="1"/>
      <protection locked="0"/>
    </xf>
    <xf numFmtId="175" fontId="18" fillId="0" borderId="0" xfId="9" applyNumberFormat="1" applyFont="1" applyBorder="1" applyAlignment="1" applyProtection="1">
      <alignment horizontal="center" vertical="top" wrapText="1" readingOrder="1"/>
      <protection locked="0"/>
    </xf>
    <xf numFmtId="175" fontId="18" fillId="0" borderId="0" xfId="9" applyNumberFormat="1" applyFont="1" applyBorder="1" applyAlignment="1" applyProtection="1">
      <alignment horizontal="center" vertical="center" wrapText="1" readingOrder="1"/>
      <protection locked="0"/>
    </xf>
    <xf numFmtId="175" fontId="19" fillId="0" borderId="0" xfId="9" applyNumberFormat="1" applyFont="1" applyBorder="1" applyAlignment="1" applyProtection="1">
      <alignment horizontal="center" vertical="center" wrapText="1" readingOrder="1"/>
      <protection locked="0"/>
    </xf>
    <xf numFmtId="175" fontId="6" fillId="0" borderId="0" xfId="9" applyNumberFormat="1" applyFont="1" applyFill="1" applyBorder="1" applyAlignment="1">
      <alignment horizontal="center"/>
    </xf>
    <xf numFmtId="3" fontId="18" fillId="0" borderId="3" xfId="7" applyNumberFormat="1" applyFont="1" applyBorder="1" applyAlignment="1" applyProtection="1">
      <alignment horizontal="center" wrapText="1" readingOrder="1"/>
      <protection locked="0"/>
    </xf>
    <xf numFmtId="3" fontId="18" fillId="0" borderId="3" xfId="7" applyNumberFormat="1" applyFont="1" applyFill="1" applyBorder="1" applyAlignment="1" applyProtection="1">
      <alignment horizontal="center" wrapText="1" readingOrder="1"/>
      <protection locked="0"/>
    </xf>
    <xf numFmtId="3" fontId="5" fillId="0" borderId="0" xfId="7" applyNumberFormat="1" applyFont="1" applyBorder="1"/>
    <xf numFmtId="3" fontId="18" fillId="0" borderId="0" xfId="7" applyNumberFormat="1" applyFont="1" applyFill="1" applyBorder="1" applyAlignment="1" applyProtection="1">
      <alignment horizontal="left" vertical="center" wrapText="1" readingOrder="1"/>
      <protection locked="0"/>
    </xf>
    <xf numFmtId="3" fontId="19" fillId="0" borderId="0" xfId="7" applyNumberFormat="1" applyFont="1" applyBorder="1" applyAlignment="1" applyProtection="1">
      <alignment horizontal="center" vertical="center" wrapText="1" readingOrder="1"/>
      <protection locked="0"/>
    </xf>
    <xf numFmtId="0" fontId="6" fillId="0" borderId="3" xfId="7" applyFont="1" applyBorder="1" applyAlignment="1" applyProtection="1">
      <alignment horizontal="center" vertical="center" wrapText="1" readingOrder="1"/>
      <protection locked="0"/>
    </xf>
    <xf numFmtId="0" fontId="6" fillId="0" borderId="0" xfId="7" applyFont="1" applyBorder="1" applyAlignment="1" applyProtection="1">
      <alignment vertical="top" wrapText="1" readingOrder="1"/>
      <protection locked="0"/>
    </xf>
    <xf numFmtId="175" fontId="6" fillId="0" borderId="0" xfId="9" applyNumberFormat="1" applyFont="1" applyBorder="1" applyAlignment="1" applyProtection="1">
      <alignment horizontal="center" vertical="top" wrapText="1" readingOrder="1"/>
      <protection locked="0"/>
    </xf>
    <xf numFmtId="0" fontId="5" fillId="0" borderId="0" xfId="7" applyFont="1" applyBorder="1" applyAlignment="1" applyProtection="1">
      <alignment vertical="top" wrapText="1" readingOrder="1"/>
      <protection locked="0"/>
    </xf>
    <xf numFmtId="175" fontId="5" fillId="0" borderId="0" xfId="9" applyNumberFormat="1" applyFont="1" applyBorder="1" applyAlignment="1" applyProtection="1">
      <alignment horizontal="center" vertical="top" wrapText="1" readingOrder="1"/>
      <protection locked="0"/>
    </xf>
    <xf numFmtId="0" fontId="6" fillId="0" borderId="0" xfId="10" applyFont="1" applyFill="1" applyBorder="1"/>
    <xf numFmtId="166" fontId="6" fillId="0" borderId="0" xfId="7" applyNumberFormat="1" applyFont="1" applyFill="1" applyBorder="1" applyAlignment="1">
      <alignment horizontal="right" vertical="center" wrapText="1"/>
    </xf>
    <xf numFmtId="0" fontId="5" fillId="0" borderId="0" xfId="10" applyFont="1" applyFill="1" applyBorder="1"/>
    <xf numFmtId="166" fontId="6" fillId="0" borderId="0" xfId="7" applyNumberFormat="1" applyFont="1" applyFill="1" applyBorder="1" applyAlignment="1">
      <alignment horizontal="right"/>
    </xf>
    <xf numFmtId="169" fontId="5" fillId="0" borderId="0" xfId="7710" applyNumberFormat="1" applyFont="1" applyFill="1"/>
    <xf numFmtId="0" fontId="5" fillId="0" borderId="0" xfId="7" applyFont="1" applyFill="1" applyAlignment="1">
      <alignment vertical="center"/>
    </xf>
    <xf numFmtId="0" fontId="5" fillId="0" borderId="94" xfId="7" applyFont="1" applyFill="1" applyBorder="1" applyAlignment="1"/>
    <xf numFmtId="166" fontId="6" fillId="0" borderId="0" xfId="7" applyNumberFormat="1" applyFont="1" applyFill="1" applyBorder="1"/>
    <xf numFmtId="166" fontId="5" fillId="0" borderId="0" xfId="7" applyNumberFormat="1" applyFont="1" applyFill="1"/>
    <xf numFmtId="0" fontId="5" fillId="0" borderId="0" xfId="10" applyFont="1" applyFill="1" applyAlignment="1"/>
    <xf numFmtId="0" fontId="79" fillId="0" borderId="0" xfId="0" applyFont="1" applyBorder="1"/>
    <xf numFmtId="0" fontId="0" fillId="0" borderId="0" xfId="0" applyBorder="1"/>
    <xf numFmtId="0" fontId="80" fillId="0" borderId="0" xfId="0" applyFont="1" applyBorder="1" applyAlignment="1">
      <alignment horizontal="right" wrapText="1"/>
    </xf>
    <xf numFmtId="0" fontId="80" fillId="0" borderId="0" xfId="0" applyFont="1" applyBorder="1" applyAlignment="1">
      <alignment horizontal="justify" wrapText="1"/>
    </xf>
    <xf numFmtId="0" fontId="81" fillId="0" borderId="0" xfId="0" applyFont="1" applyBorder="1" applyAlignment="1">
      <alignment horizontal="justify"/>
    </xf>
    <xf numFmtId="0" fontId="82" fillId="0" borderId="0" xfId="0" applyFont="1" applyBorder="1"/>
    <xf numFmtId="0" fontId="83" fillId="0" borderId="0" xfId="0" applyFont="1" applyBorder="1" applyAlignment="1">
      <alignment vertical="top" wrapText="1"/>
    </xf>
    <xf numFmtId="0" fontId="84" fillId="0" borderId="0" xfId="0" applyFont="1" applyBorder="1" applyAlignment="1">
      <alignment vertical="top" wrapText="1"/>
    </xf>
    <xf numFmtId="0" fontId="85" fillId="0" borderId="0" xfId="0" applyFont="1" applyBorder="1" applyAlignment="1">
      <alignment vertical="top" wrapText="1"/>
    </xf>
    <xf numFmtId="0" fontId="86" fillId="0" borderId="0" xfId="36453" applyBorder="1" applyAlignment="1" applyProtection="1">
      <alignment vertical="top" wrapText="1"/>
    </xf>
    <xf numFmtId="0" fontId="0" fillId="0" borderId="0" xfId="0" applyBorder="1" applyAlignment="1">
      <alignment vertical="top" wrapText="1"/>
    </xf>
    <xf numFmtId="0" fontId="87" fillId="0" borderId="0" xfId="0" applyFont="1" applyAlignment="1">
      <alignment vertical="top" wrapText="1"/>
    </xf>
    <xf numFmtId="0" fontId="82" fillId="0" borderId="0" xfId="0" applyFont="1" applyAlignment="1">
      <alignment vertical="top"/>
    </xf>
    <xf numFmtId="0" fontId="84" fillId="0" borderId="0" xfId="0" applyFont="1" applyAlignment="1">
      <alignment vertical="top"/>
    </xf>
    <xf numFmtId="0" fontId="84" fillId="0" borderId="0" xfId="0" applyFont="1" applyAlignment="1">
      <alignment horizontal="right" vertical="top"/>
    </xf>
    <xf numFmtId="0" fontId="79" fillId="0" borderId="0" xfId="0" applyFont="1" applyAlignment="1"/>
    <xf numFmtId="0" fontId="0" fillId="0" borderId="0" xfId="0" applyAlignment="1"/>
    <xf numFmtId="0" fontId="6" fillId="0" borderId="0" xfId="4" applyFont="1" applyFill="1" applyBorder="1" applyAlignment="1">
      <alignment wrapText="1"/>
    </xf>
    <xf numFmtId="175" fontId="18" fillId="0" borderId="0" xfId="1" applyNumberFormat="1" applyFont="1" applyFill="1" applyBorder="1" applyAlignment="1" applyProtection="1">
      <alignment horizontal="right" vertical="top" wrapText="1" readingOrder="1"/>
      <protection locked="0"/>
    </xf>
    <xf numFmtId="0" fontId="5" fillId="0" borderId="0" xfId="4" applyFont="1" applyFill="1" applyBorder="1" applyAlignment="1">
      <alignment wrapText="1"/>
    </xf>
    <xf numFmtId="0" fontId="5" fillId="0" borderId="0" xfId="4" applyFont="1" applyFill="1" applyAlignment="1">
      <alignment horizontal="left"/>
    </xf>
    <xf numFmtId="0" fontId="5" fillId="0" borderId="0" xfId="4" applyFont="1" applyFill="1" applyAlignment="1">
      <alignment horizontal="center" wrapText="1"/>
    </xf>
    <xf numFmtId="49" fontId="5" fillId="0" borderId="0" xfId="4" applyNumberFormat="1" applyFont="1" applyFill="1" applyAlignment="1">
      <alignment wrapText="1"/>
    </xf>
    <xf numFmtId="0" fontId="6" fillId="0" borderId="0" xfId="7" applyFont="1" applyFill="1" applyBorder="1" applyAlignment="1">
      <alignment horizontal="left" wrapText="1"/>
    </xf>
    <xf numFmtId="3" fontId="6" fillId="0" borderId="0" xfId="7" applyNumberFormat="1" applyFont="1" applyFill="1" applyBorder="1" applyAlignment="1">
      <alignment horizontal="right"/>
    </xf>
    <xf numFmtId="3" fontId="5" fillId="0" borderId="0" xfId="7" applyNumberFormat="1" applyFont="1" applyFill="1" applyBorder="1" applyAlignment="1" applyProtection="1">
      <alignment horizontal="left" vertical="center" wrapText="1"/>
      <protection locked="0"/>
    </xf>
    <xf numFmtId="3" fontId="5" fillId="0" borderId="0" xfId="7" applyNumberFormat="1" applyFont="1" applyFill="1" applyBorder="1" applyAlignment="1">
      <alignment horizontal="right"/>
    </xf>
    <xf numFmtId="3" fontId="5" fillId="0" borderId="0" xfId="7" applyNumberFormat="1" applyFont="1" applyFill="1" applyAlignment="1">
      <alignment horizontal="right"/>
    </xf>
    <xf numFmtId="3" fontId="5" fillId="0" borderId="0" xfId="7" applyNumberFormat="1" applyFont="1" applyFill="1" applyBorder="1" applyAlignment="1" applyProtection="1">
      <alignment horizontal="left" vertical="center"/>
      <protection locked="0"/>
    </xf>
    <xf numFmtId="0" fontId="54" fillId="0" borderId="0" xfId="7" applyFont="1" applyFill="1" applyAlignment="1">
      <alignment horizontal="left"/>
    </xf>
    <xf numFmtId="0" fontId="54" fillId="0" borderId="0" xfId="7" applyFont="1" applyFill="1"/>
    <xf numFmtId="0" fontId="4" fillId="0" borderId="0" xfId="7" applyFont="1" applyFill="1"/>
    <xf numFmtId="0" fontId="4" fillId="0" borderId="0" xfId="7" applyFont="1" applyFill="1" applyAlignment="1">
      <alignment vertical="center"/>
    </xf>
    <xf numFmtId="0" fontId="4" fillId="0" borderId="0" xfId="7" applyFont="1" applyFill="1" applyAlignment="1">
      <alignment wrapText="1"/>
    </xf>
    <xf numFmtId="0" fontId="6" fillId="0" borderId="0" xfId="36454" applyFont="1" applyFill="1" applyBorder="1"/>
    <xf numFmtId="3" fontId="6" fillId="0" borderId="0" xfId="7" applyNumberFormat="1" applyFont="1" applyFill="1" applyBorder="1"/>
    <xf numFmtId="169" fontId="5" fillId="0" borderId="0" xfId="7710" applyNumberFormat="1" applyFont="1" applyFill="1" applyBorder="1"/>
    <xf numFmtId="0" fontId="5" fillId="0" borderId="0" xfId="7" applyFont="1" applyFill="1" applyAlignment="1">
      <alignment horizontal="justify" wrapText="1"/>
    </xf>
    <xf numFmtId="0" fontId="6" fillId="0" borderId="0" xfId="7" applyFont="1" applyFill="1" applyAlignment="1"/>
    <xf numFmtId="0" fontId="6" fillId="0" borderId="98" xfId="7" applyFont="1" applyFill="1" applyBorder="1" applyAlignment="1">
      <alignment horizontal="center" vertical="center"/>
    </xf>
    <xf numFmtId="166" fontId="5" fillId="0" borderId="0" xfId="7" applyNumberFormat="1" applyFont="1" applyFill="1" applyBorder="1"/>
    <xf numFmtId="166" fontId="5" fillId="0" borderId="0" xfId="7710" applyNumberFormat="1" applyFont="1" applyFill="1" applyBorder="1"/>
    <xf numFmtId="166" fontId="5" fillId="0" borderId="0" xfId="7710" applyNumberFormat="1" applyFont="1" applyFill="1"/>
    <xf numFmtId="0" fontId="6" fillId="0" borderId="3" xfId="7" applyFont="1" applyFill="1" applyBorder="1" applyAlignment="1">
      <alignment horizontal="center" vertical="center" wrapText="1"/>
    </xf>
    <xf numFmtId="0" fontId="5" fillId="0" borderId="0" xfId="7" applyFont="1" applyFill="1" applyBorder="1"/>
    <xf numFmtId="0" fontId="5" fillId="0" borderId="0" xfId="7" applyFont="1" applyFill="1"/>
    <xf numFmtId="0" fontId="6" fillId="0" borderId="3" xfId="7" applyFont="1" applyFill="1" applyBorder="1" applyAlignment="1">
      <alignment horizontal="center" vertical="center"/>
    </xf>
    <xf numFmtId="0" fontId="6" fillId="0" borderId="34" xfId="7"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xf numFmtId="10" fontId="6" fillId="0" borderId="0" xfId="3" applyNumberFormat="1" applyFont="1" applyFill="1" applyBorder="1" applyAlignment="1">
      <alignment horizontal="right"/>
    </xf>
    <xf numFmtId="3" fontId="6" fillId="0" borderId="0" xfId="0" applyNumberFormat="1" applyFont="1" applyFill="1" applyBorder="1"/>
    <xf numFmtId="10" fontId="5" fillId="0" borderId="0" xfId="3" applyNumberFormat="1" applyFont="1" applyFill="1" applyBorder="1" applyAlignment="1">
      <alignment horizontal="right"/>
    </xf>
    <xf numFmtId="10" fontId="5" fillId="0" borderId="0" xfId="3" applyNumberFormat="1" applyFont="1" applyFill="1"/>
    <xf numFmtId="0" fontId="6" fillId="0" borderId="33" xfId="0" applyFont="1" applyFill="1" applyBorder="1" applyAlignment="1">
      <alignment horizontal="center" vertical="center"/>
    </xf>
    <xf numFmtId="0" fontId="6" fillId="0" borderId="0" xfId="0" applyFont="1" applyFill="1" applyBorder="1" applyAlignment="1">
      <alignment horizontal="left" vertical="center" wrapText="1"/>
    </xf>
    <xf numFmtId="3" fontId="6" fillId="0" borderId="0" xfId="0" applyNumberFormat="1" applyFont="1" applyFill="1" applyBorder="1" applyAlignment="1">
      <alignment horizontal="right" vertical="center" wrapText="1"/>
    </xf>
    <xf numFmtId="169" fontId="6" fillId="0" borderId="0" xfId="1" applyNumberFormat="1" applyFont="1" applyFill="1" applyBorder="1" applyAlignment="1">
      <alignment horizontal="center" vertical="center" wrapText="1"/>
    </xf>
    <xf numFmtId="0" fontId="5" fillId="0" borderId="0" xfId="0" applyFont="1" applyFill="1" applyAlignment="1">
      <alignment horizontal="left" vertical="center" indent="1"/>
    </xf>
    <xf numFmtId="3" fontId="5" fillId="0" borderId="0" xfId="0" applyNumberFormat="1" applyFont="1" applyFill="1"/>
    <xf numFmtId="0" fontId="5" fillId="0" borderId="0" xfId="0" applyFont="1" applyFill="1" applyAlignment="1">
      <alignment vertical="center" wrapText="1"/>
    </xf>
    <xf numFmtId="168" fontId="5" fillId="0" borderId="0" xfId="1" applyFont="1" applyFill="1"/>
    <xf numFmtId="1" fontId="5" fillId="0" borderId="0" xfId="0" applyNumberFormat="1" applyFont="1" applyFill="1"/>
    <xf numFmtId="197" fontId="49" fillId="0" borderId="0" xfId="0" applyNumberFormat="1" applyFont="1" applyFill="1"/>
    <xf numFmtId="198" fontId="49" fillId="0" borderId="0" xfId="0" applyNumberFormat="1" applyFont="1" applyFill="1"/>
    <xf numFmtId="0" fontId="6" fillId="0" borderId="3" xfId="0" applyFont="1" applyFill="1" applyBorder="1" applyAlignment="1">
      <alignment horizontal="center"/>
    </xf>
    <xf numFmtId="0" fontId="5" fillId="0" borderId="0" xfId="11" applyFont="1" applyFill="1" applyBorder="1" applyAlignment="1"/>
    <xf numFmtId="0" fontId="5" fillId="0" borderId="0" xfId="0" applyNumberFormat="1" applyFont="1" applyFill="1" applyBorder="1" applyAlignment="1">
      <alignment horizontal="left" vertical="top"/>
    </xf>
    <xf numFmtId="49" fontId="5" fillId="0" borderId="0" xfId="0" applyNumberFormat="1" applyFont="1" applyFill="1" applyBorder="1" applyAlignment="1">
      <alignment vertical="center" wrapText="1"/>
    </xf>
    <xf numFmtId="0" fontId="6" fillId="0" borderId="3" xfId="0" applyFont="1" applyFill="1" applyBorder="1" applyAlignment="1">
      <alignment horizontal="left" vertical="center" wrapText="1"/>
    </xf>
    <xf numFmtId="49" fontId="5" fillId="0" borderId="0" xfId="0" applyNumberFormat="1" applyFont="1" applyFill="1" applyAlignment="1">
      <alignment vertical="center" wrapText="1"/>
    </xf>
    <xf numFmtId="0" fontId="5" fillId="0" borderId="0" xfId="11" applyFont="1" applyFill="1" applyBorder="1" applyAlignment="1">
      <alignment horizontal="left" wrapText="1"/>
    </xf>
    <xf numFmtId="169" fontId="6" fillId="0" borderId="0" xfId="1" applyNumberFormat="1" applyFont="1" applyFill="1" applyBorder="1"/>
    <xf numFmtId="0" fontId="6" fillId="0" borderId="0" xfId="0" applyFont="1" applyFill="1" applyAlignment="1">
      <alignment horizontal="left" vertical="center" wrapText="1"/>
    </xf>
    <xf numFmtId="0" fontId="6" fillId="0" borderId="0" xfId="0" applyFont="1" applyFill="1" applyBorder="1" applyAlignment="1">
      <alignment wrapText="1"/>
    </xf>
    <xf numFmtId="0" fontId="5" fillId="0" borderId="0" xfId="0" applyFont="1" applyFill="1" applyAlignment="1">
      <alignment horizontal="left" wrapText="1" indent="1"/>
    </xf>
    <xf numFmtId="169" fontId="6" fillId="0" borderId="0" xfId="1" applyNumberFormat="1" applyFont="1" applyFill="1" applyAlignment="1"/>
    <xf numFmtId="0" fontId="5" fillId="0" borderId="0" xfId="0" applyFont="1" applyFill="1" applyBorder="1" applyAlignment="1">
      <alignment horizontal="right"/>
    </xf>
    <xf numFmtId="0" fontId="5" fillId="0" borderId="0" xfId="0" applyFont="1" applyFill="1" applyBorder="1" applyAlignment="1">
      <alignment horizontal="justify" vertical="justify" wrapText="1"/>
    </xf>
    <xf numFmtId="0" fontId="6" fillId="0" borderId="0" xfId="0" applyFont="1" applyFill="1" applyAlignment="1">
      <alignment horizontal="left" vertical="center"/>
    </xf>
    <xf numFmtId="0" fontId="6" fillId="0" borderId="3" xfId="0" applyFont="1" applyFill="1" applyBorder="1"/>
    <xf numFmtId="0" fontId="6" fillId="0" borderId="3" xfId="0" applyFont="1" applyFill="1" applyBorder="1" applyAlignment="1">
      <alignment vertical="center"/>
    </xf>
    <xf numFmtId="0" fontId="6" fillId="0" borderId="3" xfId="0" applyFont="1" applyFill="1" applyBorder="1" applyAlignment="1">
      <alignment horizontal="right" vertical="center"/>
    </xf>
    <xf numFmtId="0" fontId="6" fillId="0" borderId="3" xfId="0" applyFont="1" applyFill="1" applyBorder="1" applyAlignment="1">
      <alignment horizontal="left" vertical="center"/>
    </xf>
    <xf numFmtId="0" fontId="6" fillId="0" borderId="3" xfId="0" applyFont="1" applyFill="1" applyBorder="1" applyAlignment="1">
      <alignment horizontal="right"/>
    </xf>
    <xf numFmtId="0" fontId="5" fillId="0" borderId="0" xfId="0" applyFont="1" applyFill="1" applyBorder="1" applyAlignment="1">
      <alignment horizontal="center" vertical="center"/>
    </xf>
    <xf numFmtId="0" fontId="6" fillId="0" borderId="0" xfId="1" applyNumberFormat="1" applyFont="1" applyFill="1" applyBorder="1"/>
    <xf numFmtId="0" fontId="6" fillId="0" borderId="0" xfId="0" applyFont="1" applyFill="1" applyBorder="1" applyAlignment="1">
      <alignment horizontal="left" wrapText="1" indent="1"/>
    </xf>
    <xf numFmtId="0" fontId="5" fillId="0" borderId="0" xfId="0" applyFont="1" applyFill="1" applyBorder="1" applyAlignment="1">
      <alignment horizontal="left" wrapText="1" indent="1"/>
    </xf>
    <xf numFmtId="0" fontId="5" fillId="0" borderId="0" xfId="11" applyFont="1" applyFill="1" applyBorder="1" applyAlignment="1">
      <alignment wrapText="1"/>
    </xf>
    <xf numFmtId="0" fontId="6" fillId="0" borderId="0" xfId="0" applyFont="1" applyFill="1" applyBorder="1" applyAlignment="1">
      <alignment horizontal="right"/>
    </xf>
    <xf numFmtId="166" fontId="6" fillId="0" borderId="0" xfId="0" applyNumberFormat="1" applyFont="1" applyFill="1" applyBorder="1" applyAlignment="1">
      <alignment horizontal="right"/>
    </xf>
    <xf numFmtId="3" fontId="9" fillId="0" borderId="94" xfId="36428" applyNumberFormat="1" applyFont="1" applyFill="1" applyBorder="1"/>
    <xf numFmtId="9" fontId="9" fillId="0" borderId="94" xfId="36430" applyNumberFormat="1" applyFont="1" applyBorder="1"/>
    <xf numFmtId="3" fontId="9" fillId="0" borderId="94" xfId="36428" applyNumberFormat="1" applyFont="1" applyFill="1" applyBorder="1" applyAlignment="1">
      <alignment wrapText="1"/>
    </xf>
    <xf numFmtId="0" fontId="8" fillId="0" borderId="150" xfId="36428" applyFont="1" applyFill="1" applyBorder="1" applyAlignment="1"/>
    <xf numFmtId="0" fontId="6" fillId="0" borderId="0" xfId="36455" applyFont="1" applyFill="1" applyBorder="1" applyAlignment="1">
      <alignment vertical="center"/>
    </xf>
    <xf numFmtId="0" fontId="9" fillId="0" borderId="0" xfId="7" applyFont="1" applyFill="1" applyAlignment="1"/>
    <xf numFmtId="0" fontId="8" fillId="0" borderId="3" xfId="7" applyFont="1" applyFill="1" applyBorder="1" applyAlignment="1">
      <alignment horizontal="center"/>
    </xf>
    <xf numFmtId="0" fontId="6" fillId="0" borderId="34" xfId="36455" applyFont="1" applyFill="1" applyBorder="1" applyAlignment="1">
      <alignment horizontal="center" vertical="center"/>
    </xf>
    <xf numFmtId="0" fontId="6" fillId="0" borderId="0" xfId="36455" applyFont="1" applyFill="1" applyBorder="1" applyAlignment="1">
      <alignment horizontal="center" vertical="center"/>
    </xf>
    <xf numFmtId="0" fontId="6" fillId="0" borderId="0" xfId="36455" applyFont="1" applyFill="1" applyAlignment="1">
      <alignment vertical="center" wrapText="1"/>
    </xf>
    <xf numFmtId="166" fontId="6" fillId="0" borderId="0" xfId="36455" applyNumberFormat="1" applyFont="1" applyFill="1"/>
    <xf numFmtId="0" fontId="6" fillId="0" borderId="0" xfId="36455" applyFont="1" applyFill="1" applyBorder="1"/>
    <xf numFmtId="166" fontId="9" fillId="0" borderId="0" xfId="7" applyNumberFormat="1" applyFont="1" applyFill="1" applyAlignment="1"/>
    <xf numFmtId="0" fontId="5" fillId="0" borderId="0" xfId="36455" applyFont="1" applyFill="1" applyAlignment="1">
      <alignment vertical="center" wrapText="1"/>
    </xf>
    <xf numFmtId="166" fontId="8" fillId="0" borderId="0" xfId="7" applyNumberFormat="1" applyFont="1" applyFill="1" applyAlignment="1"/>
    <xf numFmtId="166" fontId="5" fillId="0" borderId="0" xfId="36455" applyNumberFormat="1" applyFont="1" applyFill="1"/>
    <xf numFmtId="0" fontId="5" fillId="0" borderId="0" xfId="36455" applyFont="1" applyFill="1" applyBorder="1" applyAlignment="1">
      <alignment vertical="center" wrapText="1"/>
    </xf>
    <xf numFmtId="166" fontId="5" fillId="0" borderId="0" xfId="36455" applyNumberFormat="1" applyFont="1" applyFill="1" applyBorder="1"/>
    <xf numFmtId="0" fontId="6" fillId="0" borderId="0" xfId="36455" applyFont="1" applyFill="1" applyBorder="1" applyAlignment="1">
      <alignment vertical="center" wrapText="1"/>
    </xf>
    <xf numFmtId="0" fontId="5" fillId="0" borderId="0" xfId="36455" applyFont="1" applyFill="1" applyBorder="1"/>
    <xf numFmtId="0" fontId="9" fillId="0" borderId="0" xfId="7" applyFont="1" applyFill="1" applyBorder="1" applyAlignment="1"/>
    <xf numFmtId="0" fontId="9" fillId="0" borderId="0" xfId="36420" applyFont="1" applyFill="1" applyAlignment="1">
      <alignment wrapText="1"/>
    </xf>
    <xf numFmtId="0" fontId="6" fillId="0" borderId="0" xfId="36456" applyFont="1" applyFill="1" applyBorder="1"/>
    <xf numFmtId="0" fontId="5" fillId="0" borderId="0" xfId="36456" applyFont="1" applyFill="1" applyBorder="1"/>
    <xf numFmtId="0" fontId="8" fillId="0" borderId="34" xfId="36420" applyFont="1" applyFill="1" applyBorder="1" applyAlignment="1">
      <alignment horizontal="center" vertical="center" wrapText="1"/>
    </xf>
    <xf numFmtId="0" fontId="8" fillId="0" borderId="149" xfId="36420" applyFont="1" applyFill="1" applyBorder="1" applyAlignment="1">
      <alignment wrapText="1"/>
    </xf>
    <xf numFmtId="166" fontId="8" fillId="0" borderId="0" xfId="36420" applyNumberFormat="1" applyFont="1" applyFill="1" applyBorder="1" applyAlignment="1">
      <alignment wrapText="1"/>
    </xf>
    <xf numFmtId="166" fontId="8" fillId="0" borderId="39" xfId="36420" applyNumberFormat="1" applyFont="1" applyFill="1" applyBorder="1" applyAlignment="1">
      <alignment wrapText="1"/>
    </xf>
    <xf numFmtId="0" fontId="8" fillId="0" borderId="40" xfId="36420" applyFont="1" applyFill="1" applyBorder="1" applyAlignment="1">
      <alignment wrapText="1"/>
    </xf>
    <xf numFmtId="166" fontId="6" fillId="0" borderId="39" xfId="36456" applyNumberFormat="1" applyFont="1" applyFill="1" applyBorder="1"/>
    <xf numFmtId="0" fontId="9" fillId="0" borderId="40" xfId="36420" applyFont="1" applyFill="1" applyBorder="1" applyAlignment="1">
      <alignment wrapText="1"/>
    </xf>
    <xf numFmtId="166" fontId="9" fillId="0" borderId="0" xfId="36420" applyNumberFormat="1" applyFont="1" applyFill="1" applyBorder="1" applyAlignment="1">
      <alignment wrapText="1"/>
    </xf>
    <xf numFmtId="166" fontId="9" fillId="0" borderId="39" xfId="36420" applyNumberFormat="1" applyFont="1" applyFill="1" applyBorder="1" applyAlignment="1">
      <alignment wrapText="1"/>
    </xf>
    <xf numFmtId="0" fontId="9" fillId="0" borderId="34" xfId="36420" applyFont="1" applyFill="1" applyBorder="1" applyAlignment="1">
      <alignment wrapText="1"/>
    </xf>
    <xf numFmtId="166" fontId="9" fillId="0" borderId="94" xfId="36420" applyNumberFormat="1" applyFont="1" applyFill="1" applyBorder="1" applyAlignment="1">
      <alignment wrapText="1"/>
    </xf>
    <xf numFmtId="166" fontId="9" fillId="0" borderId="151" xfId="36420" applyNumberFormat="1" applyFont="1" applyFill="1" applyBorder="1" applyAlignment="1">
      <alignment wrapText="1"/>
    </xf>
    <xf numFmtId="0" fontId="9" fillId="0" borderId="0" xfId="36420" applyFont="1" applyFill="1" applyBorder="1" applyAlignment="1">
      <alignment wrapText="1"/>
    </xf>
    <xf numFmtId="0" fontId="9" fillId="0" borderId="0" xfId="36420" applyFont="1" applyFill="1" applyBorder="1" applyAlignment="1">
      <alignment vertical="center"/>
    </xf>
    <xf numFmtId="0" fontId="8" fillId="0" borderId="0" xfId="36420" applyFont="1" applyFill="1" applyBorder="1" applyAlignment="1">
      <alignment vertical="center" wrapText="1"/>
    </xf>
    <xf numFmtId="0" fontId="9" fillId="0" borderId="0" xfId="36420" applyFont="1" applyFill="1" applyAlignment="1">
      <alignment vertical="center" wrapText="1"/>
    </xf>
    <xf numFmtId="0" fontId="8" fillId="0" borderId="0" xfId="36420" applyFont="1" applyFill="1" applyBorder="1" applyAlignment="1">
      <alignment horizontal="center" vertical="center" wrapText="1"/>
    </xf>
    <xf numFmtId="0" fontId="9" fillId="0" borderId="0" xfId="36420" applyFont="1" applyFill="1" applyBorder="1" applyAlignment="1">
      <alignment vertical="top"/>
    </xf>
    <xf numFmtId="0" fontId="9" fillId="0" borderId="0" xfId="36420" applyFont="1" applyFill="1" applyBorder="1" applyAlignment="1">
      <alignment horizontal="left" vertical="top"/>
    </xf>
    <xf numFmtId="0" fontId="8" fillId="0" borderId="0" xfId="36420" applyFont="1" applyAlignment="1">
      <alignment horizontal="left" vertical="top"/>
    </xf>
    <xf numFmtId="0" fontId="8" fillId="0" borderId="0" xfId="36420" applyFont="1" applyAlignment="1">
      <alignment wrapText="1"/>
    </xf>
    <xf numFmtId="166" fontId="6" fillId="0" borderId="0" xfId="36456" applyNumberFormat="1" applyFont="1" applyFill="1" applyBorder="1"/>
    <xf numFmtId="0" fontId="5" fillId="0" borderId="0" xfId="36456" applyFont="1" applyFill="1" applyAlignment="1">
      <alignment vertical="center"/>
    </xf>
    <xf numFmtId="0" fontId="6" fillId="0" borderId="151" xfId="7" applyFont="1" applyFill="1" applyBorder="1" applyAlignment="1">
      <alignment horizontal="center" vertical="center" wrapText="1"/>
    </xf>
    <xf numFmtId="166" fontId="6" fillId="0" borderId="0" xfId="7" applyNumberFormat="1" applyFont="1" applyFill="1" applyBorder="1" applyAlignment="1">
      <alignment wrapText="1"/>
    </xf>
    <xf numFmtId="166" fontId="6" fillId="0" borderId="0" xfId="7" applyNumberFormat="1" applyFont="1" applyFill="1" applyBorder="1" applyAlignment="1"/>
    <xf numFmtId="166" fontId="5" fillId="0" borderId="0" xfId="7" applyNumberFormat="1" applyFont="1" applyFill="1" applyBorder="1" applyAlignment="1"/>
    <xf numFmtId="0" fontId="6" fillId="0" borderId="0" xfId="7" applyFont="1" applyFill="1" applyBorder="1" applyAlignment="1">
      <alignment horizontal="center" vertical="center" wrapText="1"/>
    </xf>
    <xf numFmtId="0" fontId="6" fillId="0" borderId="149" xfId="7" applyFont="1" applyFill="1" applyBorder="1" applyAlignment="1">
      <alignment horizontal="center" wrapText="1"/>
    </xf>
    <xf numFmtId="0" fontId="6" fillId="0" borderId="3" xfId="7" applyFont="1" applyFill="1" applyBorder="1" applyAlignment="1">
      <alignment horizontal="center"/>
    </xf>
    <xf numFmtId="169" fontId="6" fillId="0" borderId="150" xfId="7705" applyNumberFormat="1" applyFont="1" applyFill="1" applyBorder="1" applyAlignment="1">
      <alignment horizontal="right"/>
    </xf>
    <xf numFmtId="169" fontId="6" fillId="0" borderId="0" xfId="7705" applyNumberFormat="1" applyFont="1" applyFill="1" applyAlignment="1">
      <alignment horizontal="right"/>
    </xf>
    <xf numFmtId="169" fontId="5" fillId="0" borderId="0" xfId="7705" applyNumberFormat="1" applyFont="1" applyFill="1" applyAlignment="1">
      <alignment horizontal="right"/>
    </xf>
    <xf numFmtId="0" fontId="5" fillId="0" borderId="0" xfId="36457" applyFont="1" applyFill="1" applyBorder="1" applyAlignment="1"/>
    <xf numFmtId="0" fontId="5" fillId="0" borderId="0" xfId="7" applyFont="1" applyFill="1" applyBorder="1" applyAlignment="1">
      <alignment vertical="top" wrapText="1"/>
    </xf>
    <xf numFmtId="0" fontId="5" fillId="0" borderId="0" xfId="36456" applyFont="1" applyFill="1"/>
    <xf numFmtId="169" fontId="5" fillId="0" borderId="0" xfId="7" applyNumberFormat="1" applyFont="1" applyFill="1"/>
    <xf numFmtId="0" fontId="5" fillId="0" borderId="0" xfId="4" applyFont="1"/>
    <xf numFmtId="0" fontId="6" fillId="0" borderId="3" xfId="6" applyFont="1" applyBorder="1" applyAlignment="1">
      <alignment horizontal="center" vertical="center" wrapText="1"/>
    </xf>
    <xf numFmtId="0" fontId="5" fillId="0" borderId="0" xfId="6" applyFont="1"/>
    <xf numFmtId="0" fontId="6" fillId="0" borderId="0" xfId="6" applyFont="1" applyAlignment="1"/>
    <xf numFmtId="0" fontId="18" fillId="0" borderId="0" xfId="7" applyFont="1" applyFill="1" applyBorder="1" applyAlignment="1" applyProtection="1">
      <alignment horizontal="left" vertical="center" wrapText="1"/>
      <protection locked="0"/>
    </xf>
    <xf numFmtId="0" fontId="19" fillId="0" borderId="15" xfId="7" applyFont="1" applyBorder="1" applyAlignment="1" applyProtection="1">
      <alignment horizontal="left" wrapText="1" readingOrder="1"/>
      <protection locked="0"/>
    </xf>
    <xf numFmtId="0" fontId="5" fillId="0" borderId="0" xfId="7" applyFont="1"/>
    <xf numFmtId="0" fontId="18" fillId="0" borderId="15" xfId="7" applyFont="1" applyBorder="1" applyAlignment="1" applyProtection="1">
      <alignment horizontal="left" wrapText="1" readingOrder="1"/>
      <protection locked="0"/>
    </xf>
    <xf numFmtId="0" fontId="6" fillId="0" borderId="0" xfId="0" applyFont="1" applyFill="1"/>
    <xf numFmtId="0" fontId="5" fillId="0" borderId="0" xfId="0" applyFont="1" applyFill="1"/>
    <xf numFmtId="0" fontId="5" fillId="0" borderId="0" xfId="0" applyFont="1" applyFill="1" applyAlignment="1">
      <alignment wrapText="1"/>
    </xf>
    <xf numFmtId="0" fontId="5" fillId="0" borderId="0" xfId="0" applyFont="1" applyFill="1" applyBorder="1"/>
    <xf numFmtId="0" fontId="5" fillId="0" borderId="0" xfId="0" applyFont="1" applyBorder="1"/>
    <xf numFmtId="0" fontId="5" fillId="0" borderId="0" xfId="4" applyFont="1" applyFill="1"/>
    <xf numFmtId="0" fontId="6" fillId="0" borderId="3" xfId="7" applyFont="1" applyFill="1" applyBorder="1" applyAlignment="1">
      <alignment horizontal="center" vertical="center" wrapText="1"/>
    </xf>
    <xf numFmtId="0" fontId="8" fillId="0" borderId="103" xfId="0" applyFont="1" applyFill="1" applyBorder="1" applyAlignment="1">
      <alignment horizontal="center" vertical="center" wrapText="1"/>
    </xf>
    <xf numFmtId="0" fontId="5" fillId="0" borderId="0" xfId="7" applyFont="1" applyFill="1" applyBorder="1"/>
    <xf numFmtId="0" fontId="5" fillId="0" borderId="0" xfId="36451" applyFont="1" applyFill="1" applyBorder="1" applyAlignment="1">
      <alignment horizontal="left" vertical="center" wrapText="1"/>
    </xf>
    <xf numFmtId="0" fontId="6" fillId="0" borderId="3" xfId="8055" applyFont="1" applyFill="1" applyBorder="1" applyAlignment="1">
      <alignment horizontal="center" vertical="center"/>
    </xf>
    <xf numFmtId="0" fontId="19" fillId="0" borderId="0" xfId="7" applyFont="1" applyFill="1" applyBorder="1" applyAlignment="1" applyProtection="1">
      <alignment horizontal="left" vertical="top" wrapText="1" readingOrder="1"/>
      <protection locked="0"/>
    </xf>
    <xf numFmtId="0" fontId="5" fillId="0" borderId="0" xfId="7" applyFont="1"/>
    <xf numFmtId="0" fontId="18" fillId="0" borderId="3" xfId="7" applyFont="1" applyBorder="1" applyAlignment="1" applyProtection="1">
      <alignment horizontal="center" vertical="center" wrapText="1" readingOrder="1"/>
      <protection locked="0"/>
    </xf>
    <xf numFmtId="0" fontId="18" fillId="0" borderId="0" xfId="7" applyFont="1" applyBorder="1" applyAlignment="1" applyProtection="1">
      <alignment horizontal="left" vertical="top" wrapText="1" readingOrder="1"/>
      <protection locked="0"/>
    </xf>
    <xf numFmtId="0" fontId="18" fillId="0" borderId="3" xfId="7" applyFont="1" applyBorder="1" applyAlignment="1" applyProtection="1">
      <alignment horizontal="center" vertical="top" wrapText="1" readingOrder="1"/>
      <protection locked="0"/>
    </xf>
    <xf numFmtId="0" fontId="5" fillId="0" borderId="0" xfId="0" applyFont="1" applyFill="1" applyBorder="1"/>
    <xf numFmtId="0" fontId="5" fillId="0" borderId="0" xfId="0" applyFont="1" applyBorder="1"/>
    <xf numFmtId="0" fontId="19" fillId="0" borderId="0" xfId="7" applyFont="1" applyFill="1" applyBorder="1" applyAlignment="1" applyProtection="1">
      <alignment vertical="top" wrapText="1" readingOrder="1"/>
      <protection locked="0"/>
    </xf>
    <xf numFmtId="0" fontId="19" fillId="0" borderId="0" xfId="7" applyFont="1" applyBorder="1" applyAlignment="1" applyProtection="1">
      <alignment horizontal="left" vertical="top" wrapText="1" readingOrder="1"/>
      <protection locked="0"/>
    </xf>
    <xf numFmtId="0" fontId="19" fillId="0" borderId="0" xfId="7" applyFont="1" applyBorder="1" applyAlignment="1" applyProtection="1">
      <alignment vertical="top" wrapText="1" readingOrder="1"/>
      <protection locked="0"/>
    </xf>
    <xf numFmtId="0" fontId="4" fillId="0" borderId="0" xfId="7" applyBorder="1"/>
    <xf numFmtId="0" fontId="18" fillId="0" borderId="0" xfId="7" applyFont="1" applyFill="1" applyBorder="1" applyAlignment="1" applyProtection="1">
      <alignment horizontal="justify" vertical="justify" wrapText="1" readingOrder="1"/>
      <protection locked="0"/>
    </xf>
    <xf numFmtId="0" fontId="5" fillId="0" borderId="0" xfId="7" applyFont="1" applyBorder="1" applyAlignment="1" applyProtection="1">
      <alignment vertical="top" wrapText="1"/>
      <protection locked="0"/>
    </xf>
    <xf numFmtId="0" fontId="5" fillId="0" borderId="0" xfId="7" applyFont="1" applyFill="1" applyBorder="1" applyAlignment="1">
      <alignment horizontal="justify" vertical="center" wrapText="1"/>
    </xf>
    <xf numFmtId="0" fontId="6" fillId="0" borderId="0" xfId="0" applyFont="1" applyFill="1" applyBorder="1" applyAlignment="1" applyProtection="1">
      <alignment horizontal="left" vertical="top" wrapText="1" readingOrder="1"/>
      <protection locked="0"/>
    </xf>
    <xf numFmtId="0" fontId="19" fillId="0" borderId="0" xfId="7" applyFont="1" applyBorder="1" applyAlignment="1" applyProtection="1">
      <alignment horizontal="center" vertical="top" wrapText="1" readingOrder="1"/>
      <protection locked="0"/>
    </xf>
    <xf numFmtId="0" fontId="5" fillId="0" borderId="0" xfId="7" applyFont="1" applyBorder="1"/>
    <xf numFmtId="0" fontId="18" fillId="0" borderId="0" xfId="7" applyFont="1" applyBorder="1" applyAlignment="1" applyProtection="1">
      <alignment horizontal="justify" vertical="center" wrapText="1" readingOrder="1"/>
      <protection locked="0"/>
    </xf>
    <xf numFmtId="3" fontId="6" fillId="0" borderId="0" xfId="4" applyNumberFormat="1" applyFont="1" applyFill="1" applyAlignment="1">
      <alignment horizontal="right"/>
    </xf>
    <xf numFmtId="169" fontId="9" fillId="0" borderId="0" xfId="1" applyNumberFormat="1" applyFont="1" applyFill="1"/>
    <xf numFmtId="166" fontId="6" fillId="0" borderId="0" xfId="7" applyNumberFormat="1" applyFont="1" applyFill="1" applyAlignment="1">
      <alignment horizontal="right"/>
    </xf>
    <xf numFmtId="166" fontId="5" fillId="0" borderId="0" xfId="7" applyNumberFormat="1" applyFont="1" applyFill="1" applyAlignment="1">
      <alignment horizontal="right"/>
    </xf>
    <xf numFmtId="0" fontId="19" fillId="0" borderId="15" xfId="7" applyFont="1" applyBorder="1" applyAlignment="1" applyProtection="1">
      <alignment wrapText="1" readingOrder="1"/>
      <protection locked="0"/>
    </xf>
    <xf numFmtId="0" fontId="19" fillId="0" borderId="0" xfId="7" applyFont="1" applyBorder="1" applyAlignment="1" applyProtection="1">
      <alignment wrapText="1" readingOrder="1"/>
      <protection locked="0"/>
    </xf>
    <xf numFmtId="49" fontId="5" fillId="0" borderId="0" xfId="0" applyNumberFormat="1" applyFont="1" applyFill="1" applyBorder="1" applyAlignment="1" applyProtection="1">
      <alignment horizontal="left" vertical="top" readingOrder="1"/>
      <protection locked="0"/>
    </xf>
    <xf numFmtId="0" fontId="5" fillId="0" borderId="0" xfId="0" applyFont="1" applyFill="1" applyBorder="1" applyAlignment="1" applyProtection="1">
      <alignment horizontal="left" vertical="top" readingOrder="1"/>
      <protection locked="0"/>
    </xf>
    <xf numFmtId="0" fontId="8" fillId="0" borderId="0" xfId="0" applyFont="1" applyFill="1"/>
    <xf numFmtId="0" fontId="6" fillId="0" borderId="0" xfId="0" applyFont="1" applyFill="1" applyBorder="1" applyAlignment="1">
      <alignment vertical="center"/>
    </xf>
    <xf numFmtId="169" fontId="6" fillId="0" borderId="3" xfId="0" applyNumberFormat="1" applyFont="1" applyFill="1" applyBorder="1" applyAlignment="1" applyProtection="1">
      <alignment horizontal="left" vertical="center" wrapText="1" readingOrder="1"/>
      <protection locked="0"/>
    </xf>
    <xf numFmtId="175" fontId="6" fillId="0" borderId="129" xfId="1" applyNumberFormat="1" applyFont="1" applyFill="1" applyBorder="1" applyAlignment="1" applyProtection="1">
      <alignment horizontal="right" vertical="top" wrapText="1" readingOrder="1"/>
      <protection locked="0"/>
    </xf>
    <xf numFmtId="10" fontId="6" fillId="0" borderId="132" xfId="36251" applyNumberFormat="1" applyFont="1" applyFill="1" applyBorder="1" applyAlignment="1" applyProtection="1">
      <alignment horizontal="right" vertical="top" wrapText="1" readingOrder="1"/>
      <protection locked="0"/>
    </xf>
    <xf numFmtId="0" fontId="5" fillId="0" borderId="34" xfId="36451" applyFont="1" applyFill="1" applyBorder="1" applyAlignment="1">
      <alignment horizontal="left" vertical="center" wrapText="1"/>
    </xf>
    <xf numFmtId="172" fontId="9" fillId="0" borderId="0" xfId="3" applyNumberFormat="1" applyFont="1" applyFill="1"/>
    <xf numFmtId="175" fontId="19" fillId="0" borderId="0" xfId="1" applyNumberFormat="1" applyFont="1" applyFill="1" applyBorder="1" applyAlignment="1" applyProtection="1">
      <alignment horizontal="right" vertical="top" wrapText="1" readingOrder="1"/>
      <protection locked="0"/>
    </xf>
    <xf numFmtId="10" fontId="19" fillId="0" borderId="0" xfId="3" applyNumberFormat="1" applyFont="1" applyFill="1" applyBorder="1" applyAlignment="1" applyProtection="1">
      <alignment horizontal="right" vertical="top" wrapText="1" readingOrder="1"/>
      <protection locked="0"/>
    </xf>
    <xf numFmtId="169" fontId="9" fillId="0" borderId="0" xfId="0" applyNumberFormat="1" applyFont="1" applyFill="1"/>
    <xf numFmtId="169" fontId="8" fillId="0" borderId="0" xfId="0" applyNumberFormat="1" applyFont="1" applyFill="1"/>
    <xf numFmtId="175" fontId="19" fillId="0" borderId="0" xfId="1" applyNumberFormat="1" applyFont="1" applyFill="1" applyBorder="1" applyAlignment="1" applyProtection="1">
      <alignment vertical="top" wrapText="1" readingOrder="1"/>
      <protection locked="0"/>
    </xf>
    <xf numFmtId="0" fontId="5" fillId="0" borderId="0" xfId="7" applyFont="1" applyBorder="1" applyAlignment="1" applyProtection="1">
      <alignment wrapText="1"/>
      <protection locked="0"/>
    </xf>
    <xf numFmtId="0" fontId="19" fillId="0" borderId="0" xfId="7" applyFont="1" applyBorder="1" applyAlignment="1" applyProtection="1">
      <alignment readingOrder="1"/>
      <protection locked="0"/>
    </xf>
    <xf numFmtId="166" fontId="6" fillId="0" borderId="0" xfId="7" applyNumberFormat="1" applyFont="1" applyFill="1" applyBorder="1" applyAlignment="1" applyProtection="1">
      <alignment horizontal="right" vertical="top" readingOrder="1"/>
      <protection locked="0"/>
    </xf>
    <xf numFmtId="166" fontId="5" fillId="0" borderId="0" xfId="7" applyNumberFormat="1" applyFont="1" applyFill="1" applyBorder="1" applyAlignment="1" applyProtection="1">
      <alignment horizontal="right" vertical="top" readingOrder="1"/>
      <protection locked="0"/>
    </xf>
    <xf numFmtId="166" fontId="6" fillId="0" borderId="0" xfId="7" applyNumberFormat="1" applyFont="1" applyBorder="1" applyAlignment="1">
      <alignment horizontal="left"/>
    </xf>
    <xf numFmtId="0" fontId="18" fillId="0" borderId="0" xfId="7" applyFont="1" applyBorder="1" applyAlignment="1" applyProtection="1">
      <alignment horizontal="right" vertical="top" wrapText="1" readingOrder="1"/>
      <protection locked="0"/>
    </xf>
    <xf numFmtId="0" fontId="18" fillId="0" borderId="0" xfId="7" applyFont="1" applyBorder="1" applyAlignment="1" applyProtection="1">
      <alignment horizontal="left" vertical="center" wrapText="1" readingOrder="1"/>
      <protection locked="0"/>
    </xf>
    <xf numFmtId="166" fontId="6" fillId="0" borderId="0" xfId="7" applyNumberFormat="1" applyFont="1" applyBorder="1" applyAlignment="1">
      <alignment vertical="center"/>
    </xf>
    <xf numFmtId="0" fontId="5" fillId="0" borderId="0" xfId="7" applyFont="1" applyFill="1" applyBorder="1" applyAlignment="1">
      <alignment horizontal="left" vertical="center" wrapText="1"/>
    </xf>
    <xf numFmtId="0" fontId="5" fillId="0" borderId="0" xfId="7" applyNumberFormat="1" applyFont="1" applyBorder="1" applyAlignment="1">
      <alignment horizontal="left" vertical="center"/>
    </xf>
    <xf numFmtId="166" fontId="6" fillId="0" borderId="0" xfId="7" applyNumberFormat="1" applyFont="1" applyBorder="1" applyAlignment="1">
      <alignment horizontal="left" vertical="center"/>
    </xf>
    <xf numFmtId="0" fontId="18" fillId="0" borderId="163" xfId="7" applyFont="1" applyBorder="1" applyAlignment="1" applyProtection="1">
      <alignment horizontal="center" vertical="center" wrapText="1" readingOrder="1"/>
      <protection locked="0"/>
    </xf>
    <xf numFmtId="0" fontId="18" fillId="0" borderId="0" xfId="7" applyNumberFormat="1" applyFont="1" applyBorder="1" applyAlignment="1" applyProtection="1">
      <alignment horizontal="right" vertical="top" wrapText="1" readingOrder="1"/>
      <protection locked="0"/>
    </xf>
    <xf numFmtId="3" fontId="18" fillId="0" borderId="0" xfId="7" applyNumberFormat="1" applyFont="1" applyBorder="1" applyAlignment="1" applyProtection="1">
      <alignment horizontal="right" vertical="top" wrapText="1" readingOrder="1"/>
      <protection locked="0"/>
    </xf>
    <xf numFmtId="3" fontId="19" fillId="0" borderId="0" xfId="7" applyNumberFormat="1" applyFont="1" applyBorder="1" applyAlignment="1" applyProtection="1">
      <alignment horizontal="right" vertical="top" wrapText="1" readingOrder="1"/>
      <protection locked="0"/>
    </xf>
    <xf numFmtId="0" fontId="5" fillId="0" borderId="0" xfId="0" applyFont="1" applyFill="1" applyBorder="1" applyAlignment="1">
      <alignment readingOrder="1"/>
    </xf>
    <xf numFmtId="0" fontId="18" fillId="0" borderId="94" xfId="0" applyFont="1" applyFill="1" applyBorder="1" applyAlignment="1" applyProtection="1">
      <alignment horizontal="left" vertical="top" wrapText="1" readingOrder="1"/>
      <protection locked="0"/>
    </xf>
    <xf numFmtId="0" fontId="19" fillId="0" borderId="0" xfId="7" applyFont="1" applyFill="1" applyBorder="1" applyAlignment="1" applyProtection="1">
      <alignment horizontal="left" vertical="top" wrapText="1" readingOrder="1"/>
      <protection locked="0"/>
    </xf>
    <xf numFmtId="0" fontId="18" fillId="0" borderId="3" xfId="7" applyFont="1" applyBorder="1" applyAlignment="1" applyProtection="1">
      <alignment horizontal="center" vertical="center" wrapText="1" readingOrder="1"/>
      <protection locked="0"/>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3" xfId="7" applyFont="1" applyBorder="1" applyAlignment="1" applyProtection="1">
      <alignment horizontal="center" vertical="top" wrapText="1" readingOrder="1"/>
      <protection locked="0"/>
    </xf>
    <xf numFmtId="0" fontId="5" fillId="0" borderId="0" xfId="7" applyFont="1" applyFill="1" applyBorder="1" applyAlignment="1" applyProtection="1">
      <alignment horizontal="left" vertical="top" wrapText="1" readingOrder="1"/>
      <protection locked="0"/>
    </xf>
    <xf numFmtId="0" fontId="18" fillId="0" borderId="21" xfId="7" applyFont="1" applyBorder="1" applyAlignment="1" applyProtection="1">
      <alignment horizontal="center" vertical="center" wrapText="1" readingOrder="1"/>
      <protection locked="0"/>
    </xf>
    <xf numFmtId="0" fontId="6" fillId="0" borderId="0" xfId="7" applyFont="1" applyFill="1" applyBorder="1" applyAlignment="1" applyProtection="1">
      <alignment horizontal="left" vertical="top" wrapText="1" readingOrder="1"/>
      <protection locked="0"/>
    </xf>
    <xf numFmtId="0" fontId="18" fillId="0" borderId="0" xfId="7" applyFont="1" applyBorder="1" applyAlignment="1" applyProtection="1">
      <alignment horizontal="left" vertical="top" wrapText="1" readingOrder="1"/>
      <protection locked="0"/>
    </xf>
    <xf numFmtId="0" fontId="6" fillId="0" borderId="3" xfId="7" applyFont="1" applyBorder="1" applyAlignment="1">
      <alignment horizontal="center" vertical="center" wrapText="1"/>
    </xf>
    <xf numFmtId="0" fontId="5" fillId="0" borderId="0" xfId="7" applyFont="1" applyBorder="1" applyAlignment="1" applyProtection="1">
      <alignment horizontal="left" vertical="top" wrapText="1" readingOrder="1"/>
      <protection locked="0"/>
    </xf>
    <xf numFmtId="0" fontId="19" fillId="0" borderId="0" xfId="7" applyFont="1" applyBorder="1" applyAlignment="1" applyProtection="1">
      <alignment horizontal="left" vertical="top" wrapText="1" readingOrder="1"/>
      <protection locked="0"/>
    </xf>
    <xf numFmtId="0" fontId="6" fillId="0" borderId="3" xfId="36417" applyFont="1" applyFill="1" applyBorder="1" applyAlignment="1">
      <alignment horizontal="center" vertical="center"/>
    </xf>
    <xf numFmtId="0" fontId="18" fillId="0" borderId="30" xfId="7" applyFont="1" applyBorder="1" applyAlignment="1" applyProtection="1">
      <alignment horizontal="center" vertical="top" wrapText="1" readingOrder="1"/>
      <protection locked="0"/>
    </xf>
    <xf numFmtId="0" fontId="19" fillId="0" borderId="0" xfId="7" applyFont="1" applyFill="1" applyBorder="1" applyAlignment="1" applyProtection="1">
      <alignment vertical="top" wrapText="1" readingOrder="1"/>
      <protection locked="0"/>
    </xf>
    <xf numFmtId="0" fontId="4" fillId="0" borderId="0" xfId="7" applyBorder="1" applyAlignment="1" applyProtection="1">
      <alignment vertical="top" wrapText="1"/>
      <protection locked="0"/>
    </xf>
    <xf numFmtId="0" fontId="4" fillId="0" borderId="0" xfId="7" applyBorder="1"/>
    <xf numFmtId="0" fontId="6" fillId="0" borderId="0" xfId="36417" applyFont="1" applyFill="1" applyBorder="1" applyAlignment="1">
      <alignment horizontal="center" vertical="center"/>
    </xf>
    <xf numFmtId="0" fontId="19" fillId="0" borderId="25" xfId="7" applyFont="1" applyBorder="1" applyAlignment="1" applyProtection="1">
      <alignment vertical="top" wrapText="1" readingOrder="1"/>
      <protection locked="0"/>
    </xf>
    <xf numFmtId="0" fontId="6" fillId="0" borderId="3" xfId="36417" applyFont="1" applyBorder="1" applyAlignment="1">
      <alignment horizontal="center" vertical="center"/>
    </xf>
    <xf numFmtId="0" fontId="5" fillId="0" borderId="0" xfId="7" applyFont="1" applyFill="1" applyBorder="1" applyAlignment="1" applyProtection="1">
      <alignment vertical="top" wrapText="1" readingOrder="1"/>
      <protection locked="0"/>
    </xf>
    <xf numFmtId="0" fontId="6" fillId="0" borderId="3" xfId="7" applyFont="1" applyFill="1" applyBorder="1" applyAlignment="1" applyProtection="1">
      <alignment horizontal="center" vertical="top" wrapText="1" readingOrder="1"/>
      <protection locked="0"/>
    </xf>
    <xf numFmtId="0" fontId="6" fillId="0" borderId="3" xfId="4" applyFont="1" applyFill="1" applyBorder="1" applyAlignment="1">
      <alignment horizontal="center" vertical="center"/>
    </xf>
    <xf numFmtId="0" fontId="5" fillId="0" borderId="0" xfId="7" applyFont="1" applyBorder="1" applyAlignment="1">
      <alignment horizontal="left" wrapText="1"/>
    </xf>
    <xf numFmtId="0" fontId="6" fillId="0" borderId="3" xfId="7" applyFont="1" applyFill="1" applyBorder="1" applyAlignment="1">
      <alignment horizontal="center" vertical="center" wrapText="1"/>
    </xf>
    <xf numFmtId="0" fontId="8" fillId="0" borderId="0" xfId="11" applyFont="1" applyAlignment="1">
      <alignment horizontal="justify" vertical="top" wrapText="1"/>
    </xf>
    <xf numFmtId="0" fontId="19" fillId="0" borderId="0" xfId="29735" applyFont="1" applyFill="1" applyBorder="1" applyAlignment="1" applyProtection="1">
      <alignment vertical="top" wrapText="1" readingOrder="1"/>
      <protection locked="0"/>
    </xf>
    <xf numFmtId="0" fontId="6" fillId="0" borderId="3" xfId="7" applyFont="1" applyFill="1" applyBorder="1" applyAlignment="1">
      <alignment horizontal="center" vertical="center"/>
    </xf>
    <xf numFmtId="0" fontId="6" fillId="0" borderId="0" xfId="7" applyFont="1" applyFill="1" applyBorder="1" applyAlignment="1">
      <alignment horizontal="center"/>
    </xf>
    <xf numFmtId="0" fontId="5" fillId="0" borderId="0" xfId="4" applyFont="1" applyBorder="1"/>
    <xf numFmtId="0" fontId="5" fillId="0" borderId="0" xfId="7" applyFont="1" applyBorder="1" applyAlignment="1">
      <alignment horizontal="center"/>
    </xf>
    <xf numFmtId="0" fontId="8" fillId="0" borderId="3" xfId="0" applyFont="1" applyBorder="1" applyAlignment="1">
      <alignment horizontal="center" vertical="center"/>
    </xf>
    <xf numFmtId="0" fontId="18" fillId="0" borderId="3" xfId="7" applyFont="1" applyFill="1" applyBorder="1" applyAlignment="1" applyProtection="1">
      <alignment horizontal="center" vertical="top" wrapText="1" readingOrder="1"/>
      <protection locked="0"/>
    </xf>
    <xf numFmtId="0" fontId="5" fillId="0" borderId="0" xfId="7" applyFont="1" applyFill="1" applyBorder="1"/>
    <xf numFmtId="0" fontId="6" fillId="0" borderId="0" xfId="7" applyFont="1" applyBorder="1" applyAlignment="1" applyProtection="1">
      <alignment horizontal="left" vertical="top" wrapText="1" readingOrder="1"/>
      <protection locked="0"/>
    </xf>
    <xf numFmtId="0" fontId="39" fillId="0" borderId="0" xfId="29735" applyFill="1" applyBorder="1"/>
    <xf numFmtId="0" fontId="5" fillId="0" borderId="0" xfId="29735" applyFont="1" applyFill="1" applyBorder="1"/>
    <xf numFmtId="0" fontId="6" fillId="0" borderId="3" xfId="7" applyFont="1" applyBorder="1" applyAlignment="1" applyProtection="1">
      <alignment horizontal="center" vertical="center" wrapText="1" readingOrder="1"/>
      <protection locked="0"/>
    </xf>
    <xf numFmtId="0" fontId="5" fillId="0" borderId="0" xfId="7" applyFont="1" applyBorder="1" applyAlignment="1" applyProtection="1">
      <alignment vertical="top" wrapText="1" readingOrder="1"/>
      <protection locked="0"/>
    </xf>
    <xf numFmtId="0" fontId="5" fillId="0" borderId="0" xfId="4" applyFont="1"/>
    <xf numFmtId="0" fontId="19" fillId="0" borderId="0" xfId="7" applyFont="1" applyFill="1" applyBorder="1" applyAlignment="1" applyProtection="1">
      <alignment horizontal="left" vertical="top" wrapText="1" readingOrder="1"/>
      <protection locked="0"/>
    </xf>
    <xf numFmtId="0" fontId="19" fillId="0" borderId="0" xfId="7" applyFont="1" applyAlignment="1" applyProtection="1">
      <alignment vertical="top" wrapText="1" readingOrder="1"/>
      <protection locked="0"/>
    </xf>
    <xf numFmtId="0" fontId="5" fillId="0" borderId="0" xfId="7" applyFont="1"/>
    <xf numFmtId="0" fontId="18" fillId="0" borderId="3" xfId="7" applyFont="1" applyBorder="1" applyAlignment="1" applyProtection="1">
      <alignment horizontal="center" vertical="center" wrapText="1" readingOrder="1"/>
      <protection locked="0"/>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36" xfId="7" applyFont="1" applyBorder="1" applyAlignment="1" applyProtection="1">
      <alignment horizontal="center" vertical="center" wrapText="1" readingOrder="1"/>
      <protection locked="0"/>
    </xf>
    <xf numFmtId="0" fontId="5" fillId="0" borderId="0" xfId="7" applyFont="1" applyBorder="1" applyAlignment="1" applyProtection="1">
      <alignment vertical="top" wrapText="1"/>
      <protection locked="0"/>
    </xf>
    <xf numFmtId="0" fontId="18" fillId="0" borderId="3" xfId="7" applyFont="1" applyBorder="1" applyAlignment="1" applyProtection="1">
      <alignment horizontal="center" vertical="top" wrapText="1" readingOrder="1"/>
      <protection locked="0"/>
    </xf>
    <xf numFmtId="0" fontId="18" fillId="0" borderId="0" xfId="7" applyFont="1" applyBorder="1" applyAlignment="1" applyProtection="1">
      <alignment horizontal="left" vertical="top" wrapText="1" readingOrder="1"/>
      <protection locked="0"/>
    </xf>
    <xf numFmtId="0" fontId="19" fillId="0" borderId="0" xfId="7" applyFont="1" applyBorder="1" applyAlignment="1" applyProtection="1">
      <alignment horizontal="left" vertical="top" wrapText="1" readingOrder="1"/>
      <protection locked="0"/>
    </xf>
    <xf numFmtId="0" fontId="5" fillId="0" borderId="0" xfId="0" applyFont="1" applyFill="1"/>
    <xf numFmtId="0" fontId="6" fillId="0" borderId="0" xfId="0" applyFont="1" applyFill="1" applyAlignment="1">
      <alignment horizontal="justify" wrapText="1"/>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5" fillId="0" borderId="0" xfId="0" applyFont="1" applyFill="1" applyBorder="1" applyAlignment="1" applyProtection="1">
      <alignment vertical="top" wrapText="1" readingOrder="1"/>
      <protection locked="0"/>
    </xf>
    <xf numFmtId="0" fontId="5" fillId="0" borderId="0" xfId="0" applyFont="1" applyFill="1" applyBorder="1"/>
    <xf numFmtId="0" fontId="5" fillId="0" borderId="0" xfId="0" applyFont="1" applyBorder="1"/>
    <xf numFmtId="0" fontId="19" fillId="0" borderId="0" xfId="7" applyFont="1" applyFill="1" applyBorder="1" applyAlignment="1" applyProtection="1">
      <alignment vertical="top" wrapText="1" readingOrder="1"/>
      <protection locked="0"/>
    </xf>
    <xf numFmtId="0" fontId="6" fillId="0" borderId="3" xfId="36419" applyFont="1" applyFill="1" applyBorder="1" applyAlignment="1">
      <alignment horizontal="center" vertical="center"/>
    </xf>
    <xf numFmtId="0" fontId="4" fillId="0" borderId="0" xfId="7" applyBorder="1"/>
    <xf numFmtId="0" fontId="19" fillId="0" borderId="0" xfId="7" applyFont="1" applyFill="1" applyAlignment="1" applyProtection="1">
      <alignment vertical="top" wrapText="1" readingOrder="1"/>
      <protection locked="0"/>
    </xf>
    <xf numFmtId="0" fontId="18" fillId="0" borderId="36" xfId="7" applyFont="1" applyBorder="1" applyAlignment="1" applyProtection="1">
      <alignment horizontal="center" vertical="top" wrapText="1" readingOrder="1"/>
      <protection locked="0"/>
    </xf>
    <xf numFmtId="0" fontId="18" fillId="0" borderId="3" xfId="7" applyFont="1" applyFill="1" applyBorder="1" applyAlignment="1" applyProtection="1">
      <alignment horizontal="center" vertical="center" wrapText="1" readingOrder="1"/>
      <protection locked="0"/>
    </xf>
    <xf numFmtId="0" fontId="6" fillId="0" borderId="3" xfId="7" applyFont="1" applyFill="1" applyBorder="1" applyAlignment="1">
      <alignment horizontal="center" vertical="center" wrapText="1"/>
    </xf>
    <xf numFmtId="0" fontId="5" fillId="0" borderId="0" xfId="7" applyFont="1" applyFill="1" applyAlignment="1">
      <alignment horizontal="left" vertical="center" wrapText="1"/>
    </xf>
    <xf numFmtId="0" fontId="19" fillId="0" borderId="0" xfId="4" applyFont="1" applyBorder="1" applyAlignment="1" applyProtection="1">
      <alignment vertical="top" wrapText="1" readingOrder="1"/>
      <protection locked="0"/>
    </xf>
    <xf numFmtId="0" fontId="5" fillId="0" borderId="0" xfId="4" applyFont="1" applyBorder="1"/>
    <xf numFmtId="0" fontId="6" fillId="0" borderId="77" xfId="29279" applyFont="1" applyFill="1" applyBorder="1" applyAlignment="1">
      <alignment horizontal="center" vertical="center"/>
    </xf>
    <xf numFmtId="0" fontId="6" fillId="0" borderId="77" xfId="29279" applyFont="1" applyBorder="1" applyAlignment="1">
      <alignment horizontal="center"/>
    </xf>
    <xf numFmtId="0" fontId="8" fillId="0" borderId="3" xfId="0" applyFont="1" applyBorder="1" applyAlignment="1">
      <alignment horizontal="center" vertical="center"/>
    </xf>
    <xf numFmtId="0" fontId="6" fillId="0" borderId="3" xfId="36440" applyFont="1" applyFill="1" applyBorder="1" applyAlignment="1">
      <alignment horizontal="center" vertical="center"/>
    </xf>
    <xf numFmtId="3" fontId="5" fillId="0" borderId="0" xfId="0" applyNumberFormat="1" applyFont="1" applyFill="1" applyBorder="1" applyAlignment="1">
      <alignment horizontal="left" vertical="center"/>
    </xf>
    <xf numFmtId="49" fontId="6" fillId="0" borderId="0" xfId="0" applyNumberFormat="1" applyFont="1" applyFill="1" applyAlignment="1">
      <alignment horizontal="left" wrapText="1"/>
    </xf>
    <xf numFmtId="0" fontId="9" fillId="0" borderId="0" xfId="0" applyFont="1" applyFill="1" applyBorder="1" applyAlignment="1">
      <alignment horizontal="left" wrapText="1"/>
    </xf>
    <xf numFmtId="0" fontId="8" fillId="0" borderId="103" xfId="0" applyFont="1" applyFill="1" applyBorder="1" applyAlignment="1">
      <alignment horizontal="center"/>
    </xf>
    <xf numFmtId="0" fontId="8" fillId="0" borderId="103" xfId="0" applyFont="1" applyFill="1" applyBorder="1" applyAlignment="1">
      <alignment horizontal="center" wrapText="1"/>
    </xf>
    <xf numFmtId="0" fontId="9" fillId="0" borderId="0" xfId="0" applyFont="1" applyFill="1" applyBorder="1" applyAlignment="1">
      <alignment horizontal="left"/>
    </xf>
    <xf numFmtId="0" fontId="6" fillId="0" borderId="103" xfId="0" applyFont="1" applyFill="1" applyBorder="1" applyAlignment="1">
      <alignment horizontal="center" vertical="center" wrapText="1"/>
    </xf>
    <xf numFmtId="0" fontId="8" fillId="0" borderId="103" xfId="0" applyFont="1" applyFill="1" applyBorder="1" applyAlignment="1">
      <alignment horizontal="center" vertical="center" wrapText="1"/>
    </xf>
    <xf numFmtId="0" fontId="6" fillId="0" borderId="103" xfId="36417" applyFont="1" applyFill="1" applyBorder="1" applyAlignment="1">
      <alignment horizontal="center" vertical="center" wrapText="1"/>
    </xf>
    <xf numFmtId="0" fontId="18" fillId="0" borderId="103" xfId="7" applyFont="1" applyBorder="1" applyAlignment="1" applyProtection="1">
      <alignment horizontal="center" vertical="center" wrapText="1" readingOrder="1"/>
      <protection locked="0"/>
    </xf>
    <xf numFmtId="0" fontId="18" fillId="0" borderId="103" xfId="7" applyFont="1" applyBorder="1" applyAlignment="1" applyProtection="1">
      <alignment horizontal="center" vertical="top" wrapText="1" readingOrder="1"/>
      <protection locked="0"/>
    </xf>
    <xf numFmtId="0" fontId="6" fillId="0" borderId="3" xfId="15382" applyFont="1" applyFill="1" applyBorder="1" applyAlignment="1">
      <alignment horizontal="center" vertical="center" wrapText="1"/>
    </xf>
    <xf numFmtId="0" fontId="6" fillId="0" borderId="3" xfId="15382" applyFont="1" applyFill="1" applyBorder="1" applyAlignment="1">
      <alignment horizontal="center" vertical="center"/>
    </xf>
    <xf numFmtId="0" fontId="18" fillId="0" borderId="3" xfId="7" applyFont="1" applyFill="1" applyBorder="1" applyAlignment="1" applyProtection="1">
      <alignment horizontal="center" vertical="top" wrapText="1" readingOrder="1"/>
      <protection locked="0"/>
    </xf>
    <xf numFmtId="0" fontId="5" fillId="0" borderId="0" xfId="7" applyFont="1" applyFill="1" applyBorder="1"/>
    <xf numFmtId="0" fontId="5" fillId="0" borderId="0" xfId="7" applyFont="1" applyFill="1"/>
    <xf numFmtId="0" fontId="6" fillId="0" borderId="3" xfId="21928" applyFont="1" applyFill="1" applyBorder="1" applyAlignment="1">
      <alignment horizontal="center" vertical="center" wrapText="1"/>
    </xf>
    <xf numFmtId="0" fontId="5" fillId="0" borderId="0" xfId="15382" applyFont="1" applyFill="1"/>
    <xf numFmtId="0" fontId="6" fillId="0" borderId="36" xfId="15382" applyFont="1" applyFill="1" applyBorder="1" applyAlignment="1" applyProtection="1">
      <alignment horizontal="center" vertical="center" wrapText="1" readingOrder="1"/>
      <protection locked="0"/>
    </xf>
    <xf numFmtId="0" fontId="6" fillId="0" borderId="3" xfId="29735" applyFont="1" applyBorder="1" applyAlignment="1" applyProtection="1">
      <alignment horizontal="center" vertical="center" wrapText="1" readingOrder="1"/>
      <protection locked="0"/>
    </xf>
    <xf numFmtId="0" fontId="9" fillId="0" borderId="0" xfId="0" applyFont="1"/>
    <xf numFmtId="0" fontId="6" fillId="0" borderId="3" xfId="8055" applyFont="1" applyFill="1" applyBorder="1" applyAlignment="1">
      <alignment horizontal="center" vertical="center"/>
    </xf>
    <xf numFmtId="0" fontId="5" fillId="0" borderId="0" xfId="7" applyFont="1" applyBorder="1" applyAlignment="1">
      <alignment horizontal="justify"/>
    </xf>
    <xf numFmtId="166" fontId="19" fillId="0" borderId="113" xfId="7" applyNumberFormat="1" applyFont="1" applyBorder="1" applyAlignment="1" applyProtection="1">
      <alignment horizontal="right" vertical="top" wrapText="1" readingOrder="1"/>
      <protection locked="0"/>
    </xf>
    <xf numFmtId="166" fontId="19" fillId="0" borderId="115" xfId="7" applyNumberFormat="1" applyFont="1" applyBorder="1" applyAlignment="1" applyProtection="1">
      <alignment horizontal="right" vertical="top" wrapText="1" readingOrder="1"/>
      <protection locked="0"/>
    </xf>
    <xf numFmtId="166" fontId="5" fillId="0" borderId="0" xfId="7" applyNumberFormat="1" applyFont="1" applyBorder="1"/>
    <xf numFmtId="0" fontId="18" fillId="0" borderId="0" xfId="7" applyFont="1" applyBorder="1" applyAlignment="1" applyProtection="1">
      <alignment vertical="top" wrapText="1" readingOrder="1"/>
      <protection locked="0"/>
    </xf>
    <xf numFmtId="0" fontId="5" fillId="0" borderId="0" xfId="6" applyFont="1" applyBorder="1"/>
    <xf numFmtId="0" fontId="4" fillId="0" borderId="0" xfId="7" applyBorder="1" applyAlignment="1">
      <alignment wrapText="1"/>
    </xf>
    <xf numFmtId="0" fontId="4" fillId="0" borderId="0" xfId="7" applyFont="1" applyBorder="1" applyAlignment="1">
      <alignment wrapText="1"/>
    </xf>
    <xf numFmtId="0" fontId="4" fillId="0" borderId="0" xfId="7" applyBorder="1" applyAlignment="1">
      <alignment horizontal="left"/>
    </xf>
    <xf numFmtId="0" fontId="4" fillId="0" borderId="0" xfId="7" applyNumberFormat="1" applyBorder="1"/>
    <xf numFmtId="0" fontId="4" fillId="0" borderId="0" xfId="7" applyFont="1" applyBorder="1"/>
    <xf numFmtId="0" fontId="55" fillId="0" borderId="0" xfId="7" applyFont="1" applyBorder="1" applyAlignment="1" applyProtection="1">
      <alignment vertical="top" wrapText="1" readingOrder="1"/>
      <protection locked="0"/>
    </xf>
    <xf numFmtId="2" fontId="54" fillId="0" borderId="0" xfId="7" applyNumberFormat="1" applyFont="1" applyBorder="1"/>
    <xf numFmtId="0" fontId="54" fillId="0" borderId="0" xfId="7" applyFont="1" applyBorder="1" applyAlignment="1" applyProtection="1">
      <alignment vertical="top" wrapText="1"/>
      <protection locked="0"/>
    </xf>
    <xf numFmtId="175" fontId="18" fillId="0" borderId="0" xfId="9" applyNumberFormat="1" applyFont="1" applyFill="1" applyBorder="1" applyAlignment="1" applyProtection="1">
      <alignment horizontal="left" vertical="top" wrapText="1" readingOrder="1"/>
    </xf>
    <xf numFmtId="175" fontId="18" fillId="0" borderId="0" xfId="9" applyNumberFormat="1" applyFont="1" applyFill="1" applyBorder="1" applyAlignment="1" applyProtection="1">
      <alignment horizontal="left" vertical="top" wrapText="1" readingOrder="1"/>
      <protection locked="0"/>
    </xf>
    <xf numFmtId="0" fontId="53" fillId="0" borderId="0" xfId="7" applyFont="1" applyFill="1" applyBorder="1" applyAlignment="1" applyProtection="1">
      <alignment vertical="top" wrapText="1" readingOrder="1"/>
      <protection locked="0"/>
    </xf>
    <xf numFmtId="0" fontId="6" fillId="0" borderId="6" xfId="36417" applyFont="1" applyFill="1" applyBorder="1" applyAlignment="1">
      <alignment horizontal="center" vertical="center"/>
    </xf>
    <xf numFmtId="3" fontId="6" fillId="0" borderId="0" xfId="7" applyNumberFormat="1" applyFont="1" applyFill="1" applyBorder="1" applyAlignment="1" applyProtection="1">
      <alignment horizontal="right" vertical="top" wrapText="1" readingOrder="1"/>
      <protection locked="0"/>
    </xf>
    <xf numFmtId="3" fontId="5" fillId="0" borderId="0" xfId="7" applyNumberFormat="1" applyFont="1" applyFill="1" applyBorder="1" applyAlignment="1" applyProtection="1">
      <alignment horizontal="right" vertical="top" wrapText="1" readingOrder="1"/>
      <protection locked="0"/>
    </xf>
    <xf numFmtId="166" fontId="5" fillId="0" borderId="0" xfId="7" applyNumberFormat="1" applyFont="1" applyFill="1" applyBorder="1" applyAlignment="1" applyProtection="1">
      <alignment horizontal="right" vertical="top" wrapText="1" readingOrder="1"/>
      <protection locked="0"/>
    </xf>
    <xf numFmtId="0" fontId="19" fillId="0" borderId="0" xfId="7" applyFont="1" applyBorder="1" applyAlignment="1" applyProtection="1">
      <alignment vertical="top" readingOrder="1"/>
      <protection locked="0"/>
    </xf>
    <xf numFmtId="0" fontId="4" fillId="0" borderId="0" xfId="7" applyBorder="1" applyAlignment="1">
      <alignment horizontal="justify"/>
    </xf>
    <xf numFmtId="0" fontId="5" fillId="0" borderId="0" xfId="4" applyFont="1" applyFill="1" applyBorder="1" applyAlignment="1" applyProtection="1">
      <alignment vertical="top" wrapText="1"/>
      <protection locked="0"/>
    </xf>
    <xf numFmtId="0" fontId="19" fillId="0" borderId="0" xfId="0" applyFont="1" applyBorder="1" applyAlignment="1" applyProtection="1">
      <alignment horizontal="left" vertical="top" wrapText="1" readingOrder="1"/>
      <protection locked="0"/>
    </xf>
    <xf numFmtId="0" fontId="19" fillId="0" borderId="0" xfId="0" applyNumberFormat="1" applyFont="1" applyBorder="1" applyAlignment="1" applyProtection="1">
      <alignment horizontal="right" vertical="top" wrapText="1" readingOrder="1"/>
      <protection locked="0"/>
    </xf>
    <xf numFmtId="0" fontId="6" fillId="0" borderId="167" xfId="10816" applyFont="1" applyFill="1" applyBorder="1" applyAlignment="1">
      <alignment horizontal="center" vertical="center" wrapText="1"/>
    </xf>
    <xf numFmtId="0" fontId="19" fillId="0" borderId="0" xfId="29735" applyNumberFormat="1" applyFont="1" applyBorder="1" applyAlignment="1" applyProtection="1">
      <alignment horizontal="left" vertical="top" wrapText="1" readingOrder="1"/>
      <protection locked="0"/>
    </xf>
    <xf numFmtId="0" fontId="39" fillId="0" borderId="0" xfId="29735" applyBorder="1"/>
    <xf numFmtId="0" fontId="18" fillId="0" borderId="3" xfId="29735" applyFont="1" applyBorder="1" applyAlignment="1" applyProtection="1">
      <alignment horizontal="center" vertical="center" wrapText="1" readingOrder="1"/>
      <protection locked="0"/>
    </xf>
    <xf numFmtId="0" fontId="18" fillId="0" borderId="3" xfId="29735" applyFont="1" applyBorder="1" applyAlignment="1" applyProtection="1">
      <alignment horizontal="center" vertical="top" wrapText="1" readingOrder="1"/>
      <protection locked="0"/>
    </xf>
    <xf numFmtId="169" fontId="0" fillId="0" borderId="0" xfId="7705" applyNumberFormat="1" applyFont="1" applyBorder="1"/>
    <xf numFmtId="169" fontId="39" fillId="0" borderId="0" xfId="29735" applyNumberFormat="1" applyBorder="1"/>
    <xf numFmtId="0" fontId="18" fillId="0" borderId="3" xfId="29735" applyFont="1" applyBorder="1" applyAlignment="1" applyProtection="1">
      <alignment horizontal="center" wrapText="1" readingOrder="1"/>
      <protection locked="0"/>
    </xf>
    <xf numFmtId="0" fontId="18" fillId="0" borderId="168" xfId="7" applyFont="1" applyBorder="1" applyAlignment="1" applyProtection="1">
      <alignment horizontal="center" vertical="center" wrapText="1" readingOrder="1"/>
      <protection locked="0"/>
    </xf>
    <xf numFmtId="172" fontId="5" fillId="0" borderId="0" xfId="7" applyNumberFormat="1" applyFont="1" applyBorder="1" applyAlignment="1" applyProtection="1">
      <alignment horizontal="right" vertical="top" wrapText="1" readingOrder="1"/>
      <protection locked="0"/>
    </xf>
    <xf numFmtId="0" fontId="5" fillId="0" borderId="0" xfId="7" applyNumberFormat="1" applyFont="1" applyBorder="1" applyAlignment="1" applyProtection="1">
      <alignment horizontal="right" vertical="top" wrapText="1" readingOrder="1"/>
      <protection locked="0"/>
    </xf>
    <xf numFmtId="0" fontId="5" fillId="0" borderId="0" xfId="7" applyFont="1" applyBorder="1" applyAlignment="1" applyProtection="1">
      <alignment horizontal="left" vertical="top" readingOrder="1"/>
      <protection locked="0"/>
    </xf>
    <xf numFmtId="0" fontId="19" fillId="0" borderId="0" xfId="7" applyNumberFormat="1" applyFont="1" applyBorder="1" applyAlignment="1" applyProtection="1">
      <alignment horizontal="left" vertical="top" wrapText="1" readingOrder="1"/>
      <protection locked="0"/>
    </xf>
    <xf numFmtId="10" fontId="19" fillId="0" borderId="0" xfId="7" applyNumberFormat="1" applyFont="1" applyBorder="1" applyAlignment="1" applyProtection="1">
      <alignment horizontal="right" vertical="top" wrapText="1" readingOrder="1"/>
      <protection locked="0"/>
    </xf>
    <xf numFmtId="172" fontId="19" fillId="0" borderId="0" xfId="7" applyNumberFormat="1" applyFont="1" applyBorder="1" applyAlignment="1" applyProtection="1">
      <alignment horizontal="right" vertical="top" wrapText="1" readingOrder="1"/>
      <protection locked="0"/>
    </xf>
    <xf numFmtId="0" fontId="9" fillId="0" borderId="0" xfId="7" applyFont="1" applyBorder="1"/>
    <xf numFmtId="9" fontId="6" fillId="0" borderId="0" xfId="36249" applyNumberFormat="1" applyFont="1" applyFill="1" applyBorder="1" applyAlignment="1">
      <alignment horizontal="right"/>
    </xf>
    <xf numFmtId="0" fontId="9" fillId="0" borderId="0" xfId="7" applyFont="1" applyBorder="1" applyAlignment="1">
      <alignment wrapText="1"/>
    </xf>
    <xf numFmtId="0" fontId="39" fillId="0" borderId="0" xfId="29735" applyBorder="1" applyAlignment="1" applyProtection="1">
      <alignment vertical="top"/>
      <protection locked="0"/>
    </xf>
    <xf numFmtId="0" fontId="39" fillId="0" borderId="0" xfId="29735" applyBorder="1" applyAlignment="1" applyProtection="1">
      <alignment vertical="top" wrapText="1"/>
      <protection locked="0"/>
    </xf>
    <xf numFmtId="0" fontId="8" fillId="0" borderId="3" xfId="0" applyFont="1" applyBorder="1" applyAlignment="1">
      <alignment vertical="center"/>
    </xf>
    <xf numFmtId="0" fontId="8" fillId="0" borderId="3" xfId="0" applyFont="1" applyBorder="1" applyAlignment="1">
      <alignment horizontal="center"/>
    </xf>
    <xf numFmtId="0" fontId="8" fillId="0" borderId="3" xfId="0" applyFont="1" applyBorder="1" applyAlignment="1">
      <alignment horizontal="left"/>
    </xf>
    <xf numFmtId="0" fontId="5" fillId="0" borderId="0" xfId="0" applyFont="1" applyFill="1"/>
    <xf numFmtId="0" fontId="6" fillId="0" borderId="3" xfId="0" applyFont="1" applyFill="1" applyBorder="1" applyAlignment="1">
      <alignment horizontal="center" vertical="center" wrapText="1"/>
    </xf>
    <xf numFmtId="0" fontId="5" fillId="0" borderId="0" xfId="0" applyFont="1" applyFill="1" applyBorder="1"/>
    <xf numFmtId="0" fontId="18" fillId="0" borderId="3" xfId="0" applyFont="1" applyBorder="1" applyAlignment="1" applyProtection="1">
      <alignment horizontal="center" vertical="center" wrapText="1" readingOrder="1"/>
      <protection locked="0"/>
    </xf>
    <xf numFmtId="0" fontId="9" fillId="0" borderId="0" xfId="0" applyFont="1"/>
    <xf numFmtId="0" fontId="5" fillId="0" borderId="3" xfId="36451" applyFont="1" applyFill="1" applyBorder="1" applyAlignment="1">
      <alignment horizontal="left" vertical="center" wrapText="1"/>
    </xf>
    <xf numFmtId="0" fontId="6" fillId="0" borderId="0" xfId="36451" applyFont="1" applyFill="1" applyBorder="1" applyAlignment="1">
      <alignment horizontal="left" vertical="center" wrapText="1"/>
    </xf>
    <xf numFmtId="0" fontId="5" fillId="0" borderId="0" xfId="4" applyFont="1" applyBorder="1" applyAlignment="1" applyProtection="1">
      <alignment vertical="top"/>
      <protection locked="0"/>
    </xf>
    <xf numFmtId="0" fontId="6" fillId="0" borderId="3" xfId="36440" applyFont="1" applyFill="1" applyBorder="1" applyAlignment="1">
      <alignment horizontal="center" vertical="center" wrapText="1"/>
    </xf>
    <xf numFmtId="0" fontId="5" fillId="0" borderId="0" xfId="36440" applyFont="1" applyFill="1" applyBorder="1" applyAlignment="1">
      <alignment horizontal="center" vertical="center" wrapText="1"/>
    </xf>
    <xf numFmtId="166" fontId="6" fillId="0" borderId="0" xfId="36440" applyNumberFormat="1" applyFont="1" applyFill="1" applyBorder="1"/>
    <xf numFmtId="49" fontId="5" fillId="0" borderId="0" xfId="36440" applyNumberFormat="1" applyFont="1" applyFill="1" applyBorder="1"/>
    <xf numFmtId="166" fontId="5" fillId="0" borderId="0" xfId="36440" applyNumberFormat="1" applyFont="1" applyFill="1" applyBorder="1"/>
    <xf numFmtId="3" fontId="9" fillId="0" borderId="0" xfId="0" applyNumberFormat="1" applyFont="1" applyBorder="1" applyAlignment="1">
      <alignment horizontal="right"/>
    </xf>
    <xf numFmtId="0" fontId="8" fillId="0" borderId="3" xfId="0" applyFont="1" applyBorder="1" applyAlignment="1">
      <alignment horizontal="center" vertical="center" wrapText="1"/>
    </xf>
    <xf numFmtId="0" fontId="8" fillId="0" borderId="3" xfId="0" applyFont="1" applyBorder="1" applyAlignment="1">
      <alignment vertical="center" wrapText="1"/>
    </xf>
    <xf numFmtId="175" fontId="18" fillId="0" borderId="0" xfId="36439" applyNumberFormat="1" applyFont="1" applyFill="1" applyBorder="1" applyAlignment="1"/>
    <xf numFmtId="175" fontId="19" fillId="0" borderId="0" xfId="36439" applyNumberFormat="1" applyFont="1" applyFill="1" applyBorder="1" applyAlignment="1"/>
    <xf numFmtId="0" fontId="5" fillId="0" borderId="0" xfId="36440" applyFont="1" applyFill="1" applyBorder="1"/>
    <xf numFmtId="3" fontId="5" fillId="0" borderId="0" xfId="36443" applyNumberFormat="1" applyFont="1" applyFill="1" applyBorder="1" applyAlignment="1" applyProtection="1">
      <alignment horizontal="left" vertical="center"/>
      <protection locked="0"/>
    </xf>
    <xf numFmtId="3" fontId="5" fillId="0" borderId="0" xfId="36440" applyNumberFormat="1" applyFont="1" applyFill="1" applyBorder="1"/>
    <xf numFmtId="3" fontId="5" fillId="0" borderId="0" xfId="36440" applyNumberFormat="1" applyFont="1" applyFill="1" applyBorder="1" applyAlignment="1" applyProtection="1">
      <alignment horizontal="left" vertical="center"/>
      <protection locked="0"/>
    </xf>
    <xf numFmtId="166" fontId="6" fillId="0" borderId="0" xfId="36440" applyNumberFormat="1" applyFont="1" applyFill="1" applyBorder="1" applyAlignment="1">
      <alignment horizontal="right"/>
    </xf>
    <xf numFmtId="3" fontId="5" fillId="0" borderId="0" xfId="36418" applyNumberFormat="1" applyFont="1" applyFill="1" applyBorder="1" applyAlignment="1">
      <alignment horizontal="right"/>
    </xf>
    <xf numFmtId="0" fontId="5" fillId="0" borderId="0" xfId="36440" applyFont="1" applyFill="1" applyBorder="1" applyAlignment="1">
      <alignment vertical="center"/>
    </xf>
    <xf numFmtId="0" fontId="5" fillId="0" borderId="0" xfId="36440" applyFont="1" applyFill="1" applyBorder="1" applyAlignment="1"/>
    <xf numFmtId="169" fontId="5" fillId="0" borderId="0" xfId="36424" applyNumberFormat="1" applyFont="1" applyFill="1" applyBorder="1" applyAlignment="1"/>
    <xf numFmtId="3" fontId="5" fillId="0" borderId="0" xfId="36440" applyNumberFormat="1" applyFont="1" applyFill="1" applyBorder="1" applyAlignment="1"/>
    <xf numFmtId="9" fontId="5" fillId="0" borderId="0" xfId="3" applyFont="1" applyFill="1" applyBorder="1"/>
    <xf numFmtId="14" fontId="9" fillId="0" borderId="0" xfId="0" applyNumberFormat="1" applyFont="1" applyBorder="1"/>
    <xf numFmtId="14" fontId="9" fillId="0" borderId="0" xfId="0" applyNumberFormat="1" applyFont="1" applyBorder="1" applyAlignment="1">
      <alignment horizontal="right"/>
    </xf>
    <xf numFmtId="1" fontId="5" fillId="0" borderId="0" xfId="0" applyNumberFormat="1" applyFont="1" applyBorder="1" applyAlignment="1">
      <alignment horizontal="right"/>
    </xf>
    <xf numFmtId="0" fontId="5" fillId="0" borderId="0" xfId="0" applyFont="1" applyBorder="1" applyAlignment="1">
      <alignment horizontal="right"/>
    </xf>
    <xf numFmtId="0" fontId="9" fillId="0" borderId="0" xfId="0" applyFont="1" applyBorder="1" applyAlignment="1">
      <alignment vertical="top" wrapText="1"/>
    </xf>
    <xf numFmtId="172" fontId="8" fillId="0" borderId="0" xfId="0" applyNumberFormat="1" applyFont="1" applyBorder="1"/>
    <xf numFmtId="172" fontId="8" fillId="0" borderId="0" xfId="3" applyNumberFormat="1" applyFont="1"/>
    <xf numFmtId="172" fontId="9" fillId="0" borderId="0" xfId="3" applyNumberFormat="1" applyFont="1"/>
    <xf numFmtId="169" fontId="9" fillId="0" borderId="0" xfId="1" applyNumberFormat="1" applyFont="1" applyBorder="1"/>
    <xf numFmtId="0" fontId="8" fillId="0" borderId="103" xfId="0" applyFont="1" applyBorder="1" applyAlignment="1">
      <alignment vertical="center" wrapText="1"/>
    </xf>
    <xf numFmtId="0" fontId="8" fillId="0" borderId="103" xfId="0" applyFont="1" applyBorder="1" applyAlignment="1">
      <alignment horizontal="center" vertical="center"/>
    </xf>
    <xf numFmtId="172" fontId="8" fillId="0" borderId="0" xfId="0" applyNumberFormat="1" applyFont="1" applyFill="1" applyBorder="1"/>
    <xf numFmtId="172" fontId="9" fillId="0" borderId="0" xfId="0" applyNumberFormat="1" applyFont="1" applyFill="1" applyBorder="1"/>
    <xf numFmtId="0" fontId="9" fillId="0" borderId="0" xfId="0" applyFont="1" applyFill="1" applyAlignment="1">
      <alignment horizontal="left"/>
    </xf>
    <xf numFmtId="0" fontId="9" fillId="0" borderId="0" xfId="0" applyNumberFormat="1" applyFont="1" applyFill="1"/>
    <xf numFmtId="0" fontId="9" fillId="0" borderId="0" xfId="0" applyFont="1" applyFill="1" applyAlignment="1">
      <alignment horizontal="left" indent="1"/>
    </xf>
    <xf numFmtId="0" fontId="6" fillId="0" borderId="101" xfId="0" applyFont="1" applyBorder="1" applyAlignment="1" applyProtection="1">
      <alignment horizontal="center" vertical="center" wrapText="1"/>
      <protection locked="0"/>
    </xf>
    <xf numFmtId="0" fontId="5" fillId="0" borderId="0" xfId="36417" applyFont="1" applyFill="1" applyAlignment="1">
      <alignment vertical="justify" wrapText="1"/>
    </xf>
    <xf numFmtId="0" fontId="5" fillId="0" borderId="0" xfId="15382" applyFont="1" applyFill="1" applyBorder="1" applyAlignment="1">
      <alignment horizontal="center" vertical="center"/>
    </xf>
    <xf numFmtId="170" fontId="5" fillId="0" borderId="0" xfId="36417" applyNumberFormat="1" applyFont="1" applyFill="1" applyAlignment="1"/>
    <xf numFmtId="0" fontId="89" fillId="0" borderId="0" xfId="0" applyFont="1" applyFill="1" applyBorder="1" applyAlignment="1">
      <alignment wrapText="1"/>
    </xf>
    <xf numFmtId="0" fontId="5" fillId="0" borderId="0" xfId="21928" applyFont="1" applyFill="1" applyBorder="1" applyAlignment="1">
      <alignment vertical="top" wrapText="1"/>
    </xf>
    <xf numFmtId="0" fontId="18" fillId="0" borderId="0" xfId="7" applyNumberFormat="1" applyFont="1" applyFill="1" applyBorder="1" applyAlignment="1" applyProtection="1">
      <alignment horizontal="right" vertical="top" wrapText="1"/>
      <protection locked="0"/>
    </xf>
    <xf numFmtId="0" fontId="5" fillId="0" borderId="0" xfId="7" applyFont="1" applyBorder="1" applyAlignment="1" applyProtection="1">
      <alignment vertical="top"/>
      <protection locked="0"/>
    </xf>
    <xf numFmtId="0" fontId="5" fillId="0" borderId="0" xfId="15382" applyFont="1" applyFill="1" applyBorder="1" applyAlignment="1" applyProtection="1">
      <alignment vertical="top"/>
      <protection locked="0"/>
    </xf>
    <xf numFmtId="0" fontId="6" fillId="0" borderId="102" xfId="15382" applyFont="1" applyFill="1" applyBorder="1" applyAlignment="1" applyProtection="1">
      <alignment horizontal="center" vertical="center" wrapText="1" readingOrder="1"/>
      <protection locked="0"/>
    </xf>
    <xf numFmtId="0" fontId="9" fillId="0" borderId="0" xfId="36447" applyFont="1" applyFill="1" applyBorder="1"/>
    <xf numFmtId="0" fontId="8" fillId="0" borderId="0" xfId="36447" applyFont="1" applyFill="1" applyBorder="1" applyAlignment="1">
      <alignment wrapText="1"/>
    </xf>
    <xf numFmtId="3" fontId="8" fillId="0" borderId="3" xfId="36447" applyNumberFormat="1" applyFont="1" applyFill="1" applyBorder="1" applyAlignment="1">
      <alignment horizontal="center" vertical="center" wrapText="1"/>
    </xf>
    <xf numFmtId="3" fontId="8" fillId="0" borderId="0" xfId="36447" applyNumberFormat="1" applyFont="1" applyFill="1" applyBorder="1" applyAlignment="1">
      <alignment horizontal="left"/>
    </xf>
    <xf numFmtId="3" fontId="8" fillId="0" borderId="0" xfId="36447" applyNumberFormat="1" applyFont="1" applyFill="1" applyBorder="1" applyAlignment="1">
      <alignment horizontal="center"/>
    </xf>
    <xf numFmtId="172" fontId="8" fillId="0" borderId="0" xfId="36447" applyNumberFormat="1" applyFont="1" applyFill="1" applyBorder="1" applyAlignment="1">
      <alignment horizontal="center"/>
    </xf>
    <xf numFmtId="3" fontId="9" fillId="0" borderId="0" xfId="36447" applyNumberFormat="1" applyFont="1" applyFill="1" applyBorder="1"/>
    <xf numFmtId="10" fontId="8" fillId="0" borderId="0" xfId="36447" applyNumberFormat="1" applyFont="1" applyFill="1" applyBorder="1" applyAlignment="1">
      <alignment horizontal="center"/>
    </xf>
    <xf numFmtId="3" fontId="9" fillId="0" borderId="0" xfId="36447" applyNumberFormat="1" applyFont="1" applyFill="1" applyBorder="1" applyAlignment="1">
      <alignment horizontal="left"/>
    </xf>
    <xf numFmtId="3" fontId="9" fillId="0" borderId="0" xfId="36447" applyNumberFormat="1" applyFont="1" applyFill="1" applyBorder="1" applyAlignment="1">
      <alignment horizontal="center"/>
    </xf>
    <xf numFmtId="10" fontId="9" fillId="0" borderId="0" xfId="36447" applyNumberFormat="1" applyFont="1" applyFill="1" applyBorder="1" applyAlignment="1">
      <alignment horizontal="center"/>
    </xf>
    <xf numFmtId="2" fontId="5" fillId="0" borderId="0" xfId="36447" applyNumberFormat="1" applyFont="1" applyFill="1" applyBorder="1" applyAlignment="1"/>
    <xf numFmtId="2" fontId="5" fillId="0" borderId="0" xfId="36447" applyNumberFormat="1" applyFont="1" applyFill="1" applyBorder="1" applyAlignment="1">
      <alignment wrapText="1"/>
    </xf>
    <xf numFmtId="0" fontId="90" fillId="0" borderId="0" xfId="36448" applyFont="1" applyAlignment="1">
      <alignment horizontal="justify" vertical="center"/>
    </xf>
    <xf numFmtId="0" fontId="78" fillId="0" borderId="0" xfId="36448" applyFont="1" applyAlignment="1">
      <alignment horizontal="justify" vertical="center"/>
    </xf>
    <xf numFmtId="0" fontId="5" fillId="0" borderId="0" xfId="36448" applyFont="1" applyAlignment="1">
      <alignment horizontal="justify" vertical="center"/>
    </xf>
    <xf numFmtId="0" fontId="9" fillId="0" borderId="0" xfId="11" applyFont="1" applyFill="1" applyBorder="1"/>
    <xf numFmtId="0" fontId="6" fillId="0" borderId="0" xfId="11" applyFont="1" applyFill="1" applyBorder="1" applyAlignment="1">
      <alignment horizontal="justify" vertical="center" wrapText="1"/>
    </xf>
    <xf numFmtId="3" fontId="8" fillId="0" borderId="3" xfId="11" applyNumberFormat="1" applyFont="1" applyFill="1" applyBorder="1" applyAlignment="1">
      <alignment horizontal="center" vertical="center" wrapText="1"/>
    </xf>
    <xf numFmtId="3" fontId="8" fillId="0" borderId="0" xfId="11" applyNumberFormat="1" applyFont="1" applyFill="1" applyBorder="1" applyAlignment="1">
      <alignment horizontal="left"/>
    </xf>
    <xf numFmtId="3" fontId="8" fillId="0" borderId="0" xfId="11" applyNumberFormat="1" applyFont="1" applyFill="1" applyBorder="1" applyAlignment="1">
      <alignment horizontal="center"/>
    </xf>
    <xf numFmtId="190" fontId="8" fillId="0" borderId="0" xfId="11" applyNumberFormat="1" applyFont="1" applyFill="1" applyBorder="1" applyAlignment="1">
      <alignment horizontal="center"/>
    </xf>
    <xf numFmtId="0" fontId="8" fillId="0" borderId="0" xfId="11" applyFont="1" applyFill="1" applyBorder="1"/>
    <xf numFmtId="3" fontId="9" fillId="0" borderId="0" xfId="11" applyNumberFormat="1" applyFont="1" applyFill="1" applyBorder="1" applyAlignment="1">
      <alignment horizontal="left"/>
    </xf>
    <xf numFmtId="3" fontId="9" fillId="0" borderId="0" xfId="11" applyNumberFormat="1" applyFont="1" applyFill="1" applyBorder="1" applyAlignment="1">
      <alignment horizontal="center"/>
    </xf>
    <xf numFmtId="190" fontId="9" fillId="0" borderId="0" xfId="11" applyNumberFormat="1" applyFont="1" applyFill="1" applyBorder="1" applyAlignment="1">
      <alignment horizontal="center"/>
    </xf>
    <xf numFmtId="0" fontId="5" fillId="0" borderId="0" xfId="36448" applyFont="1"/>
    <xf numFmtId="0" fontId="6" fillId="0" borderId="0" xfId="11" applyFont="1" applyFill="1" applyBorder="1" applyAlignment="1">
      <alignment horizontal="left" wrapText="1"/>
    </xf>
    <xf numFmtId="0" fontId="6" fillId="0" borderId="3" xfId="11" applyFont="1" applyFill="1" applyBorder="1" applyAlignment="1">
      <alignment horizontal="center" vertical="center" wrapText="1"/>
    </xf>
    <xf numFmtId="3" fontId="6" fillId="0" borderId="3" xfId="11" applyNumberFormat="1" applyFont="1" applyFill="1" applyBorder="1" applyAlignment="1">
      <alignment horizontal="center" vertical="center" wrapText="1"/>
    </xf>
    <xf numFmtId="3" fontId="6" fillId="0" borderId="0" xfId="11" applyNumberFormat="1" applyFont="1" applyFill="1" applyBorder="1" applyAlignment="1">
      <alignment horizontal="left"/>
    </xf>
    <xf numFmtId="3" fontId="6" fillId="0" borderId="0" xfId="11" applyNumberFormat="1" applyFont="1" applyFill="1" applyBorder="1" applyAlignment="1">
      <alignment horizontal="center"/>
    </xf>
    <xf numFmtId="3" fontId="5" fillId="0" borderId="0" xfId="11" applyNumberFormat="1" applyFont="1" applyFill="1" applyBorder="1" applyAlignment="1">
      <alignment horizontal="left"/>
    </xf>
    <xf numFmtId="3" fontId="5" fillId="0" borderId="0" xfId="11" applyNumberFormat="1" applyFont="1" applyFill="1" applyBorder="1" applyAlignment="1">
      <alignment horizontal="center"/>
    </xf>
    <xf numFmtId="3" fontId="5" fillId="0" borderId="0" xfId="11" applyNumberFormat="1" applyFont="1" applyFill="1" applyBorder="1"/>
    <xf numFmtId="0" fontId="9" fillId="0" borderId="0" xfId="11" applyFont="1" applyBorder="1"/>
    <xf numFmtId="0" fontId="8" fillId="0" borderId="3" xfId="11" applyFont="1" applyFill="1" applyBorder="1" applyAlignment="1">
      <alignment horizontal="center" vertical="center"/>
    </xf>
    <xf numFmtId="0" fontId="8" fillId="0" borderId="3" xfId="11" applyFont="1" applyFill="1" applyBorder="1" applyAlignment="1">
      <alignment horizontal="center" vertical="center" wrapText="1"/>
    </xf>
    <xf numFmtId="169" fontId="8" fillId="0" borderId="0" xfId="36449" applyNumberFormat="1" applyFont="1" applyFill="1" applyBorder="1" applyAlignment="1">
      <alignment horizontal="center"/>
    </xf>
    <xf numFmtId="170" fontId="8" fillId="0" borderId="0" xfId="11" applyNumberFormat="1" applyFont="1" applyFill="1" applyBorder="1" applyAlignment="1">
      <alignment horizontal="center"/>
    </xf>
    <xf numFmtId="0" fontId="9" fillId="0" borderId="0" xfId="11" applyNumberFormat="1" applyFont="1" applyBorder="1"/>
    <xf numFmtId="169" fontId="9" fillId="0" borderId="0" xfId="36449" applyNumberFormat="1" applyFont="1" applyFill="1" applyBorder="1" applyAlignment="1">
      <alignment horizontal="center"/>
    </xf>
    <xf numFmtId="170" fontId="9" fillId="0" borderId="0" xfId="11" applyNumberFormat="1" applyFont="1" applyFill="1" applyBorder="1" applyAlignment="1">
      <alignment horizontal="center"/>
    </xf>
    <xf numFmtId="0" fontId="9" fillId="0" borderId="0" xfId="36450" applyNumberFormat="1" applyFont="1" applyBorder="1"/>
    <xf numFmtId="169" fontId="9" fillId="0" borderId="0" xfId="11" applyNumberFormat="1" applyFont="1" applyFill="1" applyBorder="1"/>
    <xf numFmtId="0" fontId="6" fillId="0" borderId="31" xfId="0" applyFont="1" applyFill="1" applyBorder="1" applyAlignment="1" applyProtection="1">
      <alignment wrapText="1" readingOrder="1"/>
      <protection locked="0"/>
    </xf>
    <xf numFmtId="0" fontId="9" fillId="0" borderId="0" xfId="0" applyFont="1" applyFill="1" applyBorder="1" applyAlignment="1">
      <alignment vertical="top"/>
    </xf>
    <xf numFmtId="0" fontId="5" fillId="0" borderId="0" xfId="0" applyFont="1" applyFill="1" applyAlignment="1">
      <alignment vertical="top"/>
    </xf>
    <xf numFmtId="0" fontId="6" fillId="0" borderId="0" xfId="0" applyFont="1" applyFill="1" applyBorder="1" applyAlignment="1" applyProtection="1">
      <alignment horizontal="left" vertical="top" wrapText="1" readingOrder="1"/>
      <protection locked="0"/>
    </xf>
    <xf numFmtId="0" fontId="5" fillId="0" borderId="0" xfId="0" applyFont="1" applyBorder="1"/>
    <xf numFmtId="0" fontId="6" fillId="0" borderId="3" xfId="0" applyFont="1" applyBorder="1" applyAlignment="1">
      <alignment vertical="center"/>
    </xf>
    <xf numFmtId="0" fontId="91" fillId="26" borderId="171" xfId="0" applyFont="1" applyFill="1" applyBorder="1" applyAlignment="1">
      <alignment horizontal="center" vertical="center"/>
    </xf>
    <xf numFmtId="0" fontId="91" fillId="26" borderId="171" xfId="0" applyFont="1" applyFill="1" applyBorder="1" applyAlignment="1">
      <alignment horizontal="center" vertical="center" wrapText="1"/>
    </xf>
    <xf numFmtId="0" fontId="0" fillId="26" borderId="0" xfId="0" applyFill="1"/>
    <xf numFmtId="0" fontId="86" fillId="26" borderId="171" xfId="36453" applyFill="1" applyBorder="1" applyAlignment="1" applyProtection="1"/>
    <xf numFmtId="0" fontId="0" fillId="26" borderId="171" xfId="0" applyFill="1" applyBorder="1" applyAlignment="1">
      <alignment wrapText="1"/>
    </xf>
    <xf numFmtId="0" fontId="0" fillId="26" borderId="0" xfId="0" applyFill="1" applyAlignment="1">
      <alignment wrapText="1"/>
    </xf>
    <xf numFmtId="0" fontId="5" fillId="0" borderId="0" xfId="4" applyFont="1" applyAlignment="1">
      <alignment horizontal="justify"/>
    </xf>
    <xf numFmtId="0" fontId="6" fillId="0" borderId="0" xfId="4" applyFont="1" applyAlignment="1">
      <alignment horizontal="justify" vertical="top" wrapText="1"/>
    </xf>
    <xf numFmtId="0" fontId="5" fillId="0" borderId="2" xfId="4" applyFont="1" applyBorder="1" applyAlignment="1">
      <alignment horizontal="left"/>
    </xf>
    <xf numFmtId="0" fontId="6" fillId="0" borderId="3" xfId="4" applyFont="1" applyBorder="1" applyAlignment="1">
      <alignment horizontal="center" vertical="center"/>
    </xf>
    <xf numFmtId="0" fontId="5" fillId="0" borderId="0" xfId="4" applyFont="1" applyAlignment="1">
      <alignment horizontal="left"/>
    </xf>
    <xf numFmtId="0" fontId="6" fillId="0" borderId="0" xfId="4" applyFont="1" applyFill="1" applyAlignment="1">
      <alignment horizontal="left" vertical="top" wrapText="1"/>
    </xf>
    <xf numFmtId="0" fontId="6" fillId="0" borderId="3" xfId="6" applyFont="1" applyFill="1" applyBorder="1" applyAlignment="1">
      <alignment horizontal="center" vertical="center"/>
    </xf>
    <xf numFmtId="0" fontId="6" fillId="0" borderId="3" xfId="6" applyFont="1" applyBorder="1" applyAlignment="1">
      <alignment horizontal="center" vertical="center"/>
    </xf>
    <xf numFmtId="0" fontId="5" fillId="0" borderId="0" xfId="6" applyFont="1" applyAlignment="1">
      <alignment horizontal="justify"/>
    </xf>
    <xf numFmtId="0" fontId="6" fillId="0" borderId="0" xfId="4" applyFont="1" applyAlignment="1">
      <alignment horizontal="left" wrapText="1"/>
    </xf>
    <xf numFmtId="0" fontId="6" fillId="0" borderId="0" xfId="4" applyFont="1" applyAlignment="1">
      <alignment horizontal="justify" wrapText="1"/>
    </xf>
    <xf numFmtId="0" fontId="14" fillId="0" borderId="0" xfId="4" applyFont="1" applyAlignment="1">
      <alignment horizontal="justify" wrapText="1"/>
    </xf>
    <xf numFmtId="0" fontId="5" fillId="0" borderId="0" xfId="4" applyFont="1"/>
    <xf numFmtId="0" fontId="5" fillId="0" borderId="0" xfId="4" applyFont="1" applyAlignment="1">
      <alignment horizontal="justify" wrapText="1"/>
    </xf>
    <xf numFmtId="0" fontId="5" fillId="0" borderId="0" xfId="4" applyFont="1" applyAlignment="1">
      <alignment horizontal="justify" vertical="top" wrapText="1"/>
    </xf>
    <xf numFmtId="0" fontId="5" fillId="0" borderId="0" xfId="4" applyFont="1" applyFill="1" applyAlignment="1">
      <alignment horizontal="justify" wrapText="1"/>
    </xf>
    <xf numFmtId="0" fontId="8" fillId="0" borderId="0" xfId="0" applyFont="1" applyAlignment="1">
      <alignment horizontal="justify" wrapText="1"/>
    </xf>
    <xf numFmtId="0" fontId="6" fillId="0" borderId="6" xfId="4" applyFont="1" applyBorder="1" applyAlignment="1">
      <alignment horizontal="center" vertical="center" wrapText="1"/>
    </xf>
    <xf numFmtId="0" fontId="6" fillId="0" borderId="7" xfId="4" applyFont="1" applyBorder="1" applyAlignment="1">
      <alignment horizontal="center" vertical="center" wrapText="1"/>
    </xf>
    <xf numFmtId="0" fontId="6" fillId="0" borderId="0" xfId="4" applyFont="1" applyFill="1" applyAlignment="1">
      <alignment horizontal="justify" wrapText="1"/>
    </xf>
    <xf numFmtId="0" fontId="6" fillId="0" borderId="3" xfId="4" applyFont="1" applyFill="1" applyBorder="1" applyAlignment="1">
      <alignment horizontal="center" vertical="center" wrapText="1"/>
    </xf>
    <xf numFmtId="0" fontId="5" fillId="0" borderId="0" xfId="6" applyFont="1" applyAlignment="1">
      <alignment horizontal="justify" wrapText="1"/>
    </xf>
    <xf numFmtId="0" fontId="6" fillId="0" borderId="3" xfId="4" applyFont="1" applyBorder="1" applyAlignment="1">
      <alignment horizontal="center" vertical="center" wrapText="1"/>
    </xf>
    <xf numFmtId="0" fontId="5" fillId="0" borderId="0" xfId="4" applyNumberFormat="1" applyFont="1" applyAlignment="1">
      <alignment horizontal="justify" vertical="top"/>
    </xf>
    <xf numFmtId="0" fontId="5" fillId="0" borderId="0" xfId="4" applyNumberFormat="1" applyFont="1" applyAlignment="1">
      <alignment horizontal="justify" vertical="top" wrapText="1"/>
    </xf>
    <xf numFmtId="0" fontId="5" fillId="0" borderId="9" xfId="0" applyFont="1" applyFill="1" applyBorder="1" applyAlignment="1" applyProtection="1">
      <alignment horizontal="justify" vertical="top" wrapText="1" readingOrder="1"/>
      <protection locked="0"/>
    </xf>
    <xf numFmtId="0" fontId="5" fillId="0" borderId="10" xfId="0" applyFont="1" applyFill="1" applyBorder="1" applyAlignment="1" applyProtection="1">
      <alignment horizontal="justify" vertical="top" wrapText="1" readingOrder="1"/>
      <protection locked="0"/>
    </xf>
    <xf numFmtId="0" fontId="6" fillId="0" borderId="0" xfId="6" applyFont="1" applyAlignment="1">
      <alignment horizontal="justify" vertical="center" wrapText="1" readingOrder="1"/>
    </xf>
    <xf numFmtId="0" fontId="5" fillId="0" borderId="2" xfId="6" applyFont="1" applyBorder="1" applyAlignment="1">
      <alignment horizontal="left"/>
    </xf>
    <xf numFmtId="0" fontId="17" fillId="0" borderId="9" xfId="0" applyFont="1" applyBorder="1" applyAlignment="1" applyProtection="1">
      <alignment horizontal="justify" vertical="top" wrapText="1" readingOrder="1"/>
      <protection locked="0"/>
    </xf>
    <xf numFmtId="0" fontId="17" fillId="0" borderId="10" xfId="0" applyFont="1" applyBorder="1" applyAlignment="1" applyProtection="1">
      <alignment horizontal="justify" vertical="top" wrapText="1" readingOrder="1"/>
      <protection locked="0"/>
    </xf>
    <xf numFmtId="0" fontId="5" fillId="0" borderId="9" xfId="0" applyFont="1" applyBorder="1" applyAlignment="1" applyProtection="1">
      <alignment horizontal="justify" vertical="top" wrapText="1" readingOrder="1"/>
      <protection locked="0"/>
    </xf>
    <xf numFmtId="0" fontId="5" fillId="0" borderId="10" xfId="0" applyFont="1" applyBorder="1" applyAlignment="1" applyProtection="1">
      <alignment horizontal="justify" vertical="top" wrapText="1" readingOrder="1"/>
      <protection locked="0"/>
    </xf>
    <xf numFmtId="0" fontId="5" fillId="0" borderId="0" xfId="4" applyFont="1" applyAlignment="1">
      <alignment horizontal="justify" readingOrder="1"/>
    </xf>
    <xf numFmtId="0" fontId="5" fillId="0" borderId="12" xfId="4" applyFont="1" applyBorder="1" applyAlignment="1">
      <alignment horizontal="justify" vertical="top" wrapText="1" readingOrder="1"/>
    </xf>
    <xf numFmtId="49" fontId="5" fillId="0" borderId="0" xfId="4" applyNumberFormat="1" applyFont="1" applyAlignment="1">
      <alignment horizontal="justify" readingOrder="1"/>
    </xf>
    <xf numFmtId="0" fontId="5" fillId="0" borderId="0" xfId="4" applyFont="1" applyAlignment="1">
      <alignment horizontal="justify" vertical="center" wrapText="1"/>
    </xf>
    <xf numFmtId="0" fontId="6" fillId="0" borderId="3" xfId="6" applyFont="1" applyBorder="1" applyAlignment="1">
      <alignment horizontal="center" vertical="center" wrapText="1"/>
    </xf>
    <xf numFmtId="0" fontId="5" fillId="0" borderId="0" xfId="6" applyFont="1" applyFill="1" applyAlignment="1">
      <alignment horizontal="justify"/>
    </xf>
    <xf numFmtId="0" fontId="9" fillId="0" borderId="0" xfId="6" applyFont="1" applyFill="1" applyAlignment="1">
      <alignment horizontal="justify"/>
    </xf>
    <xf numFmtId="0" fontId="6" fillId="0" borderId="0" xfId="7" applyFont="1" applyFill="1" applyAlignment="1" applyProtection="1">
      <alignment horizontal="justify" vertical="justify" wrapText="1" readingOrder="1"/>
      <protection locked="0"/>
    </xf>
    <xf numFmtId="0" fontId="19" fillId="0" borderId="15" xfId="7" applyFont="1" applyFill="1" applyBorder="1" applyAlignment="1" applyProtection="1">
      <alignment horizontal="left" vertical="top" wrapText="1" readingOrder="1"/>
      <protection locked="0"/>
    </xf>
    <xf numFmtId="0" fontId="19" fillId="0" borderId="0" xfId="7" applyFont="1" applyFill="1" applyBorder="1" applyAlignment="1" applyProtection="1">
      <alignment horizontal="left" vertical="top" wrapText="1" readingOrder="1"/>
      <protection locked="0"/>
    </xf>
    <xf numFmtId="0" fontId="18" fillId="0" borderId="0" xfId="7" applyFont="1" applyAlignment="1" applyProtection="1">
      <alignment horizontal="left" vertical="top" wrapText="1" readingOrder="1"/>
      <protection locked="0"/>
    </xf>
    <xf numFmtId="0" fontId="19" fillId="0" borderId="0" xfId="7" applyFont="1" applyAlignment="1" applyProtection="1">
      <alignment vertical="top" wrapText="1" readingOrder="1"/>
      <protection locked="0"/>
    </xf>
    <xf numFmtId="0" fontId="5" fillId="0" borderId="0" xfId="7" applyFont="1"/>
    <xf numFmtId="0" fontId="18" fillId="0" borderId="16" xfId="7" applyFont="1" applyBorder="1" applyAlignment="1" applyProtection="1">
      <alignment horizontal="center" vertical="center" wrapText="1" readingOrder="1"/>
      <protection locked="0"/>
    </xf>
    <xf numFmtId="0" fontId="18" fillId="0" borderId="17" xfId="7" applyFont="1" applyBorder="1" applyAlignment="1" applyProtection="1">
      <alignment horizontal="center" vertical="center" wrapText="1" readingOrder="1"/>
      <protection locked="0"/>
    </xf>
    <xf numFmtId="0" fontId="18" fillId="0" borderId="3" xfId="7" applyFont="1" applyBorder="1" applyAlignment="1" applyProtection="1">
      <alignment horizontal="center" vertical="center" wrapText="1" readingOrder="1"/>
      <protection locked="0"/>
    </xf>
    <xf numFmtId="0" fontId="19" fillId="0" borderId="15" xfId="7" applyFont="1" applyBorder="1" applyAlignment="1" applyProtection="1">
      <alignment horizontal="left" wrapText="1" readingOrder="1"/>
      <protection locked="0"/>
    </xf>
    <xf numFmtId="0" fontId="19" fillId="0" borderId="0" xfId="7" applyFont="1" applyBorder="1" applyAlignment="1" applyProtection="1">
      <alignment horizontal="left" wrapText="1" readingOrder="1"/>
      <protection locked="0"/>
    </xf>
    <xf numFmtId="0" fontId="5" fillId="0" borderId="0" xfId="7" applyFont="1" applyAlignment="1">
      <alignment horizontal="justify"/>
    </xf>
    <xf numFmtId="0" fontId="6" fillId="0" borderId="0" xfId="7" applyFont="1" applyAlignment="1">
      <alignment horizontal="justify"/>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0" xfId="7" applyFont="1" applyAlignment="1" applyProtection="1">
      <alignment vertical="top" wrapText="1" readingOrder="1"/>
      <protection locked="0"/>
    </xf>
    <xf numFmtId="0" fontId="18" fillId="0" borderId="152" xfId="7" applyFont="1" applyBorder="1" applyAlignment="1" applyProtection="1">
      <alignment horizontal="center" vertical="center" wrapText="1" readingOrder="1"/>
      <protection locked="0"/>
    </xf>
    <xf numFmtId="0" fontId="18" fillId="0" borderId="36" xfId="7" applyFont="1" applyBorder="1" applyAlignment="1" applyProtection="1">
      <alignment horizontal="center" vertical="center" wrapText="1" readingOrder="1"/>
      <protection locked="0"/>
    </xf>
    <xf numFmtId="0" fontId="18" fillId="0" borderId="101" xfId="7" applyFont="1" applyBorder="1" applyAlignment="1" applyProtection="1">
      <alignment horizontal="center" vertical="top" wrapText="1" readingOrder="1"/>
      <protection locked="0"/>
    </xf>
    <xf numFmtId="0" fontId="5" fillId="0" borderId="153" xfId="7" applyFont="1" applyBorder="1" applyAlignment="1" applyProtection="1">
      <alignment vertical="top" wrapText="1"/>
      <protection locked="0"/>
    </xf>
    <xf numFmtId="0" fontId="5" fillId="0" borderId="154" xfId="7" applyFont="1" applyBorder="1" applyAlignment="1" applyProtection="1">
      <alignment vertical="top" wrapText="1"/>
      <protection locked="0"/>
    </xf>
    <xf numFmtId="0" fontId="19" fillId="0" borderId="0" xfId="7" applyFont="1" applyBorder="1" applyAlignment="1" applyProtection="1">
      <alignment wrapText="1" readingOrder="1"/>
      <protection locked="0"/>
    </xf>
    <xf numFmtId="0" fontId="5" fillId="0" borderId="0" xfId="7" applyFont="1" applyBorder="1" applyAlignment="1" applyProtection="1">
      <alignment wrapText="1"/>
      <protection locked="0"/>
    </xf>
    <xf numFmtId="0" fontId="18" fillId="0" borderId="0" xfId="7" applyFont="1" applyBorder="1" applyAlignment="1" applyProtection="1">
      <alignment wrapText="1" readingOrder="1"/>
      <protection locked="0"/>
    </xf>
    <xf numFmtId="0" fontId="6" fillId="0" borderId="0" xfId="7" applyFont="1" applyFill="1" applyBorder="1" applyAlignment="1" applyProtection="1">
      <alignment wrapText="1" readingOrder="1"/>
      <protection locked="0"/>
    </xf>
    <xf numFmtId="0" fontId="5" fillId="0" borderId="0" xfId="7" applyFont="1" applyFill="1" applyBorder="1" applyAlignment="1" applyProtection="1">
      <alignment wrapText="1"/>
      <protection locked="0"/>
    </xf>
    <xf numFmtId="0" fontId="18" fillId="0" borderId="0" xfId="7" applyFont="1" applyBorder="1" applyAlignment="1" applyProtection="1">
      <alignment horizontal="left" readingOrder="1"/>
      <protection locked="0"/>
    </xf>
    <xf numFmtId="0" fontId="6" fillId="0" borderId="0" xfId="7" applyFont="1" applyFill="1" applyBorder="1" applyAlignment="1" applyProtection="1">
      <alignment horizontal="left" readingOrder="1"/>
      <protection locked="0"/>
    </xf>
    <xf numFmtId="0" fontId="18" fillId="0" borderId="0" xfId="7" applyFont="1" applyBorder="1" applyAlignment="1" applyProtection="1">
      <alignment horizontal="justify" vertical="justify" wrapText="1" readingOrder="1"/>
      <protection locked="0"/>
    </xf>
    <xf numFmtId="0" fontId="5" fillId="0" borderId="0" xfId="7" applyFont="1" applyBorder="1" applyAlignment="1" applyProtection="1">
      <alignment horizontal="justify" vertical="justify" wrapText="1"/>
      <protection locked="0"/>
    </xf>
    <xf numFmtId="0" fontId="5" fillId="0" borderId="0" xfId="7" applyFont="1" applyBorder="1" applyAlignment="1" applyProtection="1">
      <alignment vertical="top" wrapText="1"/>
      <protection locked="0"/>
    </xf>
    <xf numFmtId="0" fontId="18" fillId="0" borderId="3" xfId="7" applyFont="1" applyBorder="1" applyAlignment="1" applyProtection="1">
      <alignment horizontal="center" vertical="top" wrapText="1" readingOrder="1"/>
      <protection locked="0"/>
    </xf>
    <xf numFmtId="0" fontId="5" fillId="0" borderId="3" xfId="7" applyFont="1" applyBorder="1" applyAlignment="1" applyProtection="1">
      <alignment vertical="top" wrapText="1"/>
      <protection locked="0"/>
    </xf>
    <xf numFmtId="0" fontId="5" fillId="0" borderId="0" xfId="7" applyFont="1" applyFill="1" applyBorder="1" applyAlignment="1" applyProtection="1">
      <alignment horizontal="left" vertical="top" wrapText="1" readingOrder="1"/>
      <protection locked="0"/>
    </xf>
    <xf numFmtId="0" fontId="18" fillId="0" borderId="0" xfId="7" applyFont="1" applyAlignment="1" applyProtection="1">
      <alignment horizontal="justify" vertical="justify" wrapText="1" readingOrder="1"/>
      <protection locked="0"/>
    </xf>
    <xf numFmtId="0" fontId="5" fillId="0" borderId="0" xfId="7" applyFont="1" applyAlignment="1">
      <alignment horizontal="justify" vertical="justify"/>
    </xf>
    <xf numFmtId="0" fontId="18" fillId="0" borderId="21" xfId="7" applyFont="1" applyBorder="1" applyAlignment="1" applyProtection="1">
      <alignment horizontal="center" vertical="center" wrapText="1" readingOrder="1"/>
      <protection locked="0"/>
    </xf>
    <xf numFmtId="0" fontId="18" fillId="0" borderId="155" xfId="7" applyFont="1" applyBorder="1" applyAlignment="1" applyProtection="1">
      <alignment horizontal="center" vertical="center" wrapText="1" readingOrder="1"/>
      <protection locked="0"/>
    </xf>
    <xf numFmtId="0" fontId="18" fillId="0" borderId="152" xfId="7" applyFont="1" applyBorder="1" applyAlignment="1" applyProtection="1">
      <alignment horizontal="center" vertical="top" wrapText="1" readingOrder="1"/>
      <protection locked="0"/>
    </xf>
    <xf numFmtId="0" fontId="5" fillId="0" borderId="156" xfId="7" applyFont="1" applyBorder="1" applyAlignment="1" applyProtection="1">
      <alignment vertical="top" wrapText="1"/>
      <protection locked="0"/>
    </xf>
    <xf numFmtId="0" fontId="5" fillId="0" borderId="157" xfId="7" applyFont="1" applyBorder="1" applyAlignment="1" applyProtection="1">
      <alignment vertical="top" wrapText="1"/>
      <protection locked="0"/>
    </xf>
    <xf numFmtId="0" fontId="5" fillId="0" borderId="0" xfId="7" applyFont="1" applyFill="1" applyBorder="1" applyAlignment="1" applyProtection="1">
      <alignment vertical="center" wrapText="1" readingOrder="1"/>
      <protection locked="0"/>
    </xf>
    <xf numFmtId="0" fontId="5" fillId="0" borderId="0" xfId="7" applyFont="1" applyFill="1" applyBorder="1" applyAlignment="1" applyProtection="1">
      <alignment vertical="center" wrapText="1"/>
      <protection locked="0"/>
    </xf>
    <xf numFmtId="0" fontId="19" fillId="0" borderId="0" xfId="7" applyFont="1" applyFill="1" applyBorder="1" applyAlignment="1" applyProtection="1">
      <alignment horizontal="justify" vertical="justify" wrapText="1" readingOrder="1"/>
      <protection locked="0"/>
    </xf>
    <xf numFmtId="0" fontId="5" fillId="0" borderId="0" xfId="7" applyFont="1" applyAlignment="1">
      <alignment horizontal="justify" vertical="justify" wrapText="1"/>
    </xf>
    <xf numFmtId="0" fontId="6" fillId="0" borderId="0" xfId="7" applyFont="1" applyFill="1" applyBorder="1" applyAlignment="1" applyProtection="1">
      <alignment horizontal="left" vertical="top" wrapText="1" readingOrder="1"/>
      <protection locked="0"/>
    </xf>
    <xf numFmtId="0" fontId="5" fillId="0" borderId="3" xfId="7" applyFont="1" applyBorder="1" applyAlignment="1">
      <alignment horizontal="left" vertical="center"/>
    </xf>
    <xf numFmtId="0" fontId="18" fillId="0" borderId="0" xfId="7" applyFont="1" applyBorder="1" applyAlignment="1" applyProtection="1">
      <alignment horizontal="left" vertical="top" wrapText="1" readingOrder="1"/>
      <protection locked="0"/>
    </xf>
    <xf numFmtId="0" fontId="18" fillId="0" borderId="15" xfId="7" applyFont="1" applyBorder="1" applyAlignment="1" applyProtection="1">
      <alignment horizontal="justify" wrapText="1" readingOrder="1"/>
      <protection locked="0"/>
    </xf>
    <xf numFmtId="0" fontId="18" fillId="0" borderId="0" xfId="7" applyFont="1" applyBorder="1" applyAlignment="1" applyProtection="1">
      <alignment horizontal="justify" wrapText="1" readingOrder="1"/>
      <protection locked="0"/>
    </xf>
    <xf numFmtId="0" fontId="18" fillId="0" borderId="15" xfId="7" applyFont="1" applyBorder="1" applyAlignment="1" applyProtection="1">
      <alignment horizontal="left" wrapText="1" readingOrder="1"/>
      <protection locked="0"/>
    </xf>
    <xf numFmtId="0" fontId="18" fillId="0" borderId="0" xfId="7" applyFont="1" applyBorder="1" applyAlignment="1" applyProtection="1">
      <alignment horizontal="left" wrapText="1" readingOrder="1"/>
      <protection locked="0"/>
    </xf>
    <xf numFmtId="0" fontId="5" fillId="0" borderId="0" xfId="7" applyFont="1" applyFill="1" applyBorder="1" applyAlignment="1">
      <alignment horizontal="justify" vertical="center" wrapText="1" readingOrder="1"/>
    </xf>
    <xf numFmtId="0" fontId="18" fillId="0" borderId="0" xfId="7" applyFont="1" applyBorder="1" applyAlignment="1" applyProtection="1">
      <alignment horizontal="justify" vertical="center" wrapText="1" readingOrder="1"/>
      <protection locked="0"/>
    </xf>
    <xf numFmtId="0" fontId="5" fillId="0" borderId="0" xfId="7" applyFont="1" applyBorder="1" applyAlignment="1" applyProtection="1">
      <alignment horizontal="justify" vertical="center" wrapText="1" readingOrder="1"/>
      <protection locked="0"/>
    </xf>
    <xf numFmtId="0" fontId="18" fillId="0" borderId="0" xfId="7" applyFont="1" applyFill="1" applyAlignment="1" applyProtection="1">
      <alignment horizontal="justify" vertical="center" wrapText="1" readingOrder="1"/>
      <protection locked="0"/>
    </xf>
    <xf numFmtId="0" fontId="5" fillId="0" borderId="0" xfId="7" applyFont="1" applyFill="1" applyAlignment="1">
      <alignment horizontal="justify" vertical="center" readingOrder="1"/>
    </xf>
    <xf numFmtId="0" fontId="18" fillId="0" borderId="28" xfId="7" applyFont="1" applyFill="1" applyBorder="1" applyAlignment="1" applyProtection="1">
      <alignment horizontal="left" vertical="top" wrapText="1" readingOrder="1"/>
      <protection locked="0"/>
    </xf>
    <xf numFmtId="0" fontId="5" fillId="0" borderId="28" xfId="7" applyFont="1" applyBorder="1"/>
    <xf numFmtId="0" fontId="18" fillId="0" borderId="160" xfId="7" applyFont="1" applyBorder="1" applyAlignment="1" applyProtection="1">
      <alignment horizontal="center" vertical="center" wrapText="1" readingOrder="1"/>
      <protection locked="0"/>
    </xf>
    <xf numFmtId="0" fontId="18" fillId="0" borderId="163" xfId="7" applyFont="1" applyBorder="1" applyAlignment="1" applyProtection="1">
      <alignment horizontal="center" vertical="center" wrapText="1" readingOrder="1"/>
      <protection locked="0"/>
    </xf>
    <xf numFmtId="0" fontId="18" fillId="0" borderId="159" xfId="7" applyFont="1" applyBorder="1" applyAlignment="1" applyProtection="1">
      <alignment horizontal="center" vertical="top" wrapText="1" readingOrder="1"/>
      <protection locked="0"/>
    </xf>
    <xf numFmtId="0" fontId="5" fillId="0" borderId="161" xfId="7" applyFont="1" applyBorder="1"/>
    <xf numFmtId="0" fontId="5" fillId="0" borderId="162" xfId="7" applyFont="1" applyBorder="1"/>
    <xf numFmtId="0" fontId="5" fillId="0" borderId="0" xfId="7" applyFont="1" applyBorder="1" applyAlignment="1" applyProtection="1">
      <alignment horizontal="justify" vertical="top" wrapText="1" readingOrder="1"/>
      <protection locked="0"/>
    </xf>
    <xf numFmtId="0" fontId="5" fillId="0" borderId="0" xfId="7" applyFont="1" applyBorder="1" applyAlignment="1" applyProtection="1">
      <alignment horizontal="justify" vertical="top" wrapText="1"/>
      <protection locked="0"/>
    </xf>
    <xf numFmtId="0" fontId="18" fillId="0" borderId="165" xfId="7" applyFont="1" applyBorder="1" applyAlignment="1" applyProtection="1">
      <alignment horizontal="center" vertical="center" wrapText="1" readingOrder="1"/>
      <protection locked="0"/>
    </xf>
    <xf numFmtId="0" fontId="18" fillId="0" borderId="164" xfId="7" applyFont="1" applyBorder="1" applyAlignment="1" applyProtection="1">
      <alignment horizontal="center" vertical="center" wrapText="1" readingOrder="1"/>
      <protection locked="0"/>
    </xf>
    <xf numFmtId="0" fontId="18" fillId="0" borderId="31" xfId="7" applyFont="1" applyBorder="1" applyAlignment="1" applyProtection="1">
      <alignment horizontal="center" vertical="top" wrapText="1" readingOrder="1"/>
      <protection locked="0"/>
    </xf>
    <xf numFmtId="0" fontId="18" fillId="0" borderId="166" xfId="7" applyFont="1" applyBorder="1" applyAlignment="1" applyProtection="1">
      <alignment horizontal="center" vertical="top" wrapText="1" readingOrder="1"/>
      <protection locked="0"/>
    </xf>
    <xf numFmtId="0" fontId="18" fillId="0" borderId="99" xfId="7" applyFont="1" applyBorder="1" applyAlignment="1" applyProtection="1">
      <alignment horizontal="center" vertical="top" wrapText="1" readingOrder="1"/>
      <protection locked="0"/>
    </xf>
    <xf numFmtId="0" fontId="18" fillId="0" borderId="0" xfId="7" applyFont="1" applyBorder="1" applyAlignment="1" applyProtection="1">
      <alignment horizontal="justify" vertical="top" wrapText="1" readingOrder="1"/>
      <protection locked="0"/>
    </xf>
    <xf numFmtId="0" fontId="19" fillId="0" borderId="15" xfId="7" applyFont="1" applyFill="1" applyBorder="1" applyAlignment="1" applyProtection="1">
      <alignment horizontal="justify" vertical="justify" wrapText="1" readingOrder="1"/>
      <protection locked="0"/>
    </xf>
    <xf numFmtId="0" fontId="18" fillId="0" borderId="0" xfId="7" applyFont="1" applyFill="1" applyAlignment="1" applyProtection="1">
      <alignment horizontal="justify" vertical="justify" wrapText="1" readingOrder="1"/>
      <protection locked="0"/>
    </xf>
    <xf numFmtId="0" fontId="6" fillId="0" borderId="0" xfId="7" applyFont="1" applyFill="1" applyBorder="1" applyAlignment="1">
      <alignment horizontal="left" readingOrder="1"/>
    </xf>
    <xf numFmtId="0" fontId="18" fillId="0" borderId="21" xfId="7" applyFont="1" applyFill="1" applyBorder="1" applyAlignment="1" applyProtection="1">
      <alignment horizontal="center" vertical="center" wrapText="1" readingOrder="1"/>
      <protection locked="0"/>
    </xf>
    <xf numFmtId="0" fontId="18" fillId="0" borderId="36" xfId="7" applyFont="1" applyFill="1" applyBorder="1" applyAlignment="1" applyProtection="1">
      <alignment horizontal="center" vertical="center" wrapText="1" readingOrder="1"/>
      <protection locked="0"/>
    </xf>
    <xf numFmtId="0" fontId="18" fillId="0" borderId="29" xfId="7" applyFont="1" applyFill="1" applyBorder="1" applyAlignment="1" applyProtection="1">
      <alignment horizontal="center" vertical="center" wrapText="1" readingOrder="1"/>
      <protection locked="0"/>
    </xf>
    <xf numFmtId="0" fontId="18" fillId="0" borderId="35" xfId="7" applyFont="1" applyFill="1" applyBorder="1" applyAlignment="1" applyProtection="1">
      <alignment horizontal="center" vertical="center" wrapText="1" readingOrder="1"/>
      <protection locked="0"/>
    </xf>
    <xf numFmtId="0" fontId="19" fillId="0" borderId="40" xfId="7" applyFont="1" applyFill="1" applyBorder="1" applyAlignment="1" applyProtection="1">
      <alignment horizontal="left" vertical="center" wrapText="1" readingOrder="1"/>
      <protection locked="0"/>
    </xf>
    <xf numFmtId="0" fontId="6" fillId="0" borderId="3" xfId="7" applyFont="1" applyBorder="1" applyAlignment="1">
      <alignment horizontal="center" vertical="center" wrapText="1"/>
    </xf>
    <xf numFmtId="0" fontId="6" fillId="0" borderId="38" xfId="7" applyFont="1" applyBorder="1" applyAlignment="1">
      <alignment horizontal="left" vertical="center"/>
    </xf>
    <xf numFmtId="0" fontId="6" fillId="0" borderId="39" xfId="7" applyFont="1" applyBorder="1" applyAlignment="1">
      <alignment horizontal="left" vertical="center"/>
    </xf>
    <xf numFmtId="0" fontId="19" fillId="0" borderId="18" xfId="7" applyFont="1" applyFill="1" applyBorder="1" applyAlignment="1" applyProtection="1">
      <alignment horizontal="left" vertical="center" wrapText="1" readingOrder="1"/>
      <protection locked="0"/>
    </xf>
    <xf numFmtId="0" fontId="5" fillId="0" borderId="15" xfId="7" applyFont="1" applyBorder="1" applyAlignment="1" applyProtection="1">
      <alignment horizontal="justify" vertical="top" wrapText="1" readingOrder="1"/>
      <protection locked="0"/>
    </xf>
    <xf numFmtId="0" fontId="19" fillId="0" borderId="27" xfId="7" applyFont="1" applyBorder="1" applyAlignment="1" applyProtection="1">
      <alignment horizontal="left" vertical="top" wrapText="1" readingOrder="1"/>
      <protection locked="0"/>
    </xf>
    <xf numFmtId="0" fontId="18" fillId="0" borderId="26" xfId="7" applyFont="1" applyBorder="1" applyAlignment="1" applyProtection="1">
      <alignment horizontal="left" vertical="top" wrapText="1" readingOrder="1"/>
      <protection locked="0"/>
    </xf>
    <xf numFmtId="0" fontId="18" fillId="0" borderId="25" xfId="7" applyFont="1" applyBorder="1" applyAlignment="1" applyProtection="1">
      <alignment horizontal="left" vertical="top" wrapText="1" readingOrder="1"/>
      <protection locked="0"/>
    </xf>
    <xf numFmtId="0" fontId="19" fillId="0" borderId="14" xfId="7" applyFont="1" applyBorder="1" applyAlignment="1" applyProtection="1">
      <alignment vertical="top" wrapText="1" readingOrder="1"/>
      <protection locked="0"/>
    </xf>
    <xf numFmtId="0" fontId="5" fillId="0" borderId="25" xfId="7" applyFont="1" applyBorder="1" applyAlignment="1" applyProtection="1">
      <alignment vertical="top" wrapText="1"/>
      <protection locked="0"/>
    </xf>
    <xf numFmtId="0" fontId="5" fillId="0" borderId="0" xfId="7" applyFont="1" applyFill="1" applyAlignment="1">
      <alignment horizontal="justify" wrapText="1"/>
    </xf>
    <xf numFmtId="0" fontId="5" fillId="0" borderId="0" xfId="7" applyFont="1" applyAlignment="1">
      <alignment horizontal="justify" vertical="top" wrapText="1"/>
    </xf>
    <xf numFmtId="0" fontId="5" fillId="0" borderId="0" xfId="7" applyFont="1" applyAlignment="1">
      <alignment horizontal="justify" vertical="center" wrapText="1"/>
    </xf>
    <xf numFmtId="0" fontId="18" fillId="0" borderId="15" xfId="7" applyFont="1" applyBorder="1" applyAlignment="1" applyProtection="1">
      <alignment horizontal="justify" vertical="top" wrapText="1" readingOrder="1"/>
      <protection locked="0"/>
    </xf>
    <xf numFmtId="0" fontId="5" fillId="0" borderId="0" xfId="7" applyFont="1" applyAlignment="1">
      <alignment horizontal="left"/>
    </xf>
    <xf numFmtId="0" fontId="18" fillId="0" borderId="15" xfId="7" applyFont="1" applyBorder="1" applyAlignment="1" applyProtection="1">
      <alignment horizontal="left" vertical="top" wrapText="1" readingOrder="1"/>
      <protection locked="0"/>
    </xf>
    <xf numFmtId="0" fontId="5" fillId="0" borderId="15" xfId="7" applyFont="1" applyBorder="1" applyAlignment="1" applyProtection="1">
      <alignment horizontal="left" vertical="top" wrapText="1" readingOrder="1"/>
      <protection locked="0"/>
    </xf>
    <xf numFmtId="0" fontId="5" fillId="0" borderId="0" xfId="7" applyFont="1" applyBorder="1" applyAlignment="1" applyProtection="1">
      <alignment horizontal="left" vertical="top" wrapText="1" readingOrder="1"/>
      <protection locked="0"/>
    </xf>
    <xf numFmtId="0" fontId="6" fillId="0" borderId="0" xfId="7" applyFont="1" applyFill="1" applyAlignment="1">
      <alignment horizontal="left" vertical="justify"/>
    </xf>
    <xf numFmtId="0" fontId="6" fillId="0" borderId="42" xfId="7" applyFont="1" applyBorder="1" applyAlignment="1">
      <alignment horizontal="center" vertical="justify" wrapText="1"/>
    </xf>
    <xf numFmtId="0" fontId="8" fillId="0" borderId="6" xfId="7" applyFont="1" applyFill="1" applyBorder="1" applyAlignment="1">
      <alignment horizontal="center" vertical="center" wrapText="1"/>
    </xf>
    <xf numFmtId="0" fontId="8" fillId="0" borderId="40" xfId="7" applyFont="1" applyFill="1" applyBorder="1" applyAlignment="1">
      <alignment horizontal="center" vertical="center" wrapText="1"/>
    </xf>
    <xf numFmtId="0" fontId="8" fillId="0" borderId="34" xfId="7" applyFont="1" applyFill="1" applyBorder="1" applyAlignment="1">
      <alignment horizontal="center" vertical="center" wrapText="1"/>
    </xf>
    <xf numFmtId="0" fontId="6" fillId="0" borderId="31" xfId="7" applyFont="1" applyFill="1" applyBorder="1" applyAlignment="1">
      <alignment horizontal="center" vertical="center"/>
    </xf>
    <xf numFmtId="0" fontId="6" fillId="0" borderId="32" xfId="7" applyFont="1" applyFill="1" applyBorder="1" applyAlignment="1">
      <alignment horizontal="center" vertical="center"/>
    </xf>
    <xf numFmtId="0" fontId="6" fillId="0" borderId="33" xfId="7" applyFont="1" applyFill="1" applyBorder="1" applyAlignment="1">
      <alignment horizontal="center" vertical="center"/>
    </xf>
    <xf numFmtId="0" fontId="6" fillId="0" borderId="31" xfId="7" applyFont="1" applyBorder="1" applyAlignment="1">
      <alignment horizontal="center" vertical="center"/>
    </xf>
    <xf numFmtId="0" fontId="6" fillId="0" borderId="32" xfId="7" applyFont="1" applyBorder="1" applyAlignment="1">
      <alignment horizontal="center" vertical="center"/>
    </xf>
    <xf numFmtId="0" fontId="6" fillId="0" borderId="33" xfId="7" applyFont="1" applyBorder="1" applyAlignment="1">
      <alignment horizontal="center" vertical="center"/>
    </xf>
    <xf numFmtId="0" fontId="8" fillId="0" borderId="3" xfId="7" applyFont="1" applyFill="1" applyBorder="1" applyAlignment="1">
      <alignment horizontal="center" vertical="center" wrapText="1"/>
    </xf>
    <xf numFmtId="0" fontId="8" fillId="0" borderId="3" xfId="7" applyFont="1" applyBorder="1" applyAlignment="1">
      <alignment horizontal="center" vertical="center" wrapText="1"/>
    </xf>
    <xf numFmtId="0" fontId="6" fillId="0" borderId="31" xfId="7" applyFont="1" applyBorder="1" applyAlignment="1">
      <alignment horizontal="center" vertical="center" wrapText="1"/>
    </xf>
    <xf numFmtId="0" fontId="6" fillId="0" borderId="32" xfId="7" applyFont="1" applyBorder="1" applyAlignment="1">
      <alignment horizontal="center" vertical="center" wrapText="1"/>
    </xf>
    <xf numFmtId="0" fontId="6" fillId="0" borderId="33" xfId="7" applyFont="1" applyBorder="1" applyAlignment="1">
      <alignment horizontal="center" vertical="center" wrapText="1"/>
    </xf>
    <xf numFmtId="49" fontId="5" fillId="0" borderId="0" xfId="7" applyNumberFormat="1" applyFont="1" applyBorder="1" applyAlignment="1">
      <alignment horizontal="justify"/>
    </xf>
    <xf numFmtId="0" fontId="18" fillId="0" borderId="0" xfId="7" applyFont="1" applyFill="1" applyAlignment="1" applyProtection="1">
      <alignment horizontal="justify" vertical="top" wrapText="1" readingOrder="1"/>
      <protection locked="0"/>
    </xf>
    <xf numFmtId="0" fontId="19" fillId="0" borderId="0" xfId="7" applyFont="1" applyAlignment="1" applyProtection="1">
      <alignment horizontal="left" vertical="top" wrapText="1" readingOrder="1"/>
      <protection locked="0"/>
    </xf>
    <xf numFmtId="0" fontId="18" fillId="0" borderId="45" xfId="7" applyFont="1" applyBorder="1" applyAlignment="1" applyProtection="1">
      <alignment horizontal="center" vertical="center" wrapText="1" readingOrder="1"/>
      <protection locked="0"/>
    </xf>
    <xf numFmtId="0" fontId="5" fillId="0" borderId="0" xfId="7" applyFont="1" applyFill="1" applyBorder="1" applyAlignment="1" applyProtection="1">
      <alignment horizontal="justify" vertical="top" wrapText="1" readingOrder="1"/>
      <protection locked="0"/>
    </xf>
    <xf numFmtId="0" fontId="19" fillId="0" borderId="0" xfId="7" applyFont="1" applyFill="1" applyBorder="1" applyAlignment="1" applyProtection="1">
      <alignment horizontal="justify" vertical="top" wrapText="1" readingOrder="1"/>
      <protection locked="0"/>
    </xf>
    <xf numFmtId="0" fontId="19" fillId="0" borderId="0" xfId="7" applyFont="1" applyBorder="1" applyAlignment="1" applyProtection="1">
      <alignment horizontal="justify" vertical="top" wrapText="1" readingOrder="1"/>
      <protection locked="0"/>
    </xf>
    <xf numFmtId="0" fontId="18" fillId="0" borderId="0" xfId="7" applyFont="1" applyBorder="1" applyAlignment="1" applyProtection="1">
      <alignment horizontal="left" vertical="justify" wrapText="1" readingOrder="1"/>
      <protection locked="0"/>
    </xf>
    <xf numFmtId="0" fontId="18" fillId="0" borderId="0" xfId="7" applyFont="1" applyFill="1" applyBorder="1" applyAlignment="1" applyProtection="1">
      <alignment horizontal="justify" vertical="center" readingOrder="1"/>
      <protection locked="0"/>
    </xf>
    <xf numFmtId="0" fontId="5" fillId="0" borderId="0" xfId="7" applyFont="1" applyBorder="1" applyAlignment="1">
      <alignment horizontal="justify" vertical="justify"/>
    </xf>
    <xf numFmtId="0" fontId="19" fillId="0" borderId="0" xfId="7" applyFont="1" applyBorder="1" applyAlignment="1" applyProtection="1">
      <alignment horizontal="justify" vertical="justify" wrapText="1" readingOrder="1"/>
      <protection locked="0"/>
    </xf>
    <xf numFmtId="0" fontId="19" fillId="0" borderId="0" xfId="7" applyFont="1" applyBorder="1" applyAlignment="1" applyProtection="1">
      <alignment horizontal="left" vertical="justify" wrapText="1" readingOrder="1"/>
      <protection locked="0"/>
    </xf>
    <xf numFmtId="0" fontId="5" fillId="0" borderId="0" xfId="7" applyFont="1" applyBorder="1" applyAlignment="1">
      <alignment horizontal="justify" vertical="justify" wrapText="1"/>
    </xf>
    <xf numFmtId="0" fontId="24" fillId="0" borderId="0" xfId="7" applyFont="1" applyFill="1" applyAlignment="1" applyProtection="1">
      <alignment horizontal="justify" vertical="justify" wrapText="1" readingOrder="1"/>
      <protection locked="0"/>
    </xf>
    <xf numFmtId="0" fontId="10" fillId="0" borderId="0" xfId="7" applyFont="1" applyFill="1" applyAlignment="1">
      <alignment horizontal="justify" vertical="justify" readingOrder="1"/>
    </xf>
    <xf numFmtId="0" fontId="24" fillId="0" borderId="0" xfId="7" applyFont="1" applyAlignment="1" applyProtection="1">
      <alignment horizontal="left" vertical="top" wrapText="1" readingOrder="1"/>
      <protection locked="0"/>
    </xf>
    <xf numFmtId="0" fontId="10" fillId="0" borderId="0" xfId="7" applyFont="1"/>
    <xf numFmtId="0" fontId="18" fillId="0" borderId="160" xfId="7" applyFont="1" applyBorder="1" applyAlignment="1" applyProtection="1">
      <alignment horizontal="center" vertical="top" wrapText="1" readingOrder="1"/>
      <protection locked="0"/>
    </xf>
    <xf numFmtId="0" fontId="18" fillId="0" borderId="156" xfId="7" applyFont="1" applyBorder="1" applyAlignment="1" applyProtection="1">
      <alignment horizontal="center" vertical="top" wrapText="1" readingOrder="1"/>
      <protection locked="0"/>
    </xf>
    <xf numFmtId="0" fontId="18" fillId="0" borderId="157" xfId="7" applyFont="1" applyBorder="1" applyAlignment="1" applyProtection="1">
      <alignment horizontal="center" vertical="top" wrapText="1" readingOrder="1"/>
      <protection locked="0"/>
    </xf>
    <xf numFmtId="0" fontId="19" fillId="0" borderId="0" xfId="7" applyFont="1" applyBorder="1" applyAlignment="1" applyProtection="1">
      <alignment horizontal="left" vertical="top" wrapText="1" readingOrder="1"/>
      <protection locked="0"/>
    </xf>
    <xf numFmtId="0" fontId="5" fillId="0" borderId="0" xfId="7" applyFont="1" applyFill="1" applyAlignment="1">
      <alignment horizontal="justify" vertical="justify"/>
    </xf>
    <xf numFmtId="0" fontId="6" fillId="0" borderId="158" xfId="7" applyFont="1" applyBorder="1" applyAlignment="1">
      <alignment horizontal="center" vertical="center" wrapText="1"/>
    </xf>
    <xf numFmtId="0" fontId="6" fillId="0" borderId="34" xfId="7" applyFont="1" applyBorder="1" applyAlignment="1">
      <alignment horizontal="center" vertical="center" wrapText="1"/>
    </xf>
    <xf numFmtId="0" fontId="18" fillId="0" borderId="156" xfId="7" applyFont="1" applyBorder="1" applyAlignment="1" applyProtection="1">
      <alignment horizontal="center" vertical="center" wrapText="1" readingOrder="1"/>
      <protection locked="0"/>
    </xf>
    <xf numFmtId="0" fontId="18" fillId="0" borderId="157" xfId="7" applyFont="1" applyBorder="1" applyAlignment="1" applyProtection="1">
      <alignment horizontal="center" vertical="center" wrapText="1" readingOrder="1"/>
      <protection locked="0"/>
    </xf>
    <xf numFmtId="0" fontId="18" fillId="0" borderId="0" xfId="7" applyFont="1" applyAlignment="1" applyProtection="1">
      <alignment horizontal="justify" vertical="justify" readingOrder="1"/>
      <protection locked="0"/>
    </xf>
    <xf numFmtId="0" fontId="5" fillId="0" borderId="0" xfId="7" applyFont="1" applyBorder="1" applyAlignment="1" applyProtection="1">
      <alignment horizontal="justify" wrapText="1"/>
      <protection locked="0"/>
    </xf>
    <xf numFmtId="0" fontId="5" fillId="0" borderId="0" xfId="0" applyFont="1"/>
    <xf numFmtId="0" fontId="5" fillId="0" borderId="0" xfId="0" applyFont="1" applyAlignment="1">
      <alignment horizontal="left"/>
    </xf>
    <xf numFmtId="0" fontId="6" fillId="0" borderId="0" xfId="0" applyFont="1" applyAlignment="1">
      <alignment horizontal="left" vertical="center" wrapText="1"/>
    </xf>
    <xf numFmtId="0" fontId="6" fillId="0" borderId="3" xfId="0" applyFont="1" applyBorder="1" applyAlignment="1">
      <alignment horizontal="center" vertical="center" wrapText="1"/>
    </xf>
    <xf numFmtId="0" fontId="18" fillId="0" borderId="13" xfId="0" applyFont="1" applyBorder="1" applyAlignment="1" applyProtection="1">
      <alignment horizontal="center" vertical="top" wrapText="1" readingOrder="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0" borderId="0" xfId="7" applyFont="1" applyAlignment="1" applyProtection="1">
      <alignment horizontal="justify" vertical="center" wrapText="1" readingOrder="1"/>
      <protection locked="0"/>
    </xf>
    <xf numFmtId="0" fontId="5" fillId="0" borderId="0" xfId="7" applyFont="1" applyAlignment="1">
      <alignment horizontal="justify" vertical="center" readingOrder="1"/>
    </xf>
    <xf numFmtId="0" fontId="5" fillId="0" borderId="0" xfId="7" applyFont="1" applyAlignment="1">
      <alignment horizontal="justify" vertical="justify" wrapText="1" readingOrder="1"/>
    </xf>
    <xf numFmtId="0" fontId="6" fillId="0" borderId="0" xfId="0" applyFont="1" applyFill="1" applyAlignment="1">
      <alignment wrapText="1"/>
    </xf>
    <xf numFmtId="0" fontId="5" fillId="0" borderId="0" xfId="0" applyFont="1" applyAlignment="1">
      <alignment horizontal="justify" wrapText="1"/>
    </xf>
    <xf numFmtId="0" fontId="6" fillId="0" borderId="0" xfId="0" applyFont="1" applyFill="1"/>
    <xf numFmtId="0" fontId="6" fillId="0" borderId="0" xfId="0" applyFont="1" applyAlignment="1">
      <alignment horizontal="left"/>
    </xf>
    <xf numFmtId="0" fontId="5" fillId="0" borderId="0" xfId="0" applyFont="1" applyFill="1" applyBorder="1" applyAlignment="1">
      <alignment horizontal="justify" wrapText="1"/>
    </xf>
    <xf numFmtId="0" fontId="6" fillId="0" borderId="0" xfId="0" applyFont="1" applyAlignment="1">
      <alignment horizontal="left" wrapText="1"/>
    </xf>
    <xf numFmtId="0" fontId="5" fillId="0" borderId="0" xfId="0" applyFont="1" applyFill="1"/>
    <xf numFmtId="0" fontId="5" fillId="0" borderId="0" xfId="0" applyFont="1" applyAlignment="1">
      <alignment horizontal="justify"/>
    </xf>
    <xf numFmtId="0" fontId="6" fillId="0" borderId="0" xfId="0" applyFont="1" applyFill="1" applyAlignment="1">
      <alignment horizontal="justify" wrapText="1"/>
    </xf>
    <xf numFmtId="0" fontId="5" fillId="0" borderId="0" xfId="0" applyFont="1" applyFill="1" applyAlignment="1">
      <alignment horizontal="justify" wrapText="1"/>
    </xf>
    <xf numFmtId="0" fontId="6" fillId="0" borderId="3" xfId="0" applyFont="1" applyBorder="1" applyAlignment="1">
      <alignment horizontal="center" vertical="center"/>
    </xf>
    <xf numFmtId="0" fontId="5" fillId="0" borderId="0" xfId="0" applyFont="1" applyBorder="1" applyAlignment="1">
      <alignment horizontal="justify" wrapText="1"/>
    </xf>
    <xf numFmtId="0" fontId="5" fillId="0" borderId="0" xfId="0" applyFont="1" applyBorder="1" applyAlignment="1">
      <alignment horizontal="left" wrapText="1"/>
    </xf>
    <xf numFmtId="0" fontId="6" fillId="0" borderId="0" xfId="0" applyFont="1" applyAlignment="1">
      <alignment horizontal="justify" wrapText="1"/>
    </xf>
    <xf numFmtId="0" fontId="5" fillId="0" borderId="0" xfId="0" applyFont="1" applyAlignment="1">
      <alignment horizontal="left" wrapText="1"/>
    </xf>
    <xf numFmtId="0" fontId="5" fillId="0" borderId="0" xfId="0" applyFont="1" applyFill="1" applyAlignment="1">
      <alignment wrapText="1"/>
    </xf>
    <xf numFmtId="49" fontId="5" fillId="0" borderId="0" xfId="0" applyNumberFormat="1" applyFont="1" applyAlignment="1">
      <alignment horizontal="left"/>
    </xf>
    <xf numFmtId="0" fontId="6" fillId="0" borderId="3" xfId="0" applyFont="1" applyFill="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6" xfId="0" applyFont="1" applyBorder="1" applyAlignment="1">
      <alignment horizontal="center" vertical="center"/>
    </xf>
    <xf numFmtId="0" fontId="6" fillId="0" borderId="34" xfId="0" applyFont="1" applyBorder="1" applyAlignment="1">
      <alignment horizontal="center" vertical="center"/>
    </xf>
    <xf numFmtId="0" fontId="5" fillId="0" borderId="0" xfId="0" applyFont="1" applyAlignment="1"/>
    <xf numFmtId="0" fontId="6" fillId="0" borderId="0" xfId="0" applyFont="1" applyFill="1" applyAlignment="1">
      <alignment horizontal="left" wrapText="1"/>
    </xf>
    <xf numFmtId="0" fontId="6" fillId="0" borderId="47" xfId="0" applyFont="1" applyFill="1" applyBorder="1" applyAlignment="1">
      <alignment horizontal="left" wrapText="1"/>
    </xf>
    <xf numFmtId="0" fontId="6" fillId="0" borderId="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2" fontId="6" fillId="0" borderId="0" xfId="4" applyNumberFormat="1" applyFont="1" applyFill="1" applyBorder="1" applyAlignment="1">
      <alignment horizontal="justify" vertical="center" wrapText="1"/>
    </xf>
    <xf numFmtId="0" fontId="5" fillId="0" borderId="42" xfId="4" applyFont="1" applyBorder="1" applyAlignment="1">
      <alignment horizontal="center"/>
    </xf>
    <xf numFmtId="0" fontId="6" fillId="0" borderId="3" xfId="5" applyFont="1" applyFill="1" applyBorder="1" applyAlignment="1" applyProtection="1">
      <alignment horizontal="center" vertical="center" wrapText="1"/>
    </xf>
    <xf numFmtId="0" fontId="6" fillId="0" borderId="3" xfId="5" applyFont="1" applyFill="1" applyBorder="1" applyAlignment="1" applyProtection="1">
      <alignment horizontal="center" vertical="center"/>
    </xf>
    <xf numFmtId="0" fontId="5" fillId="0" borderId="0" xfId="4" applyFont="1" applyFill="1" applyAlignment="1">
      <alignment horizontal="left"/>
    </xf>
    <xf numFmtId="0" fontId="6"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left" vertical="top" wrapText="1" readingOrder="1"/>
      <protection locked="0"/>
    </xf>
    <xf numFmtId="0" fontId="5" fillId="0" borderId="0" xfId="0" applyFont="1" applyFill="1" applyBorder="1" applyAlignment="1">
      <alignment vertical="top" wrapText="1"/>
    </xf>
    <xf numFmtId="0" fontId="5" fillId="0" borderId="0" xfId="0" applyFont="1" applyFill="1" applyBorder="1" applyAlignment="1" applyProtection="1">
      <alignment vertical="top" wrapText="1" readingOrder="1"/>
      <protection locked="0"/>
    </xf>
    <xf numFmtId="0" fontId="5" fillId="0" borderId="0" xfId="0" applyFont="1" applyFill="1" applyAlignment="1">
      <alignment horizontal="left" vertical="top" wrapText="1"/>
    </xf>
    <xf numFmtId="0" fontId="5" fillId="0" borderId="0" xfId="0" applyFont="1" applyFill="1" applyBorder="1" applyAlignment="1" applyProtection="1">
      <alignment horizontal="justify" vertical="top" wrapText="1" readingOrder="1"/>
      <protection locked="0"/>
    </xf>
    <xf numFmtId="0" fontId="5" fillId="0" borderId="0" xfId="0" applyFont="1" applyFill="1" applyBorder="1" applyAlignment="1" applyProtection="1">
      <alignment horizontal="justify" vertical="top" wrapText="1"/>
      <protection locked="0"/>
    </xf>
    <xf numFmtId="0" fontId="5" fillId="0" borderId="0" xfId="0" applyFont="1" applyFill="1" applyBorder="1" applyAlignment="1">
      <alignment horizontal="left"/>
    </xf>
    <xf numFmtId="0" fontId="5" fillId="0" borderId="0" xfId="0" applyFont="1" applyFill="1" applyBorder="1"/>
    <xf numFmtId="0" fontId="6" fillId="0" borderId="0" xfId="0" applyFont="1" applyFill="1" applyBorder="1" applyAlignment="1" applyProtection="1">
      <alignment horizontal="justify" vertical="top" wrapText="1" readingOrder="1"/>
      <protection locked="0"/>
    </xf>
    <xf numFmtId="49" fontId="5" fillId="0" borderId="0" xfId="0" applyNumberFormat="1" applyFont="1" applyFill="1" applyBorder="1" applyAlignment="1" applyProtection="1">
      <alignment horizontal="justify" vertical="top" wrapText="1" readingOrder="1"/>
      <protection locked="0"/>
    </xf>
    <xf numFmtId="49" fontId="5" fillId="0" borderId="0" xfId="0" applyNumberFormat="1" applyFont="1" applyFill="1" applyBorder="1" applyAlignment="1" applyProtection="1">
      <alignment horizontal="justify" vertical="top" wrapText="1"/>
      <protection locked="0"/>
    </xf>
    <xf numFmtId="49" fontId="5" fillId="0" borderId="0" xfId="0" applyNumberFormat="1" applyFont="1" applyFill="1" applyBorder="1" applyAlignment="1" applyProtection="1">
      <alignment horizontal="left" vertical="top" wrapText="1" readingOrder="1"/>
      <protection locked="0"/>
    </xf>
    <xf numFmtId="0" fontId="6" fillId="0" borderId="3" xfId="0" applyFont="1" applyFill="1" applyBorder="1" applyAlignment="1" applyProtection="1">
      <alignment horizontal="center" vertical="center" wrapText="1" readingOrder="1"/>
      <protection locked="0"/>
    </xf>
    <xf numFmtId="0" fontId="18" fillId="0" borderId="0" xfId="0" applyFont="1" applyFill="1" applyBorder="1" applyAlignment="1" applyProtection="1">
      <alignment horizontal="left" vertical="top" wrapText="1" readingOrder="1"/>
      <protection locked="0"/>
    </xf>
    <xf numFmtId="49" fontId="19" fillId="0" borderId="0" xfId="0" applyNumberFormat="1" applyFont="1" applyBorder="1" applyAlignment="1" applyProtection="1">
      <alignment horizontal="justify" vertical="top" wrapText="1" readingOrder="1"/>
      <protection locked="0"/>
    </xf>
    <xf numFmtId="49" fontId="5" fillId="0" borderId="0" xfId="0" applyNumberFormat="1" applyFont="1" applyBorder="1" applyAlignment="1" applyProtection="1">
      <alignment horizontal="justify" vertical="top" wrapText="1"/>
      <protection locked="0"/>
    </xf>
    <xf numFmtId="0" fontId="19" fillId="0" borderId="0" xfId="0" applyFont="1" applyBorder="1" applyAlignment="1" applyProtection="1">
      <alignment horizontal="justify" vertical="top" wrapText="1" readingOrder="1"/>
      <protection locked="0"/>
    </xf>
    <xf numFmtId="0" fontId="5" fillId="0" borderId="0" xfId="0" applyFont="1" applyBorder="1" applyAlignment="1" applyProtection="1">
      <alignment horizontal="justify" vertical="top" wrapText="1"/>
      <protection locked="0"/>
    </xf>
    <xf numFmtId="0" fontId="18" fillId="0" borderId="3" xfId="0" applyFont="1" applyBorder="1" applyAlignment="1" applyProtection="1">
      <alignment horizontal="center" vertical="center" wrapText="1" readingOrder="1"/>
      <protection locked="0"/>
    </xf>
    <xf numFmtId="0" fontId="5" fillId="0" borderId="3" xfId="0" applyFont="1" applyBorder="1" applyAlignment="1" applyProtection="1">
      <alignment vertical="center" wrapText="1"/>
      <protection locked="0"/>
    </xf>
    <xf numFmtId="0" fontId="19" fillId="0" borderId="0" xfId="0" applyFont="1" applyBorder="1" applyAlignment="1" applyProtection="1">
      <alignment vertical="top" wrapText="1" readingOrder="1"/>
      <protection locked="0"/>
    </xf>
    <xf numFmtId="0" fontId="5" fillId="0" borderId="0" xfId="0" applyFont="1" applyBorder="1"/>
    <xf numFmtId="0" fontId="19" fillId="0" borderId="0" xfId="0" applyFont="1" applyFill="1" applyBorder="1" applyAlignment="1" applyProtection="1">
      <alignment horizontal="justify" vertical="top" wrapText="1" readingOrder="1"/>
      <protection locked="0"/>
    </xf>
    <xf numFmtId="0" fontId="6" fillId="0" borderId="0" xfId="0" applyFont="1" applyAlignment="1">
      <alignment horizontal="justify" vertical="center" wrapText="1"/>
    </xf>
    <xf numFmtId="0" fontId="5" fillId="0" borderId="0" xfId="0" applyFont="1" applyAlignment="1">
      <alignment horizontal="left" vertical="top" wrapText="1"/>
    </xf>
    <xf numFmtId="2" fontId="6" fillId="0" borderId="0" xfId="0" applyNumberFormat="1" applyFont="1" applyFill="1" applyAlignment="1">
      <alignment horizontal="justify" wrapText="1"/>
    </xf>
    <xf numFmtId="0" fontId="5" fillId="0" borderId="0" xfId="0" applyFont="1" applyFill="1" applyAlignment="1">
      <alignment horizontal="left" wrapText="1"/>
    </xf>
    <xf numFmtId="0" fontId="5" fillId="0" borderId="0" xfId="0" applyFont="1" applyFill="1" applyAlignment="1">
      <alignment horizontal="justify"/>
    </xf>
    <xf numFmtId="0" fontId="6" fillId="0" borderId="0" xfId="10" applyFont="1" applyFill="1" applyAlignment="1">
      <alignment horizontal="justify" wrapText="1"/>
    </xf>
    <xf numFmtId="0" fontId="5" fillId="0" borderId="42" xfId="10" applyFont="1" applyFill="1" applyBorder="1" applyAlignment="1">
      <alignment horizontal="center"/>
    </xf>
    <xf numFmtId="0" fontId="6" fillId="0" borderId="6" xfId="10" applyFont="1" applyFill="1" applyBorder="1" applyAlignment="1">
      <alignment horizontal="center" vertical="center" wrapText="1"/>
    </xf>
    <xf numFmtId="0" fontId="0" fillId="0" borderId="34" xfId="0" applyBorder="1"/>
    <xf numFmtId="0" fontId="5" fillId="0" borderId="0" xfId="10" applyFont="1" applyFill="1" applyAlignment="1">
      <alignment horizontal="center"/>
    </xf>
    <xf numFmtId="0" fontId="6" fillId="0" borderId="0" xfId="11" quotePrefix="1" applyFont="1" applyBorder="1" applyAlignment="1">
      <alignment horizontal="justify"/>
    </xf>
    <xf numFmtId="0" fontId="5" fillId="0" borderId="0" xfId="11" quotePrefix="1" applyFont="1" applyBorder="1" applyAlignment="1">
      <alignment horizontal="justify"/>
    </xf>
    <xf numFmtId="0" fontId="0" fillId="0" borderId="0" xfId="0" applyBorder="1" applyAlignment="1" applyProtection="1">
      <alignment horizontal="justify" vertical="top" wrapText="1" readingOrder="1"/>
      <protection locked="0"/>
    </xf>
    <xf numFmtId="0" fontId="6" fillId="0" borderId="0" xfId="4" applyFont="1" applyFill="1" applyAlignment="1">
      <alignment horizontal="left" wrapText="1"/>
    </xf>
    <xf numFmtId="0" fontId="6" fillId="0" borderId="0" xfId="4" applyFont="1" applyFill="1" applyAlignment="1">
      <alignment horizontal="justify" vertical="justify" wrapText="1"/>
    </xf>
    <xf numFmtId="0" fontId="6" fillId="0" borderId="31" xfId="4" applyFont="1" applyBorder="1" applyAlignment="1">
      <alignment horizontal="center" wrapText="1"/>
    </xf>
    <xf numFmtId="0" fontId="6" fillId="0" borderId="32" xfId="4" applyFont="1" applyBorder="1" applyAlignment="1">
      <alignment horizontal="center" wrapText="1"/>
    </xf>
    <xf numFmtId="0" fontId="6" fillId="0" borderId="33" xfId="4" applyFont="1" applyBorder="1" applyAlignment="1">
      <alignment horizontal="center" wrapText="1"/>
    </xf>
    <xf numFmtId="0" fontId="5" fillId="0" borderId="0" xfId="29736" applyFont="1" applyFill="1" applyBorder="1" applyAlignment="1">
      <alignment horizontal="justify" vertical="justify" wrapText="1"/>
    </xf>
    <xf numFmtId="0" fontId="6" fillId="0" borderId="0" xfId="29736" applyFont="1" applyFill="1" applyBorder="1" applyAlignment="1">
      <alignment horizontal="justify" vertical="justify" wrapText="1"/>
    </xf>
    <xf numFmtId="0" fontId="5" fillId="0" borderId="0" xfId="29736" applyFont="1" applyFill="1" applyAlignment="1">
      <alignment horizontal="justify" vertical="justify" wrapText="1"/>
    </xf>
    <xf numFmtId="0" fontId="6" fillId="0" borderId="0" xfId="29736" applyFont="1" applyFill="1" applyBorder="1" applyAlignment="1">
      <alignment horizontal="justify" vertical="center"/>
    </xf>
    <xf numFmtId="0" fontId="6" fillId="0" borderId="6" xfId="29736" applyFont="1" applyBorder="1" applyAlignment="1">
      <alignment horizontal="center" vertical="center"/>
    </xf>
    <xf numFmtId="0" fontId="6" fillId="0" borderId="40" xfId="29736" applyFont="1" applyBorder="1" applyAlignment="1">
      <alignment horizontal="center" vertical="center"/>
    </xf>
    <xf numFmtId="0" fontId="6" fillId="0" borderId="34" xfId="29736" applyFont="1" applyBorder="1" applyAlignment="1">
      <alignment horizontal="center" vertical="center"/>
    </xf>
    <xf numFmtId="0" fontId="6" fillId="0" borderId="31" xfId="29736" applyFont="1" applyBorder="1" applyAlignment="1">
      <alignment horizontal="center" vertical="center"/>
    </xf>
    <xf numFmtId="0" fontId="6" fillId="0" borderId="32" xfId="29736" applyFont="1" applyBorder="1" applyAlignment="1">
      <alignment horizontal="center" vertical="center"/>
    </xf>
    <xf numFmtId="0" fontId="6" fillId="0" borderId="33" xfId="29736" applyFont="1" applyBorder="1" applyAlignment="1">
      <alignment horizontal="center" vertical="center"/>
    </xf>
    <xf numFmtId="0" fontId="6" fillId="0" borderId="6" xfId="29736" applyFont="1" applyBorder="1" applyAlignment="1">
      <alignment horizontal="center" vertical="center" wrapText="1"/>
    </xf>
    <xf numFmtId="0" fontId="6" fillId="0" borderId="40" xfId="29736" applyFont="1" applyBorder="1" applyAlignment="1">
      <alignment horizontal="center" vertical="center" wrapText="1"/>
    </xf>
    <xf numFmtId="0" fontId="6" fillId="0" borderId="34" xfId="29736" applyFont="1" applyBorder="1" applyAlignment="1">
      <alignment horizontal="center" vertical="center" wrapText="1"/>
    </xf>
    <xf numFmtId="0" fontId="6" fillId="0" borderId="6" xfId="29736" applyFont="1" applyFill="1" applyBorder="1" applyAlignment="1">
      <alignment horizontal="center" vertical="center"/>
    </xf>
    <xf numFmtId="0" fontId="6" fillId="0" borderId="40" xfId="29736" applyFont="1" applyFill="1" applyBorder="1" applyAlignment="1">
      <alignment horizontal="center" vertical="center"/>
    </xf>
    <xf numFmtId="0" fontId="6" fillId="0" borderId="34" xfId="29736" applyFont="1" applyFill="1" applyBorder="1" applyAlignment="1">
      <alignment horizontal="center" vertical="center"/>
    </xf>
    <xf numFmtId="0" fontId="6" fillId="0" borderId="0" xfId="29736" applyFont="1" applyFill="1" applyAlignment="1">
      <alignment horizontal="left" wrapText="1"/>
    </xf>
    <xf numFmtId="0" fontId="6" fillId="0" borderId="3" xfId="29736" applyFont="1" applyFill="1" applyBorder="1" applyAlignment="1">
      <alignment horizontal="center" vertical="center"/>
    </xf>
    <xf numFmtId="0" fontId="6" fillId="0" borderId="31" xfId="29736" applyFont="1" applyFill="1" applyBorder="1" applyAlignment="1">
      <alignment horizontal="center" vertical="center"/>
    </xf>
    <xf numFmtId="0" fontId="6" fillId="0" borderId="32" xfId="29736" applyFont="1" applyFill="1" applyBorder="1" applyAlignment="1">
      <alignment horizontal="center" vertical="center"/>
    </xf>
    <xf numFmtId="0" fontId="5" fillId="0" borderId="0" xfId="29736" applyFont="1" applyAlignment="1">
      <alignment horizontal="left" wrapText="1"/>
    </xf>
    <xf numFmtId="0" fontId="19" fillId="0" borderId="0" xfId="36416" applyFont="1" applyFill="1" applyBorder="1" applyAlignment="1">
      <alignment horizontal="justify" vertical="justify"/>
    </xf>
    <xf numFmtId="0" fontId="6" fillId="0" borderId="0" xfId="29736" applyFont="1" applyFill="1" applyAlignment="1">
      <alignment horizontal="justify" vertical="center" wrapText="1"/>
    </xf>
    <xf numFmtId="0" fontId="6" fillId="0" borderId="33" xfId="29736" applyFont="1" applyFill="1" applyBorder="1" applyAlignment="1">
      <alignment horizontal="center" vertical="center"/>
    </xf>
    <xf numFmtId="0" fontId="5" fillId="0" borderId="0" xfId="4" applyFont="1" applyAlignment="1">
      <alignment horizontal="justify" vertical="justify" wrapText="1"/>
    </xf>
    <xf numFmtId="3" fontId="5" fillId="0" borderId="0" xfId="29736" applyNumberFormat="1" applyFont="1" applyFill="1" applyAlignment="1" applyProtection="1">
      <alignment horizontal="left" vertical="center" wrapText="1"/>
      <protection locked="0"/>
    </xf>
    <xf numFmtId="0" fontId="5" fillId="0" borderId="42" xfId="29736" applyFont="1" applyFill="1" applyBorder="1" applyAlignment="1">
      <alignment horizontal="left"/>
    </xf>
    <xf numFmtId="0" fontId="6" fillId="0" borderId="6" xfId="29736" applyFont="1" applyFill="1" applyBorder="1" applyAlignment="1">
      <alignment horizontal="center" vertical="center" wrapText="1"/>
    </xf>
    <xf numFmtId="0" fontId="6" fillId="0" borderId="34" xfId="29736" applyFont="1" applyFill="1" applyBorder="1" applyAlignment="1">
      <alignment horizontal="center" vertical="center" wrapText="1"/>
    </xf>
    <xf numFmtId="0" fontId="6" fillId="0" borderId="31" xfId="29736" applyFont="1" applyFill="1" applyBorder="1" applyAlignment="1">
      <alignment horizontal="center" vertical="center" wrapText="1"/>
    </xf>
    <xf numFmtId="0" fontId="6" fillId="0" borderId="32" xfId="29736" applyFont="1" applyFill="1" applyBorder="1" applyAlignment="1">
      <alignment horizontal="center" vertical="center" wrapText="1"/>
    </xf>
    <xf numFmtId="0" fontId="6" fillId="0" borderId="33" xfId="29736" applyFont="1" applyFill="1" applyBorder="1" applyAlignment="1">
      <alignment horizontal="center" vertical="center" wrapText="1"/>
    </xf>
    <xf numFmtId="0" fontId="5" fillId="0" borderId="0" xfId="29736" applyFont="1" applyFill="1" applyAlignment="1">
      <alignment horizontal="left" wrapText="1"/>
    </xf>
    <xf numFmtId="0" fontId="5" fillId="0" borderId="0" xfId="29736" applyFont="1" applyFill="1" applyAlignment="1">
      <alignment horizontal="left" vertical="center" wrapText="1"/>
    </xf>
    <xf numFmtId="49" fontId="5" fillId="0" borderId="0" xfId="29736" applyNumberFormat="1" applyFont="1" applyFill="1" applyAlignment="1">
      <alignment horizontal="left" vertical="center" wrapText="1"/>
    </xf>
    <xf numFmtId="0" fontId="5" fillId="0" borderId="0" xfId="29736" applyFont="1" applyAlignment="1">
      <alignment horizontal="justify" vertical="justify" wrapText="1"/>
    </xf>
    <xf numFmtId="0" fontId="6" fillId="0" borderId="0" xfId="29736" applyFont="1" applyAlignment="1">
      <alignment horizontal="justify" vertical="justify" wrapText="1"/>
    </xf>
    <xf numFmtId="3" fontId="5" fillId="0" borderId="0" xfId="29736" applyNumberFormat="1" applyFont="1" applyFill="1" applyAlignment="1" applyProtection="1">
      <alignment horizontal="justify" vertical="justify" wrapText="1"/>
      <protection locked="0"/>
    </xf>
    <xf numFmtId="0" fontId="5" fillId="0" borderId="0" xfId="29736" applyFont="1" applyFill="1" applyAlignment="1">
      <alignment horizontal="justify" vertical="justify"/>
    </xf>
    <xf numFmtId="3" fontId="5" fillId="0" borderId="0" xfId="29736" applyNumberFormat="1" applyFont="1" applyFill="1" applyAlignment="1" applyProtection="1">
      <alignment horizontal="left" vertical="center"/>
      <protection locked="0"/>
    </xf>
    <xf numFmtId="0" fontId="5" fillId="0" borderId="0" xfId="36417" applyFont="1" applyFill="1" applyBorder="1" applyAlignment="1">
      <alignment horizontal="left"/>
    </xf>
    <xf numFmtId="0" fontId="6" fillId="0" borderId="0" xfId="36417" applyFont="1" applyFill="1" applyBorder="1" applyAlignment="1">
      <alignment horizontal="justify" wrapText="1"/>
    </xf>
    <xf numFmtId="0" fontId="6" fillId="0" borderId="42" xfId="36417" applyFont="1" applyFill="1" applyBorder="1" applyAlignment="1">
      <alignment horizontal="left"/>
    </xf>
    <xf numFmtId="0" fontId="6" fillId="0" borderId="3" xfId="36417" applyFont="1" applyFill="1" applyBorder="1" applyAlignment="1">
      <alignment horizontal="center" vertical="center"/>
    </xf>
    <xf numFmtId="0" fontId="6" fillId="0" borderId="3" xfId="36417" applyFont="1" applyFill="1" applyBorder="1" applyAlignment="1">
      <alignment horizontal="center" vertical="center" wrapText="1"/>
    </xf>
    <xf numFmtId="0" fontId="6" fillId="0" borderId="3" xfId="29736" applyFont="1" applyFill="1" applyBorder="1" applyAlignment="1">
      <alignment horizontal="center"/>
    </xf>
    <xf numFmtId="0" fontId="5" fillId="0" borderId="0" xfId="36417" applyFont="1" applyFill="1" applyBorder="1" applyAlignment="1">
      <alignment horizontal="justify"/>
    </xf>
    <xf numFmtId="49" fontId="6" fillId="0" borderId="0" xfId="29736" applyNumberFormat="1" applyFont="1" applyFill="1" applyBorder="1" applyAlignment="1">
      <alignment horizontal="justify" vertical="center" wrapText="1"/>
    </xf>
    <xf numFmtId="0" fontId="6" fillId="0" borderId="42" xfId="29736" applyFont="1" applyFill="1" applyBorder="1" applyAlignment="1">
      <alignment horizontal="center"/>
    </xf>
    <xf numFmtId="0" fontId="5" fillId="0" borderId="0" xfId="29736" applyFont="1" applyFill="1" applyAlignment="1">
      <alignment horizontal="justify" wrapText="1"/>
    </xf>
    <xf numFmtId="0" fontId="5" fillId="0" borderId="0" xfId="29736" applyNumberFormat="1" applyFont="1" applyFill="1" applyBorder="1" applyAlignment="1">
      <alignment horizontal="justify" vertical="top" wrapText="1"/>
    </xf>
    <xf numFmtId="49" fontId="5" fillId="0" borderId="0" xfId="29736" applyNumberFormat="1" applyFont="1" applyFill="1" applyAlignment="1">
      <alignment horizontal="justify" vertical="center" wrapText="1"/>
    </xf>
    <xf numFmtId="0" fontId="5" fillId="0" borderId="0" xfId="36417" applyFont="1" applyFill="1" applyBorder="1" applyAlignment="1">
      <alignment horizontal="justify" vertical="center"/>
    </xf>
    <xf numFmtId="0" fontId="6" fillId="0" borderId="0" xfId="29736" applyFont="1" applyFill="1" applyBorder="1" applyAlignment="1">
      <alignment horizontal="justify" vertical="center" wrapText="1"/>
    </xf>
    <xf numFmtId="0" fontId="6" fillId="0" borderId="42" xfId="29736" applyFont="1" applyFill="1" applyBorder="1" applyAlignment="1">
      <alignment horizontal="left" wrapText="1"/>
    </xf>
    <xf numFmtId="10" fontId="6" fillId="0" borderId="0" xfId="36417" applyNumberFormat="1" applyFont="1" applyFill="1" applyBorder="1" applyAlignment="1">
      <alignment horizontal="justify" vertical="justify" wrapText="1"/>
    </xf>
    <xf numFmtId="0" fontId="5" fillId="0" borderId="42" xfId="36417" applyFont="1" applyFill="1" applyBorder="1" applyAlignment="1">
      <alignment horizontal="left"/>
    </xf>
    <xf numFmtId="0" fontId="5" fillId="0" borderId="0" xfId="36417" applyFont="1" applyFill="1" applyBorder="1" applyAlignment="1">
      <alignment horizontal="left" wrapText="1"/>
    </xf>
    <xf numFmtId="0" fontId="5" fillId="0" borderId="0" xfId="29736" applyFont="1" applyFill="1" applyAlignment="1">
      <alignment horizontal="left"/>
    </xf>
    <xf numFmtId="0" fontId="6" fillId="0" borderId="0" xfId="36417" applyFont="1" applyFill="1" applyBorder="1" applyAlignment="1">
      <alignment horizontal="justify" vertical="justify" wrapText="1"/>
    </xf>
    <xf numFmtId="0" fontId="5" fillId="0" borderId="0" xfId="29736" applyFont="1" applyFill="1" applyAlignment="1">
      <alignment horizontal="justify" vertical="center" wrapText="1"/>
    </xf>
    <xf numFmtId="0" fontId="18" fillId="0" borderId="6" xfId="7" applyFont="1" applyFill="1" applyBorder="1" applyAlignment="1" applyProtection="1">
      <alignment horizontal="center" vertical="center" wrapText="1" readingOrder="1"/>
      <protection locked="0"/>
    </xf>
    <xf numFmtId="0" fontId="18" fillId="0" borderId="40" xfId="7" applyFont="1" applyFill="1" applyBorder="1" applyAlignment="1" applyProtection="1">
      <alignment horizontal="center" vertical="center" wrapText="1" readingOrder="1"/>
      <protection locked="0"/>
    </xf>
    <xf numFmtId="0" fontId="18" fillId="0" borderId="34" xfId="7" applyFont="1" applyFill="1" applyBorder="1" applyAlignment="1" applyProtection="1">
      <alignment horizontal="center" vertical="center" wrapText="1" readingOrder="1"/>
      <protection locked="0"/>
    </xf>
    <xf numFmtId="0" fontId="18" fillId="0" borderId="6" xfId="7" applyFont="1" applyBorder="1" applyAlignment="1" applyProtection="1">
      <alignment horizontal="center" vertical="center" wrapText="1" readingOrder="1"/>
      <protection locked="0"/>
    </xf>
    <xf numFmtId="0" fontId="18" fillId="0" borderId="40" xfId="7" applyFont="1" applyBorder="1" applyAlignment="1" applyProtection="1">
      <alignment horizontal="center" vertical="center" wrapText="1" readingOrder="1"/>
      <protection locked="0"/>
    </xf>
    <xf numFmtId="0" fontId="18" fillId="0" borderId="34" xfId="7" applyFont="1" applyBorder="1" applyAlignment="1" applyProtection="1">
      <alignment horizontal="center" vertical="center" wrapText="1" readingOrder="1"/>
      <protection locked="0"/>
    </xf>
    <xf numFmtId="0" fontId="18" fillId="0" borderId="57" xfId="7" applyFont="1" applyBorder="1" applyAlignment="1" applyProtection="1">
      <alignment horizontal="center" vertical="top" wrapText="1" readingOrder="1"/>
      <protection locked="0"/>
    </xf>
    <xf numFmtId="0" fontId="18" fillId="0" borderId="46" xfId="7" applyFont="1" applyBorder="1" applyAlignment="1" applyProtection="1">
      <alignment horizontal="center" vertical="top" wrapText="1" readingOrder="1"/>
      <protection locked="0"/>
    </xf>
    <xf numFmtId="0" fontId="18" fillId="0" borderId="35" xfId="7" applyFont="1" applyBorder="1" applyAlignment="1" applyProtection="1">
      <alignment horizontal="center" vertical="top" wrapText="1" readingOrder="1"/>
      <protection locked="0"/>
    </xf>
    <xf numFmtId="0" fontId="18" fillId="0" borderId="29" xfId="7" applyFont="1" applyBorder="1" applyAlignment="1" applyProtection="1">
      <alignment horizontal="center" vertical="top" wrapText="1" readingOrder="1"/>
      <protection locked="0"/>
    </xf>
    <xf numFmtId="0" fontId="18" fillId="0" borderId="44" xfId="7" applyFont="1" applyBorder="1" applyAlignment="1" applyProtection="1">
      <alignment horizontal="center" vertical="center" wrapText="1" readingOrder="1"/>
      <protection locked="0"/>
    </xf>
    <xf numFmtId="0" fontId="18" fillId="0" borderId="87" xfId="7" applyFont="1" applyBorder="1" applyAlignment="1" applyProtection="1">
      <alignment horizontal="center" vertical="center" wrapText="1" readingOrder="1"/>
      <protection locked="0"/>
    </xf>
    <xf numFmtId="0" fontId="19" fillId="0" borderId="0" xfId="7" applyFont="1" applyFill="1" applyBorder="1" applyAlignment="1" applyProtection="1">
      <alignment vertical="top" wrapText="1" readingOrder="1"/>
      <protection locked="0"/>
    </xf>
    <xf numFmtId="0" fontId="16" fillId="0" borderId="0" xfId="7" applyFont="1" applyFill="1" applyBorder="1" applyAlignment="1">
      <alignment horizontal="left" vertical="center" wrapText="1"/>
    </xf>
    <xf numFmtId="0" fontId="19"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49" fontId="17" fillId="0" borderId="0" xfId="7" applyNumberFormat="1" applyFont="1" applyFill="1" applyBorder="1" applyAlignment="1">
      <alignment horizontal="left" vertical="center" wrapText="1"/>
    </xf>
    <xf numFmtId="0" fontId="18" fillId="0" borderId="42" xfId="7" applyFont="1" applyBorder="1" applyAlignment="1" applyProtection="1">
      <alignment horizontal="center" vertical="top" wrapText="1" readingOrder="1"/>
      <protection locked="0"/>
    </xf>
    <xf numFmtId="0" fontId="8" fillId="0" borderId="3" xfId="29737" applyFont="1" applyBorder="1" applyAlignment="1">
      <alignment horizontal="center" wrapText="1"/>
    </xf>
    <xf numFmtId="0" fontId="8" fillId="0" borderId="3" xfId="29737" applyFont="1" applyFill="1" applyBorder="1" applyAlignment="1">
      <alignment horizontal="center" wrapText="1"/>
    </xf>
    <xf numFmtId="49" fontId="19" fillId="0" borderId="0" xfId="7" applyNumberFormat="1" applyFont="1" applyAlignment="1" applyProtection="1">
      <alignment horizontal="left" vertical="top" wrapText="1" readingOrder="1"/>
      <protection locked="0"/>
    </xf>
    <xf numFmtId="49" fontId="5" fillId="0" borderId="0" xfId="36249" applyNumberFormat="1" applyFont="1" applyAlignment="1">
      <alignment horizontal="left"/>
    </xf>
    <xf numFmtId="0" fontId="19" fillId="0" borderId="15" xfId="7" applyFont="1" applyBorder="1" applyAlignment="1" applyProtection="1">
      <alignment horizontal="left" vertical="center" wrapText="1" readingOrder="1"/>
      <protection locked="0"/>
    </xf>
    <xf numFmtId="0" fontId="19" fillId="0" borderId="0" xfId="7" applyFont="1" applyBorder="1" applyAlignment="1" applyProtection="1">
      <alignment horizontal="left" vertical="center" wrapText="1" readingOrder="1"/>
      <protection locked="0"/>
    </xf>
    <xf numFmtId="182" fontId="6" fillId="0" borderId="3" xfId="7705" applyNumberFormat="1" applyFont="1" applyFill="1" applyBorder="1" applyAlignment="1">
      <alignment horizontal="center" vertical="center"/>
    </xf>
    <xf numFmtId="0" fontId="6" fillId="0" borderId="3" xfId="36419" applyFont="1" applyFill="1" applyBorder="1" applyAlignment="1">
      <alignment horizontal="center" vertical="center"/>
    </xf>
    <xf numFmtId="0" fontId="6" fillId="0" borderId="0" xfId="8055" applyFont="1" applyFill="1" applyBorder="1" applyAlignment="1">
      <alignment horizontal="justify" vertical="top" wrapText="1"/>
    </xf>
    <xf numFmtId="0" fontId="6" fillId="0" borderId="31" xfId="36419" applyFont="1" applyFill="1" applyBorder="1" applyAlignment="1">
      <alignment horizontal="center" vertical="center"/>
    </xf>
    <xf numFmtId="0" fontId="6" fillId="0" borderId="58" xfId="36419" applyFont="1" applyFill="1" applyBorder="1" applyAlignment="1">
      <alignment horizontal="center" vertical="center"/>
    </xf>
    <xf numFmtId="0" fontId="6" fillId="0" borderId="33" xfId="36419" applyFont="1" applyFill="1" applyBorder="1" applyAlignment="1">
      <alignment horizontal="center" vertical="center"/>
    </xf>
    <xf numFmtId="0" fontId="5" fillId="0" borderId="3" xfId="29055" applyFont="1" applyBorder="1"/>
    <xf numFmtId="0" fontId="6" fillId="0" borderId="3" xfId="7705" applyNumberFormat="1" applyFont="1" applyFill="1" applyBorder="1" applyAlignment="1">
      <alignment horizontal="center" vertical="center"/>
    </xf>
    <xf numFmtId="0" fontId="4" fillId="0" borderId="0" xfId="7" applyBorder="1" applyAlignment="1" applyProtection="1">
      <alignment vertical="top" wrapText="1"/>
      <protection locked="0"/>
    </xf>
    <xf numFmtId="0" fontId="4" fillId="0" borderId="0" xfId="7" applyAlignment="1">
      <alignment horizontal="justify" vertical="justify" readingOrder="1"/>
    </xf>
    <xf numFmtId="0" fontId="4" fillId="0" borderId="0" xfId="7"/>
    <xf numFmtId="0" fontId="18" fillId="0" borderId="3" xfId="7" applyFont="1" applyBorder="1" applyAlignment="1" applyProtection="1">
      <alignment horizontal="center" wrapText="1" readingOrder="1"/>
      <protection locked="0"/>
    </xf>
    <xf numFmtId="0" fontId="4" fillId="0" borderId="3" xfId="7" applyBorder="1"/>
    <xf numFmtId="0" fontId="18" fillId="0" borderId="3" xfId="7" applyFont="1" applyBorder="1" applyAlignment="1" applyProtection="1">
      <alignment horizontal="center" vertical="center" readingOrder="1"/>
      <protection locked="0"/>
    </xf>
    <xf numFmtId="0" fontId="4" fillId="0" borderId="3" xfId="7" applyBorder="1" applyAlignment="1" applyProtection="1">
      <alignment vertical="top" wrapText="1"/>
      <protection locked="0"/>
    </xf>
    <xf numFmtId="0" fontId="4" fillId="0" borderId="0" xfId="7" applyBorder="1"/>
    <xf numFmtId="0" fontId="5" fillId="0" borderId="0" xfId="36417" applyFont="1" applyFill="1" applyBorder="1" applyAlignment="1">
      <alignment horizontal="justify" vertical="center" wrapText="1"/>
    </xf>
    <xf numFmtId="0" fontId="6" fillId="0" borderId="0" xfId="36417" applyFont="1" applyFill="1" applyBorder="1" applyAlignment="1">
      <alignment horizontal="justify" vertical="center" wrapText="1"/>
    </xf>
    <xf numFmtId="0" fontId="6" fillId="0" borderId="42" xfId="36417" applyFont="1" applyFill="1" applyBorder="1" applyAlignment="1">
      <alignment horizontal="center" vertical="center"/>
    </xf>
    <xf numFmtId="0" fontId="18" fillId="0" borderId="3" xfId="8055" applyFont="1" applyFill="1" applyBorder="1" applyAlignment="1">
      <alignment horizontal="center" vertical="center" wrapText="1"/>
    </xf>
    <xf numFmtId="182" fontId="6" fillId="0" borderId="3" xfId="7705" applyNumberFormat="1" applyFont="1" applyFill="1" applyBorder="1" applyAlignment="1">
      <alignment horizontal="center"/>
    </xf>
    <xf numFmtId="0" fontId="6" fillId="0" borderId="31" xfId="36417" applyFont="1" applyFill="1" applyBorder="1" applyAlignment="1">
      <alignment horizontal="center" vertical="center" wrapText="1"/>
    </xf>
    <xf numFmtId="0" fontId="6" fillId="0" borderId="58" xfId="36417" applyFont="1" applyFill="1" applyBorder="1" applyAlignment="1">
      <alignment horizontal="center" vertical="center" wrapText="1"/>
    </xf>
    <xf numFmtId="0" fontId="6" fillId="0" borderId="33" xfId="36417" applyFont="1" applyFill="1" applyBorder="1" applyAlignment="1">
      <alignment horizontal="center" vertical="center" wrapText="1"/>
    </xf>
    <xf numFmtId="0" fontId="5" fillId="0" borderId="0" xfId="29055" applyFont="1" applyAlignment="1">
      <alignment horizontal="left" wrapText="1"/>
    </xf>
    <xf numFmtId="0" fontId="6" fillId="0" borderId="0" xfId="29055" applyFont="1" applyFill="1" applyAlignment="1">
      <alignment horizontal="left" wrapText="1"/>
    </xf>
    <xf numFmtId="0" fontId="6" fillId="0" borderId="42" xfId="36417" applyFont="1" applyFill="1" applyBorder="1" applyAlignment="1">
      <alignment horizontal="center" vertical="center" wrapText="1"/>
    </xf>
    <xf numFmtId="0" fontId="6" fillId="0" borderId="0" xfId="36417" applyFont="1" applyFill="1" applyBorder="1" applyAlignment="1">
      <alignment horizontal="center" vertical="center"/>
    </xf>
    <xf numFmtId="0" fontId="5" fillId="0" borderId="0" xfId="36417" applyFont="1" applyFill="1" applyBorder="1" applyAlignment="1">
      <alignment horizontal="center" vertical="center"/>
    </xf>
    <xf numFmtId="0" fontId="5" fillId="0" borderId="0" xfId="8055" applyFont="1" applyFill="1" applyAlignment="1">
      <alignment horizontal="justify" vertical="center" wrapText="1"/>
    </xf>
    <xf numFmtId="0" fontId="4" fillId="0" borderId="0" xfId="7" applyBorder="1" applyAlignment="1" applyProtection="1">
      <alignment horizontal="justify" vertical="top" wrapText="1"/>
      <protection locked="0"/>
    </xf>
    <xf numFmtId="0" fontId="18" fillId="0" borderId="0" xfId="7" applyFont="1" applyAlignment="1" applyProtection="1">
      <alignment horizontal="justify" vertical="top" wrapText="1" readingOrder="1"/>
      <protection locked="0"/>
    </xf>
    <xf numFmtId="0" fontId="4" fillId="0" borderId="0" xfId="7" applyAlignment="1">
      <alignment horizontal="justify"/>
    </xf>
    <xf numFmtId="0" fontId="18" fillId="0" borderId="13" xfId="7" applyFont="1" applyBorder="1" applyAlignment="1" applyProtection="1">
      <alignment horizontal="center" vertical="top" wrapText="1" readingOrder="1"/>
      <protection locked="0"/>
    </xf>
    <xf numFmtId="0" fontId="4" fillId="0" borderId="22" xfId="7" applyBorder="1" applyAlignment="1" applyProtection="1">
      <alignment vertical="top" wrapText="1"/>
      <protection locked="0"/>
    </xf>
    <xf numFmtId="0" fontId="4" fillId="0" borderId="23" xfId="7" applyBorder="1" applyAlignment="1" applyProtection="1">
      <alignment vertical="top" wrapText="1"/>
      <protection locked="0"/>
    </xf>
    <xf numFmtId="0" fontId="4" fillId="0" borderId="46" xfId="7" applyBorder="1" applyAlignment="1" applyProtection="1">
      <alignment vertical="top" wrapText="1"/>
      <protection locked="0"/>
    </xf>
    <xf numFmtId="0" fontId="18" fillId="0" borderId="0" xfId="7" applyFont="1" applyFill="1" applyBorder="1" applyAlignment="1" applyProtection="1">
      <alignment horizontal="justify" vertical="top" wrapText="1" readingOrder="1"/>
      <protection locked="0"/>
    </xf>
    <xf numFmtId="0" fontId="4" fillId="0" borderId="0" xfId="7" applyFill="1" applyBorder="1" applyAlignment="1" applyProtection="1">
      <alignment horizontal="justify" vertical="top" wrapText="1"/>
      <protection locked="0"/>
    </xf>
    <xf numFmtId="0" fontId="19" fillId="0" borderId="0" xfId="7" applyFont="1" applyFill="1" applyBorder="1" applyAlignment="1" applyProtection="1">
      <alignment horizontal="justify" vertical="top" readingOrder="1"/>
      <protection locked="0"/>
    </xf>
    <xf numFmtId="0" fontId="18" fillId="0" borderId="0" xfId="7" applyFont="1" applyBorder="1" applyAlignment="1" applyProtection="1">
      <alignment vertical="top" wrapText="1" readingOrder="1"/>
      <protection locked="0"/>
    </xf>
    <xf numFmtId="0" fontId="4" fillId="0" borderId="35" xfId="7" applyBorder="1" applyAlignment="1" applyProtection="1">
      <alignment vertical="top" wrapText="1"/>
      <protection locked="0"/>
    </xf>
    <xf numFmtId="0" fontId="19" fillId="0" borderId="0" xfId="7" applyFont="1" applyBorder="1" applyAlignment="1" applyProtection="1">
      <alignment horizontal="justify" vertical="top" readingOrder="1"/>
      <protection locked="0"/>
    </xf>
    <xf numFmtId="0" fontId="18" fillId="0" borderId="0" xfId="6" applyFont="1" applyAlignment="1" applyProtection="1">
      <alignment horizontal="justify" vertical="top" wrapText="1" readingOrder="1"/>
      <protection locked="0"/>
    </xf>
    <xf numFmtId="0" fontId="19" fillId="0" borderId="0" xfId="6" applyFont="1" applyAlignment="1" applyProtection="1">
      <alignment vertical="top" wrapText="1" readingOrder="1"/>
      <protection locked="0"/>
    </xf>
    <xf numFmtId="0" fontId="5" fillId="0" borderId="0" xfId="6" applyFont="1"/>
    <xf numFmtId="0" fontId="18" fillId="0" borderId="21" xfId="6" applyFont="1" applyBorder="1" applyAlignment="1" applyProtection="1">
      <alignment horizontal="center" vertical="center" wrapText="1" readingOrder="1"/>
      <protection locked="0"/>
    </xf>
    <xf numFmtId="0" fontId="18" fillId="0" borderId="45" xfId="6" applyFont="1" applyBorder="1" applyAlignment="1" applyProtection="1">
      <alignment horizontal="center" vertical="center" wrapText="1" readingOrder="1"/>
      <protection locked="0"/>
    </xf>
    <xf numFmtId="0" fontId="18" fillId="0" borderId="36" xfId="6" applyFont="1" applyBorder="1" applyAlignment="1" applyProtection="1">
      <alignment horizontal="center" vertical="center" wrapText="1" readingOrder="1"/>
      <protection locked="0"/>
    </xf>
    <xf numFmtId="0" fontId="18" fillId="0" borderId="13" xfId="6" applyFont="1" applyBorder="1" applyAlignment="1" applyProtection="1">
      <alignment horizontal="center" vertical="top" wrapText="1" readingOrder="1"/>
      <protection locked="0"/>
    </xf>
    <xf numFmtId="0" fontId="5" fillId="0" borderId="22" xfId="6" applyFont="1" applyBorder="1" applyAlignment="1" applyProtection="1">
      <alignment vertical="top" wrapText="1"/>
      <protection locked="0"/>
    </xf>
    <xf numFmtId="0" fontId="5" fillId="0" borderId="23" xfId="6" applyFont="1" applyBorder="1" applyAlignment="1" applyProtection="1">
      <alignment vertical="top" wrapText="1"/>
      <protection locked="0"/>
    </xf>
    <xf numFmtId="0" fontId="19" fillId="0" borderId="0" xfId="6" applyFont="1" applyBorder="1" applyAlignment="1" applyProtection="1">
      <alignment vertical="top" wrapText="1" readingOrder="1"/>
      <protection locked="0"/>
    </xf>
    <xf numFmtId="0" fontId="5" fillId="0" borderId="0" xfId="6" applyFont="1" applyBorder="1"/>
    <xf numFmtId="0" fontId="18" fillId="0" borderId="0" xfId="6" applyFont="1" applyBorder="1" applyAlignment="1" applyProtection="1">
      <alignment horizontal="justify" vertical="top" wrapText="1" readingOrder="1"/>
      <protection locked="0"/>
    </xf>
    <xf numFmtId="0" fontId="5" fillId="0" borderId="0" xfId="6" applyFont="1" applyBorder="1" applyAlignment="1" applyProtection="1">
      <alignment horizontal="justify" vertical="top" wrapText="1"/>
      <protection locked="0"/>
    </xf>
    <xf numFmtId="0" fontId="19" fillId="0" borderId="0" xfId="6" applyFont="1" applyBorder="1" applyAlignment="1" applyProtection="1">
      <alignment horizontal="justify" vertical="top" readingOrder="1"/>
      <protection locked="0"/>
    </xf>
    <xf numFmtId="0" fontId="19" fillId="0" borderId="0" xfId="6" applyFont="1" applyBorder="1" applyAlignment="1" applyProtection="1">
      <alignment horizontal="justify" vertical="top" wrapText="1" readingOrder="1"/>
      <protection locked="0"/>
    </xf>
    <xf numFmtId="0" fontId="4" fillId="0" borderId="0" xfId="7" applyFill="1" applyBorder="1"/>
    <xf numFmtId="0" fontId="4" fillId="0" borderId="0" xfId="7" applyFill="1" applyAlignment="1">
      <alignment horizontal="justify" vertical="center"/>
    </xf>
    <xf numFmtId="0" fontId="5" fillId="0" borderId="0" xfId="6" applyFont="1" applyFill="1" applyBorder="1" applyAlignment="1" applyProtection="1">
      <alignment vertical="top" wrapText="1" readingOrder="1"/>
      <protection locked="0"/>
    </xf>
    <xf numFmtId="0" fontId="5" fillId="0" borderId="0" xfId="6" applyFont="1" applyFill="1" applyBorder="1"/>
    <xf numFmtId="0" fontId="6" fillId="0" borderId="0" xfId="6" applyFont="1" applyFill="1" applyBorder="1" applyAlignment="1" applyProtection="1">
      <alignment horizontal="justify" vertical="top" wrapText="1" readingOrder="1"/>
      <protection locked="0"/>
    </xf>
    <xf numFmtId="0" fontId="5" fillId="0" borderId="0" xfId="6" applyFont="1" applyFill="1" applyBorder="1" applyAlignment="1" applyProtection="1">
      <alignment horizontal="justify" vertical="top" wrapText="1"/>
      <protection locked="0"/>
    </xf>
    <xf numFmtId="0" fontId="5" fillId="0" borderId="0" xfId="6" applyFont="1" applyFill="1" applyBorder="1" applyAlignment="1" applyProtection="1">
      <alignment horizontal="justify" vertical="top" wrapText="1" readingOrder="1"/>
      <protection locked="0"/>
    </xf>
    <xf numFmtId="0" fontId="6" fillId="0" borderId="0" xfId="6" applyFont="1" applyFill="1" applyAlignment="1" applyProtection="1">
      <alignment horizontal="justify" vertical="top" wrapText="1" readingOrder="1"/>
      <protection locked="0"/>
    </xf>
    <xf numFmtId="0" fontId="5" fillId="0" borderId="0" xfId="6" applyFont="1" applyFill="1" applyAlignment="1" applyProtection="1">
      <alignment vertical="top" wrapText="1" readingOrder="1"/>
      <protection locked="0"/>
    </xf>
    <xf numFmtId="0" fontId="5" fillId="0" borderId="0" xfId="6" applyFont="1" applyFill="1"/>
    <xf numFmtId="0" fontId="6" fillId="0" borderId="21" xfId="6" applyFont="1" applyFill="1" applyBorder="1" applyAlignment="1" applyProtection="1">
      <alignment horizontal="center" vertical="center" wrapText="1" readingOrder="1"/>
      <protection locked="0"/>
    </xf>
    <xf numFmtId="0" fontId="6" fillId="0" borderId="45" xfId="6" applyFont="1" applyFill="1" applyBorder="1" applyAlignment="1" applyProtection="1">
      <alignment horizontal="center" vertical="center" wrapText="1" readingOrder="1"/>
      <protection locked="0"/>
    </xf>
    <xf numFmtId="0" fontId="6" fillId="0" borderId="36" xfId="6" applyFont="1" applyFill="1" applyBorder="1" applyAlignment="1" applyProtection="1">
      <alignment horizontal="center" vertical="center" wrapText="1" readingOrder="1"/>
      <protection locked="0"/>
    </xf>
    <xf numFmtId="0" fontId="6" fillId="0" borderId="13" xfId="6" applyFont="1" applyFill="1" applyBorder="1" applyAlignment="1" applyProtection="1">
      <alignment horizontal="center" vertical="top" wrapText="1" readingOrder="1"/>
      <protection locked="0"/>
    </xf>
    <xf numFmtId="0" fontId="5" fillId="0" borderId="22" xfId="6" applyFont="1" applyFill="1" applyBorder="1" applyAlignment="1" applyProtection="1">
      <alignment vertical="top" wrapText="1"/>
      <protection locked="0"/>
    </xf>
    <xf numFmtId="0" fontId="5" fillId="0" borderId="23" xfId="6" applyFont="1" applyFill="1" applyBorder="1" applyAlignment="1" applyProtection="1">
      <alignment vertical="top" wrapText="1"/>
      <protection locked="0"/>
    </xf>
    <xf numFmtId="0" fontId="6" fillId="0" borderId="0" xfId="36417" applyFont="1" applyFill="1" applyBorder="1" applyAlignment="1">
      <alignment wrapText="1"/>
    </xf>
    <xf numFmtId="0" fontId="6" fillId="0" borderId="6" xfId="4" applyFont="1" applyFill="1" applyBorder="1" applyAlignment="1">
      <alignment horizontal="center" vertical="center"/>
    </xf>
    <xf numFmtId="0" fontId="6" fillId="0" borderId="59" xfId="4" applyFont="1" applyFill="1" applyBorder="1" applyAlignment="1">
      <alignment horizontal="center" vertical="center"/>
    </xf>
    <xf numFmtId="0" fontId="6" fillId="0" borderId="31" xfId="4" applyFont="1" applyFill="1" applyBorder="1" applyAlignment="1">
      <alignment horizontal="center"/>
    </xf>
    <xf numFmtId="0" fontId="6" fillId="0" borderId="33" xfId="4" applyFont="1" applyFill="1" applyBorder="1" applyAlignment="1">
      <alignment horizontal="center"/>
    </xf>
    <xf numFmtId="0" fontId="5" fillId="0" borderId="0" xfId="36417" applyFont="1" applyFill="1" applyBorder="1" applyAlignment="1">
      <alignment horizontal="left" vertical="center" wrapText="1"/>
    </xf>
    <xf numFmtId="49" fontId="5" fillId="0" borderId="0" xfId="4" applyNumberFormat="1" applyFont="1" applyFill="1" applyAlignment="1">
      <alignment horizontal="left" vertical="center" wrapText="1"/>
    </xf>
    <xf numFmtId="0" fontId="6" fillId="0" borderId="0" xfId="36417" applyFont="1" applyFill="1" applyBorder="1" applyAlignment="1">
      <alignment horizontal="left" wrapText="1"/>
    </xf>
    <xf numFmtId="0" fontId="5" fillId="0" borderId="0" xfId="36417" applyFont="1" applyFill="1" applyBorder="1" applyAlignment="1">
      <alignment horizontal="justify" wrapText="1"/>
    </xf>
    <xf numFmtId="49" fontId="5" fillId="0" borderId="0" xfId="7" applyNumberFormat="1" applyFont="1" applyFill="1" applyAlignment="1">
      <alignment horizontal="left" vertical="center" wrapText="1"/>
    </xf>
    <xf numFmtId="0" fontId="5" fillId="0" borderId="0" xfId="0" applyFont="1" applyFill="1" applyBorder="1" applyAlignment="1" applyProtection="1">
      <alignment horizontal="center" vertical="top" wrapText="1" readingOrder="1"/>
      <protection locked="0"/>
    </xf>
    <xf numFmtId="0" fontId="6" fillId="0" borderId="0" xfId="36417" applyFont="1" applyFill="1" applyBorder="1" applyAlignment="1">
      <alignment horizontal="left" vertical="center" wrapText="1"/>
    </xf>
    <xf numFmtId="0" fontId="6" fillId="0" borderId="61" xfId="4" applyFont="1" applyFill="1" applyBorder="1" applyAlignment="1">
      <alignment horizontal="center" vertical="center"/>
    </xf>
    <xf numFmtId="0" fontId="6" fillId="0" borderId="62" xfId="4" applyFont="1" applyFill="1" applyBorder="1" applyAlignment="1">
      <alignment horizontal="center"/>
    </xf>
    <xf numFmtId="0" fontId="6" fillId="0" borderId="63" xfId="4" applyFont="1" applyFill="1" applyBorder="1" applyAlignment="1">
      <alignment horizontal="center"/>
    </xf>
    <xf numFmtId="0" fontId="6" fillId="0" borderId="61" xfId="4" applyFont="1" applyFill="1" applyBorder="1" applyAlignment="1">
      <alignment horizontal="center" vertical="center" wrapText="1"/>
    </xf>
    <xf numFmtId="0" fontId="6" fillId="0" borderId="59" xfId="4" applyFont="1" applyFill="1" applyBorder="1" applyAlignment="1">
      <alignment horizontal="center" vertical="center" wrapText="1"/>
    </xf>
    <xf numFmtId="0" fontId="6" fillId="0" borderId="60" xfId="36417" applyFont="1" applyBorder="1" applyAlignment="1">
      <alignment horizontal="center" vertical="center"/>
    </xf>
    <xf numFmtId="0" fontId="6" fillId="0" borderId="60" xfId="4" applyFont="1" applyFill="1" applyBorder="1" applyAlignment="1">
      <alignment horizontal="center" wrapText="1"/>
    </xf>
    <xf numFmtId="0" fontId="5" fillId="0" borderId="0" xfId="7" applyFont="1" applyFill="1" applyBorder="1" applyAlignment="1">
      <alignment horizontal="left"/>
    </xf>
    <xf numFmtId="0" fontId="6" fillId="0" borderId="60" xfId="36417" applyFont="1" applyFill="1" applyBorder="1" applyAlignment="1">
      <alignment horizontal="center" vertical="center" wrapText="1"/>
    </xf>
    <xf numFmtId="0" fontId="6" fillId="0" borderId="60" xfId="4" applyFont="1" applyFill="1" applyBorder="1" applyAlignment="1">
      <alignment horizontal="center"/>
    </xf>
    <xf numFmtId="0" fontId="6" fillId="0" borderId="58" xfId="4" applyFont="1" applyFill="1" applyBorder="1" applyAlignment="1">
      <alignment horizontal="center"/>
    </xf>
    <xf numFmtId="0" fontId="6" fillId="0" borderId="60" xfId="4" applyFont="1" applyFill="1" applyBorder="1" applyAlignment="1">
      <alignment horizontal="center" vertical="center" wrapText="1"/>
    </xf>
    <xf numFmtId="2" fontId="6" fillId="0" borderId="0" xfId="4" applyNumberFormat="1" applyFont="1" applyFill="1" applyAlignment="1">
      <alignment horizontal="justify" vertical="top" wrapText="1"/>
    </xf>
    <xf numFmtId="0" fontId="5" fillId="0" borderId="0" xfId="36417" applyFont="1" applyFill="1" applyBorder="1" applyAlignment="1">
      <alignment horizontal="justify" vertical="top" wrapText="1"/>
    </xf>
    <xf numFmtId="0" fontId="18" fillId="0" borderId="0" xfId="7" applyFont="1" applyBorder="1" applyAlignment="1" applyProtection="1">
      <alignment horizontal="center" vertical="top" wrapText="1" readingOrder="1"/>
      <protection locked="0"/>
    </xf>
    <xf numFmtId="0" fontId="53" fillId="0" borderId="0" xfId="7" applyFont="1" applyBorder="1" applyAlignment="1" applyProtection="1">
      <alignment horizontal="center" vertical="top" wrapText="1" readingOrder="1"/>
      <protection locked="0"/>
    </xf>
    <xf numFmtId="0" fontId="54" fillId="0" borderId="0" xfId="7" applyFont="1" applyBorder="1" applyAlignment="1" applyProtection="1">
      <alignment vertical="top" wrapText="1"/>
      <protection locked="0"/>
    </xf>
    <xf numFmtId="0" fontId="6" fillId="0" borderId="3" xfId="36417" applyFont="1" applyBorder="1" applyAlignment="1">
      <alignment horizontal="center" vertical="center"/>
    </xf>
    <xf numFmtId="49" fontId="5" fillId="0" borderId="0" xfId="0" applyNumberFormat="1" applyFont="1" applyFill="1" applyAlignment="1">
      <alignment horizontal="left" vertical="center" wrapText="1"/>
    </xf>
    <xf numFmtId="0" fontId="8" fillId="0" borderId="0" xfId="0" applyFont="1" applyAlignment="1">
      <alignment horizontal="left" vertical="top" wrapText="1"/>
    </xf>
    <xf numFmtId="0" fontId="6" fillId="0" borderId="6"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8" fillId="0" borderId="31" xfId="0" applyFont="1" applyFill="1" applyBorder="1" applyAlignment="1">
      <alignment horizontal="center"/>
    </xf>
    <xf numFmtId="0" fontId="8" fillId="0" borderId="33" xfId="0" applyFont="1" applyFill="1" applyBorder="1" applyAlignment="1">
      <alignment horizontal="center"/>
    </xf>
    <xf numFmtId="0" fontId="18" fillId="0" borderId="3" xfId="36423" applyFont="1" applyFill="1" applyBorder="1" applyAlignment="1">
      <alignment horizontal="center" vertical="center"/>
    </xf>
    <xf numFmtId="0" fontId="6" fillId="0" borderId="0" xfId="7" applyFont="1" applyFill="1" applyBorder="1" applyAlignment="1" applyProtection="1">
      <alignment horizontal="justify" vertical="top" wrapText="1" readingOrder="1"/>
      <protection locked="0"/>
    </xf>
    <xf numFmtId="0" fontId="4" fillId="0" borderId="0" xfId="7" applyFont="1" applyFill="1" applyBorder="1" applyAlignment="1">
      <alignment horizontal="justify"/>
    </xf>
    <xf numFmtId="0" fontId="5" fillId="0" borderId="0" xfId="7" applyFont="1" applyFill="1" applyBorder="1" applyAlignment="1" applyProtection="1">
      <alignment vertical="top" wrapText="1" readingOrder="1"/>
      <protection locked="0"/>
    </xf>
    <xf numFmtId="0" fontId="4" fillId="0" borderId="0" xfId="7" applyFont="1" applyFill="1" applyBorder="1"/>
    <xf numFmtId="0" fontId="6" fillId="0" borderId="3" xfId="7" applyFont="1" applyFill="1" applyBorder="1" applyAlignment="1" applyProtection="1">
      <alignment horizontal="center" vertical="center" wrapText="1" readingOrder="1"/>
      <protection locked="0"/>
    </xf>
    <xf numFmtId="0" fontId="6" fillId="0" borderId="3" xfId="7" applyFont="1" applyFill="1" applyBorder="1" applyAlignment="1" applyProtection="1">
      <alignment horizontal="center" vertical="top" wrapText="1" readingOrder="1"/>
      <protection locked="0"/>
    </xf>
    <xf numFmtId="0" fontId="4" fillId="0" borderId="3" xfId="7" applyFont="1" applyFill="1" applyBorder="1" applyAlignment="1" applyProtection="1">
      <alignment vertical="top" wrapText="1"/>
      <protection locked="0"/>
    </xf>
    <xf numFmtId="0" fontId="4" fillId="0" borderId="3" xfId="7" applyFont="1" applyFill="1" applyBorder="1" applyAlignment="1" applyProtection="1">
      <alignment vertical="center" wrapText="1"/>
      <protection locked="0"/>
    </xf>
    <xf numFmtId="0" fontId="4" fillId="0" borderId="0" xfId="7" applyFont="1" applyFill="1" applyBorder="1" applyAlignment="1" applyProtection="1">
      <alignment horizontal="justify" vertical="top" wrapText="1"/>
      <protection locked="0"/>
    </xf>
    <xf numFmtId="0" fontId="6" fillId="0" borderId="3" xfId="7" applyFont="1" applyFill="1" applyBorder="1" applyAlignment="1" applyProtection="1">
      <alignment horizontal="center" wrapText="1" readingOrder="1"/>
      <protection locked="0"/>
    </xf>
    <xf numFmtId="0" fontId="4" fillId="0" borderId="3" xfId="7" applyFont="1" applyFill="1" applyBorder="1" applyAlignment="1" applyProtection="1">
      <alignment horizontal="center" wrapText="1" readingOrder="1"/>
      <protection locked="0"/>
    </xf>
    <xf numFmtId="0" fontId="6" fillId="0" borderId="0" xfId="7" quotePrefix="1" applyFont="1" applyFill="1" applyBorder="1" applyAlignment="1" applyProtection="1">
      <alignment horizontal="justify" vertical="top" wrapText="1" readingOrder="1"/>
      <protection locked="0"/>
    </xf>
    <xf numFmtId="0" fontId="6" fillId="0" borderId="6" xfId="36417" applyFont="1" applyBorder="1" applyAlignment="1">
      <alignment horizontal="center" vertical="center" wrapText="1"/>
    </xf>
    <xf numFmtId="0" fontId="6" fillId="0" borderId="59" xfId="36417" applyFont="1" applyBorder="1" applyAlignment="1">
      <alignment horizontal="center" vertical="center" wrapText="1"/>
    </xf>
    <xf numFmtId="0" fontId="6" fillId="0" borderId="0" xfId="36417" applyFont="1" applyBorder="1" applyAlignment="1">
      <alignment horizontal="left" wrapText="1"/>
    </xf>
    <xf numFmtId="0" fontId="6" fillId="0" borderId="3" xfId="36417" applyFont="1" applyBorder="1" applyAlignment="1">
      <alignment horizontal="center" vertical="center" wrapText="1"/>
    </xf>
    <xf numFmtId="0" fontId="18" fillId="0" borderId="0" xfId="7" applyFont="1" applyFill="1" applyBorder="1" applyAlignment="1" applyProtection="1">
      <alignment horizontal="justify" vertical="center" wrapText="1" readingOrder="1"/>
      <protection locked="0"/>
    </xf>
    <xf numFmtId="0" fontId="18" fillId="0" borderId="3" xfId="7" applyFont="1" applyFill="1" applyBorder="1" applyAlignment="1" applyProtection="1">
      <alignment horizontal="center" vertical="center" wrapText="1" readingOrder="1"/>
      <protection locked="0"/>
    </xf>
    <xf numFmtId="0" fontId="18" fillId="0" borderId="3" xfId="7" applyFont="1" applyFill="1" applyBorder="1" applyAlignment="1" applyProtection="1">
      <alignment horizontal="center" vertical="top" wrapText="1" readingOrder="1"/>
      <protection locked="0"/>
    </xf>
    <xf numFmtId="0" fontId="4" fillId="0" borderId="0" xfId="7" applyFill="1" applyBorder="1" applyAlignment="1" applyProtection="1">
      <alignment vertical="top" wrapText="1"/>
      <protection locked="0"/>
    </xf>
    <xf numFmtId="0" fontId="5" fillId="0" borderId="0" xfId="7" applyFont="1" applyFill="1" applyBorder="1" applyAlignment="1" applyProtection="1">
      <alignment wrapText="1" readingOrder="1"/>
      <protection locked="0"/>
    </xf>
    <xf numFmtId="0" fontId="5" fillId="0" borderId="0" xfId="7" applyFont="1" applyFill="1" applyBorder="1" applyAlignment="1" applyProtection="1">
      <alignment vertical="top" wrapText="1"/>
      <protection locked="0"/>
    </xf>
    <xf numFmtId="49" fontId="5" fillId="0" borderId="0" xfId="7" applyNumberFormat="1" applyFont="1" applyFill="1" applyBorder="1" applyAlignment="1" applyProtection="1">
      <alignment horizontal="left" wrapText="1" readingOrder="1"/>
      <protection locked="0"/>
    </xf>
    <xf numFmtId="0" fontId="6" fillId="0" borderId="0" xfId="7" applyFont="1" applyFill="1" applyBorder="1" applyAlignment="1" applyProtection="1">
      <alignment horizontal="justify" vertical="justify" wrapText="1" readingOrder="1"/>
      <protection locked="0"/>
    </xf>
    <xf numFmtId="0" fontId="5" fillId="0" borderId="0" xfId="7" applyFont="1" applyFill="1" applyBorder="1" applyAlignment="1" applyProtection="1">
      <alignment horizontal="justify" vertical="justify" wrapText="1"/>
      <protection locked="0"/>
    </xf>
    <xf numFmtId="0" fontId="6" fillId="0" borderId="31" xfId="4" applyFont="1" applyFill="1" applyBorder="1" applyAlignment="1">
      <alignment horizontal="center" vertical="center"/>
    </xf>
    <xf numFmtId="0" fontId="6" fillId="0" borderId="32" xfId="4" applyFont="1" applyFill="1" applyBorder="1" applyAlignment="1">
      <alignment horizontal="center" vertical="center"/>
    </xf>
    <xf numFmtId="0" fontId="6" fillId="0" borderId="33" xfId="4" applyFont="1" applyFill="1" applyBorder="1" applyAlignment="1">
      <alignment horizontal="center" vertical="center"/>
    </xf>
    <xf numFmtId="0" fontId="5" fillId="0" borderId="0" xfId="4" applyFont="1" applyFill="1" applyAlignment="1">
      <alignment horizontal="justify" vertical="center" wrapText="1"/>
    </xf>
    <xf numFmtId="0" fontId="6" fillId="0" borderId="3" xfId="4" applyFont="1" applyFill="1" applyBorder="1" applyAlignment="1">
      <alignment horizontal="center" vertical="center"/>
    </xf>
    <xf numFmtId="0" fontId="18" fillId="0" borderId="13" xfId="7" applyFont="1" applyFill="1" applyBorder="1" applyAlignment="1" applyProtection="1">
      <alignment horizontal="center" vertical="top" wrapText="1" readingOrder="1"/>
      <protection locked="0"/>
    </xf>
    <xf numFmtId="0" fontId="4" fillId="0" borderId="22" xfId="7" applyFill="1" applyBorder="1" applyAlignment="1" applyProtection="1">
      <alignment vertical="top" wrapText="1"/>
      <protection locked="0"/>
    </xf>
    <xf numFmtId="0" fontId="4" fillId="0" borderId="23" xfId="7" applyFill="1" applyBorder="1" applyAlignment="1" applyProtection="1">
      <alignment vertical="top" wrapText="1"/>
      <protection locked="0"/>
    </xf>
    <xf numFmtId="0" fontId="4" fillId="0" borderId="0" xfId="7" applyBorder="1" applyAlignment="1">
      <alignment horizontal="justify"/>
    </xf>
    <xf numFmtId="0" fontId="6" fillId="0" borderId="0" xfId="4" applyFont="1" applyFill="1" applyAlignment="1" applyProtection="1">
      <alignment horizontal="justify" vertical="top" wrapText="1" readingOrder="1"/>
      <protection locked="0"/>
    </xf>
    <xf numFmtId="0" fontId="5" fillId="0" borderId="0" xfId="4" applyFont="1" applyFill="1" applyAlignment="1">
      <alignment horizontal="justify"/>
    </xf>
    <xf numFmtId="0" fontId="5" fillId="0" borderId="0" xfId="4" applyFont="1" applyFill="1" applyAlignment="1" applyProtection="1">
      <alignment vertical="top" wrapText="1" readingOrder="1"/>
      <protection locked="0"/>
    </xf>
    <xf numFmtId="0" fontId="5" fillId="0" borderId="0" xfId="4" applyFont="1" applyFill="1"/>
    <xf numFmtId="0" fontId="6" fillId="0" borderId="21" xfId="4" applyFont="1" applyFill="1" applyBorder="1" applyAlignment="1" applyProtection="1">
      <alignment horizontal="center" vertical="center" wrapText="1" readingOrder="1"/>
      <protection locked="0"/>
    </xf>
    <xf numFmtId="0" fontId="6" fillId="0" borderId="45" xfId="4" applyFont="1" applyFill="1" applyBorder="1" applyAlignment="1" applyProtection="1">
      <alignment horizontal="center" vertical="center" wrapText="1" readingOrder="1"/>
      <protection locked="0"/>
    </xf>
    <xf numFmtId="0" fontId="6" fillId="0" borderId="36" xfId="4" applyFont="1" applyFill="1" applyBorder="1" applyAlignment="1" applyProtection="1">
      <alignment horizontal="center" vertical="center" wrapText="1" readingOrder="1"/>
      <protection locked="0"/>
    </xf>
    <xf numFmtId="0" fontId="6" fillId="0" borderId="13" xfId="4" applyFont="1" applyFill="1" applyBorder="1" applyAlignment="1" applyProtection="1">
      <alignment horizontal="center" vertical="top" wrapText="1" readingOrder="1"/>
      <protection locked="0"/>
    </xf>
    <xf numFmtId="0" fontId="5" fillId="0" borderId="22" xfId="4" applyFont="1" applyFill="1" applyBorder="1" applyAlignment="1" applyProtection="1">
      <alignment vertical="top" wrapText="1"/>
      <protection locked="0"/>
    </xf>
    <xf numFmtId="0" fontId="5" fillId="0" borderId="23" xfId="4" applyFont="1" applyFill="1" applyBorder="1" applyAlignment="1" applyProtection="1">
      <alignment vertical="top" wrapText="1"/>
      <protection locked="0"/>
    </xf>
    <xf numFmtId="0" fontId="5" fillId="0" borderId="0" xfId="4" applyFont="1" applyFill="1" applyBorder="1" applyAlignment="1" applyProtection="1">
      <alignment vertical="top" wrapText="1" readingOrder="1"/>
      <protection locked="0"/>
    </xf>
    <xf numFmtId="0" fontId="5" fillId="0" borderId="0" xfId="4" applyFont="1" applyFill="1" applyBorder="1"/>
    <xf numFmtId="0" fontId="6" fillId="0" borderId="0" xfId="4" applyFont="1" applyFill="1" applyBorder="1" applyAlignment="1" applyProtection="1">
      <alignment horizontal="justify" vertical="top" wrapText="1" readingOrder="1"/>
      <protection locked="0"/>
    </xf>
    <xf numFmtId="0" fontId="5" fillId="0" borderId="0" xfId="4" applyFont="1" applyFill="1" applyBorder="1" applyAlignment="1" applyProtection="1">
      <alignment horizontal="justify" vertical="top" wrapText="1"/>
      <protection locked="0"/>
    </xf>
    <xf numFmtId="0" fontId="5" fillId="0" borderId="0" xfId="4" applyFont="1" applyFill="1" applyBorder="1" applyAlignment="1" applyProtection="1">
      <alignment horizontal="justify" vertical="top" wrapText="1" readingOrder="1"/>
      <protection locked="0"/>
    </xf>
    <xf numFmtId="0" fontId="18" fillId="0" borderId="21" xfId="7" applyFont="1" applyBorder="1" applyAlignment="1" applyProtection="1">
      <alignment horizontal="center" vertical="top" wrapText="1" readingOrder="1"/>
      <protection locked="0"/>
    </xf>
    <xf numFmtId="0" fontId="18" fillId="0" borderId="36" xfId="7" applyFont="1" applyBorder="1" applyAlignment="1" applyProtection="1">
      <alignment horizontal="center" vertical="top" wrapText="1" readingOrder="1"/>
      <protection locked="0"/>
    </xf>
    <xf numFmtId="0" fontId="18" fillId="0" borderId="14" xfId="7" applyFont="1" applyBorder="1" applyAlignment="1" applyProtection="1">
      <alignment horizontal="justify" vertical="top" wrapText="1" readingOrder="1"/>
      <protection locked="0"/>
    </xf>
    <xf numFmtId="0" fontId="4" fillId="0" borderId="24" xfId="7" applyBorder="1" applyAlignment="1" applyProtection="1">
      <alignment horizontal="justify" vertical="top" wrapText="1"/>
      <protection locked="0"/>
    </xf>
    <xf numFmtId="0" fontId="4" fillId="0" borderId="25" xfId="7" applyBorder="1" applyAlignment="1" applyProtection="1">
      <alignment horizontal="justify" vertical="top" wrapText="1"/>
      <protection locked="0"/>
    </xf>
    <xf numFmtId="0" fontId="19" fillId="0" borderId="14" xfId="7" applyFont="1" applyBorder="1" applyAlignment="1" applyProtection="1">
      <alignment horizontal="justify" vertical="top" wrapText="1" readingOrder="1"/>
      <protection locked="0"/>
    </xf>
    <xf numFmtId="0" fontId="5" fillId="0" borderId="0" xfId="4" applyFont="1" applyFill="1" applyBorder="1" applyAlignment="1" applyProtection="1">
      <alignment vertical="top" wrapText="1"/>
      <protection locked="0"/>
    </xf>
    <xf numFmtId="0" fontId="6" fillId="0" borderId="21" xfId="4" applyFont="1" applyFill="1" applyBorder="1" applyAlignment="1" applyProtection="1">
      <alignment horizontal="center" vertical="top" wrapText="1" readingOrder="1"/>
      <protection locked="0"/>
    </xf>
    <xf numFmtId="0" fontId="6" fillId="0" borderId="36" xfId="4" applyFont="1" applyFill="1" applyBorder="1" applyAlignment="1" applyProtection="1">
      <alignment horizontal="center" vertical="top" wrapText="1" readingOrder="1"/>
      <protection locked="0"/>
    </xf>
    <xf numFmtId="0" fontId="6" fillId="0" borderId="167" xfId="4" applyFont="1" applyFill="1" applyBorder="1" applyAlignment="1">
      <alignment horizontal="center" vertical="center"/>
    </xf>
    <xf numFmtId="0" fontId="5" fillId="0" borderId="0" xfId="36417" applyFont="1" applyBorder="1" applyAlignment="1">
      <alignment horizontal="left"/>
    </xf>
    <xf numFmtId="0" fontId="8" fillId="0" borderId="0" xfId="0" applyFont="1" applyAlignment="1">
      <alignment horizontal="justify" vertical="top" wrapText="1"/>
    </xf>
    <xf numFmtId="0" fontId="8" fillId="0" borderId="6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63" xfId="0" applyFont="1" applyBorder="1" applyAlignment="1">
      <alignment horizontal="center" vertical="center" wrapText="1"/>
    </xf>
    <xf numFmtId="0" fontId="9" fillId="0" borderId="0" xfId="0" applyFont="1" applyAlignment="1">
      <alignment horizontal="left" vertical="top" wrapText="1"/>
    </xf>
    <xf numFmtId="0" fontId="9" fillId="0" borderId="0" xfId="0" applyFont="1" applyFill="1" applyBorder="1" applyAlignment="1">
      <alignment horizontal="left" vertical="top" wrapText="1"/>
    </xf>
    <xf numFmtId="0" fontId="6" fillId="0" borderId="0" xfId="0" applyFont="1" applyFill="1" applyAlignment="1">
      <alignment horizontal="justify" vertical="top" wrapText="1"/>
    </xf>
    <xf numFmtId="0" fontId="8" fillId="0" borderId="60" xfId="0" applyFont="1" applyFill="1" applyBorder="1" applyAlignment="1">
      <alignment horizontal="center" vertical="center"/>
    </xf>
    <xf numFmtId="0" fontId="9" fillId="0" borderId="0" xfId="0" applyFont="1" applyFill="1" applyAlignment="1">
      <alignment horizontal="left" vertical="top" wrapText="1"/>
    </xf>
    <xf numFmtId="0" fontId="9" fillId="0" borderId="0" xfId="0" applyFont="1" applyAlignment="1">
      <alignment horizontal="justify" wrapText="1"/>
    </xf>
    <xf numFmtId="0" fontId="19" fillId="0" borderId="0" xfId="29735" applyFont="1" applyBorder="1" applyAlignment="1" applyProtection="1">
      <alignment horizontal="justify" vertical="top" wrapText="1" readingOrder="1"/>
      <protection locked="0"/>
    </xf>
    <xf numFmtId="0" fontId="39" fillId="0" borderId="0" xfId="29735" applyBorder="1" applyAlignment="1" applyProtection="1">
      <alignment horizontal="justify" vertical="top" wrapText="1"/>
      <protection locked="0"/>
    </xf>
    <xf numFmtId="0" fontId="18" fillId="0" borderId="0" xfId="29735" applyFont="1" applyAlignment="1" applyProtection="1">
      <alignment horizontal="justify" vertical="top" wrapText="1" readingOrder="1"/>
      <protection locked="0"/>
    </xf>
    <xf numFmtId="0" fontId="39" fillId="0" borderId="0" xfId="29735" applyAlignment="1">
      <alignment horizontal="justify" readingOrder="1"/>
    </xf>
    <xf numFmtId="0" fontId="19" fillId="0" borderId="0" xfId="29735" applyFont="1" applyAlignment="1" applyProtection="1">
      <alignment vertical="top" wrapText="1" readingOrder="1"/>
      <protection locked="0"/>
    </xf>
    <xf numFmtId="0" fontId="39" fillId="0" borderId="0" xfId="29735"/>
    <xf numFmtId="0" fontId="19" fillId="0" borderId="0" xfId="29735" applyFont="1" applyBorder="1" applyAlignment="1" applyProtection="1">
      <alignment vertical="top" wrapText="1" readingOrder="1"/>
      <protection locked="0"/>
    </xf>
    <xf numFmtId="0" fontId="39" fillId="0" borderId="0" xfId="29735" applyBorder="1"/>
    <xf numFmtId="0" fontId="18" fillId="0" borderId="0" xfId="29735" applyFont="1" applyBorder="1" applyAlignment="1" applyProtection="1">
      <alignment horizontal="justify" vertical="top" wrapText="1" readingOrder="1"/>
      <protection locked="0"/>
    </xf>
    <xf numFmtId="0" fontId="39" fillId="0" borderId="0" xfId="29735" applyAlignment="1">
      <alignment horizontal="justify"/>
    </xf>
    <xf numFmtId="0" fontId="18" fillId="0" borderId="0" xfId="29735" applyFont="1" applyFill="1" applyBorder="1" applyAlignment="1" applyProtection="1">
      <alignment horizontal="justify" vertical="top" wrapText="1" readingOrder="1"/>
      <protection locked="0"/>
    </xf>
    <xf numFmtId="0" fontId="39" fillId="0" borderId="0" xfId="29735" applyFill="1" applyBorder="1" applyAlignment="1" applyProtection="1">
      <alignment horizontal="justify" vertical="top" wrapText="1"/>
      <protection locked="0"/>
    </xf>
    <xf numFmtId="0" fontId="18" fillId="0" borderId="0" xfId="29735" applyFont="1" applyFill="1" applyAlignment="1" applyProtection="1">
      <alignment horizontal="justify" vertical="top" wrapText="1" readingOrder="1"/>
      <protection locked="0"/>
    </xf>
    <xf numFmtId="0" fontId="39" fillId="0" borderId="0" xfId="29735" applyFill="1" applyAlignment="1">
      <alignment horizontal="justify"/>
    </xf>
    <xf numFmtId="0" fontId="18" fillId="0" borderId="3" xfId="29735" applyFont="1" applyBorder="1" applyAlignment="1" applyProtection="1">
      <alignment horizontal="center" vertical="center" wrapText="1" readingOrder="1"/>
      <protection locked="0"/>
    </xf>
    <xf numFmtId="0" fontId="18" fillId="0" borderId="3" xfId="29735" applyFont="1" applyBorder="1" applyAlignment="1" applyProtection="1">
      <alignment horizontal="center" vertical="top" wrapText="1" readingOrder="1"/>
      <protection locked="0"/>
    </xf>
    <xf numFmtId="0" fontId="39" fillId="0" borderId="3" xfId="29735" applyBorder="1" applyAlignment="1" applyProtection="1">
      <alignment vertical="top" wrapText="1"/>
      <protection locked="0"/>
    </xf>
    <xf numFmtId="0" fontId="5" fillId="0" borderId="0" xfId="7" applyFont="1" applyFill="1" applyBorder="1" applyAlignment="1">
      <alignment horizontal="left" wrapText="1"/>
    </xf>
    <xf numFmtId="0" fontId="6" fillId="0" borderId="15" xfId="7" applyFont="1" applyFill="1" applyBorder="1" applyAlignment="1" applyProtection="1">
      <alignment horizontal="justify" vertical="justify" readingOrder="1"/>
      <protection locked="0"/>
    </xf>
    <xf numFmtId="0" fontId="6" fillId="0" borderId="0" xfId="7" applyFont="1" applyFill="1" applyBorder="1" applyAlignment="1" applyProtection="1">
      <alignment horizontal="justify" vertical="justify" readingOrder="1"/>
      <protection locked="0"/>
    </xf>
    <xf numFmtId="0" fontId="5" fillId="0" borderId="23" xfId="7" applyFont="1" applyBorder="1" applyAlignment="1" applyProtection="1">
      <alignment vertical="top" wrapText="1"/>
      <protection locked="0"/>
    </xf>
    <xf numFmtId="0" fontId="4" fillId="0" borderId="0" xfId="7" applyFill="1" applyAlignment="1">
      <alignment horizontal="justify"/>
    </xf>
    <xf numFmtId="0" fontId="19" fillId="0" borderId="0" xfId="7" applyFont="1" applyFill="1" applyAlignment="1" applyProtection="1">
      <alignment vertical="top" wrapText="1" readingOrder="1"/>
      <protection locked="0"/>
    </xf>
    <xf numFmtId="0" fontId="4" fillId="0" borderId="0" xfId="7" applyFill="1"/>
    <xf numFmtId="0" fontId="18" fillId="0" borderId="67" xfId="7" applyFont="1" applyFill="1" applyBorder="1" applyAlignment="1" applyProtection="1">
      <alignment horizontal="center" vertical="center" wrapText="1" readingOrder="1"/>
      <protection locked="0"/>
    </xf>
    <xf numFmtId="0" fontId="18" fillId="0" borderId="59" xfId="7" applyFont="1" applyFill="1" applyBorder="1" applyAlignment="1" applyProtection="1">
      <alignment horizontal="center" vertical="center" wrapText="1" readingOrder="1"/>
      <protection locked="0"/>
    </xf>
    <xf numFmtId="0" fontId="4" fillId="0" borderId="3" xfId="7" applyFill="1" applyBorder="1" applyAlignment="1" applyProtection="1">
      <alignment vertical="center" wrapText="1"/>
      <protection locked="0"/>
    </xf>
    <xf numFmtId="0" fontId="58" fillId="0" borderId="3" xfId="7" applyFont="1" applyFill="1" applyBorder="1" applyAlignment="1" applyProtection="1">
      <alignment horizontal="center" vertical="center" wrapText="1" readingOrder="1"/>
      <protection locked="0"/>
    </xf>
    <xf numFmtId="0" fontId="18" fillId="0" borderId="0" xfId="7" quotePrefix="1" applyFont="1" applyFill="1" applyBorder="1" applyAlignment="1" applyProtection="1">
      <alignment horizontal="justify" vertical="top" wrapText="1" readingOrder="1"/>
      <protection locked="0"/>
    </xf>
    <xf numFmtId="0" fontId="18" fillId="0" borderId="31" xfId="7" applyFont="1" applyFill="1" applyBorder="1" applyAlignment="1" applyProtection="1">
      <alignment horizontal="center" vertical="center" wrapText="1" readingOrder="1"/>
      <protection locked="0"/>
    </xf>
    <xf numFmtId="0" fontId="4" fillId="0" borderId="33" xfId="7" applyFill="1" applyBorder="1" applyAlignment="1" applyProtection="1">
      <alignment vertical="center" wrapText="1"/>
      <protection locked="0"/>
    </xf>
    <xf numFmtId="0" fontId="5" fillId="0" borderId="0" xfId="36417" applyFont="1" applyBorder="1" applyAlignment="1">
      <alignment horizontal="justify"/>
    </xf>
    <xf numFmtId="0" fontId="6" fillId="0" borderId="0" xfId="36417" applyFont="1" applyBorder="1" applyAlignment="1">
      <alignment horizontal="justify" wrapText="1"/>
    </xf>
    <xf numFmtId="0" fontId="6" fillId="0" borderId="42" xfId="36417" applyFont="1" applyBorder="1" applyAlignment="1">
      <alignment horizontal="center"/>
    </xf>
    <xf numFmtId="0" fontId="6" fillId="0" borderId="67" xfId="36417" applyFont="1" applyBorder="1" applyAlignment="1">
      <alignment horizontal="center" vertical="center" wrapText="1"/>
    </xf>
    <xf numFmtId="0" fontId="6" fillId="0" borderId="0" xfId="36417" applyFont="1" applyFill="1" applyBorder="1" applyAlignment="1">
      <alignment horizontal="center"/>
    </xf>
    <xf numFmtId="0" fontId="6" fillId="0" borderId="0" xfId="36417" applyFont="1" applyFill="1" applyBorder="1" applyAlignment="1">
      <alignment horizontal="justify"/>
    </xf>
    <xf numFmtId="0" fontId="6" fillId="0" borderId="3" xfId="36417" applyFont="1" applyBorder="1" applyAlignment="1">
      <alignment horizontal="center"/>
    </xf>
    <xf numFmtId="0" fontId="6" fillId="0" borderId="3" xfId="7" applyFont="1" applyBorder="1" applyAlignment="1" applyProtection="1">
      <alignment horizontal="center" vertical="center" wrapText="1" readingOrder="1"/>
      <protection locked="0"/>
    </xf>
    <xf numFmtId="0" fontId="6" fillId="0" borderId="3" xfId="7" applyFont="1" applyBorder="1" applyAlignment="1" applyProtection="1">
      <alignment horizontal="center" vertical="top" wrapText="1" readingOrder="1"/>
      <protection locked="0"/>
    </xf>
    <xf numFmtId="0" fontId="6" fillId="0" borderId="3" xfId="29313" applyFont="1" applyFill="1" applyBorder="1" applyAlignment="1">
      <alignment horizontal="center" vertical="center"/>
    </xf>
    <xf numFmtId="0" fontId="19" fillId="0" borderId="0" xfId="7" applyFont="1" applyBorder="1" applyAlignment="1" applyProtection="1">
      <alignment horizontal="left" readingOrder="1"/>
      <protection locked="0"/>
    </xf>
    <xf numFmtId="0" fontId="18" fillId="0" borderId="15" xfId="7" applyFont="1" applyFill="1" applyBorder="1" applyAlignment="1" applyProtection="1">
      <alignment horizontal="justify" vertical="justify" readingOrder="1"/>
      <protection locked="0"/>
    </xf>
    <xf numFmtId="0" fontId="18" fillId="0" borderId="0" xfId="7" applyFont="1" applyFill="1" applyBorder="1" applyAlignment="1" applyProtection="1">
      <alignment horizontal="justify" vertical="justify" readingOrder="1"/>
      <protection locked="0"/>
    </xf>
    <xf numFmtId="0" fontId="6" fillId="0" borderId="15" xfId="7" applyFont="1" applyFill="1" applyBorder="1" applyAlignment="1" applyProtection="1">
      <alignment horizontal="justify" vertical="justify" wrapText="1" readingOrder="1"/>
      <protection locked="0"/>
    </xf>
    <xf numFmtId="49" fontId="5" fillId="0" borderId="0" xfId="7" applyNumberFormat="1" applyFont="1" applyFill="1" applyBorder="1" applyAlignment="1">
      <alignment horizontal="left" vertical="center" wrapText="1"/>
    </xf>
    <xf numFmtId="0" fontId="6" fillId="0" borderId="67" xfId="36417" applyFont="1" applyFill="1" applyBorder="1" applyAlignment="1">
      <alignment horizontal="center" vertical="center" wrapText="1"/>
    </xf>
    <xf numFmtId="0" fontId="6" fillId="0" borderId="34" xfId="36417" applyFont="1" applyFill="1" applyBorder="1" applyAlignment="1">
      <alignment horizontal="center" vertical="center" wrapText="1"/>
    </xf>
    <xf numFmtId="0" fontId="6" fillId="0" borderId="31" xfId="36417" applyFont="1" applyFill="1" applyBorder="1" applyAlignment="1">
      <alignment horizontal="center" vertical="center"/>
    </xf>
    <xf numFmtId="0" fontId="6" fillId="0" borderId="33" xfId="36417" applyFont="1" applyFill="1" applyBorder="1" applyAlignment="1">
      <alignment horizontal="center" vertical="center"/>
    </xf>
    <xf numFmtId="0" fontId="18" fillId="0" borderId="68" xfId="7" applyFont="1" applyBorder="1" applyAlignment="1" applyProtection="1">
      <alignment horizontal="center" vertical="top" wrapText="1" readingOrder="1"/>
      <protection locked="0"/>
    </xf>
    <xf numFmtId="0" fontId="9" fillId="0" borderId="69" xfId="7" applyFont="1" applyBorder="1" applyAlignment="1" applyProtection="1">
      <alignment vertical="top" wrapText="1"/>
      <protection locked="0"/>
    </xf>
    <xf numFmtId="49" fontId="5" fillId="0" borderId="0" xfId="7" applyNumberFormat="1" applyFont="1" applyFill="1" applyBorder="1" applyAlignment="1">
      <alignment horizontal="left"/>
    </xf>
    <xf numFmtId="0" fontId="5" fillId="0" borderId="0" xfId="7" applyFont="1" applyBorder="1" applyAlignment="1">
      <alignment horizontal="left"/>
    </xf>
    <xf numFmtId="0" fontId="5" fillId="0" borderId="0" xfId="7" applyFont="1" applyFill="1" applyBorder="1" applyAlignment="1">
      <alignment horizontal="left" vertical="center" wrapText="1"/>
    </xf>
    <xf numFmtId="0" fontId="6" fillId="0" borderId="15" xfId="7" applyFont="1" applyFill="1" applyBorder="1" applyAlignment="1" applyProtection="1">
      <alignment horizontal="justify" vertical="top" wrapText="1" readingOrder="1"/>
      <protection locked="0"/>
    </xf>
    <xf numFmtId="0" fontId="6" fillId="0" borderId="6" xfId="7" applyFont="1" applyBorder="1" applyAlignment="1" applyProtection="1">
      <alignment horizontal="center" vertical="center" wrapText="1" readingOrder="1"/>
      <protection locked="0"/>
    </xf>
    <xf numFmtId="0" fontId="6" fillId="0" borderId="34" xfId="7" applyFont="1" applyBorder="1" applyAlignment="1" applyProtection="1">
      <alignment horizontal="center" vertical="center" wrapText="1" readingOrder="1"/>
      <protection locked="0"/>
    </xf>
    <xf numFmtId="0" fontId="5" fillId="0" borderId="0" xfId="7" applyFont="1" applyBorder="1" applyAlignment="1">
      <alignment horizontal="left" wrapText="1"/>
    </xf>
    <xf numFmtId="0" fontId="6" fillId="0" borderId="0" xfId="7" applyFont="1" applyFill="1" applyAlignment="1">
      <alignment horizontal="left"/>
    </xf>
    <xf numFmtId="0" fontId="6" fillId="0" borderId="3" xfId="7" applyFont="1" applyFill="1" applyBorder="1" applyAlignment="1">
      <alignment horizontal="center" vertical="center" wrapText="1"/>
    </xf>
    <xf numFmtId="0" fontId="6" fillId="0" borderId="0" xfId="36417" applyNumberFormat="1" applyFont="1" applyBorder="1" applyAlignment="1">
      <alignment horizontal="justify" wrapText="1"/>
    </xf>
    <xf numFmtId="0" fontId="4" fillId="0" borderId="42" xfId="8055" applyFont="1" applyBorder="1" applyAlignment="1">
      <alignment horizontal="center"/>
    </xf>
    <xf numFmtId="0" fontId="6" fillId="0" borderId="61" xfId="36417" applyFont="1" applyBorder="1" applyAlignment="1">
      <alignment horizontal="center" vertical="center"/>
    </xf>
    <xf numFmtId="0" fontId="6" fillId="0" borderId="34" xfId="36417" applyFont="1" applyBorder="1" applyAlignment="1">
      <alignment horizontal="center" vertical="center"/>
    </xf>
    <xf numFmtId="0" fontId="6" fillId="0" borderId="3" xfId="8055" applyFont="1" applyBorder="1" applyAlignment="1">
      <alignment horizontal="center"/>
    </xf>
    <xf numFmtId="0" fontId="6" fillId="0" borderId="0" xfId="36417" applyFont="1" applyBorder="1" applyAlignment="1">
      <alignment horizontal="left"/>
    </xf>
    <xf numFmtId="0" fontId="5" fillId="0" borderId="0" xfId="6" applyFont="1" applyFill="1" applyBorder="1" applyAlignment="1">
      <alignment horizontal="left"/>
    </xf>
    <xf numFmtId="0" fontId="6" fillId="0" borderId="0" xfId="6" applyFont="1" applyAlignment="1">
      <alignment horizontal="justify" vertical="center" wrapText="1"/>
    </xf>
    <xf numFmtId="0" fontId="5" fillId="0" borderId="42" xfId="6" applyFont="1" applyBorder="1" applyAlignment="1">
      <alignment horizontal="left"/>
    </xf>
    <xf numFmtId="3" fontId="5" fillId="0" borderId="0" xfId="6" applyNumberFormat="1" applyFont="1" applyAlignment="1" applyProtection="1">
      <alignment horizontal="left" vertical="center"/>
      <protection locked="0"/>
    </xf>
    <xf numFmtId="0" fontId="5" fillId="0" borderId="0" xfId="6" applyFont="1" applyFill="1" applyBorder="1" applyAlignment="1">
      <alignment horizontal="justify" vertical="top" wrapText="1" readingOrder="1"/>
    </xf>
    <xf numFmtId="0" fontId="5" fillId="0" borderId="0" xfId="6" applyFont="1" applyBorder="1" applyAlignment="1">
      <alignment horizontal="left"/>
    </xf>
    <xf numFmtId="0" fontId="5" fillId="0" borderId="0" xfId="6" applyFont="1" applyBorder="1" applyAlignment="1">
      <alignment horizontal="justify"/>
    </xf>
    <xf numFmtId="0" fontId="5" fillId="0" borderId="0" xfId="6" applyFont="1" applyFill="1" applyBorder="1" applyAlignment="1">
      <alignment horizontal="justify"/>
    </xf>
    <xf numFmtId="0" fontId="6" fillId="0" borderId="0" xfId="6" applyFont="1" applyAlignment="1">
      <alignment horizontal="justify" wrapText="1"/>
    </xf>
    <xf numFmtId="0" fontId="6" fillId="0" borderId="42" xfId="6" applyFont="1" applyBorder="1" applyAlignment="1">
      <alignment horizontal="left"/>
    </xf>
    <xf numFmtId="0" fontId="5" fillId="0" borderId="0" xfId="6" applyFont="1" applyAlignment="1">
      <alignment horizontal="left"/>
    </xf>
    <xf numFmtId="0" fontId="6" fillId="0" borderId="0" xfId="6" applyNumberFormat="1" applyFont="1" applyAlignment="1">
      <alignment horizontal="justify" wrapText="1"/>
    </xf>
    <xf numFmtId="0" fontId="5" fillId="0" borderId="0" xfId="6" applyNumberFormat="1" applyFont="1" applyAlignment="1">
      <alignment horizontal="justify" wrapText="1"/>
    </xf>
    <xf numFmtId="0" fontId="5" fillId="0" borderId="0" xfId="6" applyFont="1" applyFill="1" applyBorder="1" applyAlignment="1">
      <alignment horizontal="justify" wrapText="1"/>
    </xf>
    <xf numFmtId="0" fontId="5" fillId="0" borderId="0" xfId="6" applyFont="1" applyFill="1" applyBorder="1" applyAlignment="1">
      <alignment horizontal="left" wrapText="1"/>
    </xf>
    <xf numFmtId="0" fontId="5" fillId="0" borderId="0" xfId="6" applyFont="1" applyBorder="1" applyAlignment="1">
      <alignment horizontal="left" vertical="top" wrapText="1"/>
    </xf>
    <xf numFmtId="0" fontId="5" fillId="0" borderId="0" xfId="6" applyFont="1" applyFill="1" applyBorder="1" applyAlignment="1">
      <alignment horizontal="left" vertical="top"/>
    </xf>
    <xf numFmtId="0" fontId="5" fillId="0" borderId="42" xfId="6" applyFont="1" applyFill="1" applyBorder="1" applyAlignment="1">
      <alignment horizontal="left"/>
    </xf>
    <xf numFmtId="0" fontId="6" fillId="0" borderId="3" xfId="6" applyFont="1" applyFill="1" applyBorder="1" applyAlignment="1">
      <alignment horizontal="center" vertical="center" wrapText="1"/>
    </xf>
    <xf numFmtId="0" fontId="5" fillId="0" borderId="0" xfId="6" applyFont="1" applyFill="1" applyAlignment="1">
      <alignment horizontal="justify" wrapText="1"/>
    </xf>
    <xf numFmtId="0" fontId="6" fillId="0" borderId="61" xfId="6" applyFont="1" applyBorder="1" applyAlignment="1">
      <alignment horizontal="center" vertical="center"/>
    </xf>
    <xf numFmtId="0" fontId="6" fillId="0" borderId="34" xfId="6" applyFont="1" applyBorder="1" applyAlignment="1">
      <alignment horizontal="center" vertical="center"/>
    </xf>
    <xf numFmtId="0" fontId="5" fillId="0" borderId="0" xfId="6" applyNumberFormat="1" applyFont="1" applyFill="1" applyBorder="1" applyAlignment="1">
      <alignment horizontal="justify" wrapText="1"/>
    </xf>
    <xf numFmtId="0" fontId="6" fillId="0" borderId="0" xfId="6" applyFont="1" applyAlignment="1">
      <alignment horizontal="justify" vertical="top" wrapText="1"/>
    </xf>
    <xf numFmtId="0" fontId="6" fillId="0" borderId="42" xfId="6" applyFont="1" applyBorder="1" applyAlignment="1">
      <alignment horizontal="left" vertical="center" wrapText="1"/>
    </xf>
    <xf numFmtId="0" fontId="5" fillId="0" borderId="0" xfId="6" applyFont="1" applyBorder="1" applyAlignment="1">
      <alignment horizontal="left" wrapText="1"/>
    </xf>
    <xf numFmtId="0" fontId="5" fillId="0" borderId="0" xfId="6" applyFont="1" applyBorder="1" applyAlignment="1">
      <alignment horizontal="justify" vertical="top" wrapText="1"/>
    </xf>
    <xf numFmtId="0" fontId="5" fillId="0" borderId="0" xfId="6" applyNumberFormat="1" applyFont="1" applyFill="1" applyAlignment="1">
      <alignment horizontal="justify"/>
    </xf>
    <xf numFmtId="0" fontId="5" fillId="0" borderId="0" xfId="11" applyFont="1" applyAlignment="1">
      <alignment horizontal="left"/>
    </xf>
    <xf numFmtId="0" fontId="6" fillId="0" borderId="0" xfId="6" applyFont="1" applyAlignment="1">
      <alignment horizontal="left" wrapText="1"/>
    </xf>
    <xf numFmtId="0" fontId="5" fillId="0" borderId="0" xfId="6" applyFont="1" applyAlignment="1">
      <alignment horizontal="left" vertical="top"/>
    </xf>
    <xf numFmtId="0" fontId="5" fillId="0" borderId="0" xfId="6" applyFont="1" applyAlignment="1">
      <alignment horizontal="left" wrapText="1"/>
    </xf>
    <xf numFmtId="0" fontId="6" fillId="0" borderId="61" xfId="6" applyFont="1" applyFill="1" applyBorder="1" applyAlignment="1">
      <alignment horizontal="center" vertical="center" wrapText="1"/>
    </xf>
    <xf numFmtId="0" fontId="6" fillId="0" borderId="34" xfId="6" applyFont="1" applyFill="1" applyBorder="1" applyAlignment="1">
      <alignment horizontal="center" vertical="center" wrapText="1"/>
    </xf>
    <xf numFmtId="0" fontId="6" fillId="0" borderId="31" xfId="6" applyFont="1" applyFill="1" applyBorder="1" applyAlignment="1">
      <alignment horizontal="center" vertical="center"/>
    </xf>
    <xf numFmtId="0" fontId="6" fillId="0" borderId="32" xfId="6" applyFont="1" applyFill="1" applyBorder="1" applyAlignment="1">
      <alignment horizontal="center" vertical="center"/>
    </xf>
    <xf numFmtId="0" fontId="6" fillId="0" borderId="33" xfId="6" applyFont="1" applyFill="1" applyBorder="1" applyAlignment="1">
      <alignment horizontal="center" vertical="center"/>
    </xf>
    <xf numFmtId="0" fontId="9" fillId="0" borderId="0" xfId="11" applyFont="1" applyAlignment="1">
      <alignment horizontal="center" wrapText="1"/>
    </xf>
    <xf numFmtId="0" fontId="5" fillId="0" borderId="0" xfId="6" applyNumberFormat="1" applyFont="1" applyBorder="1" applyAlignment="1">
      <alignment horizontal="justify" wrapText="1"/>
    </xf>
    <xf numFmtId="0" fontId="5" fillId="0" borderId="0" xfId="6" applyFont="1" applyAlignment="1">
      <alignment horizontal="justify" vertical="center"/>
    </xf>
    <xf numFmtId="0" fontId="6" fillId="0" borderId="0" xfId="6" applyFont="1" applyAlignment="1">
      <alignment horizontal="justify" vertical="top"/>
    </xf>
    <xf numFmtId="0" fontId="6" fillId="0" borderId="0" xfId="6" applyFont="1" applyFill="1" applyAlignment="1">
      <alignment horizontal="left" vertical="top"/>
    </xf>
    <xf numFmtId="0" fontId="5" fillId="0" borderId="0" xfId="6" applyFont="1" applyBorder="1" applyAlignment="1">
      <alignment horizontal="justify" vertical="center"/>
    </xf>
    <xf numFmtId="0" fontId="5" fillId="0" borderId="0" xfId="6" applyFont="1" applyFill="1" applyBorder="1" applyAlignment="1">
      <alignment horizontal="left" vertical="top" wrapText="1"/>
    </xf>
    <xf numFmtId="0" fontId="6" fillId="0" borderId="0" xfId="6" applyFont="1" applyAlignment="1">
      <alignment horizontal="left" vertical="center" wrapText="1"/>
    </xf>
    <xf numFmtId="0" fontId="6" fillId="0" borderId="42" xfId="6" applyFont="1" applyBorder="1" applyAlignment="1">
      <alignment horizontal="left" wrapText="1"/>
    </xf>
    <xf numFmtId="0" fontId="5" fillId="0" borderId="0" xfId="6" applyFont="1" applyBorder="1" applyAlignment="1">
      <alignment horizontal="left" vertical="center"/>
    </xf>
    <xf numFmtId="0" fontId="5" fillId="0" borderId="0" xfId="6" applyFont="1" applyFill="1" applyAlignment="1">
      <alignment horizontal="left" wrapText="1"/>
    </xf>
    <xf numFmtId="0" fontId="5" fillId="0" borderId="0" xfId="6" applyFont="1" applyAlignment="1">
      <alignment horizontal="left" vertical="center"/>
    </xf>
    <xf numFmtId="0" fontId="5" fillId="0" borderId="0" xfId="6" applyFont="1" applyFill="1" applyAlignment="1">
      <alignment horizontal="justify" vertical="top" wrapText="1"/>
    </xf>
    <xf numFmtId="0" fontId="5" fillId="0" borderId="0" xfId="6" applyFont="1" applyFill="1" applyBorder="1" applyAlignment="1">
      <alignment horizontal="justify" vertical="top" wrapText="1"/>
    </xf>
    <xf numFmtId="0" fontId="5" fillId="0" borderId="42" xfId="6" applyFont="1" applyBorder="1" applyAlignment="1">
      <alignment horizontal="left" vertical="top"/>
    </xf>
    <xf numFmtId="3" fontId="5" fillId="0" borderId="0" xfId="6" applyNumberFormat="1" applyFont="1" applyAlignment="1" applyProtection="1">
      <alignment horizontal="center" vertical="center"/>
      <protection locked="0"/>
    </xf>
    <xf numFmtId="3" fontId="5" fillId="0" borderId="0" xfId="6" applyNumberFormat="1" applyFont="1" applyFill="1" applyAlignment="1" applyProtection="1">
      <alignment horizontal="justify" vertical="top"/>
      <protection locked="0"/>
    </xf>
    <xf numFmtId="0" fontId="8" fillId="0" borderId="0" xfId="11" applyFont="1" applyAlignment="1">
      <alignment horizontal="justify" vertical="top" wrapText="1"/>
    </xf>
    <xf numFmtId="0" fontId="5" fillId="0" borderId="0" xfId="6" applyFont="1" applyAlignment="1">
      <alignment horizontal="justify" vertical="top" wrapText="1"/>
    </xf>
    <xf numFmtId="0" fontId="5" fillId="0" borderId="0" xfId="6" applyFont="1" applyFill="1" applyAlignment="1">
      <alignment horizontal="justify" vertical="center" wrapText="1"/>
    </xf>
    <xf numFmtId="0" fontId="5" fillId="0" borderId="0" xfId="6" applyFont="1" applyFill="1" applyAlignment="1">
      <alignment horizontal="left" vertical="center" wrapText="1"/>
    </xf>
    <xf numFmtId="0" fontId="6" fillId="0" borderId="61" xfId="6" applyFont="1" applyFill="1" applyBorder="1" applyAlignment="1">
      <alignment horizontal="center" vertical="center"/>
    </xf>
    <xf numFmtId="0" fontId="6" fillId="0" borderId="34" xfId="6" applyFont="1" applyFill="1" applyBorder="1" applyAlignment="1">
      <alignment horizontal="center" vertical="center"/>
    </xf>
    <xf numFmtId="0" fontId="6" fillId="0" borderId="0" xfId="8055" applyFont="1" applyBorder="1" applyAlignment="1">
      <alignment horizontal="justify" wrapText="1"/>
    </xf>
    <xf numFmtId="0" fontId="6" fillId="0" borderId="61" xfId="8055" applyFont="1" applyFill="1" applyBorder="1" applyAlignment="1">
      <alignment horizontal="center" vertical="center" wrapText="1"/>
    </xf>
    <xf numFmtId="0" fontId="6" fillId="0" borderId="34" xfId="8055" applyFont="1" applyFill="1" applyBorder="1" applyAlignment="1">
      <alignment horizontal="center" vertical="center" wrapText="1"/>
    </xf>
    <xf numFmtId="0" fontId="6" fillId="0" borderId="61" xfId="8055" applyFont="1" applyBorder="1" applyAlignment="1">
      <alignment horizontal="center" vertical="center"/>
    </xf>
    <xf numFmtId="0" fontId="6" fillId="0" borderId="34" xfId="8055" applyFont="1" applyBorder="1" applyAlignment="1">
      <alignment horizontal="center" vertical="center"/>
    </xf>
    <xf numFmtId="0" fontId="5" fillId="0" borderId="0" xfId="8055" applyFont="1" applyFill="1" applyBorder="1" applyAlignment="1">
      <alignment horizontal="justify" vertical="top" wrapText="1"/>
    </xf>
    <xf numFmtId="0" fontId="18" fillId="0" borderId="70" xfId="29735" applyFont="1" applyBorder="1" applyAlignment="1" applyProtection="1">
      <alignment horizontal="center" vertical="center" wrapText="1" readingOrder="1"/>
      <protection locked="0"/>
    </xf>
    <xf numFmtId="0" fontId="18" fillId="0" borderId="45" xfId="29735" applyFont="1" applyBorder="1" applyAlignment="1" applyProtection="1">
      <alignment horizontal="center" vertical="center" wrapText="1" readingOrder="1"/>
      <protection locked="0"/>
    </xf>
    <xf numFmtId="0" fontId="18" fillId="0" borderId="36" xfId="29735" applyFont="1" applyBorder="1" applyAlignment="1" applyProtection="1">
      <alignment horizontal="center" vertical="center" wrapText="1" readingOrder="1"/>
      <protection locked="0"/>
    </xf>
    <xf numFmtId="0" fontId="18" fillId="0" borderId="71" xfId="29735" applyFont="1" applyBorder="1" applyAlignment="1" applyProtection="1">
      <alignment horizontal="center" vertical="top" wrapText="1" readingOrder="1"/>
      <protection locked="0"/>
    </xf>
    <xf numFmtId="0" fontId="39" fillId="0" borderId="72" xfId="29735" applyBorder="1" applyAlignment="1" applyProtection="1">
      <alignment vertical="top" wrapText="1"/>
      <protection locked="0"/>
    </xf>
    <xf numFmtId="0" fontId="39" fillId="0" borderId="73" xfId="29735" applyBorder="1" applyAlignment="1" applyProtection="1">
      <alignment vertical="top" wrapText="1"/>
      <protection locked="0"/>
    </xf>
    <xf numFmtId="0" fontId="19" fillId="0" borderId="0" xfId="29735" applyFont="1" applyBorder="1" applyAlignment="1" applyProtection="1">
      <alignment horizontal="justify" vertical="top" readingOrder="1"/>
      <protection locked="0"/>
    </xf>
    <xf numFmtId="2" fontId="6" fillId="0" borderId="0" xfId="29735" applyNumberFormat="1" applyFont="1" applyFill="1" applyAlignment="1">
      <alignment horizontal="justify" vertical="justify" wrapText="1"/>
    </xf>
    <xf numFmtId="0" fontId="18" fillId="0" borderId="70" xfId="29735" applyFont="1" applyFill="1" applyBorder="1" applyAlignment="1" applyProtection="1">
      <alignment horizontal="center" vertical="center" wrapText="1" readingOrder="1"/>
      <protection locked="0"/>
    </xf>
    <xf numFmtId="0" fontId="18" fillId="0" borderId="66" xfId="29735" applyFont="1" applyFill="1" applyBorder="1" applyAlignment="1" applyProtection="1">
      <alignment horizontal="center" vertical="center" wrapText="1" readingOrder="1"/>
      <protection locked="0"/>
    </xf>
    <xf numFmtId="0" fontId="18" fillId="0" borderId="70" xfId="29735" applyFont="1" applyFill="1" applyBorder="1" applyAlignment="1" applyProtection="1">
      <alignment horizontal="center" vertical="top" wrapText="1" readingOrder="1"/>
      <protection locked="0"/>
    </xf>
    <xf numFmtId="0" fontId="5" fillId="0" borderId="75" xfId="29735" applyFont="1" applyFill="1" applyBorder="1" applyAlignment="1" applyProtection="1">
      <alignment vertical="top" wrapText="1"/>
      <protection locked="0"/>
    </xf>
    <xf numFmtId="0" fontId="19" fillId="0" borderId="0" xfId="29735" applyFont="1" applyFill="1" applyBorder="1" applyAlignment="1" applyProtection="1">
      <alignment vertical="top" wrapText="1" readingOrder="1"/>
      <protection locked="0"/>
    </xf>
    <xf numFmtId="0" fontId="5" fillId="0" borderId="0" xfId="29735" applyFont="1" applyFill="1" applyBorder="1" applyAlignment="1" applyProtection="1">
      <alignment vertical="top" wrapText="1"/>
      <protection locked="0"/>
    </xf>
    <xf numFmtId="0" fontId="19" fillId="0" borderId="82" xfId="29735" applyFont="1" applyBorder="1" applyAlignment="1" applyProtection="1">
      <alignment horizontal="left" vertical="top" wrapText="1" readingOrder="1"/>
      <protection locked="0"/>
    </xf>
    <xf numFmtId="0" fontId="5" fillId="0" borderId="0" xfId="29735" applyFont="1" applyBorder="1" applyAlignment="1" applyProtection="1">
      <alignment vertical="top" wrapText="1"/>
      <protection locked="0"/>
    </xf>
    <xf numFmtId="0" fontId="18" fillId="0" borderId="15" xfId="29735" applyFont="1" applyBorder="1" applyAlignment="1" applyProtection="1">
      <alignment horizontal="justify" vertical="justify" readingOrder="1"/>
      <protection locked="0"/>
    </xf>
    <xf numFmtId="0" fontId="18" fillId="0" borderId="0" xfId="29735" applyFont="1" applyBorder="1" applyAlignment="1" applyProtection="1">
      <alignment horizontal="justify" vertical="justify" readingOrder="1"/>
      <protection locked="0"/>
    </xf>
    <xf numFmtId="0" fontId="18" fillId="0" borderId="76" xfId="29735" applyFont="1" applyBorder="1" applyAlignment="1" applyProtection="1">
      <alignment horizontal="left" vertical="top" wrapText="1" readingOrder="1"/>
      <protection locked="0"/>
    </xf>
    <xf numFmtId="0" fontId="18" fillId="0" borderId="80" xfId="29735" applyFont="1" applyBorder="1" applyAlignment="1" applyProtection="1">
      <alignment horizontal="left" vertical="top" wrapText="1" readingOrder="1"/>
      <protection locked="0"/>
    </xf>
    <xf numFmtId="0" fontId="6" fillId="0" borderId="77" xfId="29735" applyFont="1" applyBorder="1" applyAlignment="1">
      <alignment horizontal="center" vertical="center" wrapText="1"/>
    </xf>
    <xf numFmtId="0" fontId="18" fillId="0" borderId="78" xfId="29735" applyFont="1" applyBorder="1" applyAlignment="1" applyProtection="1">
      <alignment horizontal="center" vertical="top" wrapText="1" readingOrder="1"/>
      <protection locked="0"/>
    </xf>
    <xf numFmtId="0" fontId="5" fillId="0" borderId="79" xfId="29735" applyFont="1" applyBorder="1" applyAlignment="1" applyProtection="1">
      <alignment vertical="top" wrapText="1"/>
      <protection locked="0"/>
    </xf>
    <xf numFmtId="2" fontId="6" fillId="0" borderId="0" xfId="7" applyNumberFormat="1" applyFont="1" applyAlignment="1">
      <alignment horizontal="justify" vertical="justify" wrapText="1"/>
    </xf>
    <xf numFmtId="0" fontId="5" fillId="0" borderId="0" xfId="7" applyFont="1" applyFill="1" applyBorder="1" applyAlignment="1">
      <alignment horizontal="justify" vertical="justify" wrapText="1"/>
    </xf>
    <xf numFmtId="0" fontId="9" fillId="0" borderId="0" xfId="36428" applyFont="1" applyFill="1" applyBorder="1" applyAlignment="1">
      <alignment horizontal="justify" vertical="top"/>
    </xf>
    <xf numFmtId="0" fontId="6" fillId="0" borderId="0" xfId="36428" applyFont="1" applyFill="1" applyBorder="1" applyAlignment="1">
      <alignment horizontal="justify" wrapText="1"/>
    </xf>
    <xf numFmtId="0" fontId="9" fillId="0" borderId="0" xfId="36428" applyFont="1" applyFill="1" applyBorder="1" applyAlignment="1">
      <alignment horizontal="justify" vertical="top" wrapText="1"/>
    </xf>
    <xf numFmtId="0" fontId="5" fillId="0" borderId="0" xfId="36428" applyFont="1" applyFill="1" applyBorder="1" applyAlignment="1">
      <alignment horizontal="justify" vertical="top"/>
    </xf>
    <xf numFmtId="0" fontId="8" fillId="0" borderId="0" xfId="36428" applyFont="1" applyAlignment="1">
      <alignment horizontal="justify" wrapText="1"/>
    </xf>
    <xf numFmtId="0" fontId="6" fillId="0" borderId="0" xfId="36428" applyFont="1" applyFill="1" applyBorder="1" applyAlignment="1">
      <alignment horizontal="justify" vertical="top"/>
    </xf>
    <xf numFmtId="0" fontId="8" fillId="0" borderId="61" xfId="36428" applyFont="1" applyFill="1" applyBorder="1" applyAlignment="1">
      <alignment horizontal="center" vertical="center" wrapText="1"/>
    </xf>
    <xf numFmtId="0" fontId="8" fillId="0" borderId="34" xfId="36428" applyFont="1" applyFill="1" applyBorder="1" applyAlignment="1">
      <alignment horizontal="center" vertical="center" wrapText="1"/>
    </xf>
    <xf numFmtId="0" fontId="8" fillId="0" borderId="31" xfId="36428" applyFont="1" applyFill="1" applyBorder="1" applyAlignment="1">
      <alignment horizontal="center" vertical="center" wrapText="1"/>
    </xf>
    <xf numFmtId="0" fontId="8" fillId="0" borderId="32" xfId="36428" applyFont="1" applyFill="1" applyBorder="1" applyAlignment="1">
      <alignment horizontal="center" vertical="center" wrapText="1"/>
    </xf>
    <xf numFmtId="0" fontId="8" fillId="0" borderId="33" xfId="36428" applyFont="1" applyFill="1" applyBorder="1" applyAlignment="1">
      <alignment horizontal="center" vertical="center" wrapText="1"/>
    </xf>
    <xf numFmtId="0" fontId="5" fillId="0" borderId="0" xfId="6" applyFont="1" applyFill="1" applyAlignment="1">
      <alignment horizontal="justify" vertical="top"/>
    </xf>
    <xf numFmtId="0" fontId="8" fillId="0" borderId="0" xfId="36428" applyFont="1" applyFill="1" applyBorder="1" applyAlignment="1">
      <alignment horizontal="justify" vertical="center" wrapText="1"/>
    </xf>
    <xf numFmtId="0" fontId="8" fillId="0" borderId="149" xfId="36428" applyFont="1" applyFill="1" applyBorder="1" applyAlignment="1">
      <alignment horizontal="center" vertical="center" wrapText="1"/>
    </xf>
    <xf numFmtId="0" fontId="8" fillId="0" borderId="31" xfId="36428" applyFont="1" applyFill="1" applyBorder="1" applyAlignment="1">
      <alignment horizontal="center" wrapText="1"/>
    </xf>
    <xf numFmtId="0" fontId="8" fillId="0" borderId="33" xfId="36428" applyFont="1" applyFill="1" applyBorder="1" applyAlignment="1">
      <alignment horizontal="center" wrapText="1"/>
    </xf>
    <xf numFmtId="0" fontId="9" fillId="0" borderId="0" xfId="36428" applyFont="1" applyFill="1" applyBorder="1" applyAlignment="1">
      <alignment horizontal="justify"/>
    </xf>
    <xf numFmtId="0" fontId="6" fillId="0" borderId="0" xfId="6" applyFont="1" applyFill="1" applyAlignment="1">
      <alignment horizontal="left" wrapText="1"/>
    </xf>
    <xf numFmtId="0" fontId="5" fillId="0" borderId="0" xfId="36455" applyFont="1" applyFill="1" applyAlignment="1">
      <alignment horizontal="justify" vertical="center"/>
    </xf>
    <xf numFmtId="0" fontId="6" fillId="0" borderId="149" xfId="36455" applyFont="1" applyFill="1" applyBorder="1" applyAlignment="1">
      <alignment horizontal="center" vertical="center"/>
    </xf>
    <xf numFmtId="0" fontId="6" fillId="0" borderId="34" xfId="36455" applyFont="1" applyFill="1" applyBorder="1" applyAlignment="1">
      <alignment horizontal="center" vertical="center"/>
    </xf>
    <xf numFmtId="0" fontId="6" fillId="0" borderId="3" xfId="36455" applyFont="1" applyFill="1" applyBorder="1" applyAlignment="1">
      <alignment horizontal="center" vertical="center"/>
    </xf>
    <xf numFmtId="0" fontId="9" fillId="0" borderId="0" xfId="7" applyFont="1" applyFill="1" applyAlignment="1">
      <alignment horizontal="center"/>
    </xf>
    <xf numFmtId="0" fontId="5" fillId="0" borderId="0" xfId="36455" applyFont="1" applyFill="1" applyBorder="1" applyAlignment="1">
      <alignment horizontal="justify" vertical="center" wrapText="1"/>
    </xf>
    <xf numFmtId="0" fontId="5" fillId="0" borderId="0" xfId="36455" applyFont="1" applyFill="1" applyBorder="1" applyAlignment="1">
      <alignment horizontal="justify" vertical="center"/>
    </xf>
    <xf numFmtId="0" fontId="8" fillId="0" borderId="0" xfId="36420" applyFont="1" applyFill="1" applyBorder="1" applyAlignment="1">
      <alignment horizontal="center" vertical="center" wrapText="1"/>
    </xf>
    <xf numFmtId="0" fontId="8" fillId="0" borderId="0" xfId="36420" applyFont="1" applyFill="1" applyBorder="1" applyAlignment="1">
      <alignment horizontal="left" wrapText="1"/>
    </xf>
    <xf numFmtId="0" fontId="8" fillId="0" borderId="149" xfId="36420" applyFont="1" applyFill="1" applyBorder="1" applyAlignment="1">
      <alignment horizontal="center" vertical="center" wrapText="1"/>
    </xf>
    <xf numFmtId="0" fontId="8" fillId="0" borderId="34" xfId="36420" applyFont="1" applyFill="1" applyBorder="1" applyAlignment="1">
      <alignment horizontal="center" vertical="center" wrapText="1"/>
    </xf>
    <xf numFmtId="0" fontId="8" fillId="0" borderId="31" xfId="36420" applyFont="1" applyFill="1" applyBorder="1" applyAlignment="1">
      <alignment horizontal="center" vertical="center" wrapText="1"/>
    </xf>
    <xf numFmtId="0" fontId="8" fillId="0" borderId="135" xfId="36420" applyFont="1" applyFill="1" applyBorder="1" applyAlignment="1">
      <alignment horizontal="center" vertical="center" wrapText="1"/>
    </xf>
    <xf numFmtId="0" fontId="8" fillId="0" borderId="33" xfId="36420" applyFont="1" applyFill="1" applyBorder="1" applyAlignment="1">
      <alignment horizontal="center" vertical="center" wrapText="1"/>
    </xf>
    <xf numFmtId="0" fontId="5" fillId="0" borderId="0" xfId="7" applyFont="1" applyFill="1" applyBorder="1" applyAlignment="1">
      <alignment horizontal="justify"/>
    </xf>
    <xf numFmtId="0" fontId="6" fillId="0" borderId="0" xfId="7" applyFont="1" applyFill="1" applyBorder="1" applyAlignment="1">
      <alignment horizontal="justify" vertical="center"/>
    </xf>
    <xf numFmtId="0" fontId="6" fillId="0" borderId="84" xfId="7" applyFont="1" applyFill="1" applyBorder="1" applyAlignment="1">
      <alignment horizontal="center" vertical="center" wrapText="1"/>
    </xf>
    <xf numFmtId="0" fontId="6" fillId="0" borderId="95" xfId="7" applyFont="1" applyFill="1" applyBorder="1" applyAlignment="1">
      <alignment horizontal="center" vertical="center" wrapText="1"/>
    </xf>
    <xf numFmtId="0" fontId="6" fillId="0" borderId="87" xfId="7" applyFont="1" applyFill="1" applyBorder="1" applyAlignment="1">
      <alignment horizontal="center" vertical="center" wrapText="1"/>
    </xf>
    <xf numFmtId="0" fontId="6" fillId="0" borderId="151" xfId="7" applyFont="1" applyFill="1" applyBorder="1" applyAlignment="1">
      <alignment horizontal="center" vertical="center" wrapText="1"/>
    </xf>
    <xf numFmtId="0" fontId="6" fillId="0" borderId="3" xfId="7" applyFont="1" applyFill="1" applyBorder="1" applyAlignment="1">
      <alignment horizontal="center" vertical="center"/>
    </xf>
    <xf numFmtId="0" fontId="6" fillId="0" borderId="84" xfId="7" applyFont="1" applyFill="1" applyBorder="1" applyAlignment="1">
      <alignment horizontal="center" vertical="center"/>
    </xf>
    <xf numFmtId="0" fontId="6" fillId="0" borderId="150" xfId="7" applyFont="1" applyFill="1" applyBorder="1" applyAlignment="1">
      <alignment horizontal="center" vertical="center"/>
    </xf>
    <xf numFmtId="0" fontId="6" fillId="0" borderId="95" xfId="7" applyFont="1" applyFill="1" applyBorder="1" applyAlignment="1">
      <alignment horizontal="center" vertical="center"/>
    </xf>
    <xf numFmtId="0" fontId="6" fillId="0" borderId="150" xfId="7" applyFont="1" applyFill="1" applyBorder="1" applyAlignment="1">
      <alignment horizontal="center" vertical="center" wrapText="1"/>
    </xf>
    <xf numFmtId="0" fontId="6" fillId="0" borderId="0" xfId="7" applyFont="1" applyFill="1" applyBorder="1" applyAlignment="1">
      <alignment horizontal="center" vertical="center" wrapText="1"/>
    </xf>
    <xf numFmtId="0" fontId="5" fillId="0" borderId="0" xfId="7" applyFont="1" applyFill="1" applyBorder="1" applyAlignment="1">
      <alignment horizontal="justify" vertical="center" wrapText="1"/>
    </xf>
    <xf numFmtId="0" fontId="6" fillId="0" borderId="0" xfId="7" applyFont="1" applyFill="1" applyBorder="1" applyAlignment="1">
      <alignment horizontal="left" vertical="top" wrapText="1"/>
    </xf>
    <xf numFmtId="0" fontId="5" fillId="0" borderId="0" xfId="36456" applyFont="1" applyFill="1" applyBorder="1" applyAlignment="1">
      <alignment horizontal="justify"/>
    </xf>
    <xf numFmtId="0" fontId="5" fillId="0" borderId="0" xfId="7" applyFont="1" applyFill="1" applyBorder="1" applyAlignment="1">
      <alignment horizontal="left" vertical="center"/>
    </xf>
    <xf numFmtId="0" fontId="6" fillId="0" borderId="0" xfId="7" applyFont="1" applyFill="1" applyBorder="1" applyAlignment="1">
      <alignment horizontal="justify" wrapText="1"/>
    </xf>
    <xf numFmtId="0" fontId="5" fillId="0" borderId="0" xfId="36456" applyFont="1" applyFill="1" applyBorder="1" applyAlignment="1">
      <alignment horizontal="justify" vertical="top"/>
    </xf>
    <xf numFmtId="0" fontId="18" fillId="0" borderId="0" xfId="4" applyFont="1" applyFill="1" applyAlignment="1" applyProtection="1">
      <alignment horizontal="justify" vertical="center" wrapText="1" readingOrder="1"/>
      <protection locked="0"/>
    </xf>
    <xf numFmtId="0" fontId="4" fillId="0" borderId="0" xfId="4" applyFill="1" applyAlignment="1">
      <alignment horizontal="justify" vertical="center"/>
    </xf>
    <xf numFmtId="0" fontId="19" fillId="0" borderId="0" xfId="4" applyFont="1" applyFill="1" applyAlignment="1" applyProtection="1">
      <alignment vertical="top" wrapText="1" readingOrder="1"/>
      <protection locked="0"/>
    </xf>
    <xf numFmtId="0" fontId="4" fillId="0" borderId="0" xfId="4" applyFill="1"/>
    <xf numFmtId="0" fontId="18" fillId="0" borderId="3" xfId="4" applyFont="1" applyFill="1" applyBorder="1" applyAlignment="1" applyProtection="1">
      <alignment horizontal="center" vertical="top" wrapText="1" readingOrder="1"/>
      <protection locked="0"/>
    </xf>
    <xf numFmtId="0" fontId="4" fillId="0" borderId="3" xfId="4" applyFill="1" applyBorder="1" applyAlignment="1" applyProtection="1">
      <alignment vertical="top" wrapText="1"/>
      <protection locked="0"/>
    </xf>
    <xf numFmtId="0" fontId="19" fillId="0" borderId="0" xfId="4" quotePrefix="1" applyFont="1" applyFill="1" applyBorder="1" applyAlignment="1" applyProtection="1">
      <alignment horizontal="justify" vertical="top" wrapText="1" readingOrder="1"/>
      <protection locked="0"/>
    </xf>
    <xf numFmtId="0" fontId="4" fillId="0" borderId="0" xfId="4" applyFill="1" applyBorder="1" applyAlignment="1" applyProtection="1">
      <alignment horizontal="justify" vertical="top" wrapText="1"/>
      <protection locked="0"/>
    </xf>
    <xf numFmtId="0" fontId="19" fillId="0" borderId="0" xfId="4" applyFont="1" applyFill="1" applyBorder="1" applyAlignment="1" applyProtection="1">
      <alignment horizontal="justify" vertical="top" wrapText="1" readingOrder="1"/>
      <protection locked="0"/>
    </xf>
    <xf numFmtId="0" fontId="18" fillId="0" borderId="0" xfId="4" applyFont="1" applyFill="1" applyBorder="1" applyAlignment="1" applyProtection="1">
      <alignment horizontal="justify" vertical="top" wrapText="1" readingOrder="1"/>
      <protection locked="0"/>
    </xf>
    <xf numFmtId="0" fontId="5" fillId="0" borderId="0" xfId="29279" applyFont="1" applyFill="1" applyBorder="1" applyAlignment="1">
      <alignment horizontal="left" vertical="top" wrapText="1"/>
    </xf>
    <xf numFmtId="0" fontId="6" fillId="0" borderId="0" xfId="29279" applyFont="1" applyFill="1" applyBorder="1" applyAlignment="1">
      <alignment horizontal="justify" vertical="justify" wrapText="1"/>
    </xf>
    <xf numFmtId="0" fontId="6" fillId="0" borderId="3" xfId="29279" applyFont="1" applyFill="1" applyBorder="1" applyAlignment="1">
      <alignment horizontal="center" vertical="center"/>
    </xf>
    <xf numFmtId="0" fontId="8" fillId="0" borderId="3" xfId="29279" applyFont="1" applyFill="1" applyBorder="1" applyAlignment="1">
      <alignment horizontal="center" vertical="center"/>
    </xf>
    <xf numFmtId="0" fontId="6" fillId="0" borderId="0" xfId="36425" applyFont="1" applyAlignment="1">
      <alignment horizontal="justify" wrapText="1"/>
    </xf>
    <xf numFmtId="0" fontId="5" fillId="0" borderId="0" xfId="7" applyFont="1" applyFill="1" applyAlignment="1">
      <alignment horizontal="left"/>
    </xf>
    <xf numFmtId="0" fontId="6" fillId="0" borderId="0" xfId="29309" applyFont="1" applyFill="1" applyBorder="1" applyAlignment="1">
      <alignment horizontal="justify" vertical="top" wrapText="1"/>
    </xf>
    <xf numFmtId="0" fontId="6" fillId="0" borderId="88" xfId="29309" applyFont="1" applyFill="1" applyBorder="1" applyAlignment="1">
      <alignment horizontal="left" vertical="top" wrapText="1"/>
    </xf>
    <xf numFmtId="0" fontId="6" fillId="0" borderId="84" xfId="29309" applyFont="1" applyFill="1" applyBorder="1" applyAlignment="1">
      <alignment horizontal="center" vertical="center" wrapText="1"/>
    </xf>
    <xf numFmtId="0" fontId="6" fillId="0" borderId="44" xfId="29309" applyFont="1" applyFill="1" applyBorder="1" applyAlignment="1">
      <alignment horizontal="center" vertical="center" wrapText="1"/>
    </xf>
    <xf numFmtId="0" fontId="6" fillId="0" borderId="87" xfId="29309" applyFont="1" applyFill="1" applyBorder="1" applyAlignment="1">
      <alignment horizontal="center" vertical="center" wrapText="1"/>
    </xf>
    <xf numFmtId="0" fontId="6" fillId="0" borderId="31" xfId="29309" applyFont="1" applyFill="1" applyBorder="1" applyAlignment="1">
      <alignment horizontal="center" vertical="center" wrapText="1"/>
    </xf>
    <xf numFmtId="0" fontId="6" fillId="0" borderId="32" xfId="29309" applyFont="1" applyFill="1" applyBorder="1" applyAlignment="1">
      <alignment horizontal="center" vertical="center" wrapText="1"/>
    </xf>
    <xf numFmtId="0" fontId="6" fillId="0" borderId="33" xfId="29309" applyFont="1" applyFill="1" applyBorder="1" applyAlignment="1">
      <alignment horizontal="center" vertical="center" wrapText="1"/>
    </xf>
    <xf numFmtId="0" fontId="6" fillId="0" borderId="61" xfId="29309" applyFont="1" applyFill="1" applyBorder="1" applyAlignment="1">
      <alignment horizontal="center" vertical="center" wrapText="1"/>
    </xf>
    <xf numFmtId="0" fontId="6" fillId="0" borderId="34" xfId="29309" applyFont="1" applyFill="1" applyBorder="1" applyAlignment="1">
      <alignment horizontal="center" vertical="center" wrapText="1"/>
    </xf>
    <xf numFmtId="0" fontId="6" fillId="0" borderId="3" xfId="29309" applyFont="1" applyFill="1" applyBorder="1" applyAlignment="1">
      <alignment horizontal="center" vertical="top" wrapText="1"/>
    </xf>
    <xf numFmtId="0" fontId="6" fillId="0" borderId="31" xfId="29309" applyFont="1" applyFill="1" applyBorder="1" applyAlignment="1">
      <alignment horizontal="center" vertical="top" wrapText="1"/>
    </xf>
    <xf numFmtId="0" fontId="6" fillId="0" borderId="32" xfId="29309" applyFont="1" applyFill="1" applyBorder="1" applyAlignment="1">
      <alignment horizontal="center" vertical="top" wrapText="1"/>
    </xf>
    <xf numFmtId="0" fontId="6" fillId="0" borderId="33" xfId="29309" applyFont="1" applyFill="1" applyBorder="1" applyAlignment="1">
      <alignment horizontal="center" vertical="top" wrapText="1"/>
    </xf>
    <xf numFmtId="0" fontId="5" fillId="0" borderId="0" xfId="29309" applyFont="1" applyFill="1" applyBorder="1" applyAlignment="1">
      <alignment horizontal="justify" vertical="top" wrapText="1"/>
    </xf>
    <xf numFmtId="49" fontId="5" fillId="0" borderId="0" xfId="29309" applyNumberFormat="1" applyFont="1" applyFill="1" applyBorder="1" applyAlignment="1">
      <alignment horizontal="justify" vertical="top"/>
    </xf>
    <xf numFmtId="0" fontId="5" fillId="0" borderId="88" xfId="29309" applyFont="1" applyFill="1" applyBorder="1" applyAlignment="1">
      <alignment horizontal="left" vertical="top" wrapText="1"/>
    </xf>
    <xf numFmtId="0" fontId="6" fillId="0" borderId="3" xfId="29309" applyFont="1" applyFill="1" applyBorder="1" applyAlignment="1">
      <alignment horizontal="center" vertical="center" wrapText="1"/>
    </xf>
    <xf numFmtId="0" fontId="5" fillId="0" borderId="0" xfId="36417" applyFont="1" applyFill="1" applyBorder="1" applyAlignment="1">
      <alignment horizontal="justify" vertical="top"/>
    </xf>
    <xf numFmtId="0" fontId="6" fillId="0" borderId="3" xfId="29309" applyFont="1" applyFill="1" applyBorder="1" applyAlignment="1">
      <alignment horizontal="center" wrapText="1"/>
    </xf>
    <xf numFmtId="0" fontId="6" fillId="0" borderId="40" xfId="29309" applyFont="1" applyFill="1" applyBorder="1" applyAlignment="1">
      <alignment horizontal="center" vertical="center" wrapText="1"/>
    </xf>
    <xf numFmtId="0" fontId="5" fillId="0" borderId="0" xfId="29309" applyFont="1" applyFill="1" applyBorder="1" applyAlignment="1">
      <alignment horizontal="justify" vertical="center" wrapText="1"/>
    </xf>
    <xf numFmtId="0" fontId="6" fillId="0" borderId="0" xfId="29309" applyFont="1" applyFill="1" applyBorder="1" applyAlignment="1">
      <alignment horizontal="justify" vertical="center" wrapText="1"/>
    </xf>
    <xf numFmtId="0" fontId="5" fillId="0" borderId="88" xfId="29309" applyFont="1" applyFill="1" applyBorder="1" applyAlignment="1">
      <alignment horizontal="center" vertical="top" wrapText="1"/>
    </xf>
    <xf numFmtId="0" fontId="5" fillId="0" borderId="0" xfId="29309" applyFont="1" applyFill="1" applyBorder="1" applyAlignment="1">
      <alignment horizontal="left" vertical="top" wrapText="1"/>
    </xf>
    <xf numFmtId="0" fontId="5" fillId="0" borderId="0" xfId="36432" applyFont="1" applyFill="1" applyBorder="1" applyAlignment="1">
      <alignment horizontal="justify" vertical="center" wrapText="1"/>
    </xf>
    <xf numFmtId="0" fontId="6" fillId="0" borderId="0" xfId="36432" applyFont="1" applyFill="1" applyBorder="1" applyAlignment="1">
      <alignment horizontal="justify" vertical="center" wrapText="1"/>
    </xf>
    <xf numFmtId="0" fontId="5" fillId="0" borderId="88" xfId="36432" applyFont="1" applyFill="1" applyBorder="1" applyAlignment="1">
      <alignment horizontal="left" vertical="top" wrapText="1"/>
    </xf>
    <xf numFmtId="0" fontId="5" fillId="0" borderId="0" xfId="36432" applyFont="1" applyFill="1" applyBorder="1" applyAlignment="1">
      <alignment horizontal="left" vertical="top" wrapText="1"/>
    </xf>
    <xf numFmtId="0" fontId="5" fillId="0" borderId="0" xfId="7" applyFont="1" applyFill="1" applyAlignment="1">
      <alignment horizontal="left" vertical="center" wrapText="1"/>
    </xf>
    <xf numFmtId="0" fontId="5" fillId="0" borderId="0" xfId="8055" applyFont="1" applyFill="1" applyBorder="1" applyAlignment="1">
      <alignment horizontal="left" vertical="center" wrapText="1"/>
    </xf>
    <xf numFmtId="0" fontId="5" fillId="0" borderId="0" xfId="8055" applyFont="1" applyAlignment="1">
      <alignment horizontal="left" vertical="center"/>
    </xf>
    <xf numFmtId="0" fontId="6" fillId="0" borderId="0" xfId="7" applyFont="1" applyFill="1" applyAlignment="1">
      <alignment horizontal="left" wrapText="1"/>
    </xf>
    <xf numFmtId="0" fontId="6" fillId="0" borderId="88" xfId="7" applyFont="1" applyFill="1" applyBorder="1" applyAlignment="1">
      <alignment horizontal="center"/>
    </xf>
    <xf numFmtId="0" fontId="6" fillId="0" borderId="0" xfId="7" applyFont="1" applyFill="1" applyBorder="1" applyAlignment="1">
      <alignment horizontal="center"/>
    </xf>
    <xf numFmtId="0" fontId="6" fillId="0" borderId="85" xfId="7" applyFont="1" applyFill="1" applyBorder="1" applyAlignment="1">
      <alignment horizontal="center" vertical="center" wrapText="1"/>
    </xf>
    <xf numFmtId="0" fontId="6" fillId="0" borderId="88" xfId="7" applyFont="1" applyFill="1" applyBorder="1" applyAlignment="1">
      <alignment horizontal="center" vertical="center" wrapText="1"/>
    </xf>
    <xf numFmtId="0" fontId="6" fillId="0" borderId="31" xfId="7" applyFont="1" applyFill="1" applyBorder="1" applyAlignment="1">
      <alignment horizontal="center" vertical="center" wrapText="1"/>
    </xf>
    <xf numFmtId="0" fontId="0" fillId="0" borderId="32" xfId="0" applyFill="1" applyBorder="1"/>
    <xf numFmtId="0" fontId="0" fillId="0" borderId="33" xfId="0" applyFill="1" applyBorder="1"/>
    <xf numFmtId="0" fontId="5" fillId="0" borderId="0" xfId="7" applyFont="1" applyFill="1" applyAlignment="1">
      <alignment horizontal="center"/>
    </xf>
    <xf numFmtId="0" fontId="8" fillId="0" borderId="3" xfId="7" applyFont="1" applyFill="1" applyBorder="1" applyAlignment="1">
      <alignment horizontal="center" vertical="center"/>
    </xf>
    <xf numFmtId="0" fontId="5" fillId="0" borderId="0" xfId="8055" applyFont="1" applyBorder="1" applyAlignment="1">
      <alignment horizontal="center"/>
    </xf>
    <xf numFmtId="0" fontId="5" fillId="0" borderId="0" xfId="8055" applyFont="1" applyBorder="1" applyAlignment="1">
      <alignment horizontal="left" wrapText="1"/>
    </xf>
    <xf numFmtId="0" fontId="5" fillId="0" borderId="0" xfId="8055" applyFont="1" applyAlignment="1">
      <alignment horizontal="left"/>
    </xf>
    <xf numFmtId="0" fontId="6" fillId="0" borderId="0" xfId="8055" applyFont="1" applyFill="1" applyBorder="1" applyAlignment="1">
      <alignment horizontal="left" vertical="top"/>
    </xf>
    <xf numFmtId="0" fontId="6" fillId="0" borderId="88" xfId="8055" applyFont="1" applyFill="1" applyBorder="1" applyAlignment="1">
      <alignment horizontal="center" wrapText="1"/>
    </xf>
    <xf numFmtId="0" fontId="6" fillId="0" borderId="0" xfId="8055" applyFont="1" applyFill="1" applyBorder="1" applyAlignment="1">
      <alignment horizontal="center" wrapText="1"/>
    </xf>
    <xf numFmtId="0" fontId="6" fillId="0" borderId="3" xfId="8055" applyFont="1" applyFill="1" applyBorder="1" applyAlignment="1">
      <alignment horizontal="center" vertical="center" wrapText="1"/>
    </xf>
    <xf numFmtId="1" fontId="6" fillId="0" borderId="31" xfId="7705" applyNumberFormat="1" applyFont="1" applyFill="1" applyBorder="1" applyAlignment="1">
      <alignment horizontal="center" vertical="center"/>
    </xf>
    <xf numFmtId="1" fontId="6" fillId="0" borderId="32" xfId="7705" applyNumberFormat="1" applyFont="1" applyFill="1" applyBorder="1" applyAlignment="1">
      <alignment horizontal="center" vertical="center"/>
    </xf>
    <xf numFmtId="1" fontId="6" fillId="0" borderId="33" xfId="7705" applyNumberFormat="1" applyFont="1" applyFill="1" applyBorder="1" applyAlignment="1">
      <alignment horizontal="center" vertical="center"/>
    </xf>
    <xf numFmtId="0" fontId="6" fillId="0" borderId="0" xfId="8055" applyFont="1" applyFill="1" applyBorder="1" applyAlignment="1">
      <alignment horizontal="left"/>
    </xf>
    <xf numFmtId="0" fontId="6" fillId="0" borderId="61" xfId="8055" applyFont="1" applyFill="1" applyBorder="1" applyAlignment="1">
      <alignment horizontal="center" vertical="center"/>
    </xf>
    <xf numFmtId="0" fontId="6" fillId="0" borderId="40" xfId="8055" applyFont="1" applyFill="1" applyBorder="1" applyAlignment="1">
      <alignment horizontal="center" vertical="center"/>
    </xf>
    <xf numFmtId="0" fontId="6" fillId="0" borderId="34" xfId="8055" applyFont="1" applyFill="1" applyBorder="1" applyAlignment="1">
      <alignment horizontal="center" vertical="center"/>
    </xf>
    <xf numFmtId="0" fontId="6" fillId="0" borderId="31" xfId="8055" applyFont="1" applyFill="1" applyBorder="1" applyAlignment="1">
      <alignment horizontal="center" wrapText="1"/>
    </xf>
    <xf numFmtId="0" fontId="6" fillId="0" borderId="32" xfId="8055" applyFont="1" applyFill="1" applyBorder="1" applyAlignment="1">
      <alignment horizontal="center" wrapText="1"/>
    </xf>
    <xf numFmtId="0" fontId="6" fillId="0" borderId="33" xfId="8055" applyFont="1" applyFill="1" applyBorder="1" applyAlignment="1">
      <alignment horizontal="center" wrapText="1"/>
    </xf>
    <xf numFmtId="0" fontId="6" fillId="0" borderId="31" xfId="8055" applyFont="1" applyFill="1" applyBorder="1" applyAlignment="1">
      <alignment horizontal="center"/>
    </xf>
    <xf numFmtId="0" fontId="6" fillId="0" borderId="32" xfId="8055" applyFont="1" applyFill="1" applyBorder="1" applyAlignment="1">
      <alignment horizontal="center"/>
    </xf>
    <xf numFmtId="0" fontId="6" fillId="0" borderId="33" xfId="8055" applyFont="1" applyFill="1" applyBorder="1" applyAlignment="1">
      <alignment horizontal="center"/>
    </xf>
    <xf numFmtId="1" fontId="6" fillId="0" borderId="3" xfId="7705" applyNumberFormat="1" applyFont="1" applyFill="1" applyBorder="1" applyAlignment="1">
      <alignment horizontal="center"/>
    </xf>
    <xf numFmtId="0" fontId="5" fillId="0" borderId="0" xfId="8055" applyFont="1" applyFill="1" applyBorder="1" applyAlignment="1">
      <alignment horizontal="center"/>
    </xf>
    <xf numFmtId="0" fontId="5" fillId="0" borderId="0" xfId="8055" applyFont="1" applyFill="1" applyBorder="1" applyAlignment="1">
      <alignment horizontal="justify" wrapText="1" readingOrder="1"/>
    </xf>
    <xf numFmtId="0" fontId="5" fillId="0" borderId="0" xfId="8055" applyFont="1" applyFill="1" applyBorder="1" applyAlignment="1">
      <alignment horizontal="justify" readingOrder="1"/>
    </xf>
    <xf numFmtId="0" fontId="5" fillId="0" borderId="0" xfId="8055" applyFont="1" applyAlignment="1">
      <alignment horizontal="left" wrapText="1"/>
    </xf>
    <xf numFmtId="0" fontId="5" fillId="0" borderId="0" xfId="8055" applyFont="1" applyAlignment="1">
      <alignment horizontal="justify" wrapText="1"/>
    </xf>
    <xf numFmtId="173" fontId="5" fillId="0" borderId="0" xfId="7705" applyNumberFormat="1" applyFont="1" applyAlignment="1">
      <alignment horizontal="justify"/>
    </xf>
    <xf numFmtId="0" fontId="6" fillId="0" borderId="86" xfId="8055" applyFont="1" applyFill="1" applyBorder="1" applyAlignment="1">
      <alignment horizontal="center" vertical="center"/>
    </xf>
    <xf numFmtId="0" fontId="6" fillId="0" borderId="39" xfId="8055" applyFont="1" applyFill="1" applyBorder="1" applyAlignment="1">
      <alignment horizontal="center" vertical="center"/>
    </xf>
    <xf numFmtId="0" fontId="6" fillId="0" borderId="41" xfId="8055" applyFont="1" applyFill="1" applyBorder="1" applyAlignment="1">
      <alignment horizontal="center" vertical="center"/>
    </xf>
    <xf numFmtId="0" fontId="5" fillId="0" borderId="0" xfId="8055" applyFont="1" applyFill="1" applyAlignment="1">
      <alignment horizontal="justify"/>
    </xf>
    <xf numFmtId="0" fontId="5" fillId="0" borderId="0" xfId="36423" applyFont="1" applyFill="1" applyBorder="1" applyAlignment="1">
      <alignment horizontal="center" vertical="top"/>
    </xf>
    <xf numFmtId="0" fontId="5" fillId="0" borderId="0" xfId="8055" applyFont="1" applyFill="1" applyAlignment="1">
      <alignment horizontal="justify" wrapText="1"/>
    </xf>
    <xf numFmtId="173" fontId="5" fillId="0" borderId="0" xfId="7705" applyNumberFormat="1" applyFont="1" applyFill="1" applyAlignment="1">
      <alignment horizontal="justify"/>
    </xf>
    <xf numFmtId="0" fontId="5" fillId="0" borderId="0" xfId="29279" applyFont="1" applyFill="1" applyBorder="1" applyAlignment="1">
      <alignment horizontal="center"/>
    </xf>
    <xf numFmtId="0" fontId="6" fillId="0" borderId="0" xfId="29279" applyFont="1" applyFill="1" applyAlignment="1">
      <alignment horizontal="left" wrapText="1"/>
    </xf>
    <xf numFmtId="0" fontId="6" fillId="0" borderId="88" xfId="29279" applyFont="1" applyFill="1" applyBorder="1" applyAlignment="1">
      <alignment horizontal="center"/>
    </xf>
    <xf numFmtId="0" fontId="6" fillId="0" borderId="85" xfId="29279" applyFont="1" applyFill="1" applyBorder="1" applyAlignment="1">
      <alignment horizontal="center" vertical="center"/>
    </xf>
    <xf numFmtId="0" fontId="6" fillId="0" borderId="0" xfId="29279" applyFont="1" applyFill="1" applyBorder="1" applyAlignment="1">
      <alignment horizontal="center" vertical="center"/>
    </xf>
    <xf numFmtId="0" fontId="6" fillId="0" borderId="88" xfId="29279" applyFont="1" applyFill="1" applyBorder="1" applyAlignment="1">
      <alignment horizontal="center" vertical="center"/>
    </xf>
    <xf numFmtId="0" fontId="6" fillId="0" borderId="31" xfId="29279" applyFont="1" applyFill="1" applyBorder="1" applyAlignment="1">
      <alignment horizontal="center"/>
    </xf>
    <xf numFmtId="0" fontId="6" fillId="0" borderId="32" xfId="29279" applyFont="1" applyFill="1" applyBorder="1" applyAlignment="1">
      <alignment horizontal="center"/>
    </xf>
    <xf numFmtId="0" fontId="6" fillId="0" borderId="33" xfId="29279" applyFont="1" applyFill="1" applyBorder="1" applyAlignment="1">
      <alignment horizontal="center"/>
    </xf>
    <xf numFmtId="0" fontId="6" fillId="0" borderId="3" xfId="29279" applyFont="1" applyFill="1" applyBorder="1" applyAlignment="1">
      <alignment horizontal="center"/>
    </xf>
    <xf numFmtId="0" fontId="5" fillId="0" borderId="0" xfId="29279" applyFont="1" applyFill="1" applyBorder="1" applyAlignment="1">
      <alignment horizontal="justify" vertical="center" wrapText="1"/>
    </xf>
    <xf numFmtId="0" fontId="5" fillId="0" borderId="0" xfId="29279" applyFont="1" applyFill="1" applyBorder="1" applyAlignment="1">
      <alignment horizontal="left" vertical="center" wrapText="1"/>
    </xf>
    <xf numFmtId="0" fontId="5" fillId="0" borderId="0" xfId="8055" applyFont="1" applyAlignment="1">
      <alignment horizontal="justify"/>
    </xf>
    <xf numFmtId="0" fontId="6" fillId="0" borderId="0" xfId="29279" applyFont="1" applyBorder="1" applyAlignment="1">
      <alignment horizontal="justify" vertical="center" wrapText="1"/>
    </xf>
    <xf numFmtId="0" fontId="6" fillId="0" borderId="88" xfId="29279" applyFont="1" applyBorder="1" applyAlignment="1">
      <alignment horizontal="center"/>
    </xf>
    <xf numFmtId="0" fontId="6" fillId="0" borderId="61" xfId="29279" applyFont="1" applyBorder="1" applyAlignment="1">
      <alignment horizontal="center" vertical="center"/>
    </xf>
    <xf numFmtId="0" fontId="6" fillId="0" borderId="34" xfId="29279" applyFont="1" applyBorder="1" applyAlignment="1">
      <alignment horizontal="center" vertical="center"/>
    </xf>
    <xf numFmtId="0" fontId="6" fillId="0" borderId="3" xfId="29279" applyFont="1" applyBorder="1" applyAlignment="1">
      <alignment horizontal="center"/>
    </xf>
    <xf numFmtId="0" fontId="5" fillId="0" borderId="0" xfId="29279" applyFont="1" applyAlignment="1">
      <alignment horizontal="center"/>
    </xf>
    <xf numFmtId="0" fontId="9" fillId="0" borderId="0" xfId="29279" applyFont="1" applyBorder="1" applyAlignment="1">
      <alignment horizontal="justify" vertical="center" wrapText="1"/>
    </xf>
    <xf numFmtId="0" fontId="9" fillId="0" borderId="0" xfId="29279" applyFont="1" applyFill="1" applyBorder="1" applyAlignment="1">
      <alignment horizontal="justify" vertical="center" wrapText="1"/>
    </xf>
    <xf numFmtId="0" fontId="19" fillId="0" borderId="0" xfId="4" applyFont="1" applyBorder="1" applyAlignment="1" applyProtection="1">
      <alignment horizontal="justify" vertical="top" wrapText="1" readingOrder="1"/>
      <protection locked="0"/>
    </xf>
    <xf numFmtId="0" fontId="18" fillId="0" borderId="0" xfId="4" applyFont="1" applyAlignment="1" applyProtection="1">
      <alignment horizontal="justify" vertical="top" wrapText="1" readingOrder="1"/>
      <protection locked="0"/>
    </xf>
    <xf numFmtId="0" fontId="19" fillId="0" borderId="0" xfId="4" applyFont="1" applyAlignment="1" applyProtection="1">
      <alignment vertical="top" wrapText="1" readingOrder="1"/>
      <protection locked="0"/>
    </xf>
    <xf numFmtId="0" fontId="18" fillId="0" borderId="89" xfId="4" applyFont="1" applyFill="1" applyBorder="1" applyAlignment="1" applyProtection="1">
      <alignment horizontal="left" vertical="center" wrapText="1" readingOrder="1"/>
      <protection locked="0"/>
    </xf>
    <xf numFmtId="0" fontId="18" fillId="0" borderId="90" xfId="4" applyFont="1" applyFill="1" applyBorder="1" applyAlignment="1" applyProtection="1">
      <alignment horizontal="left" vertical="center" wrapText="1" readingOrder="1"/>
      <protection locked="0"/>
    </xf>
    <xf numFmtId="0" fontId="6" fillId="0" borderId="3" xfId="36417" applyFont="1" applyFill="1" applyBorder="1" applyAlignment="1">
      <alignment horizontal="center" wrapText="1"/>
    </xf>
    <xf numFmtId="0" fontId="6" fillId="0" borderId="31" xfId="36417" applyFont="1" applyFill="1" applyBorder="1" applyAlignment="1">
      <alignment horizontal="center"/>
    </xf>
    <xf numFmtId="0" fontId="6" fillId="0" borderId="32" xfId="36417" applyFont="1" applyFill="1" applyBorder="1" applyAlignment="1">
      <alignment horizontal="center"/>
    </xf>
    <xf numFmtId="0" fontId="6" fillId="0" borderId="33" xfId="36417" applyFont="1" applyFill="1" applyBorder="1" applyAlignment="1">
      <alignment horizontal="center"/>
    </xf>
    <xf numFmtId="0" fontId="6" fillId="0" borderId="31" xfId="36417" applyFont="1" applyBorder="1" applyAlignment="1">
      <alignment horizontal="center"/>
    </xf>
    <xf numFmtId="0" fontId="6" fillId="0" borderId="32" xfId="36417" applyFont="1" applyBorder="1" applyAlignment="1">
      <alignment horizontal="center"/>
    </xf>
    <xf numFmtId="0" fontId="6" fillId="0" borderId="33" xfId="36417" applyFont="1" applyBorder="1" applyAlignment="1">
      <alignment horizontal="center"/>
    </xf>
    <xf numFmtId="0" fontId="18" fillId="0" borderId="3" xfId="4" applyFont="1" applyBorder="1" applyAlignment="1" applyProtection="1">
      <alignment horizontal="center" vertical="top" wrapText="1" readingOrder="1"/>
      <protection locked="0"/>
    </xf>
    <xf numFmtId="0" fontId="19" fillId="0" borderId="0" xfId="4" applyFont="1" applyBorder="1" applyAlignment="1" applyProtection="1">
      <alignment vertical="top" wrapText="1" readingOrder="1"/>
      <protection locked="0"/>
    </xf>
    <xf numFmtId="0" fontId="5" fillId="0" borderId="0" xfId="4" applyFont="1" applyBorder="1"/>
    <xf numFmtId="0" fontId="18" fillId="0" borderId="0" xfId="4" applyFont="1" applyBorder="1" applyAlignment="1" applyProtection="1">
      <alignment horizontal="justify" vertical="top" wrapText="1" readingOrder="1"/>
      <protection locked="0"/>
    </xf>
    <xf numFmtId="0" fontId="5" fillId="0" borderId="0" xfId="36417" applyFont="1" applyBorder="1" applyAlignment="1">
      <alignment horizontal="justify" wrapText="1"/>
    </xf>
    <xf numFmtId="49" fontId="5" fillId="0" borderId="0" xfId="36417" applyNumberFormat="1" applyFont="1" applyBorder="1" applyAlignment="1">
      <alignment horizontal="justify" wrapText="1"/>
    </xf>
    <xf numFmtId="0" fontId="5" fillId="0" borderId="0" xfId="36417" applyFont="1" applyAlignment="1">
      <alignment horizontal="justify"/>
    </xf>
    <xf numFmtId="0" fontId="6" fillId="0" borderId="0" xfId="36417" applyFont="1" applyFill="1" applyBorder="1" applyAlignment="1">
      <alignment horizontal="justify" vertical="top" wrapText="1"/>
    </xf>
    <xf numFmtId="0" fontId="6" fillId="0" borderId="94" xfId="36417" applyFont="1" applyFill="1" applyBorder="1" applyAlignment="1">
      <alignment horizontal="center" wrapText="1"/>
    </xf>
    <xf numFmtId="0" fontId="5" fillId="0" borderId="0" xfId="7" applyFont="1" applyBorder="1" applyAlignment="1">
      <alignment horizontal="center"/>
    </xf>
    <xf numFmtId="49" fontId="5" fillId="0" borderId="0" xfId="36417" applyNumberFormat="1" applyFont="1" applyBorder="1" applyAlignment="1">
      <alignment horizontal="left" vertical="top" wrapText="1"/>
    </xf>
    <xf numFmtId="0" fontId="5" fillId="0" borderId="0" xfId="36417" applyFont="1" applyBorder="1" applyAlignment="1">
      <alignment horizontal="justify" vertical="top" wrapText="1"/>
    </xf>
    <xf numFmtId="2" fontId="5" fillId="0" borderId="0" xfId="36417" applyNumberFormat="1" applyFont="1" applyBorder="1" applyAlignment="1">
      <alignment horizontal="justify" vertical="top" wrapText="1"/>
    </xf>
    <xf numFmtId="0" fontId="6" fillId="0" borderId="0" xfId="36417" applyFont="1" applyBorder="1" applyAlignment="1">
      <alignment horizontal="justify" vertical="top" wrapText="1"/>
    </xf>
    <xf numFmtId="0" fontId="5" fillId="0" borderId="0" xfId="4" applyFont="1" applyBorder="1" applyAlignment="1" applyProtection="1">
      <alignment horizontal="justify" vertical="top" wrapText="1" readingOrder="1"/>
      <protection locked="0"/>
    </xf>
    <xf numFmtId="2" fontId="18" fillId="0" borderId="0" xfId="4" applyNumberFormat="1" applyFont="1" applyFill="1" applyAlignment="1" applyProtection="1">
      <alignment horizontal="justify" vertical="justify" wrapText="1" readingOrder="1"/>
      <protection locked="0"/>
    </xf>
    <xf numFmtId="2" fontId="5" fillId="0" borderId="0" xfId="4" applyNumberFormat="1" applyFont="1" applyFill="1" applyAlignment="1">
      <alignment horizontal="justify" vertical="justify" readingOrder="1"/>
    </xf>
    <xf numFmtId="2" fontId="18" fillId="0" borderId="94" xfId="4" applyNumberFormat="1" applyFont="1" applyBorder="1" applyAlignment="1" applyProtection="1">
      <alignment horizontal="center" vertical="justify" wrapText="1" readingOrder="1"/>
      <protection locked="0"/>
    </xf>
    <xf numFmtId="0" fontId="18" fillId="0" borderId="3" xfId="4" applyFont="1" applyBorder="1" applyAlignment="1" applyProtection="1">
      <alignment horizontal="center" vertical="center" wrapText="1" readingOrder="1"/>
      <protection locked="0"/>
    </xf>
    <xf numFmtId="0" fontId="6" fillId="0" borderId="3" xfId="36417" applyFont="1" applyFill="1" applyBorder="1" applyAlignment="1">
      <alignment horizontal="center"/>
    </xf>
    <xf numFmtId="0" fontId="6" fillId="0" borderId="3" xfId="4" applyFont="1" applyBorder="1" applyAlignment="1">
      <alignment horizontal="center"/>
    </xf>
    <xf numFmtId="0" fontId="5" fillId="0" borderId="3" xfId="4" applyFont="1" applyBorder="1" applyAlignment="1" applyProtection="1">
      <alignment vertical="top" wrapText="1"/>
      <protection locked="0"/>
    </xf>
    <xf numFmtId="0" fontId="6" fillId="0" borderId="0" xfId="29279" applyFont="1" applyFill="1" applyBorder="1" applyAlignment="1">
      <alignment horizontal="left" wrapText="1"/>
    </xf>
    <xf numFmtId="0" fontId="6" fillId="0" borderId="39" xfId="29279" applyFont="1" applyFill="1" applyBorder="1" applyAlignment="1">
      <alignment horizontal="center" vertical="center"/>
    </xf>
    <xf numFmtId="0" fontId="6" fillId="0" borderId="41" xfId="29279" applyFont="1" applyFill="1" applyBorder="1" applyAlignment="1">
      <alignment horizontal="center" vertical="center"/>
    </xf>
    <xf numFmtId="0" fontId="5" fillId="0" borderId="0" xfId="29279" applyFont="1" applyBorder="1" applyAlignment="1">
      <alignment horizontal="left"/>
    </xf>
    <xf numFmtId="0" fontId="5" fillId="0" borderId="0" xfId="29279" applyFont="1" applyFill="1" applyBorder="1" applyAlignment="1">
      <alignment horizontal="justify" vertical="center"/>
    </xf>
    <xf numFmtId="0" fontId="5" fillId="0" borderId="94" xfId="29279" applyFont="1" applyFill="1" applyBorder="1" applyAlignment="1">
      <alignment horizontal="left"/>
    </xf>
    <xf numFmtId="0" fontId="6" fillId="0" borderId="86" xfId="29279" applyFont="1" applyFill="1" applyBorder="1" applyAlignment="1">
      <alignment horizontal="center" vertical="center"/>
    </xf>
    <xf numFmtId="0" fontId="6" fillId="0" borderId="94" xfId="29279" applyFont="1" applyFill="1" applyBorder="1" applyAlignment="1">
      <alignment horizontal="left"/>
    </xf>
    <xf numFmtId="0" fontId="6" fillId="0" borderId="0" xfId="8055" applyFont="1" applyFill="1" applyBorder="1" applyAlignment="1">
      <alignment horizontal="left" vertical="center"/>
    </xf>
    <xf numFmtId="0" fontId="6" fillId="0" borderId="3" xfId="36437" applyFont="1" applyFill="1" applyBorder="1" applyAlignment="1">
      <alignment horizontal="center" wrapText="1"/>
    </xf>
    <xf numFmtId="0" fontId="6" fillId="0" borderId="3" xfId="36437" applyFont="1" applyFill="1" applyBorder="1" applyAlignment="1">
      <alignment horizontal="center" vertical="center"/>
    </xf>
    <xf numFmtId="0" fontId="5" fillId="0" borderId="0" xfId="29279" applyFont="1" applyFill="1" applyAlignment="1">
      <alignment horizontal="left"/>
    </xf>
    <xf numFmtId="0" fontId="6" fillId="0" borderId="61" xfId="29279" applyFont="1" applyFill="1" applyBorder="1" applyAlignment="1">
      <alignment horizontal="center" vertical="center" wrapText="1"/>
    </xf>
    <xf numFmtId="0" fontId="6" fillId="0" borderId="40" xfId="29279" applyFont="1" applyFill="1" applyBorder="1" applyAlignment="1">
      <alignment horizontal="center" vertical="center" wrapText="1"/>
    </xf>
    <xf numFmtId="0" fontId="6" fillId="0" borderId="34" xfId="29279" applyFont="1" applyFill="1" applyBorder="1" applyAlignment="1">
      <alignment horizontal="center" vertical="center" wrapText="1"/>
    </xf>
    <xf numFmtId="0" fontId="5" fillId="0" borderId="44" xfId="29279" applyFont="1" applyFill="1" applyBorder="1" applyAlignment="1">
      <alignment horizontal="justify" vertical="center" wrapText="1"/>
    </xf>
    <xf numFmtId="0" fontId="5" fillId="0" borderId="94" xfId="29279" applyFont="1" applyBorder="1" applyAlignment="1">
      <alignment horizontal="left"/>
    </xf>
    <xf numFmtId="0" fontId="5" fillId="0" borderId="0" xfId="8055" applyFont="1" applyBorder="1" applyAlignment="1">
      <alignment horizontal="justify"/>
    </xf>
    <xf numFmtId="0" fontId="5" fillId="0" borderId="0" xfId="36435" applyFont="1" applyFill="1" applyBorder="1" applyAlignment="1">
      <alignment horizontal="left" vertical="top"/>
    </xf>
    <xf numFmtId="0" fontId="6" fillId="0" borderId="31" xfId="29279" applyFont="1" applyFill="1" applyBorder="1" applyAlignment="1">
      <alignment horizontal="center" vertical="center"/>
    </xf>
    <xf numFmtId="0" fontId="8" fillId="0" borderId="0" xfId="0" applyFont="1" applyFill="1" applyAlignment="1">
      <alignment horizontal="left" wrapText="1"/>
    </xf>
    <xf numFmtId="0" fontId="9" fillId="0" borderId="0" xfId="0" applyFont="1" applyAlignment="1">
      <alignment horizontal="justify" vertical="top" wrapText="1"/>
    </xf>
    <xf numFmtId="0" fontId="5" fillId="0" borderId="0" xfId="36418" applyFont="1" applyFill="1" applyBorder="1" applyAlignment="1">
      <alignment horizontal="left"/>
    </xf>
    <xf numFmtId="0" fontId="6" fillId="0" borderId="0" xfId="29279" applyFont="1" applyFill="1" applyBorder="1" applyAlignment="1">
      <alignment horizontal="justify" vertical="center" wrapText="1"/>
    </xf>
    <xf numFmtId="0" fontId="6" fillId="0" borderId="77" xfId="29279" applyFont="1" applyFill="1" applyBorder="1" applyAlignment="1">
      <alignment horizontal="center" vertical="center"/>
    </xf>
    <xf numFmtId="0" fontId="6" fillId="0" borderId="96" xfId="29279" applyFont="1" applyFill="1" applyBorder="1" applyAlignment="1">
      <alignment horizontal="center" vertical="center"/>
    </xf>
    <xf numFmtId="0" fontId="6" fillId="0" borderId="34" xfId="29279" applyFont="1" applyFill="1" applyBorder="1" applyAlignment="1">
      <alignment horizontal="center" vertical="center"/>
    </xf>
    <xf numFmtId="49" fontId="5" fillId="0" borderId="0" xfId="29279" applyNumberFormat="1" applyFont="1" applyFill="1" applyAlignment="1">
      <alignment horizontal="left" vertical="center" wrapText="1"/>
    </xf>
    <xf numFmtId="0" fontId="6" fillId="0" borderId="0" xfId="29279" applyNumberFormat="1" applyFont="1" applyFill="1" applyAlignment="1">
      <alignment horizontal="justify" wrapText="1"/>
    </xf>
    <xf numFmtId="0" fontId="6" fillId="0" borderId="97" xfId="29279" applyFont="1" applyBorder="1" applyAlignment="1">
      <alignment horizontal="center" vertical="center"/>
    </xf>
    <xf numFmtId="0" fontId="6" fillId="0" borderId="44" xfId="29279" applyFont="1" applyBorder="1" applyAlignment="1">
      <alignment horizontal="center" vertical="center"/>
    </xf>
    <xf numFmtId="0" fontId="6" fillId="0" borderId="87" xfId="29279" applyFont="1" applyBorder="1" applyAlignment="1">
      <alignment horizontal="center" vertical="center"/>
    </xf>
    <xf numFmtId="0" fontId="6" fillId="0" borderId="96" xfId="29279" applyFont="1" applyBorder="1" applyAlignment="1">
      <alignment horizontal="center" vertical="center"/>
    </xf>
    <xf numFmtId="0" fontId="6" fillId="0" borderId="40" xfId="29279" applyFont="1" applyBorder="1" applyAlignment="1">
      <alignment horizontal="center" vertical="center"/>
    </xf>
    <xf numFmtId="0" fontId="6" fillId="0" borderId="77" xfId="29279" applyFont="1" applyBorder="1" applyAlignment="1">
      <alignment horizontal="center"/>
    </xf>
    <xf numFmtId="0" fontId="6" fillId="0" borderId="98" xfId="29279" applyFont="1" applyBorder="1" applyAlignment="1">
      <alignment horizontal="center"/>
    </xf>
    <xf numFmtId="0" fontId="6" fillId="0" borderId="99" xfId="29279" applyFont="1" applyBorder="1" applyAlignment="1">
      <alignment horizontal="center"/>
    </xf>
    <xf numFmtId="0" fontId="8" fillId="0" borderId="0" xfId="0" applyFont="1" applyFill="1" applyAlignment="1">
      <alignment horizontal="left" vertical="top" wrapText="1"/>
    </xf>
    <xf numFmtId="0" fontId="5" fillId="0" borderId="0" xfId="4" applyFont="1" applyBorder="1" applyAlignment="1" applyProtection="1">
      <alignment horizontal="justify" vertical="top" wrapText="1"/>
      <protection locked="0"/>
    </xf>
    <xf numFmtId="0" fontId="18" fillId="0" borderId="0" xfId="4" applyFont="1" applyFill="1" applyAlignment="1" applyProtection="1">
      <alignment horizontal="justify" vertical="top" wrapText="1" readingOrder="1"/>
      <protection locked="0"/>
    </xf>
    <xf numFmtId="0" fontId="18" fillId="0" borderId="70" xfId="4" applyFont="1" applyBorder="1" applyAlignment="1" applyProtection="1">
      <alignment horizontal="center" vertical="center" wrapText="1" readingOrder="1"/>
      <protection locked="0"/>
    </xf>
    <xf numFmtId="0" fontId="18" fillId="0" borderId="36" xfId="4" applyFont="1" applyBorder="1" applyAlignment="1" applyProtection="1">
      <alignment horizontal="center" vertical="center" wrapText="1" readingOrder="1"/>
      <protection locked="0"/>
    </xf>
    <xf numFmtId="0" fontId="18" fillId="0" borderId="71" xfId="4" applyFont="1" applyBorder="1" applyAlignment="1" applyProtection="1">
      <alignment horizontal="center" vertical="top" wrapText="1" readingOrder="1"/>
      <protection locked="0"/>
    </xf>
    <xf numFmtId="0" fontId="5" fillId="0" borderId="72" xfId="4" applyFont="1" applyBorder="1" applyAlignment="1" applyProtection="1">
      <alignment vertical="top" wrapText="1"/>
      <protection locked="0"/>
    </xf>
    <xf numFmtId="0" fontId="5" fillId="0" borderId="73" xfId="4" applyFont="1" applyBorder="1" applyAlignment="1" applyProtection="1">
      <alignment vertical="top" wrapText="1"/>
      <protection locked="0"/>
    </xf>
    <xf numFmtId="0" fontId="9" fillId="0" borderId="0" xfId="0" applyFont="1" applyAlignment="1">
      <alignment horizontal="justify" vertical="justify" wrapText="1"/>
    </xf>
    <xf numFmtId="0" fontId="9" fillId="0" borderId="0" xfId="0" applyFont="1" applyAlignment="1">
      <alignment horizontal="justify" vertical="justify"/>
    </xf>
    <xf numFmtId="0" fontId="8" fillId="0" borderId="0" xfId="0" applyFont="1" applyFill="1" applyAlignment="1">
      <alignment horizontal="justify" vertical="justify" wrapText="1"/>
    </xf>
    <xf numFmtId="0" fontId="8" fillId="0" borderId="0" xfId="0" applyFont="1" applyFill="1" applyBorder="1" applyAlignment="1">
      <alignment horizontal="justify" vertical="justify" wrapText="1"/>
    </xf>
    <xf numFmtId="0" fontId="6" fillId="0" borderId="3" xfId="36440" applyFont="1" applyFill="1" applyBorder="1" applyAlignment="1">
      <alignment horizontal="center" vertical="center"/>
    </xf>
    <xf numFmtId="0" fontId="6" fillId="0" borderId="3" xfId="36441" applyFont="1" applyFill="1" applyBorder="1" applyAlignment="1">
      <alignment horizontal="center" vertical="center"/>
    </xf>
    <xf numFmtId="0" fontId="6" fillId="0" borderId="34" xfId="36440" applyFont="1" applyFill="1" applyBorder="1" applyAlignment="1">
      <alignment horizontal="center" vertical="center"/>
    </xf>
    <xf numFmtId="0" fontId="9" fillId="0" borderId="0" xfId="0" applyFont="1" applyFill="1" applyBorder="1" applyAlignment="1">
      <alignment horizontal="justify" vertical="justify" wrapText="1"/>
    </xf>
    <xf numFmtId="0" fontId="9" fillId="0" borderId="0" xfId="0" applyFont="1" applyBorder="1" applyAlignment="1">
      <alignment horizontal="justify" vertical="justify" wrapText="1"/>
    </xf>
    <xf numFmtId="0" fontId="8" fillId="0" borderId="3" xfId="0" applyFont="1" applyBorder="1" applyAlignment="1">
      <alignment horizontal="center" vertical="center"/>
    </xf>
    <xf numFmtId="0" fontId="8" fillId="0" borderId="3" xfId="0" applyFont="1" applyBorder="1" applyAlignment="1">
      <alignment horizontal="center"/>
    </xf>
    <xf numFmtId="0" fontId="9" fillId="0" borderId="3" xfId="0" applyFont="1" applyBorder="1" applyAlignment="1">
      <alignment horizontal="center"/>
    </xf>
    <xf numFmtId="0" fontId="8" fillId="0" borderId="3" xfId="0" applyFont="1" applyBorder="1" applyAlignment="1">
      <alignment horizontal="center" vertical="center" wrapText="1"/>
    </xf>
    <xf numFmtId="0" fontId="6" fillId="0" borderId="0" xfId="36441" applyFont="1" applyFill="1" applyBorder="1" applyAlignment="1">
      <alignment horizontal="justify" vertical="center" wrapText="1"/>
    </xf>
    <xf numFmtId="3" fontId="6" fillId="0" borderId="3" xfId="36440" applyNumberFormat="1" applyFont="1" applyFill="1" applyBorder="1" applyAlignment="1">
      <alignment horizontal="center" vertical="center"/>
    </xf>
    <xf numFmtId="0" fontId="6" fillId="0" borderId="3" xfId="36442" applyFont="1" applyFill="1" applyBorder="1" applyAlignment="1">
      <alignment horizontal="center" vertical="center"/>
    </xf>
    <xf numFmtId="3" fontId="5" fillId="0" borderId="0" xfId="0" applyNumberFormat="1" applyFont="1" applyFill="1" applyBorder="1" applyAlignment="1">
      <alignment horizontal="justify" vertical="justify" wrapText="1"/>
    </xf>
    <xf numFmtId="0" fontId="8" fillId="0" borderId="0" xfId="0" applyFont="1" applyFill="1" applyBorder="1" applyAlignment="1">
      <alignment horizontal="center" vertical="center" wrapText="1"/>
    </xf>
    <xf numFmtId="49" fontId="6" fillId="0" borderId="0" xfId="0" applyNumberFormat="1" applyFont="1" applyFill="1" applyBorder="1" applyAlignment="1">
      <alignment horizontal="justify" vertical="justify" wrapText="1"/>
    </xf>
    <xf numFmtId="3" fontId="5" fillId="0" borderId="0" xfId="0" applyNumberFormat="1" applyFont="1" applyFill="1" applyBorder="1" applyAlignment="1">
      <alignment horizontal="justify" vertical="justify"/>
    </xf>
    <xf numFmtId="49" fontId="5" fillId="0" borderId="0" xfId="0" applyNumberFormat="1" applyFont="1" applyFill="1" applyAlignment="1">
      <alignment horizontal="justify" vertical="justify"/>
    </xf>
    <xf numFmtId="49" fontId="6" fillId="0" borderId="0" xfId="0" applyNumberFormat="1" applyFont="1" applyFill="1" applyAlignment="1">
      <alignment horizontal="justify" vertical="justify" wrapText="1"/>
    </xf>
    <xf numFmtId="0" fontId="5" fillId="0" borderId="0" xfId="0" applyFont="1" applyFill="1" applyAlignment="1">
      <alignment horizontal="justify" vertical="justify"/>
    </xf>
    <xf numFmtId="3" fontId="5" fillId="0" borderId="0" xfId="0" applyNumberFormat="1" applyFont="1" applyFill="1" applyBorder="1" applyAlignment="1">
      <alignment vertical="top" wrapText="1"/>
    </xf>
    <xf numFmtId="0" fontId="8" fillId="0" borderId="103" xfId="0" applyFont="1" applyFill="1" applyBorder="1" applyAlignment="1">
      <alignment horizontal="left" vertical="center"/>
    </xf>
    <xf numFmtId="0" fontId="8" fillId="0" borderId="103" xfId="0" applyFont="1" applyFill="1" applyBorder="1" applyAlignment="1">
      <alignment horizontal="center"/>
    </xf>
    <xf numFmtId="3" fontId="5" fillId="0" borderId="0" xfId="0" applyNumberFormat="1" applyFont="1" applyFill="1" applyBorder="1" applyAlignment="1">
      <alignment horizontal="justify" vertical="top" wrapText="1"/>
    </xf>
    <xf numFmtId="0" fontId="9" fillId="0" borderId="0" xfId="0" applyFont="1" applyFill="1" applyBorder="1" applyAlignment="1">
      <alignment horizontal="left" wrapText="1"/>
    </xf>
    <xf numFmtId="0" fontId="8" fillId="0" borderId="0" xfId="0" applyFont="1" applyFill="1" applyBorder="1" applyAlignment="1">
      <alignment horizontal="left" vertical="top" wrapText="1"/>
    </xf>
    <xf numFmtId="0" fontId="8" fillId="0" borderId="96"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103" xfId="0" applyFont="1" applyFill="1" applyBorder="1" applyAlignment="1">
      <alignment horizontal="center" wrapText="1"/>
    </xf>
    <xf numFmtId="0" fontId="6" fillId="0" borderId="0" xfId="0" applyFont="1" applyFill="1" applyBorder="1" applyAlignment="1">
      <alignment horizontal="justify" vertical="center" wrapText="1"/>
    </xf>
    <xf numFmtId="0" fontId="9" fillId="0" borderId="0" xfId="0" applyFont="1" applyFill="1" applyBorder="1" applyAlignment="1">
      <alignment horizontal="justify" vertical="top" wrapText="1"/>
    </xf>
    <xf numFmtId="0" fontId="9" fillId="0" borderId="0" xfId="0" applyFont="1" applyFill="1" applyBorder="1" applyAlignment="1">
      <alignment horizontal="justify" wrapText="1"/>
    </xf>
    <xf numFmtId="0" fontId="6" fillId="0" borderId="103" xfId="0" applyFont="1" applyFill="1" applyBorder="1" applyAlignment="1">
      <alignment horizontal="center" vertical="center" wrapText="1"/>
    </xf>
    <xf numFmtId="0" fontId="8" fillId="0" borderId="103" xfId="0" applyFont="1" applyFill="1" applyBorder="1" applyAlignment="1">
      <alignment horizontal="center" vertical="center" wrapText="1"/>
    </xf>
    <xf numFmtId="0" fontId="9" fillId="0" borderId="0" xfId="0" applyFont="1" applyFill="1" applyBorder="1" applyAlignment="1">
      <alignment horizontal="left"/>
    </xf>
    <xf numFmtId="0" fontId="6" fillId="0" borderId="0" xfId="0" applyFont="1" applyFill="1" applyBorder="1" applyAlignment="1">
      <alignment horizontal="left" wrapText="1"/>
    </xf>
    <xf numFmtId="0" fontId="9" fillId="0" borderId="0" xfId="0" applyFont="1" applyFill="1" applyBorder="1" applyAlignment="1">
      <alignment horizontal="left" vertical="center" wrapText="1"/>
    </xf>
    <xf numFmtId="0" fontId="5" fillId="0" borderId="0" xfId="0" applyFont="1" applyBorder="1" applyAlignment="1" applyProtection="1">
      <alignment horizontal="left" vertical="top" wrapText="1" readingOrder="1"/>
      <protection locked="0"/>
    </xf>
    <xf numFmtId="0" fontId="6" fillId="0" borderId="103" xfId="15382" applyFont="1" applyFill="1" applyBorder="1" applyAlignment="1">
      <alignment horizontal="center" vertical="center"/>
    </xf>
    <xf numFmtId="0" fontId="6" fillId="0" borderId="105" xfId="36417" applyFont="1" applyFill="1" applyBorder="1" applyAlignment="1">
      <alignment horizontal="center"/>
    </xf>
    <xf numFmtId="0" fontId="6" fillId="0" borderId="104" xfId="36417" applyFont="1" applyFill="1" applyBorder="1" applyAlignment="1">
      <alignment horizontal="center"/>
    </xf>
    <xf numFmtId="0" fontId="6" fillId="0" borderId="0" xfId="0" applyFont="1" applyBorder="1" applyAlignment="1" applyProtection="1">
      <alignment horizontal="left" vertical="top" wrapText="1" readingOrder="1"/>
      <protection locked="0"/>
    </xf>
    <xf numFmtId="0" fontId="6" fillId="0" borderId="0" xfId="0" applyFont="1" applyBorder="1" applyAlignment="1" applyProtection="1">
      <alignment vertical="top" wrapText="1" readingOrder="1"/>
      <protection locked="0"/>
    </xf>
    <xf numFmtId="0" fontId="27" fillId="0" borderId="0" xfId="0" applyFont="1" applyBorder="1" applyAlignment="1" applyProtection="1">
      <alignment vertical="top" wrapText="1"/>
      <protection locked="0"/>
    </xf>
    <xf numFmtId="0" fontId="5" fillId="0" borderId="0" xfId="0" applyFont="1" applyBorder="1" applyAlignment="1" applyProtection="1">
      <alignment vertical="top" wrapText="1" readingOrder="1"/>
      <protection locked="0"/>
    </xf>
    <xf numFmtId="0" fontId="6" fillId="0" borderId="96" xfId="15382" applyFont="1" applyFill="1" applyBorder="1" applyAlignment="1">
      <alignment horizontal="center" vertical="center"/>
    </xf>
    <xf numFmtId="0" fontId="6" fillId="0" borderId="40" xfId="15382" applyFont="1" applyFill="1" applyBorder="1" applyAlignment="1">
      <alignment horizontal="center" vertical="center"/>
    </xf>
    <xf numFmtId="0" fontId="6" fillId="0" borderId="34" xfId="15382" applyFont="1" applyFill="1" applyBorder="1" applyAlignment="1">
      <alignment horizontal="center" vertical="center"/>
    </xf>
    <xf numFmtId="0" fontId="6" fillId="0" borderId="100" xfId="36417" applyFont="1" applyFill="1" applyBorder="1" applyAlignment="1">
      <alignment horizontal="center"/>
    </xf>
    <xf numFmtId="0" fontId="6" fillId="0" borderId="96" xfId="36417" applyFont="1" applyFill="1" applyBorder="1" applyAlignment="1">
      <alignment horizontal="center" vertical="center"/>
    </xf>
    <xf numFmtId="0" fontId="6" fillId="0" borderId="34" xfId="36417" applyFont="1" applyFill="1" applyBorder="1" applyAlignment="1">
      <alignment horizontal="center" vertical="center"/>
    </xf>
    <xf numFmtId="0" fontId="6" fillId="0" borderId="0" xfId="0" applyFont="1" applyFill="1" applyBorder="1" applyAlignment="1" applyProtection="1">
      <alignment vertical="top" wrapText="1" readingOrder="1"/>
      <protection locked="0"/>
    </xf>
    <xf numFmtId="0" fontId="27" fillId="0" borderId="0" xfId="0" applyFont="1" applyFill="1" applyBorder="1" applyAlignment="1" applyProtection="1">
      <alignment vertical="top" wrapText="1"/>
      <protection locked="0"/>
    </xf>
    <xf numFmtId="0" fontId="6" fillId="0" borderId="0" xfId="36417" applyFont="1" applyFill="1" applyBorder="1" applyAlignment="1">
      <alignment horizontal="left" vertical="top" wrapText="1"/>
    </xf>
    <xf numFmtId="0" fontId="6" fillId="0" borderId="103" xfId="36417" applyFont="1" applyFill="1" applyBorder="1" applyAlignment="1">
      <alignment horizontal="center" vertical="center" wrapText="1"/>
    </xf>
    <xf numFmtId="0" fontId="6" fillId="0" borderId="97" xfId="36417" applyFont="1" applyFill="1" applyBorder="1" applyAlignment="1">
      <alignment horizontal="center" vertical="center"/>
    </xf>
    <xf numFmtId="0" fontId="6" fillId="0" borderId="44" xfId="36417" applyFont="1" applyFill="1" applyBorder="1" applyAlignment="1">
      <alignment horizontal="center" vertical="center"/>
    </xf>
    <xf numFmtId="0" fontId="6" fillId="0" borderId="103" xfId="36417" applyFont="1" applyFill="1" applyBorder="1" applyAlignment="1">
      <alignment horizontal="center"/>
    </xf>
    <xf numFmtId="0" fontId="6" fillId="0" borderId="103" xfId="36417" applyFont="1" applyFill="1" applyBorder="1" applyAlignment="1">
      <alignment horizontal="center" wrapText="1"/>
    </xf>
    <xf numFmtId="0" fontId="6" fillId="0" borderId="96" xfId="36417" applyFont="1" applyFill="1" applyBorder="1" applyAlignment="1">
      <alignment horizontal="center" vertical="center" wrapText="1"/>
    </xf>
    <xf numFmtId="0" fontId="6" fillId="0" borderId="103" xfId="36417" applyFont="1" applyFill="1" applyBorder="1" applyAlignment="1">
      <alignment horizontal="center" vertical="top" wrapText="1"/>
    </xf>
    <xf numFmtId="0" fontId="5" fillId="0" borderId="0" xfId="36417" applyFont="1" applyFill="1" applyBorder="1" applyAlignment="1">
      <alignment horizontal="justify" vertical="justify" wrapText="1"/>
    </xf>
    <xf numFmtId="0" fontId="6" fillId="0" borderId="0" xfId="0" applyFont="1" applyFill="1" applyAlignment="1" applyProtection="1">
      <alignment horizontal="justify" vertical="justify" wrapText="1" readingOrder="1"/>
      <protection locked="0"/>
    </xf>
    <xf numFmtId="0" fontId="5" fillId="0" borderId="0" xfId="0" applyFont="1" applyFill="1" applyAlignment="1" applyProtection="1">
      <alignment horizontal="center" vertical="top" wrapText="1" readingOrder="1"/>
      <protection locked="0"/>
    </xf>
    <xf numFmtId="0" fontId="6" fillId="0" borderId="103" xfId="0" applyFont="1" applyFill="1" applyBorder="1" applyAlignment="1" applyProtection="1">
      <alignment horizontal="center" vertical="top" wrapText="1" readingOrder="1"/>
      <protection locked="0"/>
    </xf>
    <xf numFmtId="0" fontId="6" fillId="0" borderId="105" xfId="0" applyFont="1" applyFill="1" applyBorder="1" applyAlignment="1" applyProtection="1">
      <alignment horizontal="center" wrapText="1" readingOrder="1"/>
      <protection locked="0"/>
    </xf>
    <xf numFmtId="0" fontId="6" fillId="0" borderId="100" xfId="0" applyFont="1" applyFill="1" applyBorder="1" applyAlignment="1" applyProtection="1">
      <alignment horizontal="center" wrapText="1" readingOrder="1"/>
      <protection locked="0"/>
    </xf>
    <xf numFmtId="0" fontId="6" fillId="0" borderId="104" xfId="0" applyFont="1" applyFill="1" applyBorder="1" applyAlignment="1" applyProtection="1">
      <alignment horizontal="center" wrapText="1" readingOrder="1"/>
      <protection locked="0"/>
    </xf>
    <xf numFmtId="0" fontId="18" fillId="0" borderId="0" xfId="7" applyFont="1" applyAlignment="1" applyProtection="1">
      <alignment horizontal="center" vertical="top" wrapText="1" readingOrder="1"/>
      <protection locked="0"/>
    </xf>
    <xf numFmtId="0" fontId="18" fillId="0" borderId="103" xfId="7" applyFont="1" applyBorder="1" applyAlignment="1" applyProtection="1">
      <alignment horizontal="center" vertical="center" wrapText="1" readingOrder="1"/>
      <protection locked="0"/>
    </xf>
    <xf numFmtId="0" fontId="6" fillId="0" borderId="103" xfId="15382" applyFont="1" applyFill="1" applyBorder="1" applyAlignment="1">
      <alignment horizontal="center" vertical="center" wrapText="1"/>
    </xf>
    <xf numFmtId="0" fontId="6" fillId="0" borderId="103" xfId="15382" applyFont="1" applyBorder="1" applyAlignment="1">
      <alignment horizontal="center" vertical="center"/>
    </xf>
    <xf numFmtId="0" fontId="18" fillId="0" borderId="103" xfId="7" applyFont="1" applyBorder="1" applyAlignment="1" applyProtection="1">
      <alignment horizontal="center" vertical="center" readingOrder="1"/>
      <protection locked="0"/>
    </xf>
    <xf numFmtId="0" fontId="19" fillId="0" borderId="0" xfId="7" applyFont="1" applyBorder="1" applyAlignment="1" applyProtection="1">
      <alignment horizontal="center" vertical="top" wrapText="1" readingOrder="1"/>
      <protection locked="0"/>
    </xf>
    <xf numFmtId="0" fontId="18" fillId="0" borderId="103" xfId="7" applyFont="1" applyBorder="1" applyAlignment="1" applyProtection="1">
      <alignment horizontal="center" vertical="top" wrapText="1" readingOrder="1"/>
      <protection locked="0"/>
    </xf>
    <xf numFmtId="0" fontId="5" fillId="0" borderId="103" xfId="7" applyFont="1" applyBorder="1" applyAlignment="1" applyProtection="1">
      <alignment vertical="top" wrapText="1"/>
      <protection locked="0"/>
    </xf>
    <xf numFmtId="0" fontId="6" fillId="0" borderId="44" xfId="15382" applyFont="1" applyFill="1" applyBorder="1" applyAlignment="1">
      <alignment horizontal="center" vertical="center"/>
    </xf>
    <xf numFmtId="0" fontId="6" fillId="0" borderId="87" xfId="15382" applyFont="1" applyFill="1" applyBorder="1" applyAlignment="1">
      <alignment horizontal="center" vertical="center"/>
    </xf>
    <xf numFmtId="0" fontId="18" fillId="0" borderId="107" xfId="7" applyFont="1" applyBorder="1" applyAlignment="1" applyProtection="1">
      <alignment horizontal="center" vertical="center" wrapText="1" readingOrder="1"/>
      <protection locked="0"/>
    </xf>
    <xf numFmtId="0" fontId="18" fillId="0" borderId="108" xfId="7" applyFont="1" applyBorder="1" applyAlignment="1" applyProtection="1">
      <alignment horizontal="center" vertical="center" wrapText="1" readingOrder="1"/>
      <protection locked="0"/>
    </xf>
    <xf numFmtId="0" fontId="18" fillId="0" borderId="109" xfId="7" applyFont="1" applyBorder="1" applyAlignment="1" applyProtection="1">
      <alignment horizontal="center" vertical="center" wrapText="1" readingOrder="1"/>
      <protection locked="0"/>
    </xf>
    <xf numFmtId="0" fontId="6" fillId="0" borderId="105" xfId="15382" applyFont="1" applyFill="1" applyBorder="1" applyAlignment="1">
      <alignment horizontal="center" vertical="center" wrapText="1"/>
    </xf>
    <xf numFmtId="0" fontId="6" fillId="0" borderId="105" xfId="15382" applyFont="1" applyFill="1" applyBorder="1" applyAlignment="1">
      <alignment horizontal="center" vertical="center"/>
    </xf>
    <xf numFmtId="0" fontId="6" fillId="0" borderId="3" xfId="15382" applyFont="1" applyFill="1" applyBorder="1" applyAlignment="1">
      <alignment horizontal="center" vertical="center" wrapText="1"/>
    </xf>
    <xf numFmtId="0" fontId="6" fillId="0" borderId="3" xfId="15382" applyFont="1" applyFill="1" applyBorder="1" applyAlignment="1">
      <alignment horizontal="center" vertical="center"/>
    </xf>
    <xf numFmtId="0" fontId="6" fillId="0" borderId="98" xfId="15382" applyFont="1" applyFill="1" applyBorder="1" applyAlignment="1">
      <alignment horizontal="center" vertical="center" wrapText="1"/>
    </xf>
    <xf numFmtId="0" fontId="18" fillId="0" borderId="111" xfId="7" applyFont="1" applyBorder="1" applyAlignment="1" applyProtection="1">
      <alignment horizontal="center" vertical="center" wrapText="1" readingOrder="1"/>
      <protection locked="0"/>
    </xf>
    <xf numFmtId="0" fontId="6" fillId="0" borderId="97" xfId="15382" applyFont="1" applyFill="1" applyBorder="1" applyAlignment="1">
      <alignment horizontal="center" vertical="center"/>
    </xf>
    <xf numFmtId="0" fontId="6" fillId="0" borderId="100" xfId="15382" applyFont="1" applyFill="1" applyBorder="1" applyAlignment="1">
      <alignment horizontal="center" vertical="center"/>
    </xf>
    <xf numFmtId="0" fontId="6" fillId="0" borderId="104" xfId="15382" applyFont="1" applyFill="1" applyBorder="1" applyAlignment="1">
      <alignment horizontal="center" vertical="center"/>
    </xf>
    <xf numFmtId="0" fontId="5" fillId="0" borderId="0" xfId="15382" applyFont="1" applyFill="1" applyBorder="1" applyAlignment="1">
      <alignment horizontal="justify" vertical="center"/>
    </xf>
    <xf numFmtId="0" fontId="18" fillId="0" borderId="110" xfId="7" applyFont="1" applyBorder="1" applyAlignment="1" applyProtection="1">
      <alignment horizontal="center" vertical="center" wrapText="1" readingOrder="1"/>
      <protection locked="0"/>
    </xf>
    <xf numFmtId="0" fontId="19" fillId="0" borderId="94" xfId="7" applyFont="1" applyFill="1" applyBorder="1" applyAlignment="1" applyProtection="1">
      <alignment horizontal="center" vertical="top" wrapText="1" readingOrder="1"/>
      <protection locked="0"/>
    </xf>
    <xf numFmtId="0" fontId="19" fillId="0" borderId="112" xfId="7" applyFont="1" applyFill="1" applyBorder="1" applyAlignment="1" applyProtection="1">
      <alignment horizontal="justify" vertical="top" wrapText="1" readingOrder="1"/>
      <protection locked="0"/>
    </xf>
    <xf numFmtId="0" fontId="18" fillId="0" borderId="0" xfId="7" applyFont="1" applyFill="1" applyAlignment="1" applyProtection="1">
      <alignment horizontal="left" vertical="top" wrapText="1" readingOrder="1"/>
      <protection locked="0"/>
    </xf>
    <xf numFmtId="0" fontId="19" fillId="0" borderId="0" xfId="7" applyFont="1" applyFill="1" applyAlignment="1" applyProtection="1">
      <alignment horizontal="center" vertical="top" wrapText="1" readingOrder="1"/>
      <protection locked="0"/>
    </xf>
    <xf numFmtId="0" fontId="5" fillId="0" borderId="3" xfId="7" applyFont="1" applyFill="1" applyBorder="1" applyAlignment="1" applyProtection="1">
      <alignment vertical="top" wrapText="1"/>
      <protection locked="0"/>
    </xf>
    <xf numFmtId="0" fontId="5" fillId="0" borderId="0" xfId="7" applyFont="1" applyFill="1" applyBorder="1"/>
    <xf numFmtId="0" fontId="5" fillId="0" borderId="0" xfId="7" applyFont="1" applyFill="1" applyBorder="1" applyAlignment="1" applyProtection="1">
      <alignment horizontal="justify" vertical="top" wrapText="1"/>
      <protection locked="0"/>
    </xf>
    <xf numFmtId="0" fontId="5" fillId="0" borderId="0" xfId="7" applyFont="1" applyFill="1" applyAlignment="1">
      <alignment horizontal="justify"/>
    </xf>
    <xf numFmtId="0" fontId="5" fillId="0" borderId="0" xfId="7" applyFont="1" applyFill="1"/>
    <xf numFmtId="0" fontId="6" fillId="0" borderId="0" xfId="21928" applyFont="1" applyFill="1" applyBorder="1" applyAlignment="1">
      <alignment horizontal="left" vertical="center"/>
    </xf>
    <xf numFmtId="0" fontId="6" fillId="0" borderId="3" xfId="21928" applyFont="1" applyFill="1" applyBorder="1" applyAlignment="1">
      <alignment horizontal="center" vertical="center" wrapText="1"/>
    </xf>
    <xf numFmtId="0" fontId="5" fillId="0" borderId="3" xfId="21928" applyFont="1" applyFill="1" applyBorder="1" applyAlignment="1">
      <alignment horizontal="center" vertical="center" wrapText="1"/>
    </xf>
    <xf numFmtId="0" fontId="6" fillId="0" borderId="105" xfId="21928" applyFont="1" applyFill="1" applyBorder="1" applyAlignment="1">
      <alignment horizontal="center" vertical="center" wrapText="1"/>
    </xf>
    <xf numFmtId="0" fontId="5" fillId="0" borderId="105" xfId="21928" applyFont="1" applyFill="1" applyBorder="1" applyAlignment="1">
      <alignment horizontal="center" vertical="center" wrapText="1"/>
    </xf>
    <xf numFmtId="0" fontId="6" fillId="0" borderId="100" xfId="21928" applyFont="1" applyFill="1" applyBorder="1" applyAlignment="1">
      <alignment horizontal="center" vertical="center" wrapText="1"/>
    </xf>
    <xf numFmtId="0" fontId="6" fillId="0" borderId="104" xfId="21928" applyFont="1" applyFill="1" applyBorder="1" applyAlignment="1">
      <alignment horizontal="center" vertical="center" wrapText="1"/>
    </xf>
    <xf numFmtId="0" fontId="6" fillId="0" borderId="0" xfId="7" applyFont="1" applyBorder="1" applyAlignment="1" applyProtection="1">
      <alignment horizontal="left" vertical="top" wrapText="1" readingOrder="1"/>
      <protection locked="0"/>
    </xf>
    <xf numFmtId="0" fontId="6" fillId="0" borderId="0" xfId="22851" applyFont="1" applyFill="1" applyBorder="1" applyAlignment="1">
      <alignment horizontal="left" vertical="center" wrapText="1"/>
    </xf>
    <xf numFmtId="0" fontId="6" fillId="0" borderId="3" xfId="22851" applyFont="1" applyFill="1" applyBorder="1" applyAlignment="1">
      <alignment horizontal="center" vertical="center" wrapText="1"/>
    </xf>
    <xf numFmtId="0" fontId="5" fillId="0" borderId="3" xfId="22851" applyFont="1" applyFill="1" applyBorder="1" applyAlignment="1">
      <alignment horizontal="center" vertical="center" wrapText="1"/>
    </xf>
    <xf numFmtId="0" fontId="6" fillId="0" borderId="96" xfId="22851" applyFont="1" applyFill="1" applyBorder="1" applyAlignment="1">
      <alignment horizontal="center" vertical="center" wrapText="1"/>
    </xf>
    <xf numFmtId="0" fontId="5" fillId="0" borderId="34" xfId="22851" applyFont="1" applyFill="1" applyBorder="1" applyAlignment="1">
      <alignment horizontal="center" vertical="center" wrapText="1"/>
    </xf>
    <xf numFmtId="0" fontId="6" fillId="0" borderId="105" xfId="22851" applyFont="1" applyFill="1" applyBorder="1" applyAlignment="1">
      <alignment horizontal="center" vertical="center" wrapText="1"/>
    </xf>
    <xf numFmtId="0" fontId="6" fillId="0" borderId="100" xfId="22851" applyFont="1" applyFill="1" applyBorder="1" applyAlignment="1">
      <alignment horizontal="center" vertical="center" wrapText="1"/>
    </xf>
    <xf numFmtId="0" fontId="6" fillId="0" borderId="104" xfId="22851" applyFont="1" applyFill="1" applyBorder="1" applyAlignment="1">
      <alignment horizontal="center" vertical="center" wrapText="1"/>
    </xf>
    <xf numFmtId="0" fontId="6" fillId="0" borderId="0" xfId="22851" applyFont="1" applyFill="1" applyBorder="1" applyAlignment="1">
      <alignment horizontal="left" vertical="center"/>
    </xf>
    <xf numFmtId="166" fontId="18" fillId="0" borderId="0" xfId="7" applyNumberFormat="1" applyFont="1" applyBorder="1" applyAlignment="1" applyProtection="1">
      <alignment horizontal="justify" vertical="justify" wrapText="1" readingOrder="1"/>
      <protection locked="0"/>
    </xf>
    <xf numFmtId="0" fontId="6" fillId="0" borderId="3" xfId="23774" applyFont="1" applyFill="1" applyBorder="1" applyAlignment="1">
      <alignment horizontal="center" vertical="center"/>
    </xf>
    <xf numFmtId="0" fontId="19" fillId="0" borderId="0" xfId="7" applyFont="1" applyBorder="1" applyAlignment="1" applyProtection="1">
      <alignment horizontal="justify" wrapText="1" readingOrder="1"/>
      <protection locked="0"/>
    </xf>
    <xf numFmtId="0" fontId="54" fillId="0" borderId="3" xfId="7" applyFont="1" applyBorder="1" applyAlignment="1" applyProtection="1">
      <alignment vertical="top" wrapText="1"/>
      <protection locked="0"/>
    </xf>
    <xf numFmtId="0" fontId="6" fillId="0" borderId="3" xfId="17444" applyFont="1" applyFill="1" applyBorder="1" applyAlignment="1">
      <alignment horizontal="center" vertical="center" wrapText="1"/>
    </xf>
    <xf numFmtId="0" fontId="6" fillId="0" borderId="3" xfId="24959" applyFont="1" applyFill="1" applyBorder="1" applyAlignment="1">
      <alignment horizontal="center" vertical="center" wrapText="1"/>
    </xf>
    <xf numFmtId="0" fontId="5" fillId="0" borderId="0" xfId="7" applyFont="1" applyBorder="1" applyAlignment="1" applyProtection="1">
      <alignment horizontal="justify" vertical="center" wrapText="1"/>
      <protection locked="0"/>
    </xf>
    <xf numFmtId="0" fontId="18" fillId="0" borderId="94" xfId="7" applyFont="1" applyBorder="1" applyAlignment="1" applyProtection="1">
      <alignment horizontal="left" vertical="justify" wrapText="1" readingOrder="1"/>
      <protection locked="0"/>
    </xf>
    <xf numFmtId="49" fontId="5" fillId="0" borderId="0" xfId="7" applyNumberFormat="1" applyFont="1" applyFill="1" applyBorder="1" applyAlignment="1" applyProtection="1">
      <alignment horizontal="justify" vertical="top" wrapText="1" readingOrder="1"/>
      <protection locked="0"/>
    </xf>
    <xf numFmtId="49" fontId="19" fillId="0" borderId="0" xfId="7" applyNumberFormat="1" applyFont="1" applyFill="1" applyBorder="1" applyAlignment="1" applyProtection="1">
      <alignment horizontal="justify" vertical="top" wrapText="1" readingOrder="1"/>
      <protection locked="0"/>
    </xf>
    <xf numFmtId="0" fontId="18" fillId="0" borderId="0" xfId="7" applyFont="1" applyFill="1" applyBorder="1" applyAlignment="1" applyProtection="1">
      <alignment horizontal="justify" vertical="justify" wrapText="1" readingOrder="1"/>
      <protection locked="0"/>
    </xf>
    <xf numFmtId="0" fontId="5" fillId="0" borderId="0" xfId="7" applyFont="1" applyFill="1" applyBorder="1" applyAlignment="1" applyProtection="1">
      <alignment horizontal="justify" vertical="justify" wrapText="1" readingOrder="1"/>
      <protection locked="0"/>
    </xf>
    <xf numFmtId="0" fontId="5" fillId="0" borderId="3" xfId="7" applyFont="1" applyBorder="1" applyAlignment="1" applyProtection="1">
      <alignment vertical="center" wrapText="1"/>
      <protection locked="0"/>
    </xf>
    <xf numFmtId="49" fontId="19" fillId="0" borderId="0" xfId="7" applyNumberFormat="1" applyFont="1" applyBorder="1" applyAlignment="1" applyProtection="1">
      <alignment horizontal="justify" vertical="top" wrapText="1" readingOrder="1"/>
      <protection locked="0"/>
    </xf>
    <xf numFmtId="0" fontId="18" fillId="0" borderId="0" xfId="7" applyFont="1" applyBorder="1" applyAlignment="1" applyProtection="1">
      <alignment horizontal="center" vertical="justify" wrapText="1" readingOrder="1"/>
      <protection locked="0"/>
    </xf>
    <xf numFmtId="0" fontId="18" fillId="0" borderId="3" xfId="7" applyFont="1" applyBorder="1" applyAlignment="1" applyProtection="1">
      <alignment horizontal="left" vertical="center" wrapText="1" readingOrder="1"/>
      <protection locked="0"/>
    </xf>
    <xf numFmtId="0" fontId="5" fillId="0" borderId="0" xfId="7" applyFont="1" applyFill="1" applyBorder="1" applyAlignment="1"/>
    <xf numFmtId="3" fontId="5" fillId="0" borderId="0" xfId="15382" applyNumberFormat="1" applyFont="1" applyFill="1" applyBorder="1" applyAlignment="1" applyProtection="1">
      <alignment horizontal="justify" vertical="center"/>
      <protection locked="0"/>
    </xf>
    <xf numFmtId="0" fontId="6" fillId="0" borderId="0" xfId="7" applyFont="1" applyBorder="1" applyAlignment="1" applyProtection="1">
      <alignment horizontal="justify" vertical="justify" wrapText="1" readingOrder="1"/>
      <protection locked="0"/>
    </xf>
    <xf numFmtId="3" fontId="5" fillId="0" borderId="0" xfId="15382" applyNumberFormat="1" applyFont="1" applyFill="1" applyBorder="1" applyAlignment="1" applyProtection="1">
      <alignment horizontal="justify" vertical="center" wrapText="1"/>
      <protection locked="0"/>
    </xf>
    <xf numFmtId="49" fontId="5" fillId="0" borderId="0" xfId="15382" applyNumberFormat="1" applyFont="1" applyFill="1" applyBorder="1" applyAlignment="1">
      <alignment horizontal="justify"/>
    </xf>
    <xf numFmtId="0" fontId="5" fillId="0" borderId="0" xfId="7" applyFont="1" applyFill="1" applyBorder="1" applyAlignment="1">
      <alignment horizontal="justify" vertical="top" wrapText="1"/>
    </xf>
    <xf numFmtId="0" fontId="5" fillId="0" borderId="0" xfId="7" applyFont="1" applyFill="1" applyBorder="1" applyAlignment="1">
      <alignment horizontal="justify" vertical="top"/>
    </xf>
    <xf numFmtId="0" fontId="18" fillId="0" borderId="0" xfId="7" applyFont="1" applyBorder="1" applyAlignment="1" applyProtection="1">
      <alignment horizontal="left" vertical="center" wrapText="1" readingOrder="1"/>
      <protection locked="0"/>
    </xf>
    <xf numFmtId="0" fontId="5" fillId="0" borderId="0" xfId="7" applyFont="1" applyBorder="1" applyAlignment="1" applyProtection="1">
      <alignment vertical="center" wrapText="1"/>
      <protection locked="0"/>
    </xf>
    <xf numFmtId="0" fontId="5" fillId="0" borderId="0" xfId="7" applyFont="1" applyBorder="1" applyAlignment="1">
      <alignment horizontal="justify" vertical="top" wrapText="1"/>
    </xf>
    <xf numFmtId="0" fontId="5" fillId="0" borderId="0" xfId="7" applyFont="1" applyBorder="1" applyAlignment="1" applyProtection="1">
      <alignment horizontal="justify" vertical="justify" wrapText="1" readingOrder="1"/>
      <protection locked="0"/>
    </xf>
    <xf numFmtId="0" fontId="4" fillId="0" borderId="0" xfId="7" applyBorder="1" applyAlignment="1" applyProtection="1">
      <alignment horizontal="left" vertical="top" wrapText="1"/>
      <protection locked="0"/>
    </xf>
    <xf numFmtId="0" fontId="4" fillId="0" borderId="0" xfId="7" applyBorder="1" applyAlignment="1" applyProtection="1">
      <alignment horizontal="justify" vertical="justify" wrapText="1"/>
      <protection locked="0"/>
    </xf>
    <xf numFmtId="49" fontId="19" fillId="0" borderId="0" xfId="7" applyNumberFormat="1" applyFont="1" applyBorder="1" applyAlignment="1" applyProtection="1">
      <alignment horizontal="left" vertical="top" wrapText="1" readingOrder="1"/>
      <protection locked="0"/>
    </xf>
    <xf numFmtId="0" fontId="18" fillId="0" borderId="0" xfId="7" applyFont="1" applyBorder="1" applyAlignment="1" applyProtection="1">
      <alignment horizontal="justify" vertical="top" readingOrder="1"/>
      <protection locked="0"/>
    </xf>
    <xf numFmtId="0" fontId="18" fillId="0" borderId="117" xfId="7" applyFont="1" applyBorder="1" applyAlignment="1" applyProtection="1">
      <alignment horizontal="center" vertical="center" wrapText="1" readingOrder="1"/>
      <protection locked="0"/>
    </xf>
    <xf numFmtId="0" fontId="18" fillId="0" borderId="117" xfId="7" applyFont="1" applyBorder="1" applyAlignment="1" applyProtection="1">
      <alignment horizontal="center" vertical="top" wrapText="1" readingOrder="1"/>
      <protection locked="0"/>
    </xf>
    <xf numFmtId="0" fontId="4" fillId="0" borderId="120" xfId="7" applyBorder="1" applyAlignment="1" applyProtection="1">
      <alignment vertical="top" wrapText="1"/>
      <protection locked="0"/>
    </xf>
    <xf numFmtId="0" fontId="4" fillId="0" borderId="121" xfId="7" applyBorder="1" applyAlignment="1" applyProtection="1">
      <alignment vertical="top" wrapText="1"/>
      <protection locked="0"/>
    </xf>
    <xf numFmtId="0" fontId="4" fillId="0" borderId="122" xfId="7" applyBorder="1" applyAlignment="1" applyProtection="1">
      <alignment vertical="top" wrapText="1"/>
      <protection locked="0"/>
    </xf>
    <xf numFmtId="0" fontId="4" fillId="0" borderId="119" xfId="7" applyBorder="1" applyAlignment="1" applyProtection="1">
      <alignment vertical="top" wrapText="1"/>
      <protection locked="0"/>
    </xf>
    <xf numFmtId="0" fontId="19" fillId="0" borderId="116" xfId="7" applyFont="1" applyBorder="1" applyAlignment="1" applyProtection="1">
      <alignment horizontal="center" vertical="top" wrapText="1" readingOrder="1"/>
      <protection locked="0"/>
    </xf>
    <xf numFmtId="0" fontId="18" fillId="0" borderId="118" xfId="7" applyFont="1" applyBorder="1" applyAlignment="1" applyProtection="1">
      <alignment horizontal="center" vertical="top" wrapText="1" readingOrder="1"/>
      <protection locked="0"/>
    </xf>
    <xf numFmtId="0" fontId="18" fillId="0" borderId="122" xfId="7" applyFont="1" applyBorder="1" applyAlignment="1" applyProtection="1">
      <alignment horizontal="center" vertical="top" wrapText="1" readingOrder="1"/>
      <protection locked="0"/>
    </xf>
    <xf numFmtId="0" fontId="18" fillId="0" borderId="119" xfId="7" applyFont="1" applyBorder="1" applyAlignment="1" applyProtection="1">
      <alignment horizontal="center" vertical="top" wrapText="1" readingOrder="1"/>
      <protection locked="0"/>
    </xf>
    <xf numFmtId="0" fontId="5" fillId="0" borderId="120" xfId="7" applyFont="1" applyBorder="1" applyAlignment="1" applyProtection="1">
      <alignment vertical="top" wrapText="1"/>
      <protection locked="0"/>
    </xf>
    <xf numFmtId="0" fontId="5" fillId="0" borderId="121" xfId="7" applyFont="1" applyBorder="1" applyAlignment="1" applyProtection="1">
      <alignment vertical="top" wrapText="1"/>
      <protection locked="0"/>
    </xf>
    <xf numFmtId="0" fontId="5" fillId="0" borderId="122" xfId="7" applyFont="1" applyBorder="1" applyAlignment="1" applyProtection="1">
      <alignment vertical="top" wrapText="1"/>
      <protection locked="0"/>
    </xf>
    <xf numFmtId="0" fontId="5" fillId="0" borderId="119" xfId="7" applyFont="1" applyBorder="1" applyAlignment="1" applyProtection="1">
      <alignment vertical="top" wrapText="1"/>
      <protection locked="0"/>
    </xf>
    <xf numFmtId="0" fontId="6" fillId="0" borderId="0" xfId="15382" applyFont="1" applyFill="1" applyAlignment="1" applyProtection="1">
      <alignment horizontal="justify" vertical="top" wrapText="1" readingOrder="1"/>
      <protection locked="0"/>
    </xf>
    <xf numFmtId="0" fontId="5" fillId="0" borderId="0" xfId="15382" applyFont="1" applyFill="1" applyAlignment="1">
      <alignment horizontal="justify"/>
    </xf>
    <xf numFmtId="0" fontId="5" fillId="0" borderId="0" xfId="15382" applyFont="1" applyFill="1" applyAlignment="1" applyProtection="1">
      <alignment vertical="top" wrapText="1" readingOrder="1"/>
      <protection locked="0"/>
    </xf>
    <xf numFmtId="0" fontId="5" fillId="0" borderId="0" xfId="15382" applyFont="1" applyFill="1"/>
    <xf numFmtId="0" fontId="6" fillId="0" borderId="117" xfId="15382" applyFont="1" applyFill="1" applyBorder="1" applyAlignment="1" applyProtection="1">
      <alignment horizontal="center" vertical="center" wrapText="1" readingOrder="1"/>
      <protection locked="0"/>
    </xf>
    <xf numFmtId="0" fontId="6" fillId="0" borderId="45" xfId="15382" applyFont="1" applyFill="1" applyBorder="1" applyAlignment="1" applyProtection="1">
      <alignment horizontal="center" vertical="center" wrapText="1" readingOrder="1"/>
      <protection locked="0"/>
    </xf>
    <xf numFmtId="0" fontId="6" fillId="0" borderId="36" xfId="15382" applyFont="1" applyFill="1" applyBorder="1" applyAlignment="1" applyProtection="1">
      <alignment horizontal="center" vertical="center" wrapText="1" readingOrder="1"/>
      <protection locked="0"/>
    </xf>
    <xf numFmtId="0" fontId="6" fillId="0" borderId="117" xfId="15382" applyFont="1" applyFill="1" applyBorder="1" applyAlignment="1" applyProtection="1">
      <alignment horizontal="center" vertical="top" wrapText="1" readingOrder="1"/>
      <protection locked="0"/>
    </xf>
    <xf numFmtId="0" fontId="5" fillId="0" borderId="120" xfId="15382" applyFont="1" applyFill="1" applyBorder="1" applyAlignment="1" applyProtection="1">
      <alignment vertical="top" wrapText="1"/>
      <protection locked="0"/>
    </xf>
    <xf numFmtId="0" fontId="5" fillId="0" borderId="121" xfId="15382" applyFont="1" applyFill="1" applyBorder="1" applyAlignment="1" applyProtection="1">
      <alignment vertical="top" wrapText="1"/>
      <protection locked="0"/>
    </xf>
    <xf numFmtId="0" fontId="6" fillId="0" borderId="101" xfId="15382" applyFont="1" applyFill="1" applyBorder="1" applyAlignment="1" applyProtection="1">
      <alignment horizontal="center" vertical="top" wrapText="1" readingOrder="1"/>
      <protection locked="0"/>
    </xf>
    <xf numFmtId="0" fontId="5" fillId="0" borderId="122" xfId="15382" applyFont="1" applyFill="1" applyBorder="1" applyAlignment="1" applyProtection="1">
      <alignment vertical="top" wrapText="1"/>
      <protection locked="0"/>
    </xf>
    <xf numFmtId="0" fontId="5" fillId="0" borderId="119" xfId="15382" applyFont="1" applyFill="1" applyBorder="1" applyAlignment="1" applyProtection="1">
      <alignment vertical="top" wrapText="1"/>
      <protection locked="0"/>
    </xf>
    <xf numFmtId="0" fontId="5" fillId="0" borderId="0" xfId="15382" applyFont="1" applyFill="1" applyBorder="1" applyAlignment="1" applyProtection="1">
      <alignment vertical="top" wrapText="1" readingOrder="1"/>
      <protection locked="0"/>
    </xf>
    <xf numFmtId="0" fontId="5" fillId="0" borderId="0" xfId="15382" applyFont="1" applyFill="1" applyBorder="1"/>
    <xf numFmtId="0" fontId="6" fillId="0" borderId="0" xfId="15382" applyFont="1" applyFill="1" applyBorder="1" applyAlignment="1" applyProtection="1">
      <alignment horizontal="justify" vertical="top" wrapText="1" readingOrder="1"/>
      <protection locked="0"/>
    </xf>
    <xf numFmtId="0" fontId="5" fillId="0" borderId="0" xfId="15382" applyFont="1" applyFill="1" applyBorder="1" applyAlignment="1" applyProtection="1">
      <alignment horizontal="justify" vertical="top" wrapText="1"/>
      <protection locked="0"/>
    </xf>
    <xf numFmtId="0" fontId="5" fillId="0" borderId="0" xfId="15382" applyFont="1" applyFill="1" applyBorder="1" applyAlignment="1" applyProtection="1">
      <alignment horizontal="justify" vertical="top" readingOrder="1"/>
      <protection locked="0"/>
    </xf>
    <xf numFmtId="0" fontId="5" fillId="0" borderId="0" xfId="15382" applyFont="1" applyFill="1" applyBorder="1" applyAlignment="1" applyProtection="1">
      <alignment horizontal="justify" vertical="top" wrapText="1" readingOrder="1"/>
      <protection locked="0"/>
    </xf>
    <xf numFmtId="0" fontId="18" fillId="0" borderId="0" xfId="7" applyFont="1" applyBorder="1" applyAlignment="1" applyProtection="1">
      <alignment horizontal="left" vertical="top" readingOrder="1"/>
      <protection locked="0"/>
    </xf>
    <xf numFmtId="0" fontId="5" fillId="0" borderId="0" xfId="7" applyFont="1" applyBorder="1" applyAlignment="1" applyProtection="1">
      <alignment horizontal="left" vertical="top" wrapText="1"/>
      <protection locked="0"/>
    </xf>
    <xf numFmtId="0" fontId="6" fillId="0" borderId="0" xfId="15382" applyFont="1" applyFill="1" applyAlignment="1" applyProtection="1">
      <alignment vertical="top" wrapText="1" readingOrder="1"/>
      <protection locked="0"/>
    </xf>
    <xf numFmtId="0" fontId="6" fillId="0" borderId="0" xfId="15382" applyFont="1" applyFill="1" applyBorder="1" applyAlignment="1" applyProtection="1">
      <alignment vertical="top" wrapText="1" readingOrder="1"/>
      <protection locked="0"/>
    </xf>
    <xf numFmtId="0" fontId="5" fillId="0" borderId="0" xfId="15382" applyFont="1" applyFill="1" applyBorder="1" applyAlignment="1" applyProtection="1">
      <alignment vertical="top" wrapText="1"/>
      <protection locked="0"/>
    </xf>
    <xf numFmtId="0" fontId="6" fillId="0" borderId="0" xfId="15382" applyFont="1" applyFill="1" applyBorder="1" applyAlignment="1" applyProtection="1">
      <alignment horizontal="left" vertical="top" readingOrder="1"/>
      <protection locked="0"/>
    </xf>
    <xf numFmtId="0" fontId="5" fillId="0" borderId="0" xfId="15382" applyFont="1" applyFill="1" applyBorder="1" applyAlignment="1" applyProtection="1">
      <alignment horizontal="left" vertical="top" wrapText="1"/>
      <protection locked="0"/>
    </xf>
    <xf numFmtId="49" fontId="5" fillId="0" borderId="0" xfId="5" applyNumberFormat="1" applyFont="1" applyAlignment="1">
      <alignment horizontal="justify"/>
    </xf>
    <xf numFmtId="0" fontId="56" fillId="0" borderId="94" xfId="0" applyFont="1" applyBorder="1" applyAlignment="1">
      <alignment horizontal="left"/>
    </xf>
    <xf numFmtId="0" fontId="6" fillId="0" borderId="123"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5" fillId="0" borderId="0" xfId="7" applyFont="1" applyFill="1" applyAlignment="1">
      <alignment horizontal="left" vertical="top" wrapText="1"/>
    </xf>
    <xf numFmtId="0" fontId="6" fillId="0" borderId="0" xfId="0" applyFont="1" applyFill="1" applyAlignment="1">
      <alignment horizontal="justify" vertical="center" wrapText="1"/>
    </xf>
    <xf numFmtId="0" fontId="6" fillId="0" borderId="123" xfId="7" applyFont="1" applyFill="1" applyBorder="1" applyAlignment="1">
      <alignment horizontal="center" vertical="center" wrapText="1"/>
    </xf>
    <xf numFmtId="0" fontId="6" fillId="0" borderId="18" xfId="7" applyFont="1" applyFill="1" applyBorder="1" applyAlignment="1">
      <alignment horizontal="center" vertical="center" wrapText="1"/>
    </xf>
    <xf numFmtId="49" fontId="5" fillId="0" borderId="0" xfId="5" applyNumberFormat="1" applyFont="1" applyAlignment="1">
      <alignment horizontal="left"/>
    </xf>
    <xf numFmtId="0" fontId="5" fillId="0" borderId="0" xfId="0" applyFont="1" applyFill="1" applyBorder="1" applyAlignment="1">
      <alignment horizontal="left" wrapText="1"/>
    </xf>
    <xf numFmtId="0" fontId="3" fillId="25" borderId="94" xfId="0" applyFont="1" applyFill="1" applyBorder="1" applyAlignment="1">
      <alignment horizontal="center"/>
    </xf>
    <xf numFmtId="0" fontId="5" fillId="0" borderId="0" xfId="0" applyFont="1" applyFill="1" applyBorder="1" applyAlignment="1">
      <alignment horizontal="justify" vertical="center" wrapText="1"/>
    </xf>
    <xf numFmtId="0" fontId="6" fillId="0" borderId="94" xfId="7" applyFont="1" applyFill="1" applyBorder="1" applyAlignment="1">
      <alignment horizontal="left" vertical="top"/>
    </xf>
    <xf numFmtId="0" fontId="5" fillId="0" borderId="0" xfId="7" applyNumberFormat="1" applyFont="1" applyFill="1" applyBorder="1" applyAlignment="1">
      <alignment horizontal="justify" vertical="center" wrapText="1"/>
    </xf>
    <xf numFmtId="0" fontId="6" fillId="0" borderId="0" xfId="7" applyFont="1" applyFill="1" applyBorder="1" applyAlignment="1">
      <alignment horizontal="justify" vertical="top" wrapText="1"/>
    </xf>
    <xf numFmtId="0" fontId="6" fillId="0" borderId="94" xfId="7" applyFont="1" applyFill="1" applyBorder="1" applyAlignment="1">
      <alignment horizontal="center" vertical="center" wrapText="1"/>
    </xf>
    <xf numFmtId="0" fontId="5" fillId="0" borderId="0" xfId="29735" applyFont="1" applyBorder="1" applyAlignment="1" applyProtection="1">
      <alignment horizontal="justify" vertical="top" wrapText="1" readingOrder="1"/>
      <protection locked="0"/>
    </xf>
    <xf numFmtId="0" fontId="5" fillId="0" borderId="0" xfId="29735" applyFont="1" applyBorder="1" applyAlignment="1">
      <alignment horizontal="justify"/>
    </xf>
    <xf numFmtId="0" fontId="5" fillId="0" borderId="0" xfId="29735" applyFont="1" applyFill="1" applyBorder="1" applyAlignment="1" applyProtection="1">
      <alignment horizontal="left" vertical="top" wrapText="1" readingOrder="1"/>
      <protection locked="0"/>
    </xf>
    <xf numFmtId="0" fontId="5" fillId="0" borderId="0" xfId="29735" applyFont="1" applyBorder="1" applyAlignment="1" applyProtection="1">
      <alignment horizontal="justify" vertical="top" wrapText="1"/>
      <protection locked="0"/>
    </xf>
    <xf numFmtId="0" fontId="6" fillId="0" borderId="0" xfId="29735" applyFont="1" applyAlignment="1" applyProtection="1">
      <alignment horizontal="justify" vertical="top" wrapText="1" readingOrder="1"/>
      <protection locked="0"/>
    </xf>
    <xf numFmtId="0" fontId="5" fillId="0" borderId="0" xfId="29735" applyFont="1" applyAlignment="1">
      <alignment horizontal="justify"/>
    </xf>
    <xf numFmtId="0" fontId="5" fillId="0" borderId="0" xfId="29735" applyFont="1" applyAlignment="1" applyProtection="1">
      <alignment vertical="top" wrapText="1" readingOrder="1"/>
      <protection locked="0"/>
    </xf>
    <xf numFmtId="0" fontId="5" fillId="0" borderId="0" xfId="29735" applyFont="1"/>
    <xf numFmtId="0" fontId="6" fillId="0" borderId="3" xfId="29735" applyFont="1" applyBorder="1" applyAlignment="1" applyProtection="1">
      <alignment horizontal="center" vertical="center" wrapText="1" readingOrder="1"/>
      <protection locked="0"/>
    </xf>
    <xf numFmtId="0" fontId="6" fillId="0" borderId="3" xfId="29735" applyFont="1" applyBorder="1" applyAlignment="1" applyProtection="1">
      <alignment horizontal="center" vertical="top" wrapText="1" readingOrder="1"/>
      <protection locked="0"/>
    </xf>
    <xf numFmtId="0" fontId="5" fillId="0" borderId="3" xfId="29735" applyFont="1" applyBorder="1" applyAlignment="1" applyProtection="1">
      <alignment vertical="top" wrapText="1"/>
      <protection locked="0"/>
    </xf>
    <xf numFmtId="0" fontId="18" fillId="0" borderId="3" xfId="29735" applyFont="1" applyFill="1" applyBorder="1" applyAlignment="1" applyProtection="1">
      <alignment horizontal="center" vertical="center" wrapText="1" readingOrder="1"/>
      <protection locked="0"/>
    </xf>
    <xf numFmtId="0" fontId="39" fillId="0" borderId="3" xfId="29735" applyFill="1" applyBorder="1" applyAlignment="1" applyProtection="1">
      <alignment vertical="center" wrapText="1"/>
      <protection locked="0"/>
    </xf>
    <xf numFmtId="0" fontId="39" fillId="0" borderId="0" xfId="29735" applyFill="1" applyAlignment="1">
      <alignment horizontal="justify" wrapText="1"/>
    </xf>
    <xf numFmtId="0" fontId="19" fillId="0" borderId="0" xfId="29735" applyFont="1" applyFill="1" applyAlignment="1" applyProtection="1">
      <alignment vertical="top" wrapText="1" readingOrder="1"/>
      <protection locked="0"/>
    </xf>
    <xf numFmtId="0" fontId="39" fillId="0" borderId="0" xfId="29735" applyFill="1"/>
    <xf numFmtId="0" fontId="18" fillId="0" borderId="3" xfId="29735" applyFont="1" applyFill="1" applyBorder="1" applyAlignment="1" applyProtection="1">
      <alignment horizontal="center" vertical="top" wrapText="1" readingOrder="1"/>
      <protection locked="0"/>
    </xf>
    <xf numFmtId="0" fontId="19" fillId="0" borderId="0" xfId="29735" applyFont="1" applyFill="1" applyBorder="1" applyAlignment="1" applyProtection="1">
      <alignment horizontal="justify" vertical="top" wrapText="1" readingOrder="1"/>
      <protection locked="0"/>
    </xf>
    <xf numFmtId="0" fontId="19" fillId="0" borderId="0" xfId="29735" quotePrefix="1" applyFont="1" applyFill="1" applyBorder="1" applyAlignment="1" applyProtection="1">
      <alignment horizontal="justify" vertical="top" wrapText="1" readingOrder="1"/>
      <protection locked="0"/>
    </xf>
    <xf numFmtId="0" fontId="39" fillId="0" borderId="3" xfId="29735" applyFill="1" applyBorder="1" applyAlignment="1" applyProtection="1">
      <alignment vertical="top" wrapText="1"/>
      <protection locked="0"/>
    </xf>
    <xf numFmtId="0" fontId="39" fillId="0" borderId="0" xfId="29735" applyFill="1" applyBorder="1"/>
    <xf numFmtId="0" fontId="18" fillId="0" borderId="123" xfId="29735" applyFont="1" applyFill="1" applyBorder="1" applyAlignment="1" applyProtection="1">
      <alignment horizontal="center" vertical="center" wrapText="1" readingOrder="1"/>
      <protection locked="0"/>
    </xf>
    <xf numFmtId="0" fontId="18" fillId="0" borderId="18" xfId="29735" applyFont="1" applyFill="1" applyBorder="1" applyAlignment="1" applyProtection="1">
      <alignment horizontal="center" vertical="center" wrapText="1" readingOrder="1"/>
      <protection locked="0"/>
    </xf>
    <xf numFmtId="0" fontId="18" fillId="0" borderId="0" xfId="29735" quotePrefix="1" applyFont="1" applyFill="1" applyBorder="1" applyAlignment="1" applyProtection="1">
      <alignment horizontal="justify" vertical="top" wrapText="1" readingOrder="1"/>
      <protection locked="0"/>
    </xf>
    <xf numFmtId="0" fontId="19" fillId="0" borderId="0" xfId="29735" applyFont="1" applyFill="1" applyBorder="1" applyAlignment="1" applyProtection="1">
      <alignment horizontal="left" vertical="top" readingOrder="1"/>
      <protection locked="0"/>
    </xf>
    <xf numFmtId="0" fontId="6" fillId="0" borderId="0" xfId="29735" applyFont="1" applyFill="1" applyAlignment="1" applyProtection="1">
      <alignment horizontal="justify" vertical="top" wrapText="1" readingOrder="1"/>
      <protection locked="0"/>
    </xf>
    <xf numFmtId="0" fontId="4" fillId="0" borderId="0" xfId="29735" applyFont="1" applyFill="1" applyAlignment="1">
      <alignment horizontal="justify"/>
    </xf>
    <xf numFmtId="0" fontId="18" fillId="0" borderId="40" xfId="29735" applyFont="1" applyFill="1" applyBorder="1" applyAlignment="1" applyProtection="1">
      <alignment horizontal="center" vertical="center" wrapText="1" readingOrder="1"/>
      <protection locked="0"/>
    </xf>
    <xf numFmtId="0" fontId="5" fillId="0" borderId="3" xfId="29735" applyFont="1" applyFill="1" applyBorder="1" applyAlignment="1" applyProtection="1">
      <alignment vertical="center" wrapText="1"/>
      <protection locked="0"/>
    </xf>
    <xf numFmtId="0" fontId="5" fillId="0" borderId="0" xfId="29735" applyFont="1" applyFill="1" applyBorder="1"/>
    <xf numFmtId="0" fontId="18" fillId="0" borderId="0" xfId="29735" applyFont="1" applyFill="1" applyAlignment="1" applyProtection="1">
      <alignment horizontal="justify" vertical="center" wrapText="1" readingOrder="1"/>
      <protection locked="0"/>
    </xf>
    <xf numFmtId="0" fontId="5" fillId="0" borderId="0" xfId="29735" applyFont="1" applyFill="1" applyAlignment="1">
      <alignment horizontal="justify" vertical="center"/>
    </xf>
    <xf numFmtId="0" fontId="18" fillId="0" borderId="94" xfId="29735" applyFont="1" applyFill="1" applyBorder="1" applyAlignment="1" applyProtection="1">
      <alignment horizontal="center" vertical="top" wrapText="1" readingOrder="1"/>
      <protection locked="0"/>
    </xf>
    <xf numFmtId="0" fontId="5" fillId="0" borderId="3" xfId="29735" applyFont="1" applyFill="1" applyBorder="1" applyAlignment="1" applyProtection="1">
      <alignment vertical="top" wrapText="1"/>
      <protection locked="0"/>
    </xf>
    <xf numFmtId="0" fontId="6" fillId="0" borderId="3" xfId="29735" applyFont="1" applyFill="1" applyBorder="1" applyAlignment="1" applyProtection="1">
      <alignment horizontal="center" vertical="top" wrapText="1" readingOrder="1"/>
      <protection locked="0"/>
    </xf>
    <xf numFmtId="2" fontId="17" fillId="0" borderId="0" xfId="36447" applyNumberFormat="1" applyFont="1" applyFill="1" applyBorder="1" applyAlignment="1">
      <alignment horizontal="justify" vertical="center"/>
    </xf>
    <xf numFmtId="0" fontId="8" fillId="0" borderId="0" xfId="36447" applyFont="1" applyFill="1" applyBorder="1" applyAlignment="1">
      <alignment horizontal="justify" wrapText="1"/>
    </xf>
    <xf numFmtId="0" fontId="9" fillId="0" borderId="0" xfId="36447" applyFont="1" applyFill="1" applyBorder="1" applyAlignment="1">
      <alignment wrapText="1"/>
    </xf>
    <xf numFmtId="2" fontId="9" fillId="0" borderId="0" xfId="36447" applyNumberFormat="1" applyFont="1" applyFill="1" applyBorder="1" applyAlignment="1">
      <alignment horizontal="justify" wrapText="1"/>
    </xf>
    <xf numFmtId="2" fontId="17" fillId="0" borderId="0" xfId="36447" applyNumberFormat="1" applyFont="1" applyFill="1" applyBorder="1" applyAlignment="1">
      <alignment horizontal="justify" vertical="center" wrapText="1"/>
    </xf>
    <xf numFmtId="2" fontId="5" fillId="0" borderId="0" xfId="36447" applyNumberFormat="1" applyFont="1" applyFill="1" applyBorder="1" applyAlignment="1">
      <alignment horizontal="left" wrapText="1"/>
    </xf>
    <xf numFmtId="0" fontId="5" fillId="0" borderId="0" xfId="11" applyFont="1" applyFill="1" applyBorder="1" applyAlignment="1">
      <alignment horizontal="justify" wrapText="1"/>
    </xf>
    <xf numFmtId="0" fontId="9" fillId="0" borderId="0" xfId="11" applyFont="1" applyFill="1" applyBorder="1" applyAlignment="1"/>
    <xf numFmtId="0" fontId="5" fillId="0" borderId="0" xfId="11" applyFont="1" applyFill="1" applyBorder="1" applyAlignment="1">
      <alignment horizontal="justify" vertical="top" wrapText="1"/>
    </xf>
    <xf numFmtId="0" fontId="5" fillId="0" borderId="0" xfId="11" applyFont="1" applyFill="1" applyBorder="1" applyAlignment="1">
      <alignment horizontal="justify" vertical="top"/>
    </xf>
    <xf numFmtId="0" fontId="6" fillId="0" borderId="0" xfId="11" applyFont="1" applyFill="1" applyBorder="1" applyAlignment="1">
      <alignment horizontal="justify" vertical="center" wrapText="1"/>
    </xf>
    <xf numFmtId="0" fontId="9" fillId="0" borderId="0" xfId="11" applyFont="1" applyFill="1" applyBorder="1" applyAlignment="1">
      <alignment horizontal="justify" vertical="top" wrapText="1"/>
    </xf>
    <xf numFmtId="0" fontId="6" fillId="0" borderId="0" xfId="11" applyFont="1" applyFill="1" applyBorder="1" applyAlignment="1">
      <alignment horizontal="justify" wrapText="1"/>
    </xf>
    <xf numFmtId="0" fontId="5" fillId="0" borderId="0" xfId="11" applyFont="1" applyFill="1" applyBorder="1" applyAlignment="1">
      <alignment horizontal="left" vertical="top" wrapText="1"/>
    </xf>
    <xf numFmtId="0" fontId="9" fillId="0" borderId="0" xfId="11" applyFont="1" applyFill="1" applyBorder="1" applyAlignment="1">
      <alignment horizontal="left" vertical="top" wrapText="1"/>
    </xf>
    <xf numFmtId="0" fontId="9" fillId="0" borderId="0" xfId="11" applyFont="1" applyBorder="1" applyAlignment="1">
      <alignment vertical="top"/>
    </xf>
    <xf numFmtId="0" fontId="5" fillId="0" borderId="0" xfId="11" applyFont="1" applyFill="1" applyBorder="1" applyAlignment="1">
      <alignment vertical="top"/>
    </xf>
    <xf numFmtId="0" fontId="8" fillId="0" borderId="0" xfId="11" applyFont="1" applyFill="1" applyBorder="1" applyAlignment="1">
      <alignment horizontal="left" wrapText="1"/>
    </xf>
    <xf numFmtId="0" fontId="9" fillId="0" borderId="0" xfId="11" applyFont="1" applyFill="1" applyBorder="1" applyAlignment="1">
      <alignment vertical="top" wrapText="1"/>
    </xf>
    <xf numFmtId="0" fontId="9" fillId="0" borderId="0" xfId="11" applyFont="1" applyFill="1" applyBorder="1" applyAlignment="1">
      <alignment vertical="top"/>
    </xf>
    <xf numFmtId="0" fontId="5" fillId="0" borderId="0" xfId="0" applyFont="1" applyFill="1" applyAlignment="1">
      <alignment horizontal="left"/>
    </xf>
    <xf numFmtId="49" fontId="5" fillId="0" borderId="0" xfId="0" applyNumberFormat="1" applyFont="1" applyFill="1" applyBorder="1" applyAlignment="1">
      <alignment horizontal="left" vertical="center" wrapText="1"/>
    </xf>
    <xf numFmtId="0" fontId="5" fillId="0" borderId="0" xfId="0" applyFont="1" applyFill="1" applyAlignment="1">
      <alignment horizontal="justify" vertical="center" wrapText="1"/>
    </xf>
    <xf numFmtId="0" fontId="5" fillId="0" borderId="0" xfId="0" applyFont="1" applyFill="1" applyAlignment="1">
      <alignment horizontal="justify" vertical="justify" wrapText="1"/>
    </xf>
    <xf numFmtId="0" fontId="6" fillId="0" borderId="0" xfId="0" applyFont="1" applyFill="1" applyAlignment="1">
      <alignment horizontal="left"/>
    </xf>
    <xf numFmtId="0" fontId="6" fillId="0" borderId="149"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5" fillId="0" borderId="0" xfId="11" applyFont="1" applyFill="1" applyBorder="1" applyAlignment="1">
      <alignment horizontal="left" wrapText="1"/>
    </xf>
    <xf numFmtId="0" fontId="5" fillId="0" borderId="0" xfId="11" applyFont="1" applyFill="1" applyBorder="1" applyAlignment="1">
      <alignment horizontal="left" vertical="center" wrapText="1"/>
    </xf>
    <xf numFmtId="0" fontId="5" fillId="0" borderId="0" xfId="0" applyFont="1" applyFill="1" applyAlignment="1">
      <alignment horizontal="left" vertical="center" wrapText="1"/>
    </xf>
    <xf numFmtId="0" fontId="6" fillId="0" borderId="0" xfId="0" applyFont="1" applyFill="1" applyBorder="1" applyAlignment="1">
      <alignment horizontal="justify" vertical="justify" wrapText="1"/>
    </xf>
    <xf numFmtId="49" fontId="5" fillId="0" borderId="0" xfId="0" applyNumberFormat="1" applyFont="1" applyFill="1" applyAlignment="1">
      <alignment horizontal="justify" vertical="center" wrapText="1"/>
    </xf>
    <xf numFmtId="0" fontId="5" fillId="0" borderId="0" xfId="11" applyFont="1" applyFill="1" applyBorder="1" applyAlignment="1">
      <alignment horizontal="justify" vertical="center" wrapText="1"/>
    </xf>
    <xf numFmtId="49" fontId="5" fillId="0" borderId="0" xfId="0" applyNumberFormat="1" applyFont="1" applyFill="1" applyAlignment="1">
      <alignment horizontal="justify" vertical="center"/>
    </xf>
    <xf numFmtId="0" fontId="6" fillId="0" borderId="0" xfId="0" applyFont="1" applyFill="1" applyBorder="1" applyAlignment="1">
      <alignment horizontal="left" vertical="center" wrapText="1"/>
    </xf>
    <xf numFmtId="0" fontId="6" fillId="0" borderId="31" xfId="0" applyFont="1" applyFill="1" applyBorder="1" applyAlignment="1">
      <alignment horizontal="center" vertical="center"/>
    </xf>
    <xf numFmtId="0" fontId="6" fillId="0" borderId="135" xfId="0" applyFont="1" applyFill="1" applyBorder="1" applyAlignment="1">
      <alignment horizontal="center" vertical="center"/>
    </xf>
    <xf numFmtId="0" fontId="6" fillId="0" borderId="33" xfId="0" applyFont="1" applyFill="1" applyBorder="1" applyAlignment="1">
      <alignment horizontal="center" vertical="center"/>
    </xf>
    <xf numFmtId="0" fontId="5" fillId="0" borderId="0" xfId="0" applyFont="1" applyFill="1" applyBorder="1" applyAlignment="1">
      <alignment horizontal="justify" vertical="justify" wrapText="1"/>
    </xf>
    <xf numFmtId="49" fontId="5" fillId="0" borderId="0" xfId="0" applyNumberFormat="1"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justify" vertical="center"/>
    </xf>
    <xf numFmtId="0" fontId="5" fillId="0" borderId="0" xfId="11" applyFont="1" applyFill="1" applyBorder="1" applyAlignment="1">
      <alignment horizontal="left" vertical="center"/>
    </xf>
    <xf numFmtId="0" fontId="5" fillId="0" borderId="0" xfId="0" applyNumberFormat="1" applyFont="1" applyFill="1" applyBorder="1" applyAlignment="1">
      <alignment horizontal="left" vertical="top"/>
    </xf>
    <xf numFmtId="49" fontId="5" fillId="0" borderId="0" xfId="0" applyNumberFormat="1" applyFont="1" applyFill="1" applyBorder="1" applyAlignment="1">
      <alignment horizontal="justify" vertical="center" wrapText="1"/>
    </xf>
    <xf numFmtId="0" fontId="5" fillId="0" borderId="0" xfId="0" applyFont="1" applyFill="1" applyBorder="1" applyAlignment="1">
      <alignment horizontal="justify"/>
    </xf>
    <xf numFmtId="0" fontId="6" fillId="0" borderId="0" xfId="0" applyFont="1" applyFill="1" applyBorder="1" applyAlignment="1">
      <alignment horizontal="justify"/>
    </xf>
    <xf numFmtId="0" fontId="6" fillId="0" borderId="31" xfId="0" applyFont="1" applyFill="1" applyBorder="1" applyAlignment="1">
      <alignment horizontal="center" vertical="center" wrapText="1"/>
    </xf>
    <xf numFmtId="0" fontId="6" fillId="0" borderId="135"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0" xfId="0" applyFont="1" applyFill="1" applyBorder="1" applyAlignment="1">
      <alignment horizontal="justify" wrapText="1"/>
    </xf>
    <xf numFmtId="0" fontId="6" fillId="0" borderId="149"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130" xfId="0" applyFont="1" applyFill="1" applyBorder="1" applyAlignment="1" applyProtection="1">
      <alignment horizontal="left" vertical="top" wrapText="1" readingOrder="1"/>
      <protection locked="0"/>
    </xf>
    <xf numFmtId="0" fontId="6" fillId="0" borderId="131" xfId="0" applyFont="1" applyFill="1" applyBorder="1" applyAlignment="1" applyProtection="1">
      <alignment horizontal="left" vertical="top" wrapText="1" readingOrder="1"/>
      <protection locked="0"/>
    </xf>
    <xf numFmtId="0" fontId="6" fillId="0" borderId="0" xfId="0" applyFont="1" applyFill="1" applyAlignment="1" applyProtection="1">
      <alignment horizontal="left" vertical="top" wrapText="1" readingOrder="1"/>
      <protection locked="0"/>
    </xf>
    <xf numFmtId="0" fontId="5" fillId="0" borderId="124" xfId="0" applyFont="1" applyFill="1" applyBorder="1" applyAlignment="1" applyProtection="1">
      <alignment vertical="top" wrapText="1" readingOrder="1"/>
      <protection locked="0"/>
    </xf>
    <xf numFmtId="0" fontId="6" fillId="0" borderId="125" xfId="0" applyFont="1" applyFill="1" applyBorder="1" applyAlignment="1" applyProtection="1">
      <alignment horizontal="center" vertical="top" wrapText="1" readingOrder="1"/>
      <protection locked="0"/>
    </xf>
    <xf numFmtId="0" fontId="6" fillId="0" borderId="126" xfId="0" applyFont="1" applyFill="1" applyBorder="1" applyAlignment="1" applyProtection="1">
      <alignment horizontal="center" vertical="top" wrapText="1" readingOrder="1"/>
      <protection locked="0"/>
    </xf>
    <xf numFmtId="0" fontId="6" fillId="0" borderId="128" xfId="0" applyFont="1" applyFill="1" applyBorder="1" applyAlignment="1" applyProtection="1">
      <alignment horizontal="left" vertical="top" wrapText="1" readingOrder="1"/>
      <protection locked="0"/>
    </xf>
    <xf numFmtId="0" fontId="6" fillId="0" borderId="99" xfId="0" applyFont="1" applyFill="1" applyBorder="1" applyAlignment="1" applyProtection="1">
      <alignment horizontal="left" vertical="top" wrapText="1" readingOrder="1"/>
      <protection locked="0"/>
    </xf>
    <xf numFmtId="0" fontId="6" fillId="0" borderId="98" xfId="0" applyFont="1" applyFill="1" applyBorder="1" applyAlignment="1" applyProtection="1">
      <alignment horizontal="left" vertical="center" wrapText="1" readingOrder="1"/>
      <protection locked="0"/>
    </xf>
    <xf numFmtId="0" fontId="6" fillId="0" borderId="99" xfId="0" applyFont="1" applyFill="1" applyBorder="1" applyAlignment="1" applyProtection="1">
      <alignment horizontal="left" vertical="center" wrapText="1" readingOrder="1"/>
      <protection locked="0"/>
    </xf>
    <xf numFmtId="0" fontId="6" fillId="0" borderId="133" xfId="36451" applyFont="1" applyFill="1" applyBorder="1" applyAlignment="1">
      <alignment horizontal="left" vertical="center" wrapText="1"/>
    </xf>
    <xf numFmtId="0" fontId="6" fillId="0" borderId="39" xfId="36451" applyFont="1" applyFill="1" applyBorder="1" applyAlignment="1">
      <alignment horizontal="left" vertical="center" wrapText="1"/>
    </xf>
    <xf numFmtId="0" fontId="6" fillId="0" borderId="41" xfId="36451" applyFont="1" applyFill="1" applyBorder="1" applyAlignment="1">
      <alignment horizontal="left" vertical="center" wrapText="1"/>
    </xf>
    <xf numFmtId="0" fontId="6" fillId="0" borderId="6" xfId="36451" applyFont="1" applyFill="1" applyBorder="1" applyAlignment="1">
      <alignment horizontal="left" vertical="center" wrapText="1"/>
    </xf>
    <xf numFmtId="0" fontId="6" fillId="0" borderId="40" xfId="36451" applyFont="1" applyFill="1" applyBorder="1" applyAlignment="1">
      <alignment horizontal="left" vertical="center" wrapText="1"/>
    </xf>
    <xf numFmtId="0" fontId="6" fillId="0" borderId="169" xfId="36451" applyFont="1" applyFill="1" applyBorder="1" applyAlignment="1">
      <alignment horizontal="left" vertical="center" wrapText="1"/>
    </xf>
    <xf numFmtId="0" fontId="5" fillId="0" borderId="0" xfId="36451" applyFont="1" applyFill="1" applyBorder="1" applyAlignment="1">
      <alignment horizontal="left" vertical="center" wrapText="1"/>
    </xf>
    <xf numFmtId="0" fontId="18" fillId="0" borderId="134" xfId="0" applyFont="1" applyBorder="1" applyAlignment="1" applyProtection="1">
      <alignment horizontal="left" vertical="top" wrapText="1" readingOrder="1"/>
      <protection locked="0"/>
    </xf>
    <xf numFmtId="0" fontId="18" fillId="0" borderId="3" xfId="0" applyFont="1" applyBorder="1" applyAlignment="1" applyProtection="1">
      <alignment horizontal="left" vertical="top" wrapText="1" readingOrder="1"/>
      <protection locked="0"/>
    </xf>
    <xf numFmtId="0" fontId="18" fillId="0" borderId="0" xfId="0" applyFont="1" applyAlignment="1" applyProtection="1">
      <alignment vertical="top" wrapText="1" readingOrder="1"/>
      <protection locked="0"/>
    </xf>
    <xf numFmtId="0" fontId="9" fillId="0" borderId="0" xfId="0" applyFont="1"/>
    <xf numFmtId="0" fontId="19" fillId="0" borderId="0" xfId="0" applyFont="1" applyAlignment="1" applyProtection="1">
      <alignment vertical="top" wrapText="1" readingOrder="1"/>
      <protection locked="0"/>
    </xf>
    <xf numFmtId="0" fontId="18" fillId="0" borderId="125" xfId="0" applyFont="1" applyBorder="1" applyAlignment="1" applyProtection="1">
      <alignment horizontal="left" vertical="center" wrapText="1" readingOrder="1"/>
      <protection locked="0"/>
    </xf>
    <xf numFmtId="0" fontId="18" fillId="0" borderId="126" xfId="0" applyFont="1" applyBorder="1" applyAlignment="1" applyProtection="1">
      <alignment horizontal="left" vertical="center" wrapText="1" readingOrder="1"/>
      <protection locked="0"/>
    </xf>
    <xf numFmtId="0" fontId="9" fillId="0" borderId="128" xfId="0" applyFont="1" applyBorder="1" applyAlignment="1">
      <alignment horizontal="center"/>
    </xf>
    <xf numFmtId="0" fontId="9" fillId="0" borderId="135" xfId="0" applyFont="1" applyBorder="1" applyAlignment="1">
      <alignment horizontal="center"/>
    </xf>
    <xf numFmtId="0" fontId="9" fillId="0" borderId="136" xfId="0" applyFont="1" applyBorder="1" applyAlignment="1">
      <alignment horizontal="center"/>
    </xf>
    <xf numFmtId="0" fontId="18" fillId="0" borderId="137" xfId="0" applyFont="1" applyBorder="1" applyAlignment="1" applyProtection="1">
      <alignment horizontal="left" vertical="center" wrapText="1" readingOrder="1"/>
      <protection locked="0"/>
    </xf>
    <xf numFmtId="0" fontId="18" fillId="0" borderId="138" xfId="0" applyFont="1" applyBorder="1" applyAlignment="1" applyProtection="1">
      <alignment horizontal="left" vertical="center" wrapText="1" readingOrder="1"/>
      <protection locked="0"/>
    </xf>
    <xf numFmtId="0" fontId="18" fillId="0" borderId="139" xfId="0" applyFont="1" applyBorder="1" applyAlignment="1" applyProtection="1">
      <alignment horizontal="left" vertical="center" wrapText="1" readingOrder="1"/>
      <protection locked="0"/>
    </xf>
    <xf numFmtId="0" fontId="5" fillId="0" borderId="0" xfId="0" applyFont="1" applyFill="1" applyBorder="1" applyAlignment="1">
      <alignment horizontal="left" vertical="center" wrapText="1"/>
    </xf>
    <xf numFmtId="0" fontId="19" fillId="0" borderId="0" xfId="0" applyFont="1" applyFill="1" applyBorder="1" applyAlignment="1" applyProtection="1">
      <alignment vertical="top" wrapText="1" readingOrder="1"/>
      <protection locked="0"/>
    </xf>
    <xf numFmtId="0" fontId="9" fillId="0" borderId="0" xfId="0" applyFont="1" applyFill="1" applyBorder="1" applyAlignment="1" applyProtection="1">
      <alignment vertical="top" wrapText="1"/>
      <protection locked="0"/>
    </xf>
    <xf numFmtId="0" fontId="6" fillId="0" borderId="134" xfId="0" applyFont="1" applyFill="1" applyBorder="1" applyAlignment="1" applyProtection="1">
      <alignment vertical="center" wrapText="1" readingOrder="1"/>
      <protection locked="0"/>
    </xf>
    <xf numFmtId="0" fontId="6" fillId="0" borderId="137" xfId="0" applyFont="1" applyFill="1" applyBorder="1" applyAlignment="1" applyProtection="1">
      <alignment vertical="center" wrapText="1" readingOrder="1"/>
      <protection locked="0"/>
    </xf>
    <xf numFmtId="0" fontId="5" fillId="0" borderId="0" xfId="0" applyFont="1" applyFill="1" applyAlignment="1" applyProtection="1">
      <alignment vertical="top" wrapText="1" readingOrder="1"/>
      <protection locked="0"/>
    </xf>
    <xf numFmtId="0" fontId="6" fillId="0" borderId="141" xfId="0" applyFont="1" applyFill="1" applyBorder="1" applyAlignment="1" applyProtection="1">
      <alignment horizontal="center" vertical="top" wrapText="1" readingOrder="1"/>
      <protection locked="0"/>
    </xf>
    <xf numFmtId="0" fontId="6" fillId="0" borderId="142" xfId="0" applyFont="1" applyFill="1" applyBorder="1" applyAlignment="1" applyProtection="1">
      <alignment horizontal="center" vertical="top" wrapText="1" readingOrder="1"/>
      <protection locked="0"/>
    </xf>
    <xf numFmtId="0" fontId="6" fillId="0" borderId="170" xfId="0" applyFont="1" applyFill="1" applyBorder="1" applyAlignment="1" applyProtection="1">
      <alignment horizontal="left" vertical="center" wrapText="1" readingOrder="1"/>
      <protection locked="0"/>
    </xf>
    <xf numFmtId="0" fontId="6" fillId="0" borderId="147" xfId="0" applyFont="1" applyFill="1" applyBorder="1" applyAlignment="1" applyProtection="1">
      <alignment horizontal="left" vertical="center" wrapText="1" readingOrder="1"/>
      <protection locked="0"/>
    </xf>
    <xf numFmtId="0" fontId="6" fillId="0" borderId="138" xfId="0" applyFont="1" applyFill="1" applyBorder="1" applyAlignment="1" applyProtection="1">
      <alignment vertical="center" wrapText="1" readingOrder="1"/>
      <protection locked="0"/>
    </xf>
    <xf numFmtId="0" fontId="6" fillId="0" borderId="147" xfId="0" applyFont="1" applyFill="1" applyBorder="1" applyAlignment="1" applyProtection="1">
      <alignment vertical="center" wrapText="1" readingOrder="1"/>
      <protection locked="0"/>
    </xf>
    <xf numFmtId="0" fontId="6" fillId="0" borderId="137" xfId="36451" applyFont="1" applyFill="1" applyBorder="1" applyAlignment="1">
      <alignment vertical="center" wrapText="1" readingOrder="1"/>
    </xf>
    <xf numFmtId="0" fontId="6" fillId="0" borderId="138" xfId="36451" applyFont="1" applyFill="1" applyBorder="1" applyAlignment="1">
      <alignment vertical="center" wrapText="1" readingOrder="1"/>
    </xf>
    <xf numFmtId="0" fontId="6" fillId="0" borderId="149" xfId="0" applyFont="1" applyFill="1" applyBorder="1" applyAlignment="1" applyProtection="1">
      <alignment vertical="center" wrapText="1" readingOrder="1"/>
      <protection locked="0"/>
    </xf>
    <xf numFmtId="0" fontId="6" fillId="0" borderId="40" xfId="0" applyFont="1" applyFill="1" applyBorder="1" applyAlignment="1" applyProtection="1">
      <alignment vertical="center" wrapText="1" readingOrder="1"/>
      <protection locked="0"/>
    </xf>
    <xf numFmtId="0" fontId="6" fillId="0" borderId="34" xfId="0" applyFont="1" applyFill="1" applyBorder="1" applyAlignment="1" applyProtection="1">
      <alignment vertical="center" wrapText="1" readingOrder="1"/>
      <protection locked="0"/>
    </xf>
    <xf numFmtId="0" fontId="6" fillId="0" borderId="170" xfId="36451" applyFont="1" applyFill="1" applyBorder="1" applyAlignment="1">
      <alignment vertical="center" wrapText="1" readingOrder="1"/>
    </xf>
    <xf numFmtId="0" fontId="6" fillId="0" borderId="147" xfId="36451" applyFont="1" applyFill="1" applyBorder="1" applyAlignment="1">
      <alignment vertical="center" wrapText="1" readingOrder="1"/>
    </xf>
    <xf numFmtId="0" fontId="6" fillId="0" borderId="139" xfId="0" applyFont="1" applyFill="1" applyBorder="1" applyAlignment="1" applyProtection="1">
      <alignment vertical="center" wrapText="1" readingOrder="1"/>
      <protection locked="0"/>
    </xf>
    <xf numFmtId="0" fontId="6" fillId="0" borderId="98" xfId="36451" applyFont="1" applyFill="1" applyBorder="1" applyAlignment="1">
      <alignment horizontal="left" vertical="center" wrapText="1"/>
    </xf>
    <xf numFmtId="0" fontId="6" fillId="0" borderId="99" xfId="36451" applyFont="1" applyFill="1" applyBorder="1" applyAlignment="1">
      <alignment horizontal="left" vertical="center" wrapText="1"/>
    </xf>
    <xf numFmtId="0" fontId="6" fillId="0" borderId="98" xfId="36451" applyFont="1" applyFill="1" applyBorder="1" applyAlignment="1">
      <alignment horizontal="center" vertical="center"/>
    </xf>
    <xf numFmtId="0" fontId="6" fillId="0" borderId="99" xfId="36451" applyFont="1" applyFill="1" applyBorder="1" applyAlignment="1">
      <alignment horizontal="center" vertical="center"/>
    </xf>
    <xf numFmtId="0" fontId="5" fillId="0" borderId="0" xfId="36451" applyFont="1" applyFill="1" applyBorder="1" applyAlignment="1">
      <alignment horizontal="left" vertical="top" wrapText="1"/>
    </xf>
    <xf numFmtId="0" fontId="6" fillId="0" borderId="98" xfId="0" applyFont="1" applyFill="1" applyBorder="1" applyAlignment="1">
      <alignment horizontal="left" vertical="center" wrapText="1"/>
    </xf>
    <xf numFmtId="0" fontId="6" fillId="0" borderId="99"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3" xfId="36451" applyFont="1" applyFill="1" applyBorder="1" applyAlignment="1">
      <alignment horizontal="left" vertical="center" wrapText="1"/>
    </xf>
    <xf numFmtId="0" fontId="5" fillId="0" borderId="149"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5" fillId="0" borderId="3" xfId="0" applyFont="1" applyFill="1" applyBorder="1" applyAlignment="1" applyProtection="1">
      <alignment horizontal="left" vertical="center" wrapText="1" readingOrder="1"/>
      <protection locked="0"/>
    </xf>
    <xf numFmtId="0" fontId="6" fillId="0" borderId="0" xfId="3645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0" xfId="36452" applyFont="1" applyFill="1" applyBorder="1" applyAlignment="1">
      <alignment horizontal="justify" vertical="center" wrapText="1"/>
    </xf>
    <xf numFmtId="0" fontId="6" fillId="0" borderId="0" xfId="8055" applyFont="1" applyFill="1" applyBorder="1" applyAlignment="1">
      <alignment horizontal="justify" vertical="justify" wrapText="1"/>
    </xf>
    <xf numFmtId="0" fontId="5" fillId="0" borderId="94" xfId="8055" applyFont="1" applyFill="1" applyBorder="1" applyAlignment="1">
      <alignment horizontal="center"/>
    </xf>
    <xf numFmtId="0" fontId="6" fillId="0" borderId="3" xfId="5" applyFont="1" applyFill="1" applyBorder="1" applyAlignment="1" applyProtection="1">
      <alignment horizontal="left" vertical="center" wrapText="1"/>
    </xf>
    <xf numFmtId="0" fontId="6" fillId="0" borderId="98" xfId="5" applyFont="1" applyFill="1" applyBorder="1" applyAlignment="1" applyProtection="1">
      <alignment horizontal="center" vertical="center"/>
    </xf>
    <xf numFmtId="0" fontId="19" fillId="0" borderId="0" xfId="11" quotePrefix="1" applyFont="1" applyBorder="1" applyAlignment="1">
      <alignment horizontal="left"/>
    </xf>
    <xf numFmtId="0" fontId="5" fillId="0" borderId="0" xfId="8055" applyFont="1" applyFill="1" applyBorder="1" applyAlignment="1">
      <alignment horizontal="left"/>
    </xf>
    <xf numFmtId="0" fontId="5" fillId="0" borderId="0" xfId="11" quotePrefix="1" applyFont="1" applyBorder="1" applyAlignment="1">
      <alignment horizontal="left"/>
    </xf>
    <xf numFmtId="0" fontId="6" fillId="0" borderId="0" xfId="8055" applyFont="1" applyFill="1" applyAlignment="1">
      <alignment horizontal="justify" vertical="center" wrapText="1"/>
    </xf>
    <xf numFmtId="0" fontId="6" fillId="0" borderId="94" xfId="8055" applyFont="1" applyFill="1" applyBorder="1" applyAlignment="1">
      <alignment horizontal="left" vertical="center" wrapText="1"/>
    </xf>
    <xf numFmtId="0" fontId="6" fillId="0" borderId="3" xfId="13775" applyFont="1" applyFill="1" applyBorder="1" applyAlignment="1" applyProtection="1">
      <alignment horizontal="center" vertical="center" wrapText="1"/>
    </xf>
    <xf numFmtId="196" fontId="6" fillId="0" borderId="3" xfId="13775" applyNumberFormat="1" applyFont="1" applyFill="1" applyBorder="1" applyAlignment="1" applyProtection="1">
      <alignment horizontal="center" vertical="center"/>
    </xf>
    <xf numFmtId="0" fontId="6" fillId="0" borderId="3" xfId="13775" applyFont="1" applyFill="1" applyBorder="1" applyAlignment="1" applyProtection="1">
      <alignment horizontal="center" vertical="center"/>
    </xf>
    <xf numFmtId="3" fontId="5" fillId="0" borderId="0" xfId="29305" applyNumberFormat="1" applyFont="1" applyFill="1" applyAlignment="1" applyProtection="1">
      <alignment horizontal="justify" vertical="center"/>
      <protection locked="0"/>
    </xf>
    <xf numFmtId="0" fontId="19" fillId="0" borderId="0" xfId="11" quotePrefix="1" applyFont="1" applyBorder="1" applyAlignment="1">
      <alignment horizontal="justify"/>
    </xf>
    <xf numFmtId="0" fontId="18" fillId="0" borderId="0" xfId="0" applyFont="1" applyFill="1" applyAlignment="1" applyProtection="1">
      <alignment horizontal="justify" vertical="justify" wrapText="1" readingOrder="1"/>
      <protection locked="0"/>
    </xf>
    <xf numFmtId="0" fontId="9" fillId="0" borderId="0" xfId="0" applyFont="1" applyFill="1" applyAlignment="1">
      <alignment horizontal="justify" vertical="justify"/>
    </xf>
    <xf numFmtId="0" fontId="5" fillId="0" borderId="94" xfId="13775" applyFont="1" applyFill="1" applyBorder="1" applyAlignment="1" applyProtection="1">
      <alignment horizontal="left" vertical="center" wrapText="1"/>
    </xf>
    <xf numFmtId="0" fontId="6" fillId="0" borderId="0" xfId="8055" applyFont="1" applyFill="1" applyBorder="1" applyAlignment="1">
      <alignment horizontal="justify" vertical="center" wrapText="1"/>
    </xf>
    <xf numFmtId="0" fontId="5" fillId="0" borderId="94" xfId="8055" applyFont="1" applyBorder="1" applyAlignment="1">
      <alignment horizontal="center"/>
    </xf>
    <xf numFmtId="0" fontId="6" fillId="0" borderId="3" xfId="8055" applyFont="1" applyFill="1" applyBorder="1" applyAlignment="1">
      <alignment horizontal="center" vertical="center"/>
    </xf>
    <xf numFmtId="0" fontId="5" fillId="0" borderId="0" xfId="7" applyFont="1" applyFill="1" applyAlignment="1">
      <alignment horizontal="justify" readingOrder="1"/>
    </xf>
    <xf numFmtId="0" fontId="19" fillId="0" borderId="0" xfId="7" applyFont="1" applyAlignment="1" applyProtection="1">
      <alignment horizontal="center" vertical="top" wrapText="1" readingOrder="1"/>
      <protection locked="0"/>
    </xf>
    <xf numFmtId="49" fontId="5" fillId="0" borderId="0" xfId="7" applyNumberFormat="1" applyFont="1" applyFill="1" applyBorder="1" applyAlignment="1" applyProtection="1">
      <alignment horizontal="justify" vertical="top" wrapText="1"/>
      <protection locked="0"/>
    </xf>
    <xf numFmtId="0" fontId="19" fillId="0" borderId="0" xfId="7" applyFont="1" applyFill="1" applyBorder="1" applyAlignment="1" applyProtection="1">
      <alignment horizontal="center" vertical="top" wrapText="1" readingOrder="1"/>
      <protection locked="0"/>
    </xf>
    <xf numFmtId="0" fontId="18" fillId="0" borderId="3" xfId="7" applyFont="1" applyFill="1" applyBorder="1" applyAlignment="1" applyProtection="1">
      <alignment horizontal="left" vertical="center" wrapText="1" readingOrder="1"/>
      <protection locked="0"/>
    </xf>
    <xf numFmtId="49" fontId="5" fillId="0" borderId="0" xfId="7" applyNumberFormat="1" applyFont="1" applyBorder="1" applyAlignment="1" applyProtection="1">
      <alignment horizontal="justify" vertical="top" wrapText="1"/>
      <protection locked="0"/>
    </xf>
    <xf numFmtId="3" fontId="18" fillId="0" borderId="3" xfId="7" applyNumberFormat="1" applyFont="1" applyBorder="1" applyAlignment="1" applyProtection="1">
      <alignment horizontal="center" vertical="center" wrapText="1" readingOrder="1"/>
      <protection locked="0"/>
    </xf>
    <xf numFmtId="0" fontId="5" fillId="0" borderId="0" xfId="7" applyFont="1" applyBorder="1" applyAlignment="1">
      <alignment horizontal="justify"/>
    </xf>
    <xf numFmtId="49" fontId="19" fillId="0" borderId="0" xfId="7" applyNumberFormat="1" applyFont="1" applyBorder="1" applyAlignment="1" applyProtection="1">
      <alignment vertical="top" wrapText="1" readingOrder="1"/>
      <protection locked="0"/>
    </xf>
    <xf numFmtId="49" fontId="5" fillId="0" borderId="0" xfId="7" applyNumberFormat="1" applyFont="1" applyBorder="1" applyAlignment="1" applyProtection="1">
      <alignment vertical="top" wrapText="1"/>
      <protection locked="0"/>
    </xf>
    <xf numFmtId="0" fontId="5" fillId="0" borderId="0" xfId="7" applyFont="1" applyFill="1" applyBorder="1" applyAlignment="1">
      <alignment horizontal="justify" readingOrder="1"/>
    </xf>
    <xf numFmtId="0" fontId="5" fillId="0" borderId="0" xfId="7" applyFont="1" applyBorder="1" applyAlignment="1" applyProtection="1">
      <alignment horizontal="center" vertical="top" wrapText="1" readingOrder="1"/>
      <protection locked="0"/>
    </xf>
    <xf numFmtId="0" fontId="6" fillId="0" borderId="3" xfId="7" applyFont="1" applyBorder="1" applyAlignment="1" applyProtection="1">
      <alignment horizontal="left" vertical="center" wrapText="1" readingOrder="1"/>
      <protection locked="0"/>
    </xf>
    <xf numFmtId="0" fontId="5" fillId="0" borderId="0" xfId="7" applyFont="1" applyBorder="1" applyAlignment="1" applyProtection="1">
      <alignment vertical="top" wrapText="1" readingOrder="1"/>
      <protection locked="0"/>
    </xf>
    <xf numFmtId="0" fontId="5" fillId="0" borderId="0" xfId="7" applyFont="1" applyBorder="1" applyAlignment="1">
      <alignment horizontal="left" vertical="top" wrapText="1"/>
    </xf>
    <xf numFmtId="0" fontId="5" fillId="0" borderId="3" xfId="7" applyFont="1" applyFill="1" applyBorder="1" applyAlignment="1" applyProtection="1">
      <alignment vertical="center" wrapText="1" readingOrder="1"/>
      <protection locked="0"/>
    </xf>
    <xf numFmtId="0" fontId="5" fillId="0" borderId="0" xfId="11" quotePrefix="1" applyFont="1" applyFill="1" applyBorder="1" applyAlignment="1">
      <alignment horizontal="justify"/>
    </xf>
    <xf numFmtId="0" fontId="5" fillId="0" borderId="94" xfId="7" applyFont="1" applyFill="1" applyBorder="1" applyAlignment="1">
      <alignment horizontal="left"/>
    </xf>
    <xf numFmtId="0" fontId="6" fillId="0" borderId="3" xfId="10" applyFont="1" applyFill="1" applyBorder="1" applyAlignment="1">
      <alignment horizontal="center" vertical="center" wrapText="1"/>
    </xf>
    <xf numFmtId="0" fontId="6" fillId="0" borderId="0" xfId="7" applyFont="1" applyFill="1" applyBorder="1" applyAlignment="1">
      <alignment horizontal="justify" vertical="center" wrapText="1"/>
    </xf>
    <xf numFmtId="0" fontId="6" fillId="0" borderId="98" xfId="7" applyFont="1" applyFill="1" applyBorder="1" applyAlignment="1">
      <alignment horizontal="center" vertical="center"/>
    </xf>
    <xf numFmtId="0" fontId="6" fillId="0" borderId="135" xfId="7" applyFont="1" applyFill="1" applyBorder="1" applyAlignment="1">
      <alignment horizontal="center" vertical="center"/>
    </xf>
    <xf numFmtId="0" fontId="6" fillId="0" borderId="99" xfId="7" applyFont="1" applyFill="1" applyBorder="1" applyAlignment="1">
      <alignment horizontal="center" vertical="center"/>
    </xf>
    <xf numFmtId="0" fontId="5" fillId="0" borderId="0" xfId="4" applyFont="1" applyFill="1" applyAlignment="1">
      <alignment horizontal="center" wrapText="1"/>
    </xf>
    <xf numFmtId="0" fontId="6" fillId="0" borderId="0" xfId="6" applyFont="1" applyFill="1" applyAlignment="1">
      <alignment horizontal="justify" vertical="center" wrapText="1"/>
    </xf>
    <xf numFmtId="0" fontId="5" fillId="0" borderId="94" xfId="4" applyFont="1" applyFill="1" applyBorder="1" applyAlignment="1">
      <alignment horizontal="center" wrapText="1"/>
    </xf>
    <xf numFmtId="0" fontId="6" fillId="0" borderId="98" xfId="4" applyFont="1" applyFill="1" applyBorder="1" applyAlignment="1">
      <alignment horizontal="center" vertical="center" wrapText="1"/>
    </xf>
    <xf numFmtId="0" fontId="6" fillId="0" borderId="99" xfId="4" applyFont="1" applyFill="1" applyBorder="1" applyAlignment="1">
      <alignment horizontal="center" vertical="center" wrapText="1"/>
    </xf>
    <xf numFmtId="0" fontId="6" fillId="0" borderId="0" xfId="7" applyFont="1" applyFill="1" applyBorder="1" applyAlignment="1">
      <alignment horizontal="left" vertical="center" wrapText="1"/>
    </xf>
    <xf numFmtId="0" fontId="5" fillId="0" borderId="0" xfId="7" applyFont="1" applyFill="1" applyAlignment="1"/>
    <xf numFmtId="0" fontId="6" fillId="0" borderId="0" xfId="7" applyFont="1" applyFill="1" applyAlignment="1">
      <alignment horizontal="justify" vertical="justify" wrapText="1"/>
    </xf>
    <xf numFmtId="0" fontId="6" fillId="0" borderId="149" xfId="7" applyFont="1" applyFill="1" applyBorder="1" applyAlignment="1">
      <alignment horizontal="center" vertical="center" wrapText="1"/>
    </xf>
    <xf numFmtId="0" fontId="6" fillId="0" borderId="34" xfId="7" applyFont="1" applyFill="1" applyBorder="1" applyAlignment="1">
      <alignment horizontal="center" vertical="center" wrapText="1"/>
    </xf>
    <xf numFmtId="0" fontId="6" fillId="0" borderId="98" xfId="7" applyFont="1" applyFill="1" applyBorder="1" applyAlignment="1">
      <alignment horizontal="center" wrapText="1"/>
    </xf>
    <xf numFmtId="0" fontId="6" fillId="0" borderId="135" xfId="7" applyFont="1" applyFill="1" applyBorder="1" applyAlignment="1">
      <alignment horizontal="center" wrapText="1"/>
    </xf>
    <xf numFmtId="0" fontId="6" fillId="0" borderId="99" xfId="7" applyFont="1" applyFill="1" applyBorder="1" applyAlignment="1">
      <alignment horizontal="center" wrapText="1"/>
    </xf>
  </cellXfs>
  <cellStyles count="36458">
    <cellStyle name="20% - Énfasis1 2" xfId="12"/>
    <cellStyle name="20% - Énfasis1 2 2" xfId="13"/>
    <cellStyle name="20% - Énfasis1 3" xfId="14"/>
    <cellStyle name="20% - Énfasis2 2" xfId="15"/>
    <cellStyle name="20% - Énfasis2 2 2" xfId="16"/>
    <cellStyle name="20% - Énfasis2 3" xfId="17"/>
    <cellStyle name="20% - Énfasis3 2" xfId="18"/>
    <cellStyle name="20% - Énfasis3 2 2" xfId="19"/>
    <cellStyle name="20% - Énfasis3 3" xfId="20"/>
    <cellStyle name="20% - Énfasis4 2" xfId="21"/>
    <cellStyle name="20% - Énfasis4 2 2" xfId="22"/>
    <cellStyle name="20% - Énfasis4 3" xfId="23"/>
    <cellStyle name="20% - Énfasis5 2" xfId="24"/>
    <cellStyle name="20% - Énfasis5 2 2" xfId="25"/>
    <cellStyle name="20% - Énfasis5 3" xfId="26"/>
    <cellStyle name="20% - Énfasis6 2" xfId="27"/>
    <cellStyle name="20% - Énfasis6 2 2" xfId="28"/>
    <cellStyle name="20% - Énfasis6 3" xfId="29"/>
    <cellStyle name="40% - Énfasis1 2" xfId="30"/>
    <cellStyle name="40% - Énfasis1 2 2" xfId="31"/>
    <cellStyle name="40% - Énfasis1 3" xfId="32"/>
    <cellStyle name="40% - Énfasis2 2" xfId="33"/>
    <cellStyle name="40% - Énfasis2 2 2" xfId="34"/>
    <cellStyle name="40% - Énfasis2 3" xfId="35"/>
    <cellStyle name="40% - Énfasis3 2" xfId="36"/>
    <cellStyle name="40% - Énfasis3 2 2" xfId="37"/>
    <cellStyle name="40% - Énfasis3 3" xfId="38"/>
    <cellStyle name="40% - Énfasis4 2" xfId="39"/>
    <cellStyle name="40% - Énfasis4 2 2" xfId="40"/>
    <cellStyle name="40% - Énfasis4 3" xfId="41"/>
    <cellStyle name="40% - Énfasis5 2" xfId="42"/>
    <cellStyle name="40% - Énfasis5 2 2" xfId="43"/>
    <cellStyle name="40% - Énfasis5 3" xfId="44"/>
    <cellStyle name="40% - Énfasis6 2" xfId="45"/>
    <cellStyle name="40% - Énfasis6 2 2" xfId="46"/>
    <cellStyle name="40% - Énfasis6 3" xfId="47"/>
    <cellStyle name="60% - Énfasis1 2" xfId="48"/>
    <cellStyle name="60% - Énfasis1 2 2" xfId="49"/>
    <cellStyle name="60% - Énfasis1 3" xfId="50"/>
    <cellStyle name="60% - Énfasis2 2" xfId="51"/>
    <cellStyle name="60% - Énfasis2 2 2" xfId="52"/>
    <cellStyle name="60% - Énfasis2 3" xfId="53"/>
    <cellStyle name="60% - Énfasis3 2" xfId="54"/>
    <cellStyle name="60% - Énfasis3 2 2" xfId="55"/>
    <cellStyle name="60% - Énfasis3 3" xfId="56"/>
    <cellStyle name="60% - Énfasis4 2" xfId="57"/>
    <cellStyle name="60% - Énfasis4 2 2" xfId="58"/>
    <cellStyle name="60% - Énfasis4 3" xfId="59"/>
    <cellStyle name="60% - Énfasis5 2" xfId="60"/>
    <cellStyle name="60% - Énfasis5 2 2" xfId="61"/>
    <cellStyle name="60% - Énfasis5 3" xfId="62"/>
    <cellStyle name="60% - Énfasis6 2" xfId="63"/>
    <cellStyle name="60% - Énfasis6 2 2" xfId="64"/>
    <cellStyle name="60% - Énfasis6 3" xfId="65"/>
    <cellStyle name="Buena 2" xfId="66"/>
    <cellStyle name="Buena 2 2" xfId="67"/>
    <cellStyle name="Buena 3" xfId="68"/>
    <cellStyle name="Cálculo 2" xfId="69"/>
    <cellStyle name="Cálculo 2 10" xfId="70"/>
    <cellStyle name="Cálculo 2 10 10" xfId="71"/>
    <cellStyle name="Cálculo 2 10 10 2" xfId="72"/>
    <cellStyle name="Cálculo 2 10 11" xfId="73"/>
    <cellStyle name="Cálculo 2 10 11 2" xfId="74"/>
    <cellStyle name="Cálculo 2 10 12" xfId="75"/>
    <cellStyle name="Cálculo 2 10 12 2" xfId="76"/>
    <cellStyle name="Cálculo 2 10 13" xfId="77"/>
    <cellStyle name="Cálculo 2 10 13 2" xfId="78"/>
    <cellStyle name="Cálculo 2 10 14" xfId="79"/>
    <cellStyle name="Cálculo 2 10 2" xfId="80"/>
    <cellStyle name="Cálculo 2 10 2 2" xfId="81"/>
    <cellStyle name="Cálculo 2 10 3" xfId="82"/>
    <cellStyle name="Cálculo 2 10 3 2" xfId="83"/>
    <cellStyle name="Cálculo 2 10 4" xfId="84"/>
    <cellStyle name="Cálculo 2 10 4 2" xfId="85"/>
    <cellStyle name="Cálculo 2 10 5" xfId="86"/>
    <cellStyle name="Cálculo 2 10 5 2" xfId="87"/>
    <cellStyle name="Cálculo 2 10 6" xfId="88"/>
    <cellStyle name="Cálculo 2 10 6 2" xfId="89"/>
    <cellStyle name="Cálculo 2 10 7" xfId="90"/>
    <cellStyle name="Cálculo 2 10 7 2" xfId="91"/>
    <cellStyle name="Cálculo 2 10 8" xfId="92"/>
    <cellStyle name="Cálculo 2 10 8 2" xfId="93"/>
    <cellStyle name="Cálculo 2 10 9" xfId="94"/>
    <cellStyle name="Cálculo 2 10 9 2" xfId="95"/>
    <cellStyle name="Cálculo 2 11" xfId="96"/>
    <cellStyle name="Cálculo 2 11 10" xfId="97"/>
    <cellStyle name="Cálculo 2 11 10 2" xfId="98"/>
    <cellStyle name="Cálculo 2 11 11" xfId="99"/>
    <cellStyle name="Cálculo 2 11 11 2" xfId="100"/>
    <cellStyle name="Cálculo 2 11 12" xfId="101"/>
    <cellStyle name="Cálculo 2 11 12 2" xfId="102"/>
    <cellStyle name="Cálculo 2 11 13" xfId="103"/>
    <cellStyle name="Cálculo 2 11 13 2" xfId="104"/>
    <cellStyle name="Cálculo 2 11 14" xfId="105"/>
    <cellStyle name="Cálculo 2 11 2" xfId="106"/>
    <cellStyle name="Cálculo 2 11 2 2" xfId="107"/>
    <cellStyle name="Cálculo 2 11 3" xfId="108"/>
    <cellStyle name="Cálculo 2 11 3 2" xfId="109"/>
    <cellStyle name="Cálculo 2 11 4" xfId="110"/>
    <cellStyle name="Cálculo 2 11 4 2" xfId="111"/>
    <cellStyle name="Cálculo 2 11 5" xfId="112"/>
    <cellStyle name="Cálculo 2 11 5 2" xfId="113"/>
    <cellStyle name="Cálculo 2 11 6" xfId="114"/>
    <cellStyle name="Cálculo 2 11 6 2" xfId="115"/>
    <cellStyle name="Cálculo 2 11 7" xfId="116"/>
    <cellStyle name="Cálculo 2 11 7 2" xfId="117"/>
    <cellStyle name="Cálculo 2 11 8" xfId="118"/>
    <cellStyle name="Cálculo 2 11 8 2" xfId="119"/>
    <cellStyle name="Cálculo 2 11 9" xfId="120"/>
    <cellStyle name="Cálculo 2 11 9 2" xfId="121"/>
    <cellStyle name="Cálculo 2 12" xfId="122"/>
    <cellStyle name="Cálculo 2 12 10" xfId="123"/>
    <cellStyle name="Cálculo 2 12 10 2" xfId="124"/>
    <cellStyle name="Cálculo 2 12 11" xfId="125"/>
    <cellStyle name="Cálculo 2 12 11 2" xfId="126"/>
    <cellStyle name="Cálculo 2 12 12" xfId="127"/>
    <cellStyle name="Cálculo 2 12 12 2" xfId="128"/>
    <cellStyle name="Cálculo 2 12 13" xfId="129"/>
    <cellStyle name="Cálculo 2 12 13 2" xfId="130"/>
    <cellStyle name="Cálculo 2 12 14" xfId="131"/>
    <cellStyle name="Cálculo 2 12 2" xfId="132"/>
    <cellStyle name="Cálculo 2 12 2 2" xfId="133"/>
    <cellStyle name="Cálculo 2 12 3" xfId="134"/>
    <cellStyle name="Cálculo 2 12 3 2" xfId="135"/>
    <cellStyle name="Cálculo 2 12 4" xfId="136"/>
    <cellStyle name="Cálculo 2 12 4 2" xfId="137"/>
    <cellStyle name="Cálculo 2 12 5" xfId="138"/>
    <cellStyle name="Cálculo 2 12 5 2" xfId="139"/>
    <cellStyle name="Cálculo 2 12 6" xfId="140"/>
    <cellStyle name="Cálculo 2 12 6 2" xfId="141"/>
    <cellStyle name="Cálculo 2 12 7" xfId="142"/>
    <cellStyle name="Cálculo 2 12 7 2" xfId="143"/>
    <cellStyle name="Cálculo 2 12 8" xfId="144"/>
    <cellStyle name="Cálculo 2 12 8 2" xfId="145"/>
    <cellStyle name="Cálculo 2 12 9" xfId="146"/>
    <cellStyle name="Cálculo 2 12 9 2" xfId="147"/>
    <cellStyle name="Cálculo 2 13" xfId="148"/>
    <cellStyle name="Cálculo 2 13 10" xfId="149"/>
    <cellStyle name="Cálculo 2 13 10 2" xfId="150"/>
    <cellStyle name="Cálculo 2 13 11" xfId="151"/>
    <cellStyle name="Cálculo 2 13 11 2" xfId="152"/>
    <cellStyle name="Cálculo 2 13 12" xfId="153"/>
    <cellStyle name="Cálculo 2 13 12 2" xfId="154"/>
    <cellStyle name="Cálculo 2 13 13" xfId="155"/>
    <cellStyle name="Cálculo 2 13 13 2" xfId="156"/>
    <cellStyle name="Cálculo 2 13 14" xfId="157"/>
    <cellStyle name="Cálculo 2 13 2" xfId="158"/>
    <cellStyle name="Cálculo 2 13 2 2" xfId="159"/>
    <cellStyle name="Cálculo 2 13 3" xfId="160"/>
    <cellStyle name="Cálculo 2 13 3 2" xfId="161"/>
    <cellStyle name="Cálculo 2 13 4" xfId="162"/>
    <cellStyle name="Cálculo 2 13 4 2" xfId="163"/>
    <cellStyle name="Cálculo 2 13 5" xfId="164"/>
    <cellStyle name="Cálculo 2 13 5 2" xfId="165"/>
    <cellStyle name="Cálculo 2 13 6" xfId="166"/>
    <cellStyle name="Cálculo 2 13 6 2" xfId="167"/>
    <cellStyle name="Cálculo 2 13 7" xfId="168"/>
    <cellStyle name="Cálculo 2 13 7 2" xfId="169"/>
    <cellStyle name="Cálculo 2 13 8" xfId="170"/>
    <cellStyle name="Cálculo 2 13 8 2" xfId="171"/>
    <cellStyle name="Cálculo 2 13 9" xfId="172"/>
    <cellStyle name="Cálculo 2 13 9 2" xfId="173"/>
    <cellStyle name="Cálculo 2 14" xfId="174"/>
    <cellStyle name="Cálculo 2 14 10" xfId="175"/>
    <cellStyle name="Cálculo 2 14 10 2" xfId="176"/>
    <cellStyle name="Cálculo 2 14 11" xfId="177"/>
    <cellStyle name="Cálculo 2 14 11 2" xfId="178"/>
    <cellStyle name="Cálculo 2 14 12" xfId="179"/>
    <cellStyle name="Cálculo 2 14 12 2" xfId="180"/>
    <cellStyle name="Cálculo 2 14 13" xfId="181"/>
    <cellStyle name="Cálculo 2 14 13 2" xfId="182"/>
    <cellStyle name="Cálculo 2 14 14" xfId="183"/>
    <cellStyle name="Cálculo 2 14 2" xfId="184"/>
    <cellStyle name="Cálculo 2 14 2 2" xfId="185"/>
    <cellStyle name="Cálculo 2 14 3" xfId="186"/>
    <cellStyle name="Cálculo 2 14 3 2" xfId="187"/>
    <cellStyle name="Cálculo 2 14 4" xfId="188"/>
    <cellStyle name="Cálculo 2 14 4 2" xfId="189"/>
    <cellStyle name="Cálculo 2 14 5" xfId="190"/>
    <cellStyle name="Cálculo 2 14 5 2" xfId="191"/>
    <cellStyle name="Cálculo 2 14 6" xfId="192"/>
    <cellStyle name="Cálculo 2 14 6 2" xfId="193"/>
    <cellStyle name="Cálculo 2 14 7" xfId="194"/>
    <cellStyle name="Cálculo 2 14 7 2" xfId="195"/>
    <cellStyle name="Cálculo 2 14 8" xfId="196"/>
    <cellStyle name="Cálculo 2 14 8 2" xfId="197"/>
    <cellStyle name="Cálculo 2 14 9" xfId="198"/>
    <cellStyle name="Cálculo 2 14 9 2" xfId="199"/>
    <cellStyle name="Cálculo 2 15" xfId="200"/>
    <cellStyle name="Cálculo 2 15 10" xfId="201"/>
    <cellStyle name="Cálculo 2 15 10 2" xfId="202"/>
    <cellStyle name="Cálculo 2 15 11" xfId="203"/>
    <cellStyle name="Cálculo 2 15 11 2" xfId="204"/>
    <cellStyle name="Cálculo 2 15 12" xfId="205"/>
    <cellStyle name="Cálculo 2 15 12 2" xfId="206"/>
    <cellStyle name="Cálculo 2 15 13" xfId="207"/>
    <cellStyle name="Cálculo 2 15 13 2" xfId="208"/>
    <cellStyle name="Cálculo 2 15 14" xfId="209"/>
    <cellStyle name="Cálculo 2 15 2" xfId="210"/>
    <cellStyle name="Cálculo 2 15 2 2" xfId="211"/>
    <cellStyle name="Cálculo 2 15 3" xfId="212"/>
    <cellStyle name="Cálculo 2 15 3 2" xfId="213"/>
    <cellStyle name="Cálculo 2 15 4" xfId="214"/>
    <cellStyle name="Cálculo 2 15 4 2" xfId="215"/>
    <cellStyle name="Cálculo 2 15 5" xfId="216"/>
    <cellStyle name="Cálculo 2 15 5 2" xfId="217"/>
    <cellStyle name="Cálculo 2 15 6" xfId="218"/>
    <cellStyle name="Cálculo 2 15 6 2" xfId="219"/>
    <cellStyle name="Cálculo 2 15 7" xfId="220"/>
    <cellStyle name="Cálculo 2 15 7 2" xfId="221"/>
    <cellStyle name="Cálculo 2 15 8" xfId="222"/>
    <cellStyle name="Cálculo 2 15 8 2" xfId="223"/>
    <cellStyle name="Cálculo 2 15 9" xfId="224"/>
    <cellStyle name="Cálculo 2 15 9 2" xfId="225"/>
    <cellStyle name="Cálculo 2 16" xfId="226"/>
    <cellStyle name="Cálculo 2 16 10" xfId="227"/>
    <cellStyle name="Cálculo 2 16 10 2" xfId="228"/>
    <cellStyle name="Cálculo 2 16 11" xfId="229"/>
    <cellStyle name="Cálculo 2 16 11 2" xfId="230"/>
    <cellStyle name="Cálculo 2 16 12" xfId="231"/>
    <cellStyle name="Cálculo 2 16 12 2" xfId="232"/>
    <cellStyle name="Cálculo 2 16 13" xfId="233"/>
    <cellStyle name="Cálculo 2 16 13 2" xfId="234"/>
    <cellStyle name="Cálculo 2 16 14" xfId="235"/>
    <cellStyle name="Cálculo 2 16 2" xfId="236"/>
    <cellStyle name="Cálculo 2 16 2 2" xfId="237"/>
    <cellStyle name="Cálculo 2 16 3" xfId="238"/>
    <cellStyle name="Cálculo 2 16 3 2" xfId="239"/>
    <cellStyle name="Cálculo 2 16 4" xfId="240"/>
    <cellStyle name="Cálculo 2 16 4 2" xfId="241"/>
    <cellStyle name="Cálculo 2 16 5" xfId="242"/>
    <cellStyle name="Cálculo 2 16 5 2" xfId="243"/>
    <cellStyle name="Cálculo 2 16 6" xfId="244"/>
    <cellStyle name="Cálculo 2 16 6 2" xfId="245"/>
    <cellStyle name="Cálculo 2 16 7" xfId="246"/>
    <cellStyle name="Cálculo 2 16 7 2" xfId="247"/>
    <cellStyle name="Cálculo 2 16 8" xfId="248"/>
    <cellStyle name="Cálculo 2 16 8 2" xfId="249"/>
    <cellStyle name="Cálculo 2 16 9" xfId="250"/>
    <cellStyle name="Cálculo 2 16 9 2" xfId="251"/>
    <cellStyle name="Cálculo 2 17" xfId="252"/>
    <cellStyle name="Cálculo 2 17 10" xfId="253"/>
    <cellStyle name="Cálculo 2 17 10 2" xfId="254"/>
    <cellStyle name="Cálculo 2 17 11" xfId="255"/>
    <cellStyle name="Cálculo 2 17 11 2" xfId="256"/>
    <cellStyle name="Cálculo 2 17 12" xfId="257"/>
    <cellStyle name="Cálculo 2 17 12 2" xfId="258"/>
    <cellStyle name="Cálculo 2 17 13" xfId="259"/>
    <cellStyle name="Cálculo 2 17 13 2" xfId="260"/>
    <cellStyle name="Cálculo 2 17 14" xfId="261"/>
    <cellStyle name="Cálculo 2 17 2" xfId="262"/>
    <cellStyle name="Cálculo 2 17 2 2" xfId="263"/>
    <cellStyle name="Cálculo 2 17 3" xfId="264"/>
    <cellStyle name="Cálculo 2 17 3 2" xfId="265"/>
    <cellStyle name="Cálculo 2 17 4" xfId="266"/>
    <cellStyle name="Cálculo 2 17 4 2" xfId="267"/>
    <cellStyle name="Cálculo 2 17 5" xfId="268"/>
    <cellStyle name="Cálculo 2 17 5 2" xfId="269"/>
    <cellStyle name="Cálculo 2 17 6" xfId="270"/>
    <cellStyle name="Cálculo 2 17 6 2" xfId="271"/>
    <cellStyle name="Cálculo 2 17 7" xfId="272"/>
    <cellStyle name="Cálculo 2 17 7 2" xfId="273"/>
    <cellStyle name="Cálculo 2 17 8" xfId="274"/>
    <cellStyle name="Cálculo 2 17 8 2" xfId="275"/>
    <cellStyle name="Cálculo 2 17 9" xfId="276"/>
    <cellStyle name="Cálculo 2 17 9 2" xfId="277"/>
    <cellStyle name="Cálculo 2 18" xfId="278"/>
    <cellStyle name="Cálculo 2 18 10" xfId="279"/>
    <cellStyle name="Cálculo 2 18 10 2" xfId="280"/>
    <cellStyle name="Cálculo 2 18 11" xfId="281"/>
    <cellStyle name="Cálculo 2 18 11 2" xfId="282"/>
    <cellStyle name="Cálculo 2 18 12" xfId="283"/>
    <cellStyle name="Cálculo 2 18 12 2" xfId="284"/>
    <cellStyle name="Cálculo 2 18 13" xfId="285"/>
    <cellStyle name="Cálculo 2 18 13 2" xfId="286"/>
    <cellStyle name="Cálculo 2 18 14" xfId="287"/>
    <cellStyle name="Cálculo 2 18 2" xfId="288"/>
    <cellStyle name="Cálculo 2 18 2 2" xfId="289"/>
    <cellStyle name="Cálculo 2 18 3" xfId="290"/>
    <cellStyle name="Cálculo 2 18 3 2" xfId="291"/>
    <cellStyle name="Cálculo 2 18 4" xfId="292"/>
    <cellStyle name="Cálculo 2 18 4 2" xfId="293"/>
    <cellStyle name="Cálculo 2 18 5" xfId="294"/>
    <cellStyle name="Cálculo 2 18 5 2" xfId="295"/>
    <cellStyle name="Cálculo 2 18 6" xfId="296"/>
    <cellStyle name="Cálculo 2 18 6 2" xfId="297"/>
    <cellStyle name="Cálculo 2 18 7" xfId="298"/>
    <cellStyle name="Cálculo 2 18 7 2" xfId="299"/>
    <cellStyle name="Cálculo 2 18 8" xfId="300"/>
    <cellStyle name="Cálculo 2 18 8 2" xfId="301"/>
    <cellStyle name="Cálculo 2 18 9" xfId="302"/>
    <cellStyle name="Cálculo 2 18 9 2" xfId="303"/>
    <cellStyle name="Cálculo 2 19" xfId="304"/>
    <cellStyle name="Cálculo 2 19 10" xfId="305"/>
    <cellStyle name="Cálculo 2 19 10 2" xfId="306"/>
    <cellStyle name="Cálculo 2 19 11" xfId="307"/>
    <cellStyle name="Cálculo 2 19 11 2" xfId="308"/>
    <cellStyle name="Cálculo 2 19 12" xfId="309"/>
    <cellStyle name="Cálculo 2 19 12 2" xfId="310"/>
    <cellStyle name="Cálculo 2 19 13" xfId="311"/>
    <cellStyle name="Cálculo 2 19 13 2" xfId="312"/>
    <cellStyle name="Cálculo 2 19 14" xfId="313"/>
    <cellStyle name="Cálculo 2 19 2" xfId="314"/>
    <cellStyle name="Cálculo 2 19 2 2" xfId="315"/>
    <cellStyle name="Cálculo 2 19 3" xfId="316"/>
    <cellStyle name="Cálculo 2 19 3 2" xfId="317"/>
    <cellStyle name="Cálculo 2 19 4" xfId="318"/>
    <cellStyle name="Cálculo 2 19 4 2" xfId="319"/>
    <cellStyle name="Cálculo 2 19 5" xfId="320"/>
    <cellStyle name="Cálculo 2 19 5 2" xfId="321"/>
    <cellStyle name="Cálculo 2 19 6" xfId="322"/>
    <cellStyle name="Cálculo 2 19 6 2" xfId="323"/>
    <cellStyle name="Cálculo 2 19 7" xfId="324"/>
    <cellStyle name="Cálculo 2 19 7 2" xfId="325"/>
    <cellStyle name="Cálculo 2 19 8" xfId="326"/>
    <cellStyle name="Cálculo 2 19 8 2" xfId="327"/>
    <cellStyle name="Cálculo 2 19 9" xfId="328"/>
    <cellStyle name="Cálculo 2 19 9 2" xfId="329"/>
    <cellStyle name="Cálculo 2 2" xfId="330"/>
    <cellStyle name="Cálculo 2 2 10" xfId="331"/>
    <cellStyle name="Cálculo 2 2 10 2" xfId="332"/>
    <cellStyle name="Cálculo 2 2 11" xfId="333"/>
    <cellStyle name="Cálculo 2 2 11 2" xfId="334"/>
    <cellStyle name="Cálculo 2 2 12" xfId="335"/>
    <cellStyle name="Cálculo 2 2 12 2" xfId="336"/>
    <cellStyle name="Cálculo 2 2 13" xfId="337"/>
    <cellStyle name="Cálculo 2 2 13 2" xfId="338"/>
    <cellStyle name="Cálculo 2 2 14" xfId="339"/>
    <cellStyle name="Cálculo 2 2 2" xfId="340"/>
    <cellStyle name="Cálculo 2 2 2 2" xfId="341"/>
    <cellStyle name="Cálculo 2 2 3" xfId="342"/>
    <cellStyle name="Cálculo 2 2 3 2" xfId="343"/>
    <cellStyle name="Cálculo 2 2 4" xfId="344"/>
    <cellStyle name="Cálculo 2 2 4 2" xfId="345"/>
    <cellStyle name="Cálculo 2 2 5" xfId="346"/>
    <cellStyle name="Cálculo 2 2 5 2" xfId="347"/>
    <cellStyle name="Cálculo 2 2 6" xfId="348"/>
    <cellStyle name="Cálculo 2 2 6 2" xfId="349"/>
    <cellStyle name="Cálculo 2 2 7" xfId="350"/>
    <cellStyle name="Cálculo 2 2 7 2" xfId="351"/>
    <cellStyle name="Cálculo 2 2 8" xfId="352"/>
    <cellStyle name="Cálculo 2 2 8 2" xfId="353"/>
    <cellStyle name="Cálculo 2 2 9" xfId="354"/>
    <cellStyle name="Cálculo 2 2 9 2" xfId="355"/>
    <cellStyle name="Cálculo 2 20" xfId="356"/>
    <cellStyle name="Cálculo 2 20 10" xfId="357"/>
    <cellStyle name="Cálculo 2 20 10 2" xfId="358"/>
    <cellStyle name="Cálculo 2 20 11" xfId="359"/>
    <cellStyle name="Cálculo 2 20 11 2" xfId="360"/>
    <cellStyle name="Cálculo 2 20 12" xfId="361"/>
    <cellStyle name="Cálculo 2 20 12 2" xfId="362"/>
    <cellStyle name="Cálculo 2 20 13" xfId="363"/>
    <cellStyle name="Cálculo 2 20 13 2" xfId="364"/>
    <cellStyle name="Cálculo 2 20 14" xfId="365"/>
    <cellStyle name="Cálculo 2 20 2" xfId="366"/>
    <cellStyle name="Cálculo 2 20 2 2" xfId="367"/>
    <cellStyle name="Cálculo 2 20 3" xfId="368"/>
    <cellStyle name="Cálculo 2 20 3 2" xfId="369"/>
    <cellStyle name="Cálculo 2 20 4" xfId="370"/>
    <cellStyle name="Cálculo 2 20 4 2" xfId="371"/>
    <cellStyle name="Cálculo 2 20 5" xfId="372"/>
    <cellStyle name="Cálculo 2 20 5 2" xfId="373"/>
    <cellStyle name="Cálculo 2 20 6" xfId="374"/>
    <cellStyle name="Cálculo 2 20 6 2" xfId="375"/>
    <cellStyle name="Cálculo 2 20 7" xfId="376"/>
    <cellStyle name="Cálculo 2 20 7 2" xfId="377"/>
    <cellStyle name="Cálculo 2 20 8" xfId="378"/>
    <cellStyle name="Cálculo 2 20 8 2" xfId="379"/>
    <cellStyle name="Cálculo 2 20 9" xfId="380"/>
    <cellStyle name="Cálculo 2 20 9 2" xfId="381"/>
    <cellStyle name="Cálculo 2 21" xfId="382"/>
    <cellStyle name="Cálculo 2 21 10" xfId="383"/>
    <cellStyle name="Cálculo 2 21 10 2" xfId="384"/>
    <cellStyle name="Cálculo 2 21 11" xfId="385"/>
    <cellStyle name="Cálculo 2 21 11 2" xfId="386"/>
    <cellStyle name="Cálculo 2 21 12" xfId="387"/>
    <cellStyle name="Cálculo 2 21 12 2" xfId="388"/>
    <cellStyle name="Cálculo 2 21 13" xfId="389"/>
    <cellStyle name="Cálculo 2 21 13 2" xfId="390"/>
    <cellStyle name="Cálculo 2 21 14" xfId="391"/>
    <cellStyle name="Cálculo 2 21 2" xfId="392"/>
    <cellStyle name="Cálculo 2 21 2 2" xfId="393"/>
    <cellStyle name="Cálculo 2 21 3" xfId="394"/>
    <cellStyle name="Cálculo 2 21 3 2" xfId="395"/>
    <cellStyle name="Cálculo 2 21 4" xfId="396"/>
    <cellStyle name="Cálculo 2 21 4 2" xfId="397"/>
    <cellStyle name="Cálculo 2 21 5" xfId="398"/>
    <cellStyle name="Cálculo 2 21 5 2" xfId="399"/>
    <cellStyle name="Cálculo 2 21 6" xfId="400"/>
    <cellStyle name="Cálculo 2 21 6 2" xfId="401"/>
    <cellStyle name="Cálculo 2 21 7" xfId="402"/>
    <cellStyle name="Cálculo 2 21 7 2" xfId="403"/>
    <cellStyle name="Cálculo 2 21 8" xfId="404"/>
    <cellStyle name="Cálculo 2 21 8 2" xfId="405"/>
    <cellStyle name="Cálculo 2 21 9" xfId="406"/>
    <cellStyle name="Cálculo 2 21 9 2" xfId="407"/>
    <cellStyle name="Cálculo 2 22" xfId="408"/>
    <cellStyle name="Cálculo 2 22 10" xfId="409"/>
    <cellStyle name="Cálculo 2 22 10 2" xfId="410"/>
    <cellStyle name="Cálculo 2 22 11" xfId="411"/>
    <cellStyle name="Cálculo 2 22 11 2" xfId="412"/>
    <cellStyle name="Cálculo 2 22 12" xfId="413"/>
    <cellStyle name="Cálculo 2 22 12 2" xfId="414"/>
    <cellStyle name="Cálculo 2 22 13" xfId="415"/>
    <cellStyle name="Cálculo 2 22 13 2" xfId="416"/>
    <cellStyle name="Cálculo 2 22 14" xfId="417"/>
    <cellStyle name="Cálculo 2 22 2" xfId="418"/>
    <cellStyle name="Cálculo 2 22 2 2" xfId="419"/>
    <cellStyle name="Cálculo 2 22 3" xfId="420"/>
    <cellStyle name="Cálculo 2 22 3 2" xfId="421"/>
    <cellStyle name="Cálculo 2 22 4" xfId="422"/>
    <cellStyle name="Cálculo 2 22 4 2" xfId="423"/>
    <cellStyle name="Cálculo 2 22 5" xfId="424"/>
    <cellStyle name="Cálculo 2 22 5 2" xfId="425"/>
    <cellStyle name="Cálculo 2 22 6" xfId="426"/>
    <cellStyle name="Cálculo 2 22 6 2" xfId="427"/>
    <cellStyle name="Cálculo 2 22 7" xfId="428"/>
    <cellStyle name="Cálculo 2 22 7 2" xfId="429"/>
    <cellStyle name="Cálculo 2 22 8" xfId="430"/>
    <cellStyle name="Cálculo 2 22 8 2" xfId="431"/>
    <cellStyle name="Cálculo 2 22 9" xfId="432"/>
    <cellStyle name="Cálculo 2 22 9 2" xfId="433"/>
    <cellStyle name="Cálculo 2 23" xfId="434"/>
    <cellStyle name="Cálculo 2 23 10" xfId="435"/>
    <cellStyle name="Cálculo 2 23 10 2" xfId="436"/>
    <cellStyle name="Cálculo 2 23 11" xfId="437"/>
    <cellStyle name="Cálculo 2 23 11 2" xfId="438"/>
    <cellStyle name="Cálculo 2 23 12" xfId="439"/>
    <cellStyle name="Cálculo 2 23 12 2" xfId="440"/>
    <cellStyle name="Cálculo 2 23 13" xfId="441"/>
    <cellStyle name="Cálculo 2 23 13 2" xfId="442"/>
    <cellStyle name="Cálculo 2 23 14" xfId="443"/>
    <cellStyle name="Cálculo 2 23 2" xfId="444"/>
    <cellStyle name="Cálculo 2 23 2 2" xfId="445"/>
    <cellStyle name="Cálculo 2 23 3" xfId="446"/>
    <cellStyle name="Cálculo 2 23 3 2" xfId="447"/>
    <cellStyle name="Cálculo 2 23 4" xfId="448"/>
    <cellStyle name="Cálculo 2 23 4 2" xfId="449"/>
    <cellStyle name="Cálculo 2 23 5" xfId="450"/>
    <cellStyle name="Cálculo 2 23 5 2" xfId="451"/>
    <cellStyle name="Cálculo 2 23 6" xfId="452"/>
    <cellStyle name="Cálculo 2 23 6 2" xfId="453"/>
    <cellStyle name="Cálculo 2 23 7" xfId="454"/>
    <cellStyle name="Cálculo 2 23 7 2" xfId="455"/>
    <cellStyle name="Cálculo 2 23 8" xfId="456"/>
    <cellStyle name="Cálculo 2 23 8 2" xfId="457"/>
    <cellStyle name="Cálculo 2 23 9" xfId="458"/>
    <cellStyle name="Cálculo 2 23 9 2" xfId="459"/>
    <cellStyle name="Cálculo 2 24" xfId="460"/>
    <cellStyle name="Cálculo 2 24 10" xfId="461"/>
    <cellStyle name="Cálculo 2 24 10 2" xfId="462"/>
    <cellStyle name="Cálculo 2 24 11" xfId="463"/>
    <cellStyle name="Cálculo 2 24 11 2" xfId="464"/>
    <cellStyle name="Cálculo 2 24 12" xfId="465"/>
    <cellStyle name="Cálculo 2 24 12 2" xfId="466"/>
    <cellStyle name="Cálculo 2 24 13" xfId="467"/>
    <cellStyle name="Cálculo 2 24 13 2" xfId="468"/>
    <cellStyle name="Cálculo 2 24 14" xfId="469"/>
    <cellStyle name="Cálculo 2 24 2" xfId="470"/>
    <cellStyle name="Cálculo 2 24 2 2" xfId="471"/>
    <cellStyle name="Cálculo 2 24 3" xfId="472"/>
    <cellStyle name="Cálculo 2 24 3 2" xfId="473"/>
    <cellStyle name="Cálculo 2 24 4" xfId="474"/>
    <cellStyle name="Cálculo 2 24 4 2" xfId="475"/>
    <cellStyle name="Cálculo 2 24 5" xfId="476"/>
    <cellStyle name="Cálculo 2 24 5 2" xfId="477"/>
    <cellStyle name="Cálculo 2 24 6" xfId="478"/>
    <cellStyle name="Cálculo 2 24 6 2" xfId="479"/>
    <cellStyle name="Cálculo 2 24 7" xfId="480"/>
    <cellStyle name="Cálculo 2 24 7 2" xfId="481"/>
    <cellStyle name="Cálculo 2 24 8" xfId="482"/>
    <cellStyle name="Cálculo 2 24 8 2" xfId="483"/>
    <cellStyle name="Cálculo 2 24 9" xfId="484"/>
    <cellStyle name="Cálculo 2 24 9 2" xfId="485"/>
    <cellStyle name="Cálculo 2 25" xfId="486"/>
    <cellStyle name="Cálculo 2 25 10" xfId="487"/>
    <cellStyle name="Cálculo 2 25 10 2" xfId="488"/>
    <cellStyle name="Cálculo 2 25 11" xfId="489"/>
    <cellStyle name="Cálculo 2 25 11 2" xfId="490"/>
    <cellStyle name="Cálculo 2 25 12" xfId="491"/>
    <cellStyle name="Cálculo 2 25 12 2" xfId="492"/>
    <cellStyle name="Cálculo 2 25 13" xfId="493"/>
    <cellStyle name="Cálculo 2 25 13 2" xfId="494"/>
    <cellStyle name="Cálculo 2 25 14" xfId="495"/>
    <cellStyle name="Cálculo 2 25 2" xfId="496"/>
    <cellStyle name="Cálculo 2 25 2 2" xfId="497"/>
    <cellStyle name="Cálculo 2 25 3" xfId="498"/>
    <cellStyle name="Cálculo 2 25 3 2" xfId="499"/>
    <cellStyle name="Cálculo 2 25 4" xfId="500"/>
    <cellStyle name="Cálculo 2 25 4 2" xfId="501"/>
    <cellStyle name="Cálculo 2 25 5" xfId="502"/>
    <cellStyle name="Cálculo 2 25 5 2" xfId="503"/>
    <cellStyle name="Cálculo 2 25 6" xfId="504"/>
    <cellStyle name="Cálculo 2 25 6 2" xfId="505"/>
    <cellStyle name="Cálculo 2 25 7" xfId="506"/>
    <cellStyle name="Cálculo 2 25 7 2" xfId="507"/>
    <cellStyle name="Cálculo 2 25 8" xfId="508"/>
    <cellStyle name="Cálculo 2 25 8 2" xfId="509"/>
    <cellStyle name="Cálculo 2 25 9" xfId="510"/>
    <cellStyle name="Cálculo 2 25 9 2" xfId="511"/>
    <cellStyle name="Cálculo 2 26" xfId="512"/>
    <cellStyle name="Cálculo 2 26 10" xfId="513"/>
    <cellStyle name="Cálculo 2 26 10 2" xfId="514"/>
    <cellStyle name="Cálculo 2 26 11" xfId="515"/>
    <cellStyle name="Cálculo 2 26 11 2" xfId="516"/>
    <cellStyle name="Cálculo 2 26 12" xfId="517"/>
    <cellStyle name="Cálculo 2 26 12 2" xfId="518"/>
    <cellStyle name="Cálculo 2 26 13" xfId="519"/>
    <cellStyle name="Cálculo 2 26 13 2" xfId="520"/>
    <cellStyle name="Cálculo 2 26 14" xfId="521"/>
    <cellStyle name="Cálculo 2 26 2" xfId="522"/>
    <cellStyle name="Cálculo 2 26 2 2" xfId="523"/>
    <cellStyle name="Cálculo 2 26 3" xfId="524"/>
    <cellStyle name="Cálculo 2 26 3 2" xfId="525"/>
    <cellStyle name="Cálculo 2 26 4" xfId="526"/>
    <cellStyle name="Cálculo 2 26 4 2" xfId="527"/>
    <cellStyle name="Cálculo 2 26 5" xfId="528"/>
    <cellStyle name="Cálculo 2 26 5 2" xfId="529"/>
    <cellStyle name="Cálculo 2 26 6" xfId="530"/>
    <cellStyle name="Cálculo 2 26 6 2" xfId="531"/>
    <cellStyle name="Cálculo 2 26 7" xfId="532"/>
    <cellStyle name="Cálculo 2 26 7 2" xfId="533"/>
    <cellStyle name="Cálculo 2 26 8" xfId="534"/>
    <cellStyle name="Cálculo 2 26 8 2" xfId="535"/>
    <cellStyle name="Cálculo 2 26 9" xfId="536"/>
    <cellStyle name="Cálculo 2 26 9 2" xfId="537"/>
    <cellStyle name="Cálculo 2 27" xfId="538"/>
    <cellStyle name="Cálculo 2 27 10" xfId="539"/>
    <cellStyle name="Cálculo 2 27 10 2" xfId="540"/>
    <cellStyle name="Cálculo 2 27 11" xfId="541"/>
    <cellStyle name="Cálculo 2 27 11 2" xfId="542"/>
    <cellStyle name="Cálculo 2 27 12" xfId="543"/>
    <cellStyle name="Cálculo 2 27 12 2" xfId="544"/>
    <cellStyle name="Cálculo 2 27 13" xfId="545"/>
    <cellStyle name="Cálculo 2 27 13 2" xfId="546"/>
    <cellStyle name="Cálculo 2 27 14" xfId="547"/>
    <cellStyle name="Cálculo 2 27 2" xfId="548"/>
    <cellStyle name="Cálculo 2 27 2 2" xfId="549"/>
    <cellStyle name="Cálculo 2 27 3" xfId="550"/>
    <cellStyle name="Cálculo 2 27 3 2" xfId="551"/>
    <cellStyle name="Cálculo 2 27 4" xfId="552"/>
    <cellStyle name="Cálculo 2 27 4 2" xfId="553"/>
    <cellStyle name="Cálculo 2 27 5" xfId="554"/>
    <cellStyle name="Cálculo 2 27 5 2" xfId="555"/>
    <cellStyle name="Cálculo 2 27 6" xfId="556"/>
    <cellStyle name="Cálculo 2 27 6 2" xfId="557"/>
    <cellStyle name="Cálculo 2 27 7" xfId="558"/>
    <cellStyle name="Cálculo 2 27 7 2" xfId="559"/>
    <cellStyle name="Cálculo 2 27 8" xfId="560"/>
    <cellStyle name="Cálculo 2 27 8 2" xfId="561"/>
    <cellStyle name="Cálculo 2 27 9" xfId="562"/>
    <cellStyle name="Cálculo 2 27 9 2" xfId="563"/>
    <cellStyle name="Cálculo 2 28" xfId="564"/>
    <cellStyle name="Cálculo 2 28 10" xfId="565"/>
    <cellStyle name="Cálculo 2 28 10 2" xfId="566"/>
    <cellStyle name="Cálculo 2 28 11" xfId="567"/>
    <cellStyle name="Cálculo 2 28 11 2" xfId="568"/>
    <cellStyle name="Cálculo 2 28 12" xfId="569"/>
    <cellStyle name="Cálculo 2 28 12 2" xfId="570"/>
    <cellStyle name="Cálculo 2 28 13" xfId="571"/>
    <cellStyle name="Cálculo 2 28 13 2" xfId="572"/>
    <cellStyle name="Cálculo 2 28 14" xfId="573"/>
    <cellStyle name="Cálculo 2 28 2" xfId="574"/>
    <cellStyle name="Cálculo 2 28 2 2" xfId="575"/>
    <cellStyle name="Cálculo 2 28 3" xfId="576"/>
    <cellStyle name="Cálculo 2 28 3 2" xfId="577"/>
    <cellStyle name="Cálculo 2 28 4" xfId="578"/>
    <cellStyle name="Cálculo 2 28 4 2" xfId="579"/>
    <cellStyle name="Cálculo 2 28 5" xfId="580"/>
    <cellStyle name="Cálculo 2 28 5 2" xfId="581"/>
    <cellStyle name="Cálculo 2 28 6" xfId="582"/>
    <cellStyle name="Cálculo 2 28 6 2" xfId="583"/>
    <cellStyle name="Cálculo 2 28 7" xfId="584"/>
    <cellStyle name="Cálculo 2 28 7 2" xfId="585"/>
    <cellStyle name="Cálculo 2 28 8" xfId="586"/>
    <cellStyle name="Cálculo 2 28 8 2" xfId="587"/>
    <cellStyle name="Cálculo 2 28 9" xfId="588"/>
    <cellStyle name="Cálculo 2 28 9 2" xfId="589"/>
    <cellStyle name="Cálculo 2 29" xfId="590"/>
    <cellStyle name="Cálculo 2 29 10" xfId="591"/>
    <cellStyle name="Cálculo 2 29 10 2" xfId="592"/>
    <cellStyle name="Cálculo 2 29 11" xfId="593"/>
    <cellStyle name="Cálculo 2 29 11 2" xfId="594"/>
    <cellStyle name="Cálculo 2 29 12" xfId="595"/>
    <cellStyle name="Cálculo 2 29 12 2" xfId="596"/>
    <cellStyle name="Cálculo 2 29 13" xfId="597"/>
    <cellStyle name="Cálculo 2 29 13 2" xfId="598"/>
    <cellStyle name="Cálculo 2 29 14" xfId="599"/>
    <cellStyle name="Cálculo 2 29 2" xfId="600"/>
    <cellStyle name="Cálculo 2 29 2 2" xfId="601"/>
    <cellStyle name="Cálculo 2 29 3" xfId="602"/>
    <cellStyle name="Cálculo 2 29 3 2" xfId="603"/>
    <cellStyle name="Cálculo 2 29 4" xfId="604"/>
    <cellStyle name="Cálculo 2 29 4 2" xfId="605"/>
    <cellStyle name="Cálculo 2 29 5" xfId="606"/>
    <cellStyle name="Cálculo 2 29 5 2" xfId="607"/>
    <cellStyle name="Cálculo 2 29 6" xfId="608"/>
    <cellStyle name="Cálculo 2 29 6 2" xfId="609"/>
    <cellStyle name="Cálculo 2 29 7" xfId="610"/>
    <cellStyle name="Cálculo 2 29 7 2" xfId="611"/>
    <cellStyle name="Cálculo 2 29 8" xfId="612"/>
    <cellStyle name="Cálculo 2 29 8 2" xfId="613"/>
    <cellStyle name="Cálculo 2 29 9" xfId="614"/>
    <cellStyle name="Cálculo 2 29 9 2" xfId="615"/>
    <cellStyle name="Cálculo 2 3" xfId="616"/>
    <cellStyle name="Cálculo 2 3 10" xfId="617"/>
    <cellStyle name="Cálculo 2 3 10 2" xfId="618"/>
    <cellStyle name="Cálculo 2 3 11" xfId="619"/>
    <cellStyle name="Cálculo 2 3 11 2" xfId="620"/>
    <cellStyle name="Cálculo 2 3 12" xfId="621"/>
    <cellStyle name="Cálculo 2 3 12 2" xfId="622"/>
    <cellStyle name="Cálculo 2 3 13" xfId="623"/>
    <cellStyle name="Cálculo 2 3 13 2" xfId="624"/>
    <cellStyle name="Cálculo 2 3 14" xfId="625"/>
    <cellStyle name="Cálculo 2 3 2" xfId="626"/>
    <cellStyle name="Cálculo 2 3 2 2" xfId="627"/>
    <cellStyle name="Cálculo 2 3 3" xfId="628"/>
    <cellStyle name="Cálculo 2 3 3 2" xfId="629"/>
    <cellStyle name="Cálculo 2 3 4" xfId="630"/>
    <cellStyle name="Cálculo 2 3 4 2" xfId="631"/>
    <cellStyle name="Cálculo 2 3 5" xfId="632"/>
    <cellStyle name="Cálculo 2 3 5 2" xfId="633"/>
    <cellStyle name="Cálculo 2 3 6" xfId="634"/>
    <cellStyle name="Cálculo 2 3 6 2" xfId="635"/>
    <cellStyle name="Cálculo 2 3 7" xfId="636"/>
    <cellStyle name="Cálculo 2 3 7 2" xfId="637"/>
    <cellStyle name="Cálculo 2 3 8" xfId="638"/>
    <cellStyle name="Cálculo 2 3 8 2" xfId="639"/>
    <cellStyle name="Cálculo 2 3 9" xfId="640"/>
    <cellStyle name="Cálculo 2 3 9 2" xfId="641"/>
    <cellStyle name="Cálculo 2 30" xfId="642"/>
    <cellStyle name="Cálculo 2 30 10" xfId="643"/>
    <cellStyle name="Cálculo 2 30 10 2" xfId="644"/>
    <cellStyle name="Cálculo 2 30 11" xfId="645"/>
    <cellStyle name="Cálculo 2 30 11 2" xfId="646"/>
    <cellStyle name="Cálculo 2 30 12" xfId="647"/>
    <cellStyle name="Cálculo 2 30 12 2" xfId="648"/>
    <cellStyle name="Cálculo 2 30 13" xfId="649"/>
    <cellStyle name="Cálculo 2 30 13 2" xfId="650"/>
    <cellStyle name="Cálculo 2 30 14" xfId="651"/>
    <cellStyle name="Cálculo 2 30 2" xfId="652"/>
    <cellStyle name="Cálculo 2 30 2 2" xfId="653"/>
    <cellStyle name="Cálculo 2 30 3" xfId="654"/>
    <cellStyle name="Cálculo 2 30 3 2" xfId="655"/>
    <cellStyle name="Cálculo 2 30 4" xfId="656"/>
    <cellStyle name="Cálculo 2 30 4 2" xfId="657"/>
    <cellStyle name="Cálculo 2 30 5" xfId="658"/>
    <cellStyle name="Cálculo 2 30 5 2" xfId="659"/>
    <cellStyle name="Cálculo 2 30 6" xfId="660"/>
    <cellStyle name="Cálculo 2 30 6 2" xfId="661"/>
    <cellStyle name="Cálculo 2 30 7" xfId="662"/>
    <cellStyle name="Cálculo 2 30 7 2" xfId="663"/>
    <cellStyle name="Cálculo 2 30 8" xfId="664"/>
    <cellStyle name="Cálculo 2 30 8 2" xfId="665"/>
    <cellStyle name="Cálculo 2 30 9" xfId="666"/>
    <cellStyle name="Cálculo 2 30 9 2" xfId="667"/>
    <cellStyle name="Cálculo 2 31" xfId="668"/>
    <cellStyle name="Cálculo 2 31 10" xfId="669"/>
    <cellStyle name="Cálculo 2 31 10 2" xfId="670"/>
    <cellStyle name="Cálculo 2 31 11" xfId="671"/>
    <cellStyle name="Cálculo 2 31 11 2" xfId="672"/>
    <cellStyle name="Cálculo 2 31 12" xfId="673"/>
    <cellStyle name="Cálculo 2 31 12 2" xfId="674"/>
    <cellStyle name="Cálculo 2 31 13" xfId="675"/>
    <cellStyle name="Cálculo 2 31 13 2" xfId="676"/>
    <cellStyle name="Cálculo 2 31 14" xfId="677"/>
    <cellStyle name="Cálculo 2 31 2" xfId="678"/>
    <cellStyle name="Cálculo 2 31 2 2" xfId="679"/>
    <cellStyle name="Cálculo 2 31 3" xfId="680"/>
    <cellStyle name="Cálculo 2 31 3 2" xfId="681"/>
    <cellStyle name="Cálculo 2 31 4" xfId="682"/>
    <cellStyle name="Cálculo 2 31 4 2" xfId="683"/>
    <cellStyle name="Cálculo 2 31 5" xfId="684"/>
    <cellStyle name="Cálculo 2 31 5 2" xfId="685"/>
    <cellStyle name="Cálculo 2 31 6" xfId="686"/>
    <cellStyle name="Cálculo 2 31 6 2" xfId="687"/>
    <cellStyle name="Cálculo 2 31 7" xfId="688"/>
    <cellStyle name="Cálculo 2 31 7 2" xfId="689"/>
    <cellStyle name="Cálculo 2 31 8" xfId="690"/>
    <cellStyle name="Cálculo 2 31 8 2" xfId="691"/>
    <cellStyle name="Cálculo 2 31 9" xfId="692"/>
    <cellStyle name="Cálculo 2 31 9 2" xfId="693"/>
    <cellStyle name="Cálculo 2 32" xfId="694"/>
    <cellStyle name="Cálculo 2 32 10" xfId="695"/>
    <cellStyle name="Cálculo 2 32 10 2" xfId="696"/>
    <cellStyle name="Cálculo 2 32 11" xfId="697"/>
    <cellStyle name="Cálculo 2 32 11 2" xfId="698"/>
    <cellStyle name="Cálculo 2 32 12" xfId="699"/>
    <cellStyle name="Cálculo 2 32 12 2" xfId="700"/>
    <cellStyle name="Cálculo 2 32 13" xfId="701"/>
    <cellStyle name="Cálculo 2 32 13 2" xfId="702"/>
    <cellStyle name="Cálculo 2 32 14" xfId="703"/>
    <cellStyle name="Cálculo 2 32 2" xfId="704"/>
    <cellStyle name="Cálculo 2 32 2 2" xfId="705"/>
    <cellStyle name="Cálculo 2 32 3" xfId="706"/>
    <cellStyle name="Cálculo 2 32 3 2" xfId="707"/>
    <cellStyle name="Cálculo 2 32 4" xfId="708"/>
    <cellStyle name="Cálculo 2 32 4 2" xfId="709"/>
    <cellStyle name="Cálculo 2 32 5" xfId="710"/>
    <cellStyle name="Cálculo 2 32 5 2" xfId="711"/>
    <cellStyle name="Cálculo 2 32 6" xfId="712"/>
    <cellStyle name="Cálculo 2 32 6 2" xfId="713"/>
    <cellStyle name="Cálculo 2 32 7" xfId="714"/>
    <cellStyle name="Cálculo 2 32 7 2" xfId="715"/>
    <cellStyle name="Cálculo 2 32 8" xfId="716"/>
    <cellStyle name="Cálculo 2 32 8 2" xfId="717"/>
    <cellStyle name="Cálculo 2 32 9" xfId="718"/>
    <cellStyle name="Cálculo 2 32 9 2" xfId="719"/>
    <cellStyle name="Cálculo 2 33" xfId="720"/>
    <cellStyle name="Cálculo 2 33 10" xfId="721"/>
    <cellStyle name="Cálculo 2 33 10 2" xfId="722"/>
    <cellStyle name="Cálculo 2 33 11" xfId="723"/>
    <cellStyle name="Cálculo 2 33 11 2" xfId="724"/>
    <cellStyle name="Cálculo 2 33 12" xfId="725"/>
    <cellStyle name="Cálculo 2 33 12 2" xfId="726"/>
    <cellStyle name="Cálculo 2 33 13" xfId="727"/>
    <cellStyle name="Cálculo 2 33 13 2" xfId="728"/>
    <cellStyle name="Cálculo 2 33 14" xfId="729"/>
    <cellStyle name="Cálculo 2 33 2" xfId="730"/>
    <cellStyle name="Cálculo 2 33 2 2" xfId="731"/>
    <cellStyle name="Cálculo 2 33 3" xfId="732"/>
    <cellStyle name="Cálculo 2 33 3 2" xfId="733"/>
    <cellStyle name="Cálculo 2 33 4" xfId="734"/>
    <cellStyle name="Cálculo 2 33 4 2" xfId="735"/>
    <cellStyle name="Cálculo 2 33 5" xfId="736"/>
    <cellStyle name="Cálculo 2 33 5 2" xfId="737"/>
    <cellStyle name="Cálculo 2 33 6" xfId="738"/>
    <cellStyle name="Cálculo 2 33 6 2" xfId="739"/>
    <cellStyle name="Cálculo 2 33 7" xfId="740"/>
    <cellStyle name="Cálculo 2 33 7 2" xfId="741"/>
    <cellStyle name="Cálculo 2 33 8" xfId="742"/>
    <cellStyle name="Cálculo 2 33 8 2" xfId="743"/>
    <cellStyle name="Cálculo 2 33 9" xfId="744"/>
    <cellStyle name="Cálculo 2 33 9 2" xfId="745"/>
    <cellStyle name="Cálculo 2 34" xfId="746"/>
    <cellStyle name="Cálculo 2 34 10" xfId="747"/>
    <cellStyle name="Cálculo 2 34 10 2" xfId="748"/>
    <cellStyle name="Cálculo 2 34 11" xfId="749"/>
    <cellStyle name="Cálculo 2 34 11 2" xfId="750"/>
    <cellStyle name="Cálculo 2 34 12" xfId="751"/>
    <cellStyle name="Cálculo 2 34 12 2" xfId="752"/>
    <cellStyle name="Cálculo 2 34 13" xfId="753"/>
    <cellStyle name="Cálculo 2 34 13 2" xfId="754"/>
    <cellStyle name="Cálculo 2 34 14" xfId="755"/>
    <cellStyle name="Cálculo 2 34 2" xfId="756"/>
    <cellStyle name="Cálculo 2 34 2 2" xfId="757"/>
    <cellStyle name="Cálculo 2 34 3" xfId="758"/>
    <cellStyle name="Cálculo 2 34 3 2" xfId="759"/>
    <cellStyle name="Cálculo 2 34 4" xfId="760"/>
    <cellStyle name="Cálculo 2 34 4 2" xfId="761"/>
    <cellStyle name="Cálculo 2 34 5" xfId="762"/>
    <cellStyle name="Cálculo 2 34 5 2" xfId="763"/>
    <cellStyle name="Cálculo 2 34 6" xfId="764"/>
    <cellStyle name="Cálculo 2 34 6 2" xfId="765"/>
    <cellStyle name="Cálculo 2 34 7" xfId="766"/>
    <cellStyle name="Cálculo 2 34 7 2" xfId="767"/>
    <cellStyle name="Cálculo 2 34 8" xfId="768"/>
    <cellStyle name="Cálculo 2 34 8 2" xfId="769"/>
    <cellStyle name="Cálculo 2 34 9" xfId="770"/>
    <cellStyle name="Cálculo 2 34 9 2" xfId="771"/>
    <cellStyle name="Cálculo 2 35" xfId="772"/>
    <cellStyle name="Cálculo 2 35 10" xfId="773"/>
    <cellStyle name="Cálculo 2 35 10 2" xfId="774"/>
    <cellStyle name="Cálculo 2 35 11" xfId="775"/>
    <cellStyle name="Cálculo 2 35 11 2" xfId="776"/>
    <cellStyle name="Cálculo 2 35 12" xfId="777"/>
    <cellStyle name="Cálculo 2 35 12 2" xfId="778"/>
    <cellStyle name="Cálculo 2 35 13" xfId="779"/>
    <cellStyle name="Cálculo 2 35 13 2" xfId="780"/>
    <cellStyle name="Cálculo 2 35 14" xfId="781"/>
    <cellStyle name="Cálculo 2 35 2" xfId="782"/>
    <cellStyle name="Cálculo 2 35 2 2" xfId="783"/>
    <cellStyle name="Cálculo 2 35 3" xfId="784"/>
    <cellStyle name="Cálculo 2 35 3 2" xfId="785"/>
    <cellStyle name="Cálculo 2 35 4" xfId="786"/>
    <cellStyle name="Cálculo 2 35 4 2" xfId="787"/>
    <cellStyle name="Cálculo 2 35 5" xfId="788"/>
    <cellStyle name="Cálculo 2 35 5 2" xfId="789"/>
    <cellStyle name="Cálculo 2 35 6" xfId="790"/>
    <cellStyle name="Cálculo 2 35 6 2" xfId="791"/>
    <cellStyle name="Cálculo 2 35 7" xfId="792"/>
    <cellStyle name="Cálculo 2 35 7 2" xfId="793"/>
    <cellStyle name="Cálculo 2 35 8" xfId="794"/>
    <cellStyle name="Cálculo 2 35 8 2" xfId="795"/>
    <cellStyle name="Cálculo 2 35 9" xfId="796"/>
    <cellStyle name="Cálculo 2 35 9 2" xfId="797"/>
    <cellStyle name="Cálculo 2 36" xfId="798"/>
    <cellStyle name="Cálculo 2 36 10" xfId="799"/>
    <cellStyle name="Cálculo 2 36 10 2" xfId="800"/>
    <cellStyle name="Cálculo 2 36 11" xfId="801"/>
    <cellStyle name="Cálculo 2 36 11 2" xfId="802"/>
    <cellStyle name="Cálculo 2 36 12" xfId="803"/>
    <cellStyle name="Cálculo 2 36 12 2" xfId="804"/>
    <cellStyle name="Cálculo 2 36 13" xfId="805"/>
    <cellStyle name="Cálculo 2 36 13 2" xfId="806"/>
    <cellStyle name="Cálculo 2 36 14" xfId="807"/>
    <cellStyle name="Cálculo 2 36 2" xfId="808"/>
    <cellStyle name="Cálculo 2 36 2 2" xfId="809"/>
    <cellStyle name="Cálculo 2 36 3" xfId="810"/>
    <cellStyle name="Cálculo 2 36 3 2" xfId="811"/>
    <cellStyle name="Cálculo 2 36 4" xfId="812"/>
    <cellStyle name="Cálculo 2 36 4 2" xfId="813"/>
    <cellStyle name="Cálculo 2 36 5" xfId="814"/>
    <cellStyle name="Cálculo 2 36 5 2" xfId="815"/>
    <cellStyle name="Cálculo 2 36 6" xfId="816"/>
    <cellStyle name="Cálculo 2 36 6 2" xfId="817"/>
    <cellStyle name="Cálculo 2 36 7" xfId="818"/>
    <cellStyle name="Cálculo 2 36 7 2" xfId="819"/>
    <cellStyle name="Cálculo 2 36 8" xfId="820"/>
    <cellStyle name="Cálculo 2 36 8 2" xfId="821"/>
    <cellStyle name="Cálculo 2 36 9" xfId="822"/>
    <cellStyle name="Cálculo 2 36 9 2" xfId="823"/>
    <cellStyle name="Cálculo 2 37" xfId="824"/>
    <cellStyle name="Cálculo 2 37 10" xfId="825"/>
    <cellStyle name="Cálculo 2 37 10 2" xfId="826"/>
    <cellStyle name="Cálculo 2 37 11" xfId="827"/>
    <cellStyle name="Cálculo 2 37 11 2" xfId="828"/>
    <cellStyle name="Cálculo 2 37 12" xfId="829"/>
    <cellStyle name="Cálculo 2 37 12 2" xfId="830"/>
    <cellStyle name="Cálculo 2 37 13" xfId="831"/>
    <cellStyle name="Cálculo 2 37 13 2" xfId="832"/>
    <cellStyle name="Cálculo 2 37 14" xfId="833"/>
    <cellStyle name="Cálculo 2 37 2" xfId="834"/>
    <cellStyle name="Cálculo 2 37 2 2" xfId="835"/>
    <cellStyle name="Cálculo 2 37 3" xfId="836"/>
    <cellStyle name="Cálculo 2 37 3 2" xfId="837"/>
    <cellStyle name="Cálculo 2 37 4" xfId="838"/>
    <cellStyle name="Cálculo 2 37 4 2" xfId="839"/>
    <cellStyle name="Cálculo 2 37 5" xfId="840"/>
    <cellStyle name="Cálculo 2 37 5 2" xfId="841"/>
    <cellStyle name="Cálculo 2 37 6" xfId="842"/>
    <cellStyle name="Cálculo 2 37 6 2" xfId="843"/>
    <cellStyle name="Cálculo 2 37 7" xfId="844"/>
    <cellStyle name="Cálculo 2 37 7 2" xfId="845"/>
    <cellStyle name="Cálculo 2 37 8" xfId="846"/>
    <cellStyle name="Cálculo 2 37 8 2" xfId="847"/>
    <cellStyle name="Cálculo 2 37 9" xfId="848"/>
    <cellStyle name="Cálculo 2 37 9 2" xfId="849"/>
    <cellStyle name="Cálculo 2 38" xfId="850"/>
    <cellStyle name="Cálculo 2 38 10" xfId="851"/>
    <cellStyle name="Cálculo 2 38 10 2" xfId="852"/>
    <cellStyle name="Cálculo 2 38 11" xfId="853"/>
    <cellStyle name="Cálculo 2 38 11 2" xfId="854"/>
    <cellStyle name="Cálculo 2 38 12" xfId="855"/>
    <cellStyle name="Cálculo 2 38 12 2" xfId="856"/>
    <cellStyle name="Cálculo 2 38 13" xfId="857"/>
    <cellStyle name="Cálculo 2 38 13 2" xfId="858"/>
    <cellStyle name="Cálculo 2 38 14" xfId="859"/>
    <cellStyle name="Cálculo 2 38 2" xfId="860"/>
    <cellStyle name="Cálculo 2 38 2 2" xfId="861"/>
    <cellStyle name="Cálculo 2 38 3" xfId="862"/>
    <cellStyle name="Cálculo 2 38 3 2" xfId="863"/>
    <cellStyle name="Cálculo 2 38 4" xfId="864"/>
    <cellStyle name="Cálculo 2 38 4 2" xfId="865"/>
    <cellStyle name="Cálculo 2 38 5" xfId="866"/>
    <cellStyle name="Cálculo 2 38 5 2" xfId="867"/>
    <cellStyle name="Cálculo 2 38 6" xfId="868"/>
    <cellStyle name="Cálculo 2 38 6 2" xfId="869"/>
    <cellStyle name="Cálculo 2 38 7" xfId="870"/>
    <cellStyle name="Cálculo 2 38 7 2" xfId="871"/>
    <cellStyle name="Cálculo 2 38 8" xfId="872"/>
    <cellStyle name="Cálculo 2 38 8 2" xfId="873"/>
    <cellStyle name="Cálculo 2 38 9" xfId="874"/>
    <cellStyle name="Cálculo 2 38 9 2" xfId="875"/>
    <cellStyle name="Cálculo 2 39" xfId="876"/>
    <cellStyle name="Cálculo 2 39 10" xfId="877"/>
    <cellStyle name="Cálculo 2 39 10 2" xfId="878"/>
    <cellStyle name="Cálculo 2 39 11" xfId="879"/>
    <cellStyle name="Cálculo 2 39 11 2" xfId="880"/>
    <cellStyle name="Cálculo 2 39 12" xfId="881"/>
    <cellStyle name="Cálculo 2 39 12 2" xfId="882"/>
    <cellStyle name="Cálculo 2 39 13" xfId="883"/>
    <cellStyle name="Cálculo 2 39 13 2" xfId="884"/>
    <cellStyle name="Cálculo 2 39 14" xfId="885"/>
    <cellStyle name="Cálculo 2 39 2" xfId="886"/>
    <cellStyle name="Cálculo 2 39 2 2" xfId="887"/>
    <cellStyle name="Cálculo 2 39 3" xfId="888"/>
    <cellStyle name="Cálculo 2 39 3 2" xfId="889"/>
    <cellStyle name="Cálculo 2 39 4" xfId="890"/>
    <cellStyle name="Cálculo 2 39 4 2" xfId="891"/>
    <cellStyle name="Cálculo 2 39 5" xfId="892"/>
    <cellStyle name="Cálculo 2 39 5 2" xfId="893"/>
    <cellStyle name="Cálculo 2 39 6" xfId="894"/>
    <cellStyle name="Cálculo 2 39 6 2" xfId="895"/>
    <cellStyle name="Cálculo 2 39 7" xfId="896"/>
    <cellStyle name="Cálculo 2 39 7 2" xfId="897"/>
    <cellStyle name="Cálculo 2 39 8" xfId="898"/>
    <cellStyle name="Cálculo 2 39 8 2" xfId="899"/>
    <cellStyle name="Cálculo 2 39 9" xfId="900"/>
    <cellStyle name="Cálculo 2 39 9 2" xfId="901"/>
    <cellStyle name="Cálculo 2 4" xfId="902"/>
    <cellStyle name="Cálculo 2 4 10" xfId="903"/>
    <cellStyle name="Cálculo 2 4 10 2" xfId="904"/>
    <cellStyle name="Cálculo 2 4 11" xfId="905"/>
    <cellStyle name="Cálculo 2 4 11 2" xfId="906"/>
    <cellStyle name="Cálculo 2 4 12" xfId="907"/>
    <cellStyle name="Cálculo 2 4 12 2" xfId="908"/>
    <cellStyle name="Cálculo 2 4 13" xfId="909"/>
    <cellStyle name="Cálculo 2 4 13 2" xfId="910"/>
    <cellStyle name="Cálculo 2 4 14" xfId="911"/>
    <cellStyle name="Cálculo 2 4 2" xfId="912"/>
    <cellStyle name="Cálculo 2 4 2 2" xfId="913"/>
    <cellStyle name="Cálculo 2 4 3" xfId="914"/>
    <cellStyle name="Cálculo 2 4 3 2" xfId="915"/>
    <cellStyle name="Cálculo 2 4 4" xfId="916"/>
    <cellStyle name="Cálculo 2 4 4 2" xfId="917"/>
    <cellStyle name="Cálculo 2 4 5" xfId="918"/>
    <cellStyle name="Cálculo 2 4 5 2" xfId="919"/>
    <cellStyle name="Cálculo 2 4 6" xfId="920"/>
    <cellStyle name="Cálculo 2 4 6 2" xfId="921"/>
    <cellStyle name="Cálculo 2 4 7" xfId="922"/>
    <cellStyle name="Cálculo 2 4 7 2" xfId="923"/>
    <cellStyle name="Cálculo 2 4 8" xfId="924"/>
    <cellStyle name="Cálculo 2 4 8 2" xfId="925"/>
    <cellStyle name="Cálculo 2 4 9" xfId="926"/>
    <cellStyle name="Cálculo 2 4 9 2" xfId="927"/>
    <cellStyle name="Cálculo 2 40" xfId="928"/>
    <cellStyle name="Cálculo 2 40 10" xfId="929"/>
    <cellStyle name="Cálculo 2 40 10 2" xfId="930"/>
    <cellStyle name="Cálculo 2 40 11" xfId="931"/>
    <cellStyle name="Cálculo 2 40 11 2" xfId="932"/>
    <cellStyle name="Cálculo 2 40 12" xfId="933"/>
    <cellStyle name="Cálculo 2 40 12 2" xfId="934"/>
    <cellStyle name="Cálculo 2 40 13" xfId="935"/>
    <cellStyle name="Cálculo 2 40 13 2" xfId="936"/>
    <cellStyle name="Cálculo 2 40 14" xfId="937"/>
    <cellStyle name="Cálculo 2 40 2" xfId="938"/>
    <cellStyle name="Cálculo 2 40 2 2" xfId="939"/>
    <cellStyle name="Cálculo 2 40 3" xfId="940"/>
    <cellStyle name="Cálculo 2 40 3 2" xfId="941"/>
    <cellStyle name="Cálculo 2 40 4" xfId="942"/>
    <cellStyle name="Cálculo 2 40 4 2" xfId="943"/>
    <cellStyle name="Cálculo 2 40 5" xfId="944"/>
    <cellStyle name="Cálculo 2 40 5 2" xfId="945"/>
    <cellStyle name="Cálculo 2 40 6" xfId="946"/>
    <cellStyle name="Cálculo 2 40 6 2" xfId="947"/>
    <cellStyle name="Cálculo 2 40 7" xfId="948"/>
    <cellStyle name="Cálculo 2 40 7 2" xfId="949"/>
    <cellStyle name="Cálculo 2 40 8" xfId="950"/>
    <cellStyle name="Cálculo 2 40 8 2" xfId="951"/>
    <cellStyle name="Cálculo 2 40 9" xfId="952"/>
    <cellStyle name="Cálculo 2 40 9 2" xfId="953"/>
    <cellStyle name="Cálculo 2 41" xfId="954"/>
    <cellStyle name="Cálculo 2 41 10" xfId="955"/>
    <cellStyle name="Cálculo 2 41 10 2" xfId="956"/>
    <cellStyle name="Cálculo 2 41 11" xfId="957"/>
    <cellStyle name="Cálculo 2 41 11 2" xfId="958"/>
    <cellStyle name="Cálculo 2 41 12" xfId="959"/>
    <cellStyle name="Cálculo 2 41 12 2" xfId="960"/>
    <cellStyle name="Cálculo 2 41 13" xfId="961"/>
    <cellStyle name="Cálculo 2 41 13 2" xfId="962"/>
    <cellStyle name="Cálculo 2 41 14" xfId="963"/>
    <cellStyle name="Cálculo 2 41 2" xfId="964"/>
    <cellStyle name="Cálculo 2 41 2 2" xfId="965"/>
    <cellStyle name="Cálculo 2 41 3" xfId="966"/>
    <cellStyle name="Cálculo 2 41 3 2" xfId="967"/>
    <cellStyle name="Cálculo 2 41 4" xfId="968"/>
    <cellStyle name="Cálculo 2 41 4 2" xfId="969"/>
    <cellStyle name="Cálculo 2 41 5" xfId="970"/>
    <cellStyle name="Cálculo 2 41 5 2" xfId="971"/>
    <cellStyle name="Cálculo 2 41 6" xfId="972"/>
    <cellStyle name="Cálculo 2 41 6 2" xfId="973"/>
    <cellStyle name="Cálculo 2 41 7" xfId="974"/>
    <cellStyle name="Cálculo 2 41 7 2" xfId="975"/>
    <cellStyle name="Cálculo 2 41 8" xfId="976"/>
    <cellStyle name="Cálculo 2 41 8 2" xfId="977"/>
    <cellStyle name="Cálculo 2 41 9" xfId="978"/>
    <cellStyle name="Cálculo 2 41 9 2" xfId="979"/>
    <cellStyle name="Cálculo 2 42" xfId="980"/>
    <cellStyle name="Cálculo 2 42 10" xfId="981"/>
    <cellStyle name="Cálculo 2 42 10 2" xfId="982"/>
    <cellStyle name="Cálculo 2 42 11" xfId="983"/>
    <cellStyle name="Cálculo 2 42 11 2" xfId="984"/>
    <cellStyle name="Cálculo 2 42 12" xfId="985"/>
    <cellStyle name="Cálculo 2 42 12 2" xfId="986"/>
    <cellStyle name="Cálculo 2 42 13" xfId="987"/>
    <cellStyle name="Cálculo 2 42 13 2" xfId="988"/>
    <cellStyle name="Cálculo 2 42 14" xfId="989"/>
    <cellStyle name="Cálculo 2 42 2" xfId="990"/>
    <cellStyle name="Cálculo 2 42 2 2" xfId="991"/>
    <cellStyle name="Cálculo 2 42 3" xfId="992"/>
    <cellStyle name="Cálculo 2 42 3 2" xfId="993"/>
    <cellStyle name="Cálculo 2 42 4" xfId="994"/>
    <cellStyle name="Cálculo 2 42 4 2" xfId="995"/>
    <cellStyle name="Cálculo 2 42 5" xfId="996"/>
    <cellStyle name="Cálculo 2 42 5 2" xfId="997"/>
    <cellStyle name="Cálculo 2 42 6" xfId="998"/>
    <cellStyle name="Cálculo 2 42 6 2" xfId="999"/>
    <cellStyle name="Cálculo 2 42 7" xfId="1000"/>
    <cellStyle name="Cálculo 2 42 7 2" xfId="1001"/>
    <cellStyle name="Cálculo 2 42 8" xfId="1002"/>
    <cellStyle name="Cálculo 2 42 8 2" xfId="1003"/>
    <cellStyle name="Cálculo 2 42 9" xfId="1004"/>
    <cellStyle name="Cálculo 2 42 9 2" xfId="1005"/>
    <cellStyle name="Cálculo 2 43" xfId="1006"/>
    <cellStyle name="Cálculo 2 43 10" xfId="1007"/>
    <cellStyle name="Cálculo 2 43 10 2" xfId="1008"/>
    <cellStyle name="Cálculo 2 43 11" xfId="1009"/>
    <cellStyle name="Cálculo 2 43 11 2" xfId="1010"/>
    <cellStyle name="Cálculo 2 43 12" xfId="1011"/>
    <cellStyle name="Cálculo 2 43 12 2" xfId="1012"/>
    <cellStyle name="Cálculo 2 43 13" xfId="1013"/>
    <cellStyle name="Cálculo 2 43 13 2" xfId="1014"/>
    <cellStyle name="Cálculo 2 43 14" xfId="1015"/>
    <cellStyle name="Cálculo 2 43 2" xfId="1016"/>
    <cellStyle name="Cálculo 2 43 2 2" xfId="1017"/>
    <cellStyle name="Cálculo 2 43 3" xfId="1018"/>
    <cellStyle name="Cálculo 2 43 3 2" xfId="1019"/>
    <cellStyle name="Cálculo 2 43 4" xfId="1020"/>
    <cellStyle name="Cálculo 2 43 4 2" xfId="1021"/>
    <cellStyle name="Cálculo 2 43 5" xfId="1022"/>
    <cellStyle name="Cálculo 2 43 5 2" xfId="1023"/>
    <cellStyle name="Cálculo 2 43 6" xfId="1024"/>
    <cellStyle name="Cálculo 2 43 6 2" xfId="1025"/>
    <cellStyle name="Cálculo 2 43 7" xfId="1026"/>
    <cellStyle name="Cálculo 2 43 7 2" xfId="1027"/>
    <cellStyle name="Cálculo 2 43 8" xfId="1028"/>
    <cellStyle name="Cálculo 2 43 8 2" xfId="1029"/>
    <cellStyle name="Cálculo 2 43 9" xfId="1030"/>
    <cellStyle name="Cálculo 2 43 9 2" xfId="1031"/>
    <cellStyle name="Cálculo 2 44" xfId="1032"/>
    <cellStyle name="Cálculo 2 44 10" xfId="1033"/>
    <cellStyle name="Cálculo 2 44 10 2" xfId="1034"/>
    <cellStyle name="Cálculo 2 44 11" xfId="1035"/>
    <cellStyle name="Cálculo 2 44 11 2" xfId="1036"/>
    <cellStyle name="Cálculo 2 44 12" xfId="1037"/>
    <cellStyle name="Cálculo 2 44 12 2" xfId="1038"/>
    <cellStyle name="Cálculo 2 44 13" xfId="1039"/>
    <cellStyle name="Cálculo 2 44 13 2" xfId="1040"/>
    <cellStyle name="Cálculo 2 44 14" xfId="1041"/>
    <cellStyle name="Cálculo 2 44 2" xfId="1042"/>
    <cellStyle name="Cálculo 2 44 2 2" xfId="1043"/>
    <cellStyle name="Cálculo 2 44 3" xfId="1044"/>
    <cellStyle name="Cálculo 2 44 3 2" xfId="1045"/>
    <cellStyle name="Cálculo 2 44 4" xfId="1046"/>
    <cellStyle name="Cálculo 2 44 4 2" xfId="1047"/>
    <cellStyle name="Cálculo 2 44 5" xfId="1048"/>
    <cellStyle name="Cálculo 2 44 5 2" xfId="1049"/>
    <cellStyle name="Cálculo 2 44 6" xfId="1050"/>
    <cellStyle name="Cálculo 2 44 6 2" xfId="1051"/>
    <cellStyle name="Cálculo 2 44 7" xfId="1052"/>
    <cellStyle name="Cálculo 2 44 7 2" xfId="1053"/>
    <cellStyle name="Cálculo 2 44 8" xfId="1054"/>
    <cellStyle name="Cálculo 2 44 8 2" xfId="1055"/>
    <cellStyle name="Cálculo 2 44 9" xfId="1056"/>
    <cellStyle name="Cálculo 2 44 9 2" xfId="1057"/>
    <cellStyle name="Cálculo 2 45" xfId="1058"/>
    <cellStyle name="Cálculo 2 45 10" xfId="1059"/>
    <cellStyle name="Cálculo 2 45 10 2" xfId="1060"/>
    <cellStyle name="Cálculo 2 45 11" xfId="1061"/>
    <cellStyle name="Cálculo 2 45 11 2" xfId="1062"/>
    <cellStyle name="Cálculo 2 45 12" xfId="1063"/>
    <cellStyle name="Cálculo 2 45 12 2" xfId="1064"/>
    <cellStyle name="Cálculo 2 45 13" xfId="1065"/>
    <cellStyle name="Cálculo 2 45 13 2" xfId="1066"/>
    <cellStyle name="Cálculo 2 45 14" xfId="1067"/>
    <cellStyle name="Cálculo 2 45 2" xfId="1068"/>
    <cellStyle name="Cálculo 2 45 2 2" xfId="1069"/>
    <cellStyle name="Cálculo 2 45 3" xfId="1070"/>
    <cellStyle name="Cálculo 2 45 3 2" xfId="1071"/>
    <cellStyle name="Cálculo 2 45 4" xfId="1072"/>
    <cellStyle name="Cálculo 2 45 4 2" xfId="1073"/>
    <cellStyle name="Cálculo 2 45 5" xfId="1074"/>
    <cellStyle name="Cálculo 2 45 5 2" xfId="1075"/>
    <cellStyle name="Cálculo 2 45 6" xfId="1076"/>
    <cellStyle name="Cálculo 2 45 6 2" xfId="1077"/>
    <cellStyle name="Cálculo 2 45 7" xfId="1078"/>
    <cellStyle name="Cálculo 2 45 7 2" xfId="1079"/>
    <cellStyle name="Cálculo 2 45 8" xfId="1080"/>
    <cellStyle name="Cálculo 2 45 8 2" xfId="1081"/>
    <cellStyle name="Cálculo 2 45 9" xfId="1082"/>
    <cellStyle name="Cálculo 2 45 9 2" xfId="1083"/>
    <cellStyle name="Cálculo 2 46" xfId="1084"/>
    <cellStyle name="Cálculo 2 46 10" xfId="1085"/>
    <cellStyle name="Cálculo 2 46 10 2" xfId="1086"/>
    <cellStyle name="Cálculo 2 46 11" xfId="1087"/>
    <cellStyle name="Cálculo 2 46 11 2" xfId="1088"/>
    <cellStyle name="Cálculo 2 46 12" xfId="1089"/>
    <cellStyle name="Cálculo 2 46 12 2" xfId="1090"/>
    <cellStyle name="Cálculo 2 46 13" xfId="1091"/>
    <cellStyle name="Cálculo 2 46 13 2" xfId="1092"/>
    <cellStyle name="Cálculo 2 46 14" xfId="1093"/>
    <cellStyle name="Cálculo 2 46 2" xfId="1094"/>
    <cellStyle name="Cálculo 2 46 2 2" xfId="1095"/>
    <cellStyle name="Cálculo 2 46 3" xfId="1096"/>
    <cellStyle name="Cálculo 2 46 3 2" xfId="1097"/>
    <cellStyle name="Cálculo 2 46 4" xfId="1098"/>
    <cellStyle name="Cálculo 2 46 4 2" xfId="1099"/>
    <cellStyle name="Cálculo 2 46 5" xfId="1100"/>
    <cellStyle name="Cálculo 2 46 5 2" xfId="1101"/>
    <cellStyle name="Cálculo 2 46 6" xfId="1102"/>
    <cellStyle name="Cálculo 2 46 6 2" xfId="1103"/>
    <cellStyle name="Cálculo 2 46 7" xfId="1104"/>
    <cellStyle name="Cálculo 2 46 7 2" xfId="1105"/>
    <cellStyle name="Cálculo 2 46 8" xfId="1106"/>
    <cellStyle name="Cálculo 2 46 8 2" xfId="1107"/>
    <cellStyle name="Cálculo 2 46 9" xfId="1108"/>
    <cellStyle name="Cálculo 2 46 9 2" xfId="1109"/>
    <cellStyle name="Cálculo 2 47" xfId="1110"/>
    <cellStyle name="Cálculo 2 47 10" xfId="1111"/>
    <cellStyle name="Cálculo 2 47 10 2" xfId="1112"/>
    <cellStyle name="Cálculo 2 47 11" xfId="1113"/>
    <cellStyle name="Cálculo 2 47 11 2" xfId="1114"/>
    <cellStyle name="Cálculo 2 47 12" xfId="1115"/>
    <cellStyle name="Cálculo 2 47 12 2" xfId="1116"/>
    <cellStyle name="Cálculo 2 47 13" xfId="1117"/>
    <cellStyle name="Cálculo 2 47 13 2" xfId="1118"/>
    <cellStyle name="Cálculo 2 47 14" xfId="1119"/>
    <cellStyle name="Cálculo 2 47 2" xfId="1120"/>
    <cellStyle name="Cálculo 2 47 2 2" xfId="1121"/>
    <cellStyle name="Cálculo 2 47 3" xfId="1122"/>
    <cellStyle name="Cálculo 2 47 3 2" xfId="1123"/>
    <cellStyle name="Cálculo 2 47 4" xfId="1124"/>
    <cellStyle name="Cálculo 2 47 4 2" xfId="1125"/>
    <cellStyle name="Cálculo 2 47 5" xfId="1126"/>
    <cellStyle name="Cálculo 2 47 5 2" xfId="1127"/>
    <cellStyle name="Cálculo 2 47 6" xfId="1128"/>
    <cellStyle name="Cálculo 2 47 6 2" xfId="1129"/>
    <cellStyle name="Cálculo 2 47 7" xfId="1130"/>
    <cellStyle name="Cálculo 2 47 7 2" xfId="1131"/>
    <cellStyle name="Cálculo 2 47 8" xfId="1132"/>
    <cellStyle name="Cálculo 2 47 8 2" xfId="1133"/>
    <cellStyle name="Cálculo 2 47 9" xfId="1134"/>
    <cellStyle name="Cálculo 2 47 9 2" xfId="1135"/>
    <cellStyle name="Cálculo 2 48" xfId="1136"/>
    <cellStyle name="Cálculo 2 48 10" xfId="1137"/>
    <cellStyle name="Cálculo 2 48 10 2" xfId="1138"/>
    <cellStyle name="Cálculo 2 48 11" xfId="1139"/>
    <cellStyle name="Cálculo 2 48 11 2" xfId="1140"/>
    <cellStyle name="Cálculo 2 48 12" xfId="1141"/>
    <cellStyle name="Cálculo 2 48 12 2" xfId="1142"/>
    <cellStyle name="Cálculo 2 48 13" xfId="1143"/>
    <cellStyle name="Cálculo 2 48 13 2" xfId="1144"/>
    <cellStyle name="Cálculo 2 48 14" xfId="1145"/>
    <cellStyle name="Cálculo 2 48 2" xfId="1146"/>
    <cellStyle name="Cálculo 2 48 2 2" xfId="1147"/>
    <cellStyle name="Cálculo 2 48 3" xfId="1148"/>
    <cellStyle name="Cálculo 2 48 3 2" xfId="1149"/>
    <cellStyle name="Cálculo 2 48 4" xfId="1150"/>
    <cellStyle name="Cálculo 2 48 4 2" xfId="1151"/>
    <cellStyle name="Cálculo 2 48 5" xfId="1152"/>
    <cellStyle name="Cálculo 2 48 5 2" xfId="1153"/>
    <cellStyle name="Cálculo 2 48 6" xfId="1154"/>
    <cellStyle name="Cálculo 2 48 6 2" xfId="1155"/>
    <cellStyle name="Cálculo 2 48 7" xfId="1156"/>
    <cellStyle name="Cálculo 2 48 7 2" xfId="1157"/>
    <cellStyle name="Cálculo 2 48 8" xfId="1158"/>
    <cellStyle name="Cálculo 2 48 8 2" xfId="1159"/>
    <cellStyle name="Cálculo 2 48 9" xfId="1160"/>
    <cellStyle name="Cálculo 2 48 9 2" xfId="1161"/>
    <cellStyle name="Cálculo 2 49" xfId="1162"/>
    <cellStyle name="Cálculo 2 49 10" xfId="1163"/>
    <cellStyle name="Cálculo 2 49 10 2" xfId="1164"/>
    <cellStyle name="Cálculo 2 49 11" xfId="1165"/>
    <cellStyle name="Cálculo 2 49 11 2" xfId="1166"/>
    <cellStyle name="Cálculo 2 49 12" xfId="1167"/>
    <cellStyle name="Cálculo 2 49 12 2" xfId="1168"/>
    <cellStyle name="Cálculo 2 49 13" xfId="1169"/>
    <cellStyle name="Cálculo 2 49 13 2" xfId="1170"/>
    <cellStyle name="Cálculo 2 49 14" xfId="1171"/>
    <cellStyle name="Cálculo 2 49 2" xfId="1172"/>
    <cellStyle name="Cálculo 2 49 2 2" xfId="1173"/>
    <cellStyle name="Cálculo 2 49 3" xfId="1174"/>
    <cellStyle name="Cálculo 2 49 3 2" xfId="1175"/>
    <cellStyle name="Cálculo 2 49 4" xfId="1176"/>
    <cellStyle name="Cálculo 2 49 4 2" xfId="1177"/>
    <cellStyle name="Cálculo 2 49 5" xfId="1178"/>
    <cellStyle name="Cálculo 2 49 5 2" xfId="1179"/>
    <cellStyle name="Cálculo 2 49 6" xfId="1180"/>
    <cellStyle name="Cálculo 2 49 6 2" xfId="1181"/>
    <cellStyle name="Cálculo 2 49 7" xfId="1182"/>
    <cellStyle name="Cálculo 2 49 7 2" xfId="1183"/>
    <cellStyle name="Cálculo 2 49 8" xfId="1184"/>
    <cellStyle name="Cálculo 2 49 8 2" xfId="1185"/>
    <cellStyle name="Cálculo 2 49 9" xfId="1186"/>
    <cellStyle name="Cálculo 2 49 9 2" xfId="1187"/>
    <cellStyle name="Cálculo 2 5" xfId="1188"/>
    <cellStyle name="Cálculo 2 5 10" xfId="1189"/>
    <cellStyle name="Cálculo 2 5 10 2" xfId="1190"/>
    <cellStyle name="Cálculo 2 5 11" xfId="1191"/>
    <cellStyle name="Cálculo 2 5 11 2" xfId="1192"/>
    <cellStyle name="Cálculo 2 5 12" xfId="1193"/>
    <cellStyle name="Cálculo 2 5 12 2" xfId="1194"/>
    <cellStyle name="Cálculo 2 5 13" xfId="1195"/>
    <cellStyle name="Cálculo 2 5 13 2" xfId="1196"/>
    <cellStyle name="Cálculo 2 5 14" xfId="1197"/>
    <cellStyle name="Cálculo 2 5 2" xfId="1198"/>
    <cellStyle name="Cálculo 2 5 2 2" xfId="1199"/>
    <cellStyle name="Cálculo 2 5 3" xfId="1200"/>
    <cellStyle name="Cálculo 2 5 3 2" xfId="1201"/>
    <cellStyle name="Cálculo 2 5 4" xfId="1202"/>
    <cellStyle name="Cálculo 2 5 4 2" xfId="1203"/>
    <cellStyle name="Cálculo 2 5 5" xfId="1204"/>
    <cellStyle name="Cálculo 2 5 5 2" xfId="1205"/>
    <cellStyle name="Cálculo 2 5 6" xfId="1206"/>
    <cellStyle name="Cálculo 2 5 6 2" xfId="1207"/>
    <cellStyle name="Cálculo 2 5 7" xfId="1208"/>
    <cellStyle name="Cálculo 2 5 7 2" xfId="1209"/>
    <cellStyle name="Cálculo 2 5 8" xfId="1210"/>
    <cellStyle name="Cálculo 2 5 8 2" xfId="1211"/>
    <cellStyle name="Cálculo 2 5 9" xfId="1212"/>
    <cellStyle name="Cálculo 2 5 9 2" xfId="1213"/>
    <cellStyle name="Cálculo 2 50" xfId="1214"/>
    <cellStyle name="Cálculo 2 50 10" xfId="1215"/>
    <cellStyle name="Cálculo 2 50 10 2" xfId="1216"/>
    <cellStyle name="Cálculo 2 50 11" xfId="1217"/>
    <cellStyle name="Cálculo 2 50 11 2" xfId="1218"/>
    <cellStyle name="Cálculo 2 50 12" xfId="1219"/>
    <cellStyle name="Cálculo 2 50 12 2" xfId="1220"/>
    <cellStyle name="Cálculo 2 50 13" xfId="1221"/>
    <cellStyle name="Cálculo 2 50 13 2" xfId="1222"/>
    <cellStyle name="Cálculo 2 50 14" xfId="1223"/>
    <cellStyle name="Cálculo 2 50 2" xfId="1224"/>
    <cellStyle name="Cálculo 2 50 2 2" xfId="1225"/>
    <cellStyle name="Cálculo 2 50 3" xfId="1226"/>
    <cellStyle name="Cálculo 2 50 3 2" xfId="1227"/>
    <cellStyle name="Cálculo 2 50 4" xfId="1228"/>
    <cellStyle name="Cálculo 2 50 4 2" xfId="1229"/>
    <cellStyle name="Cálculo 2 50 5" xfId="1230"/>
    <cellStyle name="Cálculo 2 50 5 2" xfId="1231"/>
    <cellStyle name="Cálculo 2 50 6" xfId="1232"/>
    <cellStyle name="Cálculo 2 50 6 2" xfId="1233"/>
    <cellStyle name="Cálculo 2 50 7" xfId="1234"/>
    <cellStyle name="Cálculo 2 50 7 2" xfId="1235"/>
    <cellStyle name="Cálculo 2 50 8" xfId="1236"/>
    <cellStyle name="Cálculo 2 50 8 2" xfId="1237"/>
    <cellStyle name="Cálculo 2 50 9" xfId="1238"/>
    <cellStyle name="Cálculo 2 50 9 2" xfId="1239"/>
    <cellStyle name="Cálculo 2 51" xfId="1240"/>
    <cellStyle name="Cálculo 2 51 10" xfId="1241"/>
    <cellStyle name="Cálculo 2 51 10 2" xfId="1242"/>
    <cellStyle name="Cálculo 2 51 11" xfId="1243"/>
    <cellStyle name="Cálculo 2 51 11 2" xfId="1244"/>
    <cellStyle name="Cálculo 2 51 12" xfId="1245"/>
    <cellStyle name="Cálculo 2 51 12 2" xfId="1246"/>
    <cellStyle name="Cálculo 2 51 13" xfId="1247"/>
    <cellStyle name="Cálculo 2 51 13 2" xfId="1248"/>
    <cellStyle name="Cálculo 2 51 14" xfId="1249"/>
    <cellStyle name="Cálculo 2 51 2" xfId="1250"/>
    <cellStyle name="Cálculo 2 51 2 2" xfId="1251"/>
    <cellStyle name="Cálculo 2 51 3" xfId="1252"/>
    <cellStyle name="Cálculo 2 51 3 2" xfId="1253"/>
    <cellStyle name="Cálculo 2 51 4" xfId="1254"/>
    <cellStyle name="Cálculo 2 51 4 2" xfId="1255"/>
    <cellStyle name="Cálculo 2 51 5" xfId="1256"/>
    <cellStyle name="Cálculo 2 51 5 2" xfId="1257"/>
    <cellStyle name="Cálculo 2 51 6" xfId="1258"/>
    <cellStyle name="Cálculo 2 51 6 2" xfId="1259"/>
    <cellStyle name="Cálculo 2 51 7" xfId="1260"/>
    <cellStyle name="Cálculo 2 51 7 2" xfId="1261"/>
    <cellStyle name="Cálculo 2 51 8" xfId="1262"/>
    <cellStyle name="Cálculo 2 51 8 2" xfId="1263"/>
    <cellStyle name="Cálculo 2 51 9" xfId="1264"/>
    <cellStyle name="Cálculo 2 51 9 2" xfId="1265"/>
    <cellStyle name="Cálculo 2 52" xfId="1266"/>
    <cellStyle name="Cálculo 2 52 10" xfId="1267"/>
    <cellStyle name="Cálculo 2 52 10 2" xfId="1268"/>
    <cellStyle name="Cálculo 2 52 11" xfId="1269"/>
    <cellStyle name="Cálculo 2 52 11 2" xfId="1270"/>
    <cellStyle name="Cálculo 2 52 12" xfId="1271"/>
    <cellStyle name="Cálculo 2 52 12 2" xfId="1272"/>
    <cellStyle name="Cálculo 2 52 13" xfId="1273"/>
    <cellStyle name="Cálculo 2 52 13 2" xfId="1274"/>
    <cellStyle name="Cálculo 2 52 14" xfId="1275"/>
    <cellStyle name="Cálculo 2 52 2" xfId="1276"/>
    <cellStyle name="Cálculo 2 52 2 2" xfId="1277"/>
    <cellStyle name="Cálculo 2 52 3" xfId="1278"/>
    <cellStyle name="Cálculo 2 52 3 2" xfId="1279"/>
    <cellStyle name="Cálculo 2 52 4" xfId="1280"/>
    <cellStyle name="Cálculo 2 52 4 2" xfId="1281"/>
    <cellStyle name="Cálculo 2 52 5" xfId="1282"/>
    <cellStyle name="Cálculo 2 52 5 2" xfId="1283"/>
    <cellStyle name="Cálculo 2 52 6" xfId="1284"/>
    <cellStyle name="Cálculo 2 52 6 2" xfId="1285"/>
    <cellStyle name="Cálculo 2 52 7" xfId="1286"/>
    <cellStyle name="Cálculo 2 52 7 2" xfId="1287"/>
    <cellStyle name="Cálculo 2 52 8" xfId="1288"/>
    <cellStyle name="Cálculo 2 52 8 2" xfId="1289"/>
    <cellStyle name="Cálculo 2 52 9" xfId="1290"/>
    <cellStyle name="Cálculo 2 52 9 2" xfId="1291"/>
    <cellStyle name="Cálculo 2 53" xfId="1292"/>
    <cellStyle name="Cálculo 2 53 10" xfId="1293"/>
    <cellStyle name="Cálculo 2 53 10 2" xfId="1294"/>
    <cellStyle name="Cálculo 2 53 11" xfId="1295"/>
    <cellStyle name="Cálculo 2 53 11 2" xfId="1296"/>
    <cellStyle name="Cálculo 2 53 12" xfId="1297"/>
    <cellStyle name="Cálculo 2 53 12 2" xfId="1298"/>
    <cellStyle name="Cálculo 2 53 13" xfId="1299"/>
    <cellStyle name="Cálculo 2 53 13 2" xfId="1300"/>
    <cellStyle name="Cálculo 2 53 14" xfId="1301"/>
    <cellStyle name="Cálculo 2 53 2" xfId="1302"/>
    <cellStyle name="Cálculo 2 53 2 2" xfId="1303"/>
    <cellStyle name="Cálculo 2 53 3" xfId="1304"/>
    <cellStyle name="Cálculo 2 53 3 2" xfId="1305"/>
    <cellStyle name="Cálculo 2 53 4" xfId="1306"/>
    <cellStyle name="Cálculo 2 53 4 2" xfId="1307"/>
    <cellStyle name="Cálculo 2 53 5" xfId="1308"/>
    <cellStyle name="Cálculo 2 53 5 2" xfId="1309"/>
    <cellStyle name="Cálculo 2 53 6" xfId="1310"/>
    <cellStyle name="Cálculo 2 53 6 2" xfId="1311"/>
    <cellStyle name="Cálculo 2 53 7" xfId="1312"/>
    <cellStyle name="Cálculo 2 53 7 2" xfId="1313"/>
    <cellStyle name="Cálculo 2 53 8" xfId="1314"/>
    <cellStyle name="Cálculo 2 53 8 2" xfId="1315"/>
    <cellStyle name="Cálculo 2 53 9" xfId="1316"/>
    <cellStyle name="Cálculo 2 53 9 2" xfId="1317"/>
    <cellStyle name="Cálculo 2 54" xfId="1318"/>
    <cellStyle name="Cálculo 2 54 10" xfId="1319"/>
    <cellStyle name="Cálculo 2 54 10 2" xfId="1320"/>
    <cellStyle name="Cálculo 2 54 11" xfId="1321"/>
    <cellStyle name="Cálculo 2 54 11 2" xfId="1322"/>
    <cellStyle name="Cálculo 2 54 12" xfId="1323"/>
    <cellStyle name="Cálculo 2 54 12 2" xfId="1324"/>
    <cellStyle name="Cálculo 2 54 13" xfId="1325"/>
    <cellStyle name="Cálculo 2 54 13 2" xfId="1326"/>
    <cellStyle name="Cálculo 2 54 14" xfId="1327"/>
    <cellStyle name="Cálculo 2 54 2" xfId="1328"/>
    <cellStyle name="Cálculo 2 54 2 2" xfId="1329"/>
    <cellStyle name="Cálculo 2 54 3" xfId="1330"/>
    <cellStyle name="Cálculo 2 54 3 2" xfId="1331"/>
    <cellStyle name="Cálculo 2 54 4" xfId="1332"/>
    <cellStyle name="Cálculo 2 54 4 2" xfId="1333"/>
    <cellStyle name="Cálculo 2 54 5" xfId="1334"/>
    <cellStyle name="Cálculo 2 54 5 2" xfId="1335"/>
    <cellStyle name="Cálculo 2 54 6" xfId="1336"/>
    <cellStyle name="Cálculo 2 54 6 2" xfId="1337"/>
    <cellStyle name="Cálculo 2 54 7" xfId="1338"/>
    <cellStyle name="Cálculo 2 54 7 2" xfId="1339"/>
    <cellStyle name="Cálculo 2 54 8" xfId="1340"/>
    <cellStyle name="Cálculo 2 54 8 2" xfId="1341"/>
    <cellStyle name="Cálculo 2 54 9" xfId="1342"/>
    <cellStyle name="Cálculo 2 54 9 2" xfId="1343"/>
    <cellStyle name="Cálculo 2 55" xfId="1344"/>
    <cellStyle name="Cálculo 2 55 10" xfId="1345"/>
    <cellStyle name="Cálculo 2 55 10 2" xfId="1346"/>
    <cellStyle name="Cálculo 2 55 11" xfId="1347"/>
    <cellStyle name="Cálculo 2 55 11 2" xfId="1348"/>
    <cellStyle name="Cálculo 2 55 12" xfId="1349"/>
    <cellStyle name="Cálculo 2 55 12 2" xfId="1350"/>
    <cellStyle name="Cálculo 2 55 13" xfId="1351"/>
    <cellStyle name="Cálculo 2 55 13 2" xfId="1352"/>
    <cellStyle name="Cálculo 2 55 14" xfId="1353"/>
    <cellStyle name="Cálculo 2 55 2" xfId="1354"/>
    <cellStyle name="Cálculo 2 55 2 2" xfId="1355"/>
    <cellStyle name="Cálculo 2 55 3" xfId="1356"/>
    <cellStyle name="Cálculo 2 55 3 2" xfId="1357"/>
    <cellStyle name="Cálculo 2 55 4" xfId="1358"/>
    <cellStyle name="Cálculo 2 55 4 2" xfId="1359"/>
    <cellStyle name="Cálculo 2 55 5" xfId="1360"/>
    <cellStyle name="Cálculo 2 55 5 2" xfId="1361"/>
    <cellStyle name="Cálculo 2 55 6" xfId="1362"/>
    <cellStyle name="Cálculo 2 55 6 2" xfId="1363"/>
    <cellStyle name="Cálculo 2 55 7" xfId="1364"/>
    <cellStyle name="Cálculo 2 55 7 2" xfId="1365"/>
    <cellStyle name="Cálculo 2 55 8" xfId="1366"/>
    <cellStyle name="Cálculo 2 55 8 2" xfId="1367"/>
    <cellStyle name="Cálculo 2 55 9" xfId="1368"/>
    <cellStyle name="Cálculo 2 55 9 2" xfId="1369"/>
    <cellStyle name="Cálculo 2 56" xfId="1370"/>
    <cellStyle name="Cálculo 2 56 10" xfId="1371"/>
    <cellStyle name="Cálculo 2 56 10 2" xfId="1372"/>
    <cellStyle name="Cálculo 2 56 11" xfId="1373"/>
    <cellStyle name="Cálculo 2 56 11 2" xfId="1374"/>
    <cellStyle name="Cálculo 2 56 12" xfId="1375"/>
    <cellStyle name="Cálculo 2 56 12 2" xfId="1376"/>
    <cellStyle name="Cálculo 2 56 13" xfId="1377"/>
    <cellStyle name="Cálculo 2 56 13 2" xfId="1378"/>
    <cellStyle name="Cálculo 2 56 14" xfId="1379"/>
    <cellStyle name="Cálculo 2 56 2" xfId="1380"/>
    <cellStyle name="Cálculo 2 56 2 2" xfId="1381"/>
    <cellStyle name="Cálculo 2 56 3" xfId="1382"/>
    <cellStyle name="Cálculo 2 56 3 2" xfId="1383"/>
    <cellStyle name="Cálculo 2 56 4" xfId="1384"/>
    <cellStyle name="Cálculo 2 56 4 2" xfId="1385"/>
    <cellStyle name="Cálculo 2 56 5" xfId="1386"/>
    <cellStyle name="Cálculo 2 56 5 2" xfId="1387"/>
    <cellStyle name="Cálculo 2 56 6" xfId="1388"/>
    <cellStyle name="Cálculo 2 56 6 2" xfId="1389"/>
    <cellStyle name="Cálculo 2 56 7" xfId="1390"/>
    <cellStyle name="Cálculo 2 56 7 2" xfId="1391"/>
    <cellStyle name="Cálculo 2 56 8" xfId="1392"/>
    <cellStyle name="Cálculo 2 56 8 2" xfId="1393"/>
    <cellStyle name="Cálculo 2 56 9" xfId="1394"/>
    <cellStyle name="Cálculo 2 56 9 2" xfId="1395"/>
    <cellStyle name="Cálculo 2 57" xfId="1396"/>
    <cellStyle name="Cálculo 2 57 10" xfId="1397"/>
    <cellStyle name="Cálculo 2 57 10 2" xfId="1398"/>
    <cellStyle name="Cálculo 2 57 11" xfId="1399"/>
    <cellStyle name="Cálculo 2 57 11 2" xfId="1400"/>
    <cellStyle name="Cálculo 2 57 12" xfId="1401"/>
    <cellStyle name="Cálculo 2 57 12 2" xfId="1402"/>
    <cellStyle name="Cálculo 2 57 13" xfId="1403"/>
    <cellStyle name="Cálculo 2 57 13 2" xfId="1404"/>
    <cellStyle name="Cálculo 2 57 14" xfId="1405"/>
    <cellStyle name="Cálculo 2 57 2" xfId="1406"/>
    <cellStyle name="Cálculo 2 57 2 2" xfId="1407"/>
    <cellStyle name="Cálculo 2 57 3" xfId="1408"/>
    <cellStyle name="Cálculo 2 57 3 2" xfId="1409"/>
    <cellStyle name="Cálculo 2 57 4" xfId="1410"/>
    <cellStyle name="Cálculo 2 57 4 2" xfId="1411"/>
    <cellStyle name="Cálculo 2 57 5" xfId="1412"/>
    <cellStyle name="Cálculo 2 57 5 2" xfId="1413"/>
    <cellStyle name="Cálculo 2 57 6" xfId="1414"/>
    <cellStyle name="Cálculo 2 57 6 2" xfId="1415"/>
    <cellStyle name="Cálculo 2 57 7" xfId="1416"/>
    <cellStyle name="Cálculo 2 57 7 2" xfId="1417"/>
    <cellStyle name="Cálculo 2 57 8" xfId="1418"/>
    <cellStyle name="Cálculo 2 57 8 2" xfId="1419"/>
    <cellStyle name="Cálculo 2 57 9" xfId="1420"/>
    <cellStyle name="Cálculo 2 57 9 2" xfId="1421"/>
    <cellStyle name="Cálculo 2 58" xfId="1422"/>
    <cellStyle name="Cálculo 2 58 10" xfId="1423"/>
    <cellStyle name="Cálculo 2 58 10 2" xfId="1424"/>
    <cellStyle name="Cálculo 2 58 11" xfId="1425"/>
    <cellStyle name="Cálculo 2 58 11 2" xfId="1426"/>
    <cellStyle name="Cálculo 2 58 12" xfId="1427"/>
    <cellStyle name="Cálculo 2 58 12 2" xfId="1428"/>
    <cellStyle name="Cálculo 2 58 13" xfId="1429"/>
    <cellStyle name="Cálculo 2 58 13 2" xfId="1430"/>
    <cellStyle name="Cálculo 2 58 14" xfId="1431"/>
    <cellStyle name="Cálculo 2 58 2" xfId="1432"/>
    <cellStyle name="Cálculo 2 58 2 2" xfId="1433"/>
    <cellStyle name="Cálculo 2 58 3" xfId="1434"/>
    <cellStyle name="Cálculo 2 58 3 2" xfId="1435"/>
    <cellStyle name="Cálculo 2 58 4" xfId="1436"/>
    <cellStyle name="Cálculo 2 58 4 2" xfId="1437"/>
    <cellStyle name="Cálculo 2 58 5" xfId="1438"/>
    <cellStyle name="Cálculo 2 58 5 2" xfId="1439"/>
    <cellStyle name="Cálculo 2 58 6" xfId="1440"/>
    <cellStyle name="Cálculo 2 58 6 2" xfId="1441"/>
    <cellStyle name="Cálculo 2 58 7" xfId="1442"/>
    <cellStyle name="Cálculo 2 58 7 2" xfId="1443"/>
    <cellStyle name="Cálculo 2 58 8" xfId="1444"/>
    <cellStyle name="Cálculo 2 58 8 2" xfId="1445"/>
    <cellStyle name="Cálculo 2 58 9" xfId="1446"/>
    <cellStyle name="Cálculo 2 58 9 2" xfId="1447"/>
    <cellStyle name="Cálculo 2 59" xfId="1448"/>
    <cellStyle name="Cálculo 2 59 10" xfId="1449"/>
    <cellStyle name="Cálculo 2 59 10 2" xfId="1450"/>
    <cellStyle name="Cálculo 2 59 11" xfId="1451"/>
    <cellStyle name="Cálculo 2 59 11 2" xfId="1452"/>
    <cellStyle name="Cálculo 2 59 12" xfId="1453"/>
    <cellStyle name="Cálculo 2 59 12 2" xfId="1454"/>
    <cellStyle name="Cálculo 2 59 13" xfId="1455"/>
    <cellStyle name="Cálculo 2 59 13 2" xfId="1456"/>
    <cellStyle name="Cálculo 2 59 14" xfId="1457"/>
    <cellStyle name="Cálculo 2 59 2" xfId="1458"/>
    <cellStyle name="Cálculo 2 59 2 2" xfId="1459"/>
    <cellStyle name="Cálculo 2 59 3" xfId="1460"/>
    <cellStyle name="Cálculo 2 59 3 2" xfId="1461"/>
    <cellStyle name="Cálculo 2 59 4" xfId="1462"/>
    <cellStyle name="Cálculo 2 59 4 2" xfId="1463"/>
    <cellStyle name="Cálculo 2 59 5" xfId="1464"/>
    <cellStyle name="Cálculo 2 59 5 2" xfId="1465"/>
    <cellStyle name="Cálculo 2 59 6" xfId="1466"/>
    <cellStyle name="Cálculo 2 59 6 2" xfId="1467"/>
    <cellStyle name="Cálculo 2 59 7" xfId="1468"/>
    <cellStyle name="Cálculo 2 59 7 2" xfId="1469"/>
    <cellStyle name="Cálculo 2 59 8" xfId="1470"/>
    <cellStyle name="Cálculo 2 59 8 2" xfId="1471"/>
    <cellStyle name="Cálculo 2 59 9" xfId="1472"/>
    <cellStyle name="Cálculo 2 59 9 2" xfId="1473"/>
    <cellStyle name="Cálculo 2 6" xfId="1474"/>
    <cellStyle name="Cálculo 2 6 10" xfId="1475"/>
    <cellStyle name="Cálculo 2 6 10 2" xfId="1476"/>
    <cellStyle name="Cálculo 2 6 11" xfId="1477"/>
    <cellStyle name="Cálculo 2 6 11 2" xfId="1478"/>
    <cellStyle name="Cálculo 2 6 12" xfId="1479"/>
    <cellStyle name="Cálculo 2 6 12 2" xfId="1480"/>
    <cellStyle name="Cálculo 2 6 13" xfId="1481"/>
    <cellStyle name="Cálculo 2 6 13 2" xfId="1482"/>
    <cellStyle name="Cálculo 2 6 14" xfId="1483"/>
    <cellStyle name="Cálculo 2 6 2" xfId="1484"/>
    <cellStyle name="Cálculo 2 6 2 2" xfId="1485"/>
    <cellStyle name="Cálculo 2 6 3" xfId="1486"/>
    <cellStyle name="Cálculo 2 6 3 2" xfId="1487"/>
    <cellStyle name="Cálculo 2 6 4" xfId="1488"/>
    <cellStyle name="Cálculo 2 6 4 2" xfId="1489"/>
    <cellStyle name="Cálculo 2 6 5" xfId="1490"/>
    <cellStyle name="Cálculo 2 6 5 2" xfId="1491"/>
    <cellStyle name="Cálculo 2 6 6" xfId="1492"/>
    <cellStyle name="Cálculo 2 6 6 2" xfId="1493"/>
    <cellStyle name="Cálculo 2 6 7" xfId="1494"/>
    <cellStyle name="Cálculo 2 6 7 2" xfId="1495"/>
    <cellStyle name="Cálculo 2 6 8" xfId="1496"/>
    <cellStyle name="Cálculo 2 6 8 2" xfId="1497"/>
    <cellStyle name="Cálculo 2 6 9" xfId="1498"/>
    <cellStyle name="Cálculo 2 6 9 2" xfId="1499"/>
    <cellStyle name="Cálculo 2 60" xfId="1500"/>
    <cellStyle name="Cálculo 2 60 10" xfId="1501"/>
    <cellStyle name="Cálculo 2 60 10 2" xfId="1502"/>
    <cellStyle name="Cálculo 2 60 11" xfId="1503"/>
    <cellStyle name="Cálculo 2 60 11 2" xfId="1504"/>
    <cellStyle name="Cálculo 2 60 12" xfId="1505"/>
    <cellStyle name="Cálculo 2 60 12 2" xfId="1506"/>
    <cellStyle name="Cálculo 2 60 13" xfId="1507"/>
    <cellStyle name="Cálculo 2 60 13 2" xfId="1508"/>
    <cellStyle name="Cálculo 2 60 14" xfId="1509"/>
    <cellStyle name="Cálculo 2 60 2" xfId="1510"/>
    <cellStyle name="Cálculo 2 60 2 2" xfId="1511"/>
    <cellStyle name="Cálculo 2 60 3" xfId="1512"/>
    <cellStyle name="Cálculo 2 60 3 2" xfId="1513"/>
    <cellStyle name="Cálculo 2 60 4" xfId="1514"/>
    <cellStyle name="Cálculo 2 60 4 2" xfId="1515"/>
    <cellStyle name="Cálculo 2 60 5" xfId="1516"/>
    <cellStyle name="Cálculo 2 60 5 2" xfId="1517"/>
    <cellStyle name="Cálculo 2 60 6" xfId="1518"/>
    <cellStyle name="Cálculo 2 60 6 2" xfId="1519"/>
    <cellStyle name="Cálculo 2 60 7" xfId="1520"/>
    <cellStyle name="Cálculo 2 60 7 2" xfId="1521"/>
    <cellStyle name="Cálculo 2 60 8" xfId="1522"/>
    <cellStyle name="Cálculo 2 60 8 2" xfId="1523"/>
    <cellStyle name="Cálculo 2 60 9" xfId="1524"/>
    <cellStyle name="Cálculo 2 60 9 2" xfId="1525"/>
    <cellStyle name="Cálculo 2 61" xfId="1526"/>
    <cellStyle name="Cálculo 2 61 10" xfId="1527"/>
    <cellStyle name="Cálculo 2 61 10 2" xfId="1528"/>
    <cellStyle name="Cálculo 2 61 11" xfId="1529"/>
    <cellStyle name="Cálculo 2 61 11 2" xfId="1530"/>
    <cellStyle name="Cálculo 2 61 12" xfId="1531"/>
    <cellStyle name="Cálculo 2 61 12 2" xfId="1532"/>
    <cellStyle name="Cálculo 2 61 13" xfId="1533"/>
    <cellStyle name="Cálculo 2 61 13 2" xfId="1534"/>
    <cellStyle name="Cálculo 2 61 14" xfId="1535"/>
    <cellStyle name="Cálculo 2 61 2" xfId="1536"/>
    <cellStyle name="Cálculo 2 61 2 2" xfId="1537"/>
    <cellStyle name="Cálculo 2 61 3" xfId="1538"/>
    <cellStyle name="Cálculo 2 61 3 2" xfId="1539"/>
    <cellStyle name="Cálculo 2 61 4" xfId="1540"/>
    <cellStyle name="Cálculo 2 61 4 2" xfId="1541"/>
    <cellStyle name="Cálculo 2 61 5" xfId="1542"/>
    <cellStyle name="Cálculo 2 61 5 2" xfId="1543"/>
    <cellStyle name="Cálculo 2 61 6" xfId="1544"/>
    <cellStyle name="Cálculo 2 61 6 2" xfId="1545"/>
    <cellStyle name="Cálculo 2 61 7" xfId="1546"/>
    <cellStyle name="Cálculo 2 61 7 2" xfId="1547"/>
    <cellStyle name="Cálculo 2 61 8" xfId="1548"/>
    <cellStyle name="Cálculo 2 61 8 2" xfId="1549"/>
    <cellStyle name="Cálculo 2 61 9" xfId="1550"/>
    <cellStyle name="Cálculo 2 61 9 2" xfId="1551"/>
    <cellStyle name="Cálculo 2 62" xfId="1552"/>
    <cellStyle name="Cálculo 2 62 10" xfId="1553"/>
    <cellStyle name="Cálculo 2 62 10 2" xfId="1554"/>
    <cellStyle name="Cálculo 2 62 11" xfId="1555"/>
    <cellStyle name="Cálculo 2 62 11 2" xfId="1556"/>
    <cellStyle name="Cálculo 2 62 12" xfId="1557"/>
    <cellStyle name="Cálculo 2 62 12 2" xfId="1558"/>
    <cellStyle name="Cálculo 2 62 13" xfId="1559"/>
    <cellStyle name="Cálculo 2 62 13 2" xfId="1560"/>
    <cellStyle name="Cálculo 2 62 14" xfId="1561"/>
    <cellStyle name="Cálculo 2 62 2" xfId="1562"/>
    <cellStyle name="Cálculo 2 62 2 2" xfId="1563"/>
    <cellStyle name="Cálculo 2 62 3" xfId="1564"/>
    <cellStyle name="Cálculo 2 62 3 2" xfId="1565"/>
    <cellStyle name="Cálculo 2 62 4" xfId="1566"/>
    <cellStyle name="Cálculo 2 62 4 2" xfId="1567"/>
    <cellStyle name="Cálculo 2 62 5" xfId="1568"/>
    <cellStyle name="Cálculo 2 62 5 2" xfId="1569"/>
    <cellStyle name="Cálculo 2 62 6" xfId="1570"/>
    <cellStyle name="Cálculo 2 62 6 2" xfId="1571"/>
    <cellStyle name="Cálculo 2 62 7" xfId="1572"/>
    <cellStyle name="Cálculo 2 62 7 2" xfId="1573"/>
    <cellStyle name="Cálculo 2 62 8" xfId="1574"/>
    <cellStyle name="Cálculo 2 62 8 2" xfId="1575"/>
    <cellStyle name="Cálculo 2 62 9" xfId="1576"/>
    <cellStyle name="Cálculo 2 62 9 2" xfId="1577"/>
    <cellStyle name="Cálculo 2 63" xfId="1578"/>
    <cellStyle name="Cálculo 2 63 10" xfId="1579"/>
    <cellStyle name="Cálculo 2 63 10 2" xfId="1580"/>
    <cellStyle name="Cálculo 2 63 11" xfId="1581"/>
    <cellStyle name="Cálculo 2 63 11 2" xfId="1582"/>
    <cellStyle name="Cálculo 2 63 12" xfId="1583"/>
    <cellStyle name="Cálculo 2 63 12 2" xfId="1584"/>
    <cellStyle name="Cálculo 2 63 13" xfId="1585"/>
    <cellStyle name="Cálculo 2 63 13 2" xfId="1586"/>
    <cellStyle name="Cálculo 2 63 14" xfId="1587"/>
    <cellStyle name="Cálculo 2 63 2" xfId="1588"/>
    <cellStyle name="Cálculo 2 63 2 2" xfId="1589"/>
    <cellStyle name="Cálculo 2 63 3" xfId="1590"/>
    <cellStyle name="Cálculo 2 63 3 2" xfId="1591"/>
    <cellStyle name="Cálculo 2 63 4" xfId="1592"/>
    <cellStyle name="Cálculo 2 63 4 2" xfId="1593"/>
    <cellStyle name="Cálculo 2 63 5" xfId="1594"/>
    <cellStyle name="Cálculo 2 63 5 2" xfId="1595"/>
    <cellStyle name="Cálculo 2 63 6" xfId="1596"/>
    <cellStyle name="Cálculo 2 63 6 2" xfId="1597"/>
    <cellStyle name="Cálculo 2 63 7" xfId="1598"/>
    <cellStyle name="Cálculo 2 63 7 2" xfId="1599"/>
    <cellStyle name="Cálculo 2 63 8" xfId="1600"/>
    <cellStyle name="Cálculo 2 63 8 2" xfId="1601"/>
    <cellStyle name="Cálculo 2 63 9" xfId="1602"/>
    <cellStyle name="Cálculo 2 63 9 2" xfId="1603"/>
    <cellStyle name="Cálculo 2 64" xfId="1604"/>
    <cellStyle name="Cálculo 2 64 10" xfId="1605"/>
    <cellStyle name="Cálculo 2 64 10 2" xfId="1606"/>
    <cellStyle name="Cálculo 2 64 11" xfId="1607"/>
    <cellStyle name="Cálculo 2 64 11 2" xfId="1608"/>
    <cellStyle name="Cálculo 2 64 12" xfId="1609"/>
    <cellStyle name="Cálculo 2 64 12 2" xfId="1610"/>
    <cellStyle name="Cálculo 2 64 13" xfId="1611"/>
    <cellStyle name="Cálculo 2 64 13 2" xfId="1612"/>
    <cellStyle name="Cálculo 2 64 14" xfId="1613"/>
    <cellStyle name="Cálculo 2 64 2" xfId="1614"/>
    <cellStyle name="Cálculo 2 64 2 2" xfId="1615"/>
    <cellStyle name="Cálculo 2 64 3" xfId="1616"/>
    <cellStyle name="Cálculo 2 64 3 2" xfId="1617"/>
    <cellStyle name="Cálculo 2 64 4" xfId="1618"/>
    <cellStyle name="Cálculo 2 64 4 2" xfId="1619"/>
    <cellStyle name="Cálculo 2 64 5" xfId="1620"/>
    <cellStyle name="Cálculo 2 64 5 2" xfId="1621"/>
    <cellStyle name="Cálculo 2 64 6" xfId="1622"/>
    <cellStyle name="Cálculo 2 64 6 2" xfId="1623"/>
    <cellStyle name="Cálculo 2 64 7" xfId="1624"/>
    <cellStyle name="Cálculo 2 64 7 2" xfId="1625"/>
    <cellStyle name="Cálculo 2 64 8" xfId="1626"/>
    <cellStyle name="Cálculo 2 64 8 2" xfId="1627"/>
    <cellStyle name="Cálculo 2 64 9" xfId="1628"/>
    <cellStyle name="Cálculo 2 64 9 2" xfId="1629"/>
    <cellStyle name="Cálculo 2 65" xfId="1630"/>
    <cellStyle name="Cálculo 2 65 10" xfId="1631"/>
    <cellStyle name="Cálculo 2 65 10 2" xfId="1632"/>
    <cellStyle name="Cálculo 2 65 11" xfId="1633"/>
    <cellStyle name="Cálculo 2 65 11 2" xfId="1634"/>
    <cellStyle name="Cálculo 2 65 12" xfId="1635"/>
    <cellStyle name="Cálculo 2 65 12 2" xfId="1636"/>
    <cellStyle name="Cálculo 2 65 13" xfId="1637"/>
    <cellStyle name="Cálculo 2 65 13 2" xfId="1638"/>
    <cellStyle name="Cálculo 2 65 14" xfId="1639"/>
    <cellStyle name="Cálculo 2 65 2" xfId="1640"/>
    <cellStyle name="Cálculo 2 65 2 2" xfId="1641"/>
    <cellStyle name="Cálculo 2 65 3" xfId="1642"/>
    <cellStyle name="Cálculo 2 65 3 2" xfId="1643"/>
    <cellStyle name="Cálculo 2 65 4" xfId="1644"/>
    <cellStyle name="Cálculo 2 65 4 2" xfId="1645"/>
    <cellStyle name="Cálculo 2 65 5" xfId="1646"/>
    <cellStyle name="Cálculo 2 65 5 2" xfId="1647"/>
    <cellStyle name="Cálculo 2 65 6" xfId="1648"/>
    <cellStyle name="Cálculo 2 65 6 2" xfId="1649"/>
    <cellStyle name="Cálculo 2 65 7" xfId="1650"/>
    <cellStyle name="Cálculo 2 65 7 2" xfId="1651"/>
    <cellStyle name="Cálculo 2 65 8" xfId="1652"/>
    <cellStyle name="Cálculo 2 65 8 2" xfId="1653"/>
    <cellStyle name="Cálculo 2 65 9" xfId="1654"/>
    <cellStyle name="Cálculo 2 65 9 2" xfId="1655"/>
    <cellStyle name="Cálculo 2 66" xfId="1656"/>
    <cellStyle name="Cálculo 2 66 10" xfId="1657"/>
    <cellStyle name="Cálculo 2 66 10 2" xfId="1658"/>
    <cellStyle name="Cálculo 2 66 11" xfId="1659"/>
    <cellStyle name="Cálculo 2 66 11 2" xfId="1660"/>
    <cellStyle name="Cálculo 2 66 12" xfId="1661"/>
    <cellStyle name="Cálculo 2 66 12 2" xfId="1662"/>
    <cellStyle name="Cálculo 2 66 13" xfId="1663"/>
    <cellStyle name="Cálculo 2 66 13 2" xfId="1664"/>
    <cellStyle name="Cálculo 2 66 14" xfId="1665"/>
    <cellStyle name="Cálculo 2 66 2" xfId="1666"/>
    <cellStyle name="Cálculo 2 66 2 2" xfId="1667"/>
    <cellStyle name="Cálculo 2 66 3" xfId="1668"/>
    <cellStyle name="Cálculo 2 66 3 2" xfId="1669"/>
    <cellStyle name="Cálculo 2 66 4" xfId="1670"/>
    <cellStyle name="Cálculo 2 66 4 2" xfId="1671"/>
    <cellStyle name="Cálculo 2 66 5" xfId="1672"/>
    <cellStyle name="Cálculo 2 66 5 2" xfId="1673"/>
    <cellStyle name="Cálculo 2 66 6" xfId="1674"/>
    <cellStyle name="Cálculo 2 66 6 2" xfId="1675"/>
    <cellStyle name="Cálculo 2 66 7" xfId="1676"/>
    <cellStyle name="Cálculo 2 66 7 2" xfId="1677"/>
    <cellStyle name="Cálculo 2 66 8" xfId="1678"/>
    <cellStyle name="Cálculo 2 66 8 2" xfId="1679"/>
    <cellStyle name="Cálculo 2 66 9" xfId="1680"/>
    <cellStyle name="Cálculo 2 66 9 2" xfId="1681"/>
    <cellStyle name="Cálculo 2 67" xfId="1682"/>
    <cellStyle name="Cálculo 2 67 10" xfId="1683"/>
    <cellStyle name="Cálculo 2 67 10 2" xfId="1684"/>
    <cellStyle name="Cálculo 2 67 11" xfId="1685"/>
    <cellStyle name="Cálculo 2 67 11 2" xfId="1686"/>
    <cellStyle name="Cálculo 2 67 12" xfId="1687"/>
    <cellStyle name="Cálculo 2 67 12 2" xfId="1688"/>
    <cellStyle name="Cálculo 2 67 13" xfId="1689"/>
    <cellStyle name="Cálculo 2 67 13 2" xfId="1690"/>
    <cellStyle name="Cálculo 2 67 14" xfId="1691"/>
    <cellStyle name="Cálculo 2 67 2" xfId="1692"/>
    <cellStyle name="Cálculo 2 67 2 2" xfId="1693"/>
    <cellStyle name="Cálculo 2 67 3" xfId="1694"/>
    <cellStyle name="Cálculo 2 67 3 2" xfId="1695"/>
    <cellStyle name="Cálculo 2 67 4" xfId="1696"/>
    <cellStyle name="Cálculo 2 67 4 2" xfId="1697"/>
    <cellStyle name="Cálculo 2 67 5" xfId="1698"/>
    <cellStyle name="Cálculo 2 67 5 2" xfId="1699"/>
    <cellStyle name="Cálculo 2 67 6" xfId="1700"/>
    <cellStyle name="Cálculo 2 67 6 2" xfId="1701"/>
    <cellStyle name="Cálculo 2 67 7" xfId="1702"/>
    <cellStyle name="Cálculo 2 67 7 2" xfId="1703"/>
    <cellStyle name="Cálculo 2 67 8" xfId="1704"/>
    <cellStyle name="Cálculo 2 67 8 2" xfId="1705"/>
    <cellStyle name="Cálculo 2 67 9" xfId="1706"/>
    <cellStyle name="Cálculo 2 67 9 2" xfId="1707"/>
    <cellStyle name="Cálculo 2 68" xfId="1708"/>
    <cellStyle name="Cálculo 2 68 10" xfId="1709"/>
    <cellStyle name="Cálculo 2 68 10 2" xfId="1710"/>
    <cellStyle name="Cálculo 2 68 11" xfId="1711"/>
    <cellStyle name="Cálculo 2 68 11 2" xfId="1712"/>
    <cellStyle name="Cálculo 2 68 12" xfId="1713"/>
    <cellStyle name="Cálculo 2 68 12 2" xfId="1714"/>
    <cellStyle name="Cálculo 2 68 13" xfId="1715"/>
    <cellStyle name="Cálculo 2 68 13 2" xfId="1716"/>
    <cellStyle name="Cálculo 2 68 14" xfId="1717"/>
    <cellStyle name="Cálculo 2 68 2" xfId="1718"/>
    <cellStyle name="Cálculo 2 68 2 2" xfId="1719"/>
    <cellStyle name="Cálculo 2 68 3" xfId="1720"/>
    <cellStyle name="Cálculo 2 68 3 2" xfId="1721"/>
    <cellStyle name="Cálculo 2 68 4" xfId="1722"/>
    <cellStyle name="Cálculo 2 68 4 2" xfId="1723"/>
    <cellStyle name="Cálculo 2 68 5" xfId="1724"/>
    <cellStyle name="Cálculo 2 68 5 2" xfId="1725"/>
    <cellStyle name="Cálculo 2 68 6" xfId="1726"/>
    <cellStyle name="Cálculo 2 68 6 2" xfId="1727"/>
    <cellStyle name="Cálculo 2 68 7" xfId="1728"/>
    <cellStyle name="Cálculo 2 68 7 2" xfId="1729"/>
    <cellStyle name="Cálculo 2 68 8" xfId="1730"/>
    <cellStyle name="Cálculo 2 68 8 2" xfId="1731"/>
    <cellStyle name="Cálculo 2 68 9" xfId="1732"/>
    <cellStyle name="Cálculo 2 68 9 2" xfId="1733"/>
    <cellStyle name="Cálculo 2 69" xfId="1734"/>
    <cellStyle name="Cálculo 2 69 10" xfId="1735"/>
    <cellStyle name="Cálculo 2 69 10 2" xfId="1736"/>
    <cellStyle name="Cálculo 2 69 11" xfId="1737"/>
    <cellStyle name="Cálculo 2 69 11 2" xfId="1738"/>
    <cellStyle name="Cálculo 2 69 12" xfId="1739"/>
    <cellStyle name="Cálculo 2 69 12 2" xfId="1740"/>
    <cellStyle name="Cálculo 2 69 13" xfId="1741"/>
    <cellStyle name="Cálculo 2 69 13 2" xfId="1742"/>
    <cellStyle name="Cálculo 2 69 14" xfId="1743"/>
    <cellStyle name="Cálculo 2 69 2" xfId="1744"/>
    <cellStyle name="Cálculo 2 69 2 2" xfId="1745"/>
    <cellStyle name="Cálculo 2 69 3" xfId="1746"/>
    <cellStyle name="Cálculo 2 69 3 2" xfId="1747"/>
    <cellStyle name="Cálculo 2 69 4" xfId="1748"/>
    <cellStyle name="Cálculo 2 69 4 2" xfId="1749"/>
    <cellStyle name="Cálculo 2 69 5" xfId="1750"/>
    <cellStyle name="Cálculo 2 69 5 2" xfId="1751"/>
    <cellStyle name="Cálculo 2 69 6" xfId="1752"/>
    <cellStyle name="Cálculo 2 69 6 2" xfId="1753"/>
    <cellStyle name="Cálculo 2 69 7" xfId="1754"/>
    <cellStyle name="Cálculo 2 69 7 2" xfId="1755"/>
    <cellStyle name="Cálculo 2 69 8" xfId="1756"/>
    <cellStyle name="Cálculo 2 69 8 2" xfId="1757"/>
    <cellStyle name="Cálculo 2 69 9" xfId="1758"/>
    <cellStyle name="Cálculo 2 69 9 2" xfId="1759"/>
    <cellStyle name="Cálculo 2 7" xfId="1760"/>
    <cellStyle name="Cálculo 2 7 10" xfId="1761"/>
    <cellStyle name="Cálculo 2 7 10 2" xfId="1762"/>
    <cellStyle name="Cálculo 2 7 11" xfId="1763"/>
    <cellStyle name="Cálculo 2 7 11 2" xfId="1764"/>
    <cellStyle name="Cálculo 2 7 12" xfId="1765"/>
    <cellStyle name="Cálculo 2 7 12 2" xfId="1766"/>
    <cellStyle name="Cálculo 2 7 13" xfId="1767"/>
    <cellStyle name="Cálculo 2 7 13 2" xfId="1768"/>
    <cellStyle name="Cálculo 2 7 14" xfId="1769"/>
    <cellStyle name="Cálculo 2 7 2" xfId="1770"/>
    <cellStyle name="Cálculo 2 7 2 2" xfId="1771"/>
    <cellStyle name="Cálculo 2 7 3" xfId="1772"/>
    <cellStyle name="Cálculo 2 7 3 2" xfId="1773"/>
    <cellStyle name="Cálculo 2 7 4" xfId="1774"/>
    <cellStyle name="Cálculo 2 7 4 2" xfId="1775"/>
    <cellStyle name="Cálculo 2 7 5" xfId="1776"/>
    <cellStyle name="Cálculo 2 7 5 2" xfId="1777"/>
    <cellStyle name="Cálculo 2 7 6" xfId="1778"/>
    <cellStyle name="Cálculo 2 7 6 2" xfId="1779"/>
    <cellStyle name="Cálculo 2 7 7" xfId="1780"/>
    <cellStyle name="Cálculo 2 7 7 2" xfId="1781"/>
    <cellStyle name="Cálculo 2 7 8" xfId="1782"/>
    <cellStyle name="Cálculo 2 7 8 2" xfId="1783"/>
    <cellStyle name="Cálculo 2 7 9" xfId="1784"/>
    <cellStyle name="Cálculo 2 7 9 2" xfId="1785"/>
    <cellStyle name="Cálculo 2 70" xfId="1786"/>
    <cellStyle name="Cálculo 2 70 10" xfId="1787"/>
    <cellStyle name="Cálculo 2 70 10 2" xfId="1788"/>
    <cellStyle name="Cálculo 2 70 11" xfId="1789"/>
    <cellStyle name="Cálculo 2 70 11 2" xfId="1790"/>
    <cellStyle name="Cálculo 2 70 12" xfId="1791"/>
    <cellStyle name="Cálculo 2 70 12 2" xfId="1792"/>
    <cellStyle name="Cálculo 2 70 13" xfId="1793"/>
    <cellStyle name="Cálculo 2 70 13 2" xfId="1794"/>
    <cellStyle name="Cálculo 2 70 14" xfId="1795"/>
    <cellStyle name="Cálculo 2 70 2" xfId="1796"/>
    <cellStyle name="Cálculo 2 70 2 2" xfId="1797"/>
    <cellStyle name="Cálculo 2 70 3" xfId="1798"/>
    <cellStyle name="Cálculo 2 70 3 2" xfId="1799"/>
    <cellStyle name="Cálculo 2 70 4" xfId="1800"/>
    <cellStyle name="Cálculo 2 70 4 2" xfId="1801"/>
    <cellStyle name="Cálculo 2 70 5" xfId="1802"/>
    <cellStyle name="Cálculo 2 70 5 2" xfId="1803"/>
    <cellStyle name="Cálculo 2 70 6" xfId="1804"/>
    <cellStyle name="Cálculo 2 70 6 2" xfId="1805"/>
    <cellStyle name="Cálculo 2 70 7" xfId="1806"/>
    <cellStyle name="Cálculo 2 70 7 2" xfId="1807"/>
    <cellStyle name="Cálculo 2 70 8" xfId="1808"/>
    <cellStyle name="Cálculo 2 70 8 2" xfId="1809"/>
    <cellStyle name="Cálculo 2 70 9" xfId="1810"/>
    <cellStyle name="Cálculo 2 70 9 2" xfId="1811"/>
    <cellStyle name="Cálculo 2 71" xfId="1812"/>
    <cellStyle name="Cálculo 2 71 2" xfId="1813"/>
    <cellStyle name="Cálculo 2 72" xfId="1814"/>
    <cellStyle name="Cálculo 2 72 2" xfId="1815"/>
    <cellStyle name="Cálculo 2 73" xfId="1816"/>
    <cellStyle name="Cálculo 2 73 2" xfId="1817"/>
    <cellStyle name="Cálculo 2 74" xfId="1818"/>
    <cellStyle name="Cálculo 2 74 2" xfId="1819"/>
    <cellStyle name="Cálculo 2 75" xfId="1820"/>
    <cellStyle name="Cálculo 2 75 2" xfId="1821"/>
    <cellStyle name="Cálculo 2 76" xfId="1822"/>
    <cellStyle name="Cálculo 2 76 2" xfId="1823"/>
    <cellStyle name="Cálculo 2 77" xfId="1824"/>
    <cellStyle name="Cálculo 2 77 2" xfId="1825"/>
    <cellStyle name="Cálculo 2 78" xfId="1826"/>
    <cellStyle name="Cálculo 2 78 2" xfId="1827"/>
    <cellStyle name="Cálculo 2 79" xfId="1828"/>
    <cellStyle name="Cálculo 2 79 2" xfId="1829"/>
    <cellStyle name="Cálculo 2 8" xfId="1830"/>
    <cellStyle name="Cálculo 2 8 10" xfId="1831"/>
    <cellStyle name="Cálculo 2 8 10 2" xfId="1832"/>
    <cellStyle name="Cálculo 2 8 11" xfId="1833"/>
    <cellStyle name="Cálculo 2 8 11 2" xfId="1834"/>
    <cellStyle name="Cálculo 2 8 12" xfId="1835"/>
    <cellStyle name="Cálculo 2 8 12 2" xfId="1836"/>
    <cellStyle name="Cálculo 2 8 13" xfId="1837"/>
    <cellStyle name="Cálculo 2 8 13 2" xfId="1838"/>
    <cellStyle name="Cálculo 2 8 14" xfId="1839"/>
    <cellStyle name="Cálculo 2 8 2" xfId="1840"/>
    <cellStyle name="Cálculo 2 8 2 2" xfId="1841"/>
    <cellStyle name="Cálculo 2 8 3" xfId="1842"/>
    <cellStyle name="Cálculo 2 8 3 2" xfId="1843"/>
    <cellStyle name="Cálculo 2 8 4" xfId="1844"/>
    <cellStyle name="Cálculo 2 8 4 2" xfId="1845"/>
    <cellStyle name="Cálculo 2 8 5" xfId="1846"/>
    <cellStyle name="Cálculo 2 8 5 2" xfId="1847"/>
    <cellStyle name="Cálculo 2 8 6" xfId="1848"/>
    <cellStyle name="Cálculo 2 8 6 2" xfId="1849"/>
    <cellStyle name="Cálculo 2 8 7" xfId="1850"/>
    <cellStyle name="Cálculo 2 8 7 2" xfId="1851"/>
    <cellStyle name="Cálculo 2 8 8" xfId="1852"/>
    <cellStyle name="Cálculo 2 8 8 2" xfId="1853"/>
    <cellStyle name="Cálculo 2 8 9" xfId="1854"/>
    <cellStyle name="Cálculo 2 8 9 2" xfId="1855"/>
    <cellStyle name="Cálculo 2 80" xfId="1856"/>
    <cellStyle name="Cálculo 2 80 2" xfId="1857"/>
    <cellStyle name="Cálculo 2 81" xfId="1858"/>
    <cellStyle name="Cálculo 2 81 2" xfId="1859"/>
    <cellStyle name="Cálculo 2 82" xfId="1860"/>
    <cellStyle name="Cálculo 2 9" xfId="1861"/>
    <cellStyle name="Cálculo 2 9 10" xfId="1862"/>
    <cellStyle name="Cálculo 2 9 10 2" xfId="1863"/>
    <cellStyle name="Cálculo 2 9 11" xfId="1864"/>
    <cellStyle name="Cálculo 2 9 11 2" xfId="1865"/>
    <cellStyle name="Cálculo 2 9 12" xfId="1866"/>
    <cellStyle name="Cálculo 2 9 12 2" xfId="1867"/>
    <cellStyle name="Cálculo 2 9 13" xfId="1868"/>
    <cellStyle name="Cálculo 2 9 13 2" xfId="1869"/>
    <cellStyle name="Cálculo 2 9 14" xfId="1870"/>
    <cellStyle name="Cálculo 2 9 2" xfId="1871"/>
    <cellStyle name="Cálculo 2 9 2 2" xfId="1872"/>
    <cellStyle name="Cálculo 2 9 3" xfId="1873"/>
    <cellStyle name="Cálculo 2 9 3 2" xfId="1874"/>
    <cellStyle name="Cálculo 2 9 4" xfId="1875"/>
    <cellStyle name="Cálculo 2 9 4 2" xfId="1876"/>
    <cellStyle name="Cálculo 2 9 5" xfId="1877"/>
    <cellStyle name="Cálculo 2 9 5 2" xfId="1878"/>
    <cellStyle name="Cálculo 2 9 6" xfId="1879"/>
    <cellStyle name="Cálculo 2 9 6 2" xfId="1880"/>
    <cellStyle name="Cálculo 2 9 7" xfId="1881"/>
    <cellStyle name="Cálculo 2 9 7 2" xfId="1882"/>
    <cellStyle name="Cálculo 2 9 8" xfId="1883"/>
    <cellStyle name="Cálculo 2 9 8 2" xfId="1884"/>
    <cellStyle name="Cálculo 2 9 9" xfId="1885"/>
    <cellStyle name="Cálculo 2 9 9 2" xfId="1886"/>
    <cellStyle name="Cálculo 3" xfId="1887"/>
    <cellStyle name="Cálculo 3 10" xfId="1888"/>
    <cellStyle name="Cálculo 3 10 10" xfId="1889"/>
    <cellStyle name="Cálculo 3 10 10 2" xfId="1890"/>
    <cellStyle name="Cálculo 3 10 11" xfId="1891"/>
    <cellStyle name="Cálculo 3 10 11 2" xfId="1892"/>
    <cellStyle name="Cálculo 3 10 12" xfId="1893"/>
    <cellStyle name="Cálculo 3 10 12 2" xfId="1894"/>
    <cellStyle name="Cálculo 3 10 13" xfId="1895"/>
    <cellStyle name="Cálculo 3 10 13 2" xfId="1896"/>
    <cellStyle name="Cálculo 3 10 14" xfId="1897"/>
    <cellStyle name="Cálculo 3 10 2" xfId="1898"/>
    <cellStyle name="Cálculo 3 10 2 2" xfId="1899"/>
    <cellStyle name="Cálculo 3 10 3" xfId="1900"/>
    <cellStyle name="Cálculo 3 10 3 2" xfId="1901"/>
    <cellStyle name="Cálculo 3 10 4" xfId="1902"/>
    <cellStyle name="Cálculo 3 10 4 2" xfId="1903"/>
    <cellStyle name="Cálculo 3 10 5" xfId="1904"/>
    <cellStyle name="Cálculo 3 10 5 2" xfId="1905"/>
    <cellStyle name="Cálculo 3 10 6" xfId="1906"/>
    <cellStyle name="Cálculo 3 10 6 2" xfId="1907"/>
    <cellStyle name="Cálculo 3 10 7" xfId="1908"/>
    <cellStyle name="Cálculo 3 10 7 2" xfId="1909"/>
    <cellStyle name="Cálculo 3 10 8" xfId="1910"/>
    <cellStyle name="Cálculo 3 10 8 2" xfId="1911"/>
    <cellStyle name="Cálculo 3 10 9" xfId="1912"/>
    <cellStyle name="Cálculo 3 10 9 2" xfId="1913"/>
    <cellStyle name="Cálculo 3 11" xfId="1914"/>
    <cellStyle name="Cálculo 3 11 10" xfId="1915"/>
    <cellStyle name="Cálculo 3 11 10 2" xfId="1916"/>
    <cellStyle name="Cálculo 3 11 11" xfId="1917"/>
    <cellStyle name="Cálculo 3 11 11 2" xfId="1918"/>
    <cellStyle name="Cálculo 3 11 12" xfId="1919"/>
    <cellStyle name="Cálculo 3 11 12 2" xfId="1920"/>
    <cellStyle name="Cálculo 3 11 13" xfId="1921"/>
    <cellStyle name="Cálculo 3 11 13 2" xfId="1922"/>
    <cellStyle name="Cálculo 3 11 14" xfId="1923"/>
    <cellStyle name="Cálculo 3 11 2" xfId="1924"/>
    <cellStyle name="Cálculo 3 11 2 2" xfId="1925"/>
    <cellStyle name="Cálculo 3 11 3" xfId="1926"/>
    <cellStyle name="Cálculo 3 11 3 2" xfId="1927"/>
    <cellStyle name="Cálculo 3 11 4" xfId="1928"/>
    <cellStyle name="Cálculo 3 11 4 2" xfId="1929"/>
    <cellStyle name="Cálculo 3 11 5" xfId="1930"/>
    <cellStyle name="Cálculo 3 11 5 2" xfId="1931"/>
    <cellStyle name="Cálculo 3 11 6" xfId="1932"/>
    <cellStyle name="Cálculo 3 11 6 2" xfId="1933"/>
    <cellStyle name="Cálculo 3 11 7" xfId="1934"/>
    <cellStyle name="Cálculo 3 11 7 2" xfId="1935"/>
    <cellStyle name="Cálculo 3 11 8" xfId="1936"/>
    <cellStyle name="Cálculo 3 11 8 2" xfId="1937"/>
    <cellStyle name="Cálculo 3 11 9" xfId="1938"/>
    <cellStyle name="Cálculo 3 11 9 2" xfId="1939"/>
    <cellStyle name="Cálculo 3 12" xfId="1940"/>
    <cellStyle name="Cálculo 3 12 10" xfId="1941"/>
    <cellStyle name="Cálculo 3 12 10 2" xfId="1942"/>
    <cellStyle name="Cálculo 3 12 11" xfId="1943"/>
    <cellStyle name="Cálculo 3 12 11 2" xfId="1944"/>
    <cellStyle name="Cálculo 3 12 12" xfId="1945"/>
    <cellStyle name="Cálculo 3 12 12 2" xfId="1946"/>
    <cellStyle name="Cálculo 3 12 13" xfId="1947"/>
    <cellStyle name="Cálculo 3 12 13 2" xfId="1948"/>
    <cellStyle name="Cálculo 3 12 14" xfId="1949"/>
    <cellStyle name="Cálculo 3 12 2" xfId="1950"/>
    <cellStyle name="Cálculo 3 12 2 2" xfId="1951"/>
    <cellStyle name="Cálculo 3 12 3" xfId="1952"/>
    <cellStyle name="Cálculo 3 12 3 2" xfId="1953"/>
    <cellStyle name="Cálculo 3 12 4" xfId="1954"/>
    <cellStyle name="Cálculo 3 12 4 2" xfId="1955"/>
    <cellStyle name="Cálculo 3 12 5" xfId="1956"/>
    <cellStyle name="Cálculo 3 12 5 2" xfId="1957"/>
    <cellStyle name="Cálculo 3 12 6" xfId="1958"/>
    <cellStyle name="Cálculo 3 12 6 2" xfId="1959"/>
    <cellStyle name="Cálculo 3 12 7" xfId="1960"/>
    <cellStyle name="Cálculo 3 12 7 2" xfId="1961"/>
    <cellStyle name="Cálculo 3 12 8" xfId="1962"/>
    <cellStyle name="Cálculo 3 12 8 2" xfId="1963"/>
    <cellStyle name="Cálculo 3 12 9" xfId="1964"/>
    <cellStyle name="Cálculo 3 12 9 2" xfId="1965"/>
    <cellStyle name="Cálculo 3 13" xfId="1966"/>
    <cellStyle name="Cálculo 3 13 10" xfId="1967"/>
    <cellStyle name="Cálculo 3 13 10 2" xfId="1968"/>
    <cellStyle name="Cálculo 3 13 11" xfId="1969"/>
    <cellStyle name="Cálculo 3 13 11 2" xfId="1970"/>
    <cellStyle name="Cálculo 3 13 12" xfId="1971"/>
    <cellStyle name="Cálculo 3 13 12 2" xfId="1972"/>
    <cellStyle name="Cálculo 3 13 13" xfId="1973"/>
    <cellStyle name="Cálculo 3 13 13 2" xfId="1974"/>
    <cellStyle name="Cálculo 3 13 14" xfId="1975"/>
    <cellStyle name="Cálculo 3 13 2" xfId="1976"/>
    <cellStyle name="Cálculo 3 13 2 2" xfId="1977"/>
    <cellStyle name="Cálculo 3 13 3" xfId="1978"/>
    <cellStyle name="Cálculo 3 13 3 2" xfId="1979"/>
    <cellStyle name="Cálculo 3 13 4" xfId="1980"/>
    <cellStyle name="Cálculo 3 13 4 2" xfId="1981"/>
    <cellStyle name="Cálculo 3 13 5" xfId="1982"/>
    <cellStyle name="Cálculo 3 13 5 2" xfId="1983"/>
    <cellStyle name="Cálculo 3 13 6" xfId="1984"/>
    <cellStyle name="Cálculo 3 13 6 2" xfId="1985"/>
    <cellStyle name="Cálculo 3 13 7" xfId="1986"/>
    <cellStyle name="Cálculo 3 13 7 2" xfId="1987"/>
    <cellStyle name="Cálculo 3 13 8" xfId="1988"/>
    <cellStyle name="Cálculo 3 13 8 2" xfId="1989"/>
    <cellStyle name="Cálculo 3 13 9" xfId="1990"/>
    <cellStyle name="Cálculo 3 13 9 2" xfId="1991"/>
    <cellStyle name="Cálculo 3 14" xfId="1992"/>
    <cellStyle name="Cálculo 3 14 10" xfId="1993"/>
    <cellStyle name="Cálculo 3 14 10 2" xfId="1994"/>
    <cellStyle name="Cálculo 3 14 11" xfId="1995"/>
    <cellStyle name="Cálculo 3 14 11 2" xfId="1996"/>
    <cellStyle name="Cálculo 3 14 12" xfId="1997"/>
    <cellStyle name="Cálculo 3 14 12 2" xfId="1998"/>
    <cellStyle name="Cálculo 3 14 13" xfId="1999"/>
    <cellStyle name="Cálculo 3 14 13 2" xfId="2000"/>
    <cellStyle name="Cálculo 3 14 14" xfId="2001"/>
    <cellStyle name="Cálculo 3 14 2" xfId="2002"/>
    <cellStyle name="Cálculo 3 14 2 2" xfId="2003"/>
    <cellStyle name="Cálculo 3 14 3" xfId="2004"/>
    <cellStyle name="Cálculo 3 14 3 2" xfId="2005"/>
    <cellStyle name="Cálculo 3 14 4" xfId="2006"/>
    <cellStyle name="Cálculo 3 14 4 2" xfId="2007"/>
    <cellStyle name="Cálculo 3 14 5" xfId="2008"/>
    <cellStyle name="Cálculo 3 14 5 2" xfId="2009"/>
    <cellStyle name="Cálculo 3 14 6" xfId="2010"/>
    <cellStyle name="Cálculo 3 14 6 2" xfId="2011"/>
    <cellStyle name="Cálculo 3 14 7" xfId="2012"/>
    <cellStyle name="Cálculo 3 14 7 2" xfId="2013"/>
    <cellStyle name="Cálculo 3 14 8" xfId="2014"/>
    <cellStyle name="Cálculo 3 14 8 2" xfId="2015"/>
    <cellStyle name="Cálculo 3 14 9" xfId="2016"/>
    <cellStyle name="Cálculo 3 14 9 2" xfId="2017"/>
    <cellStyle name="Cálculo 3 15" xfId="2018"/>
    <cellStyle name="Cálculo 3 15 10" xfId="2019"/>
    <cellStyle name="Cálculo 3 15 10 2" xfId="2020"/>
    <cellStyle name="Cálculo 3 15 11" xfId="2021"/>
    <cellStyle name="Cálculo 3 15 11 2" xfId="2022"/>
    <cellStyle name="Cálculo 3 15 12" xfId="2023"/>
    <cellStyle name="Cálculo 3 15 12 2" xfId="2024"/>
    <cellStyle name="Cálculo 3 15 13" xfId="2025"/>
    <cellStyle name="Cálculo 3 15 13 2" xfId="2026"/>
    <cellStyle name="Cálculo 3 15 14" xfId="2027"/>
    <cellStyle name="Cálculo 3 15 2" xfId="2028"/>
    <cellStyle name="Cálculo 3 15 2 2" xfId="2029"/>
    <cellStyle name="Cálculo 3 15 3" xfId="2030"/>
    <cellStyle name="Cálculo 3 15 3 2" xfId="2031"/>
    <cellStyle name="Cálculo 3 15 4" xfId="2032"/>
    <cellStyle name="Cálculo 3 15 4 2" xfId="2033"/>
    <cellStyle name="Cálculo 3 15 5" xfId="2034"/>
    <cellStyle name="Cálculo 3 15 5 2" xfId="2035"/>
    <cellStyle name="Cálculo 3 15 6" xfId="2036"/>
    <cellStyle name="Cálculo 3 15 6 2" xfId="2037"/>
    <cellStyle name="Cálculo 3 15 7" xfId="2038"/>
    <cellStyle name="Cálculo 3 15 7 2" xfId="2039"/>
    <cellStyle name="Cálculo 3 15 8" xfId="2040"/>
    <cellStyle name="Cálculo 3 15 8 2" xfId="2041"/>
    <cellStyle name="Cálculo 3 15 9" xfId="2042"/>
    <cellStyle name="Cálculo 3 15 9 2" xfId="2043"/>
    <cellStyle name="Cálculo 3 16" xfId="2044"/>
    <cellStyle name="Cálculo 3 16 10" xfId="2045"/>
    <cellStyle name="Cálculo 3 16 10 2" xfId="2046"/>
    <cellStyle name="Cálculo 3 16 11" xfId="2047"/>
    <cellStyle name="Cálculo 3 16 11 2" xfId="2048"/>
    <cellStyle name="Cálculo 3 16 12" xfId="2049"/>
    <cellStyle name="Cálculo 3 16 12 2" xfId="2050"/>
    <cellStyle name="Cálculo 3 16 13" xfId="2051"/>
    <cellStyle name="Cálculo 3 16 13 2" xfId="2052"/>
    <cellStyle name="Cálculo 3 16 14" xfId="2053"/>
    <cellStyle name="Cálculo 3 16 2" xfId="2054"/>
    <cellStyle name="Cálculo 3 16 2 2" xfId="2055"/>
    <cellStyle name="Cálculo 3 16 3" xfId="2056"/>
    <cellStyle name="Cálculo 3 16 3 2" xfId="2057"/>
    <cellStyle name="Cálculo 3 16 4" xfId="2058"/>
    <cellStyle name="Cálculo 3 16 4 2" xfId="2059"/>
    <cellStyle name="Cálculo 3 16 5" xfId="2060"/>
    <cellStyle name="Cálculo 3 16 5 2" xfId="2061"/>
    <cellStyle name="Cálculo 3 16 6" xfId="2062"/>
    <cellStyle name="Cálculo 3 16 6 2" xfId="2063"/>
    <cellStyle name="Cálculo 3 16 7" xfId="2064"/>
    <cellStyle name="Cálculo 3 16 7 2" xfId="2065"/>
    <cellStyle name="Cálculo 3 16 8" xfId="2066"/>
    <cellStyle name="Cálculo 3 16 8 2" xfId="2067"/>
    <cellStyle name="Cálculo 3 16 9" xfId="2068"/>
    <cellStyle name="Cálculo 3 16 9 2" xfId="2069"/>
    <cellStyle name="Cálculo 3 17" xfId="2070"/>
    <cellStyle name="Cálculo 3 17 10" xfId="2071"/>
    <cellStyle name="Cálculo 3 17 10 2" xfId="2072"/>
    <cellStyle name="Cálculo 3 17 11" xfId="2073"/>
    <cellStyle name="Cálculo 3 17 11 2" xfId="2074"/>
    <cellStyle name="Cálculo 3 17 12" xfId="2075"/>
    <cellStyle name="Cálculo 3 17 12 2" xfId="2076"/>
    <cellStyle name="Cálculo 3 17 13" xfId="2077"/>
    <cellStyle name="Cálculo 3 17 13 2" xfId="2078"/>
    <cellStyle name="Cálculo 3 17 14" xfId="2079"/>
    <cellStyle name="Cálculo 3 17 2" xfId="2080"/>
    <cellStyle name="Cálculo 3 17 2 2" xfId="2081"/>
    <cellStyle name="Cálculo 3 17 3" xfId="2082"/>
    <cellStyle name="Cálculo 3 17 3 2" xfId="2083"/>
    <cellStyle name="Cálculo 3 17 4" xfId="2084"/>
    <cellStyle name="Cálculo 3 17 4 2" xfId="2085"/>
    <cellStyle name="Cálculo 3 17 5" xfId="2086"/>
    <cellStyle name="Cálculo 3 17 5 2" xfId="2087"/>
    <cellStyle name="Cálculo 3 17 6" xfId="2088"/>
    <cellStyle name="Cálculo 3 17 6 2" xfId="2089"/>
    <cellStyle name="Cálculo 3 17 7" xfId="2090"/>
    <cellStyle name="Cálculo 3 17 7 2" xfId="2091"/>
    <cellStyle name="Cálculo 3 17 8" xfId="2092"/>
    <cellStyle name="Cálculo 3 17 8 2" xfId="2093"/>
    <cellStyle name="Cálculo 3 17 9" xfId="2094"/>
    <cellStyle name="Cálculo 3 17 9 2" xfId="2095"/>
    <cellStyle name="Cálculo 3 18" xfId="2096"/>
    <cellStyle name="Cálculo 3 18 10" xfId="2097"/>
    <cellStyle name="Cálculo 3 18 10 2" xfId="2098"/>
    <cellStyle name="Cálculo 3 18 11" xfId="2099"/>
    <cellStyle name="Cálculo 3 18 11 2" xfId="2100"/>
    <cellStyle name="Cálculo 3 18 12" xfId="2101"/>
    <cellStyle name="Cálculo 3 18 12 2" xfId="2102"/>
    <cellStyle name="Cálculo 3 18 13" xfId="2103"/>
    <cellStyle name="Cálculo 3 18 13 2" xfId="2104"/>
    <cellStyle name="Cálculo 3 18 14" xfId="2105"/>
    <cellStyle name="Cálculo 3 18 2" xfId="2106"/>
    <cellStyle name="Cálculo 3 18 2 2" xfId="2107"/>
    <cellStyle name="Cálculo 3 18 3" xfId="2108"/>
    <cellStyle name="Cálculo 3 18 3 2" xfId="2109"/>
    <cellStyle name="Cálculo 3 18 4" xfId="2110"/>
    <cellStyle name="Cálculo 3 18 4 2" xfId="2111"/>
    <cellStyle name="Cálculo 3 18 5" xfId="2112"/>
    <cellStyle name="Cálculo 3 18 5 2" xfId="2113"/>
    <cellStyle name="Cálculo 3 18 6" xfId="2114"/>
    <cellStyle name="Cálculo 3 18 6 2" xfId="2115"/>
    <cellStyle name="Cálculo 3 18 7" xfId="2116"/>
    <cellStyle name="Cálculo 3 18 7 2" xfId="2117"/>
    <cellStyle name="Cálculo 3 18 8" xfId="2118"/>
    <cellStyle name="Cálculo 3 18 8 2" xfId="2119"/>
    <cellStyle name="Cálculo 3 18 9" xfId="2120"/>
    <cellStyle name="Cálculo 3 18 9 2" xfId="2121"/>
    <cellStyle name="Cálculo 3 19" xfId="2122"/>
    <cellStyle name="Cálculo 3 19 10" xfId="2123"/>
    <cellStyle name="Cálculo 3 19 10 2" xfId="2124"/>
    <cellStyle name="Cálculo 3 19 11" xfId="2125"/>
    <cellStyle name="Cálculo 3 19 11 2" xfId="2126"/>
    <cellStyle name="Cálculo 3 19 12" xfId="2127"/>
    <cellStyle name="Cálculo 3 19 12 2" xfId="2128"/>
    <cellStyle name="Cálculo 3 19 13" xfId="2129"/>
    <cellStyle name="Cálculo 3 19 13 2" xfId="2130"/>
    <cellStyle name="Cálculo 3 19 14" xfId="2131"/>
    <cellStyle name="Cálculo 3 19 2" xfId="2132"/>
    <cellStyle name="Cálculo 3 19 2 2" xfId="2133"/>
    <cellStyle name="Cálculo 3 19 3" xfId="2134"/>
    <cellStyle name="Cálculo 3 19 3 2" xfId="2135"/>
    <cellStyle name="Cálculo 3 19 4" xfId="2136"/>
    <cellStyle name="Cálculo 3 19 4 2" xfId="2137"/>
    <cellStyle name="Cálculo 3 19 5" xfId="2138"/>
    <cellStyle name="Cálculo 3 19 5 2" xfId="2139"/>
    <cellStyle name="Cálculo 3 19 6" xfId="2140"/>
    <cellStyle name="Cálculo 3 19 6 2" xfId="2141"/>
    <cellStyle name="Cálculo 3 19 7" xfId="2142"/>
    <cellStyle name="Cálculo 3 19 7 2" xfId="2143"/>
    <cellStyle name="Cálculo 3 19 8" xfId="2144"/>
    <cellStyle name="Cálculo 3 19 8 2" xfId="2145"/>
    <cellStyle name="Cálculo 3 19 9" xfId="2146"/>
    <cellStyle name="Cálculo 3 19 9 2" xfId="2147"/>
    <cellStyle name="Cálculo 3 2" xfId="2148"/>
    <cellStyle name="Cálculo 3 2 10" xfId="2149"/>
    <cellStyle name="Cálculo 3 2 10 2" xfId="2150"/>
    <cellStyle name="Cálculo 3 2 11" xfId="2151"/>
    <cellStyle name="Cálculo 3 2 11 2" xfId="2152"/>
    <cellStyle name="Cálculo 3 2 12" xfId="2153"/>
    <cellStyle name="Cálculo 3 2 12 2" xfId="2154"/>
    <cellStyle name="Cálculo 3 2 13" xfId="2155"/>
    <cellStyle name="Cálculo 3 2 13 2" xfId="2156"/>
    <cellStyle name="Cálculo 3 2 14" xfId="2157"/>
    <cellStyle name="Cálculo 3 2 2" xfId="2158"/>
    <cellStyle name="Cálculo 3 2 2 2" xfId="2159"/>
    <cellStyle name="Cálculo 3 2 3" xfId="2160"/>
    <cellStyle name="Cálculo 3 2 3 2" xfId="2161"/>
    <cellStyle name="Cálculo 3 2 4" xfId="2162"/>
    <cellStyle name="Cálculo 3 2 4 2" xfId="2163"/>
    <cellStyle name="Cálculo 3 2 5" xfId="2164"/>
    <cellStyle name="Cálculo 3 2 5 2" xfId="2165"/>
    <cellStyle name="Cálculo 3 2 6" xfId="2166"/>
    <cellStyle name="Cálculo 3 2 6 2" xfId="2167"/>
    <cellStyle name="Cálculo 3 2 7" xfId="2168"/>
    <cellStyle name="Cálculo 3 2 7 2" xfId="2169"/>
    <cellStyle name="Cálculo 3 2 8" xfId="2170"/>
    <cellStyle name="Cálculo 3 2 8 2" xfId="2171"/>
    <cellStyle name="Cálculo 3 2 9" xfId="2172"/>
    <cellStyle name="Cálculo 3 2 9 2" xfId="2173"/>
    <cellStyle name="Cálculo 3 20" xfId="2174"/>
    <cellStyle name="Cálculo 3 20 10" xfId="2175"/>
    <cellStyle name="Cálculo 3 20 10 2" xfId="2176"/>
    <cellStyle name="Cálculo 3 20 11" xfId="2177"/>
    <cellStyle name="Cálculo 3 20 11 2" xfId="2178"/>
    <cellStyle name="Cálculo 3 20 12" xfId="2179"/>
    <cellStyle name="Cálculo 3 20 12 2" xfId="2180"/>
    <cellStyle name="Cálculo 3 20 13" xfId="2181"/>
    <cellStyle name="Cálculo 3 20 13 2" xfId="2182"/>
    <cellStyle name="Cálculo 3 20 14" xfId="2183"/>
    <cellStyle name="Cálculo 3 20 2" xfId="2184"/>
    <cellStyle name="Cálculo 3 20 2 2" xfId="2185"/>
    <cellStyle name="Cálculo 3 20 3" xfId="2186"/>
    <cellStyle name="Cálculo 3 20 3 2" xfId="2187"/>
    <cellStyle name="Cálculo 3 20 4" xfId="2188"/>
    <cellStyle name="Cálculo 3 20 4 2" xfId="2189"/>
    <cellStyle name="Cálculo 3 20 5" xfId="2190"/>
    <cellStyle name="Cálculo 3 20 5 2" xfId="2191"/>
    <cellStyle name="Cálculo 3 20 6" xfId="2192"/>
    <cellStyle name="Cálculo 3 20 6 2" xfId="2193"/>
    <cellStyle name="Cálculo 3 20 7" xfId="2194"/>
    <cellStyle name="Cálculo 3 20 7 2" xfId="2195"/>
    <cellStyle name="Cálculo 3 20 8" xfId="2196"/>
    <cellStyle name="Cálculo 3 20 8 2" xfId="2197"/>
    <cellStyle name="Cálculo 3 20 9" xfId="2198"/>
    <cellStyle name="Cálculo 3 20 9 2" xfId="2199"/>
    <cellStyle name="Cálculo 3 21" xfId="2200"/>
    <cellStyle name="Cálculo 3 21 10" xfId="2201"/>
    <cellStyle name="Cálculo 3 21 10 2" xfId="2202"/>
    <cellStyle name="Cálculo 3 21 11" xfId="2203"/>
    <cellStyle name="Cálculo 3 21 11 2" xfId="2204"/>
    <cellStyle name="Cálculo 3 21 12" xfId="2205"/>
    <cellStyle name="Cálculo 3 21 12 2" xfId="2206"/>
    <cellStyle name="Cálculo 3 21 13" xfId="2207"/>
    <cellStyle name="Cálculo 3 21 13 2" xfId="2208"/>
    <cellStyle name="Cálculo 3 21 14" xfId="2209"/>
    <cellStyle name="Cálculo 3 21 2" xfId="2210"/>
    <cellStyle name="Cálculo 3 21 2 2" xfId="2211"/>
    <cellStyle name="Cálculo 3 21 3" xfId="2212"/>
    <cellStyle name="Cálculo 3 21 3 2" xfId="2213"/>
    <cellStyle name="Cálculo 3 21 4" xfId="2214"/>
    <cellStyle name="Cálculo 3 21 4 2" xfId="2215"/>
    <cellStyle name="Cálculo 3 21 5" xfId="2216"/>
    <cellStyle name="Cálculo 3 21 5 2" xfId="2217"/>
    <cellStyle name="Cálculo 3 21 6" xfId="2218"/>
    <cellStyle name="Cálculo 3 21 6 2" xfId="2219"/>
    <cellStyle name="Cálculo 3 21 7" xfId="2220"/>
    <cellStyle name="Cálculo 3 21 7 2" xfId="2221"/>
    <cellStyle name="Cálculo 3 21 8" xfId="2222"/>
    <cellStyle name="Cálculo 3 21 8 2" xfId="2223"/>
    <cellStyle name="Cálculo 3 21 9" xfId="2224"/>
    <cellStyle name="Cálculo 3 21 9 2" xfId="2225"/>
    <cellStyle name="Cálculo 3 22" xfId="2226"/>
    <cellStyle name="Cálculo 3 22 10" xfId="2227"/>
    <cellStyle name="Cálculo 3 22 10 2" xfId="2228"/>
    <cellStyle name="Cálculo 3 22 11" xfId="2229"/>
    <cellStyle name="Cálculo 3 22 11 2" xfId="2230"/>
    <cellStyle name="Cálculo 3 22 12" xfId="2231"/>
    <cellStyle name="Cálculo 3 22 12 2" xfId="2232"/>
    <cellStyle name="Cálculo 3 22 13" xfId="2233"/>
    <cellStyle name="Cálculo 3 22 13 2" xfId="2234"/>
    <cellStyle name="Cálculo 3 22 14" xfId="2235"/>
    <cellStyle name="Cálculo 3 22 2" xfId="2236"/>
    <cellStyle name="Cálculo 3 22 2 2" xfId="2237"/>
    <cellStyle name="Cálculo 3 22 3" xfId="2238"/>
    <cellStyle name="Cálculo 3 22 3 2" xfId="2239"/>
    <cellStyle name="Cálculo 3 22 4" xfId="2240"/>
    <cellStyle name="Cálculo 3 22 4 2" xfId="2241"/>
    <cellStyle name="Cálculo 3 22 5" xfId="2242"/>
    <cellStyle name="Cálculo 3 22 5 2" xfId="2243"/>
    <cellStyle name="Cálculo 3 22 6" xfId="2244"/>
    <cellStyle name="Cálculo 3 22 6 2" xfId="2245"/>
    <cellStyle name="Cálculo 3 22 7" xfId="2246"/>
    <cellStyle name="Cálculo 3 22 7 2" xfId="2247"/>
    <cellStyle name="Cálculo 3 22 8" xfId="2248"/>
    <cellStyle name="Cálculo 3 22 8 2" xfId="2249"/>
    <cellStyle name="Cálculo 3 22 9" xfId="2250"/>
    <cellStyle name="Cálculo 3 22 9 2" xfId="2251"/>
    <cellStyle name="Cálculo 3 23" xfId="2252"/>
    <cellStyle name="Cálculo 3 23 10" xfId="2253"/>
    <cellStyle name="Cálculo 3 23 10 2" xfId="2254"/>
    <cellStyle name="Cálculo 3 23 11" xfId="2255"/>
    <cellStyle name="Cálculo 3 23 11 2" xfId="2256"/>
    <cellStyle name="Cálculo 3 23 12" xfId="2257"/>
    <cellStyle name="Cálculo 3 23 12 2" xfId="2258"/>
    <cellStyle name="Cálculo 3 23 13" xfId="2259"/>
    <cellStyle name="Cálculo 3 23 13 2" xfId="2260"/>
    <cellStyle name="Cálculo 3 23 14" xfId="2261"/>
    <cellStyle name="Cálculo 3 23 2" xfId="2262"/>
    <cellStyle name="Cálculo 3 23 2 2" xfId="2263"/>
    <cellStyle name="Cálculo 3 23 3" xfId="2264"/>
    <cellStyle name="Cálculo 3 23 3 2" xfId="2265"/>
    <cellStyle name="Cálculo 3 23 4" xfId="2266"/>
    <cellStyle name="Cálculo 3 23 4 2" xfId="2267"/>
    <cellStyle name="Cálculo 3 23 5" xfId="2268"/>
    <cellStyle name="Cálculo 3 23 5 2" xfId="2269"/>
    <cellStyle name="Cálculo 3 23 6" xfId="2270"/>
    <cellStyle name="Cálculo 3 23 6 2" xfId="2271"/>
    <cellStyle name="Cálculo 3 23 7" xfId="2272"/>
    <cellStyle name="Cálculo 3 23 7 2" xfId="2273"/>
    <cellStyle name="Cálculo 3 23 8" xfId="2274"/>
    <cellStyle name="Cálculo 3 23 8 2" xfId="2275"/>
    <cellStyle name="Cálculo 3 23 9" xfId="2276"/>
    <cellStyle name="Cálculo 3 23 9 2" xfId="2277"/>
    <cellStyle name="Cálculo 3 24" xfId="2278"/>
    <cellStyle name="Cálculo 3 24 10" xfId="2279"/>
    <cellStyle name="Cálculo 3 24 10 2" xfId="2280"/>
    <cellStyle name="Cálculo 3 24 11" xfId="2281"/>
    <cellStyle name="Cálculo 3 24 11 2" xfId="2282"/>
    <cellStyle name="Cálculo 3 24 12" xfId="2283"/>
    <cellStyle name="Cálculo 3 24 12 2" xfId="2284"/>
    <cellStyle name="Cálculo 3 24 13" xfId="2285"/>
    <cellStyle name="Cálculo 3 24 13 2" xfId="2286"/>
    <cellStyle name="Cálculo 3 24 14" xfId="2287"/>
    <cellStyle name="Cálculo 3 24 2" xfId="2288"/>
    <cellStyle name="Cálculo 3 24 2 2" xfId="2289"/>
    <cellStyle name="Cálculo 3 24 3" xfId="2290"/>
    <cellStyle name="Cálculo 3 24 3 2" xfId="2291"/>
    <cellStyle name="Cálculo 3 24 4" xfId="2292"/>
    <cellStyle name="Cálculo 3 24 4 2" xfId="2293"/>
    <cellStyle name="Cálculo 3 24 5" xfId="2294"/>
    <cellStyle name="Cálculo 3 24 5 2" xfId="2295"/>
    <cellStyle name="Cálculo 3 24 6" xfId="2296"/>
    <cellStyle name="Cálculo 3 24 6 2" xfId="2297"/>
    <cellStyle name="Cálculo 3 24 7" xfId="2298"/>
    <cellStyle name="Cálculo 3 24 7 2" xfId="2299"/>
    <cellStyle name="Cálculo 3 24 8" xfId="2300"/>
    <cellStyle name="Cálculo 3 24 8 2" xfId="2301"/>
    <cellStyle name="Cálculo 3 24 9" xfId="2302"/>
    <cellStyle name="Cálculo 3 24 9 2" xfId="2303"/>
    <cellStyle name="Cálculo 3 25" xfId="2304"/>
    <cellStyle name="Cálculo 3 25 10" xfId="2305"/>
    <cellStyle name="Cálculo 3 25 10 2" xfId="2306"/>
    <cellStyle name="Cálculo 3 25 11" xfId="2307"/>
    <cellStyle name="Cálculo 3 25 11 2" xfId="2308"/>
    <cellStyle name="Cálculo 3 25 12" xfId="2309"/>
    <cellStyle name="Cálculo 3 25 12 2" xfId="2310"/>
    <cellStyle name="Cálculo 3 25 13" xfId="2311"/>
    <cellStyle name="Cálculo 3 25 13 2" xfId="2312"/>
    <cellStyle name="Cálculo 3 25 14" xfId="2313"/>
    <cellStyle name="Cálculo 3 25 2" xfId="2314"/>
    <cellStyle name="Cálculo 3 25 2 2" xfId="2315"/>
    <cellStyle name="Cálculo 3 25 3" xfId="2316"/>
    <cellStyle name="Cálculo 3 25 3 2" xfId="2317"/>
    <cellStyle name="Cálculo 3 25 4" xfId="2318"/>
    <cellStyle name="Cálculo 3 25 4 2" xfId="2319"/>
    <cellStyle name="Cálculo 3 25 5" xfId="2320"/>
    <cellStyle name="Cálculo 3 25 5 2" xfId="2321"/>
    <cellStyle name="Cálculo 3 25 6" xfId="2322"/>
    <cellStyle name="Cálculo 3 25 6 2" xfId="2323"/>
    <cellStyle name="Cálculo 3 25 7" xfId="2324"/>
    <cellStyle name="Cálculo 3 25 7 2" xfId="2325"/>
    <cellStyle name="Cálculo 3 25 8" xfId="2326"/>
    <cellStyle name="Cálculo 3 25 8 2" xfId="2327"/>
    <cellStyle name="Cálculo 3 25 9" xfId="2328"/>
    <cellStyle name="Cálculo 3 25 9 2" xfId="2329"/>
    <cellStyle name="Cálculo 3 26" xfId="2330"/>
    <cellStyle name="Cálculo 3 26 10" xfId="2331"/>
    <cellStyle name="Cálculo 3 26 10 2" xfId="2332"/>
    <cellStyle name="Cálculo 3 26 11" xfId="2333"/>
    <cellStyle name="Cálculo 3 26 11 2" xfId="2334"/>
    <cellStyle name="Cálculo 3 26 12" xfId="2335"/>
    <cellStyle name="Cálculo 3 26 12 2" xfId="2336"/>
    <cellStyle name="Cálculo 3 26 13" xfId="2337"/>
    <cellStyle name="Cálculo 3 26 13 2" xfId="2338"/>
    <cellStyle name="Cálculo 3 26 14" xfId="2339"/>
    <cellStyle name="Cálculo 3 26 2" xfId="2340"/>
    <cellStyle name="Cálculo 3 26 2 2" xfId="2341"/>
    <cellStyle name="Cálculo 3 26 3" xfId="2342"/>
    <cellStyle name="Cálculo 3 26 3 2" xfId="2343"/>
    <cellStyle name="Cálculo 3 26 4" xfId="2344"/>
    <cellStyle name="Cálculo 3 26 4 2" xfId="2345"/>
    <cellStyle name="Cálculo 3 26 5" xfId="2346"/>
    <cellStyle name="Cálculo 3 26 5 2" xfId="2347"/>
    <cellStyle name="Cálculo 3 26 6" xfId="2348"/>
    <cellStyle name="Cálculo 3 26 6 2" xfId="2349"/>
    <cellStyle name="Cálculo 3 26 7" xfId="2350"/>
    <cellStyle name="Cálculo 3 26 7 2" xfId="2351"/>
    <cellStyle name="Cálculo 3 26 8" xfId="2352"/>
    <cellStyle name="Cálculo 3 26 8 2" xfId="2353"/>
    <cellStyle name="Cálculo 3 26 9" xfId="2354"/>
    <cellStyle name="Cálculo 3 26 9 2" xfId="2355"/>
    <cellStyle name="Cálculo 3 27" xfId="2356"/>
    <cellStyle name="Cálculo 3 27 10" xfId="2357"/>
    <cellStyle name="Cálculo 3 27 10 2" xfId="2358"/>
    <cellStyle name="Cálculo 3 27 11" xfId="2359"/>
    <cellStyle name="Cálculo 3 27 11 2" xfId="2360"/>
    <cellStyle name="Cálculo 3 27 12" xfId="2361"/>
    <cellStyle name="Cálculo 3 27 12 2" xfId="2362"/>
    <cellStyle name="Cálculo 3 27 13" xfId="2363"/>
    <cellStyle name="Cálculo 3 27 13 2" xfId="2364"/>
    <cellStyle name="Cálculo 3 27 14" xfId="2365"/>
    <cellStyle name="Cálculo 3 27 2" xfId="2366"/>
    <cellStyle name="Cálculo 3 27 2 2" xfId="2367"/>
    <cellStyle name="Cálculo 3 27 3" xfId="2368"/>
    <cellStyle name="Cálculo 3 27 3 2" xfId="2369"/>
    <cellStyle name="Cálculo 3 27 4" xfId="2370"/>
    <cellStyle name="Cálculo 3 27 4 2" xfId="2371"/>
    <cellStyle name="Cálculo 3 27 5" xfId="2372"/>
    <cellStyle name="Cálculo 3 27 5 2" xfId="2373"/>
    <cellStyle name="Cálculo 3 27 6" xfId="2374"/>
    <cellStyle name="Cálculo 3 27 6 2" xfId="2375"/>
    <cellStyle name="Cálculo 3 27 7" xfId="2376"/>
    <cellStyle name="Cálculo 3 27 7 2" xfId="2377"/>
    <cellStyle name="Cálculo 3 27 8" xfId="2378"/>
    <cellStyle name="Cálculo 3 27 8 2" xfId="2379"/>
    <cellStyle name="Cálculo 3 27 9" xfId="2380"/>
    <cellStyle name="Cálculo 3 27 9 2" xfId="2381"/>
    <cellStyle name="Cálculo 3 28" xfId="2382"/>
    <cellStyle name="Cálculo 3 28 10" xfId="2383"/>
    <cellStyle name="Cálculo 3 28 10 2" xfId="2384"/>
    <cellStyle name="Cálculo 3 28 11" xfId="2385"/>
    <cellStyle name="Cálculo 3 28 11 2" xfId="2386"/>
    <cellStyle name="Cálculo 3 28 12" xfId="2387"/>
    <cellStyle name="Cálculo 3 28 12 2" xfId="2388"/>
    <cellStyle name="Cálculo 3 28 13" xfId="2389"/>
    <cellStyle name="Cálculo 3 28 13 2" xfId="2390"/>
    <cellStyle name="Cálculo 3 28 14" xfId="2391"/>
    <cellStyle name="Cálculo 3 28 2" xfId="2392"/>
    <cellStyle name="Cálculo 3 28 2 2" xfId="2393"/>
    <cellStyle name="Cálculo 3 28 3" xfId="2394"/>
    <cellStyle name="Cálculo 3 28 3 2" xfId="2395"/>
    <cellStyle name="Cálculo 3 28 4" xfId="2396"/>
    <cellStyle name="Cálculo 3 28 4 2" xfId="2397"/>
    <cellStyle name="Cálculo 3 28 5" xfId="2398"/>
    <cellStyle name="Cálculo 3 28 5 2" xfId="2399"/>
    <cellStyle name="Cálculo 3 28 6" xfId="2400"/>
    <cellStyle name="Cálculo 3 28 6 2" xfId="2401"/>
    <cellStyle name="Cálculo 3 28 7" xfId="2402"/>
    <cellStyle name="Cálculo 3 28 7 2" xfId="2403"/>
    <cellStyle name="Cálculo 3 28 8" xfId="2404"/>
    <cellStyle name="Cálculo 3 28 8 2" xfId="2405"/>
    <cellStyle name="Cálculo 3 28 9" xfId="2406"/>
    <cellStyle name="Cálculo 3 28 9 2" xfId="2407"/>
    <cellStyle name="Cálculo 3 29" xfId="2408"/>
    <cellStyle name="Cálculo 3 29 10" xfId="2409"/>
    <cellStyle name="Cálculo 3 29 10 2" xfId="2410"/>
    <cellStyle name="Cálculo 3 29 11" xfId="2411"/>
    <cellStyle name="Cálculo 3 29 11 2" xfId="2412"/>
    <cellStyle name="Cálculo 3 29 12" xfId="2413"/>
    <cellStyle name="Cálculo 3 29 12 2" xfId="2414"/>
    <cellStyle name="Cálculo 3 29 13" xfId="2415"/>
    <cellStyle name="Cálculo 3 29 13 2" xfId="2416"/>
    <cellStyle name="Cálculo 3 29 14" xfId="2417"/>
    <cellStyle name="Cálculo 3 29 2" xfId="2418"/>
    <cellStyle name="Cálculo 3 29 2 2" xfId="2419"/>
    <cellStyle name="Cálculo 3 29 3" xfId="2420"/>
    <cellStyle name="Cálculo 3 29 3 2" xfId="2421"/>
    <cellStyle name="Cálculo 3 29 4" xfId="2422"/>
    <cellStyle name="Cálculo 3 29 4 2" xfId="2423"/>
    <cellStyle name="Cálculo 3 29 5" xfId="2424"/>
    <cellStyle name="Cálculo 3 29 5 2" xfId="2425"/>
    <cellStyle name="Cálculo 3 29 6" xfId="2426"/>
    <cellStyle name="Cálculo 3 29 6 2" xfId="2427"/>
    <cellStyle name="Cálculo 3 29 7" xfId="2428"/>
    <cellStyle name="Cálculo 3 29 7 2" xfId="2429"/>
    <cellStyle name="Cálculo 3 29 8" xfId="2430"/>
    <cellStyle name="Cálculo 3 29 8 2" xfId="2431"/>
    <cellStyle name="Cálculo 3 29 9" xfId="2432"/>
    <cellStyle name="Cálculo 3 29 9 2" xfId="2433"/>
    <cellStyle name="Cálculo 3 3" xfId="2434"/>
    <cellStyle name="Cálculo 3 3 10" xfId="2435"/>
    <cellStyle name="Cálculo 3 3 10 2" xfId="2436"/>
    <cellStyle name="Cálculo 3 3 11" xfId="2437"/>
    <cellStyle name="Cálculo 3 3 11 2" xfId="2438"/>
    <cellStyle name="Cálculo 3 3 12" xfId="2439"/>
    <cellStyle name="Cálculo 3 3 12 2" xfId="2440"/>
    <cellStyle name="Cálculo 3 3 13" xfId="2441"/>
    <cellStyle name="Cálculo 3 3 13 2" xfId="2442"/>
    <cellStyle name="Cálculo 3 3 14" xfId="2443"/>
    <cellStyle name="Cálculo 3 3 2" xfId="2444"/>
    <cellStyle name="Cálculo 3 3 2 2" xfId="2445"/>
    <cellStyle name="Cálculo 3 3 3" xfId="2446"/>
    <cellStyle name="Cálculo 3 3 3 2" xfId="2447"/>
    <cellStyle name="Cálculo 3 3 4" xfId="2448"/>
    <cellStyle name="Cálculo 3 3 4 2" xfId="2449"/>
    <cellStyle name="Cálculo 3 3 5" xfId="2450"/>
    <cellStyle name="Cálculo 3 3 5 2" xfId="2451"/>
    <cellStyle name="Cálculo 3 3 6" xfId="2452"/>
    <cellStyle name="Cálculo 3 3 6 2" xfId="2453"/>
    <cellStyle name="Cálculo 3 3 7" xfId="2454"/>
    <cellStyle name="Cálculo 3 3 7 2" xfId="2455"/>
    <cellStyle name="Cálculo 3 3 8" xfId="2456"/>
    <cellStyle name="Cálculo 3 3 8 2" xfId="2457"/>
    <cellStyle name="Cálculo 3 3 9" xfId="2458"/>
    <cellStyle name="Cálculo 3 3 9 2" xfId="2459"/>
    <cellStyle name="Cálculo 3 30" xfId="2460"/>
    <cellStyle name="Cálculo 3 30 10" xfId="2461"/>
    <cellStyle name="Cálculo 3 30 10 2" xfId="2462"/>
    <cellStyle name="Cálculo 3 30 11" xfId="2463"/>
    <cellStyle name="Cálculo 3 30 11 2" xfId="2464"/>
    <cellStyle name="Cálculo 3 30 12" xfId="2465"/>
    <cellStyle name="Cálculo 3 30 12 2" xfId="2466"/>
    <cellStyle name="Cálculo 3 30 13" xfId="2467"/>
    <cellStyle name="Cálculo 3 30 13 2" xfId="2468"/>
    <cellStyle name="Cálculo 3 30 14" xfId="2469"/>
    <cellStyle name="Cálculo 3 30 2" xfId="2470"/>
    <cellStyle name="Cálculo 3 30 2 2" xfId="2471"/>
    <cellStyle name="Cálculo 3 30 3" xfId="2472"/>
    <cellStyle name="Cálculo 3 30 3 2" xfId="2473"/>
    <cellStyle name="Cálculo 3 30 4" xfId="2474"/>
    <cellStyle name="Cálculo 3 30 4 2" xfId="2475"/>
    <cellStyle name="Cálculo 3 30 5" xfId="2476"/>
    <cellStyle name="Cálculo 3 30 5 2" xfId="2477"/>
    <cellStyle name="Cálculo 3 30 6" xfId="2478"/>
    <cellStyle name="Cálculo 3 30 6 2" xfId="2479"/>
    <cellStyle name="Cálculo 3 30 7" xfId="2480"/>
    <cellStyle name="Cálculo 3 30 7 2" xfId="2481"/>
    <cellStyle name="Cálculo 3 30 8" xfId="2482"/>
    <cellStyle name="Cálculo 3 30 8 2" xfId="2483"/>
    <cellStyle name="Cálculo 3 30 9" xfId="2484"/>
    <cellStyle name="Cálculo 3 30 9 2" xfId="2485"/>
    <cellStyle name="Cálculo 3 31" xfId="2486"/>
    <cellStyle name="Cálculo 3 31 10" xfId="2487"/>
    <cellStyle name="Cálculo 3 31 10 2" xfId="2488"/>
    <cellStyle name="Cálculo 3 31 11" xfId="2489"/>
    <cellStyle name="Cálculo 3 31 11 2" xfId="2490"/>
    <cellStyle name="Cálculo 3 31 12" xfId="2491"/>
    <cellStyle name="Cálculo 3 31 12 2" xfId="2492"/>
    <cellStyle name="Cálculo 3 31 13" xfId="2493"/>
    <cellStyle name="Cálculo 3 31 13 2" xfId="2494"/>
    <cellStyle name="Cálculo 3 31 14" xfId="2495"/>
    <cellStyle name="Cálculo 3 31 2" xfId="2496"/>
    <cellStyle name="Cálculo 3 31 2 2" xfId="2497"/>
    <cellStyle name="Cálculo 3 31 3" xfId="2498"/>
    <cellStyle name="Cálculo 3 31 3 2" xfId="2499"/>
    <cellStyle name="Cálculo 3 31 4" xfId="2500"/>
    <cellStyle name="Cálculo 3 31 4 2" xfId="2501"/>
    <cellStyle name="Cálculo 3 31 5" xfId="2502"/>
    <cellStyle name="Cálculo 3 31 5 2" xfId="2503"/>
    <cellStyle name="Cálculo 3 31 6" xfId="2504"/>
    <cellStyle name="Cálculo 3 31 6 2" xfId="2505"/>
    <cellStyle name="Cálculo 3 31 7" xfId="2506"/>
    <cellStyle name="Cálculo 3 31 7 2" xfId="2507"/>
    <cellStyle name="Cálculo 3 31 8" xfId="2508"/>
    <cellStyle name="Cálculo 3 31 8 2" xfId="2509"/>
    <cellStyle name="Cálculo 3 31 9" xfId="2510"/>
    <cellStyle name="Cálculo 3 31 9 2" xfId="2511"/>
    <cellStyle name="Cálculo 3 32" xfId="2512"/>
    <cellStyle name="Cálculo 3 32 10" xfId="2513"/>
    <cellStyle name="Cálculo 3 32 10 2" xfId="2514"/>
    <cellStyle name="Cálculo 3 32 11" xfId="2515"/>
    <cellStyle name="Cálculo 3 32 11 2" xfId="2516"/>
    <cellStyle name="Cálculo 3 32 12" xfId="2517"/>
    <cellStyle name="Cálculo 3 32 12 2" xfId="2518"/>
    <cellStyle name="Cálculo 3 32 13" xfId="2519"/>
    <cellStyle name="Cálculo 3 32 13 2" xfId="2520"/>
    <cellStyle name="Cálculo 3 32 14" xfId="2521"/>
    <cellStyle name="Cálculo 3 32 2" xfId="2522"/>
    <cellStyle name="Cálculo 3 32 2 2" xfId="2523"/>
    <cellStyle name="Cálculo 3 32 3" xfId="2524"/>
    <cellStyle name="Cálculo 3 32 3 2" xfId="2525"/>
    <cellStyle name="Cálculo 3 32 4" xfId="2526"/>
    <cellStyle name="Cálculo 3 32 4 2" xfId="2527"/>
    <cellStyle name="Cálculo 3 32 5" xfId="2528"/>
    <cellStyle name="Cálculo 3 32 5 2" xfId="2529"/>
    <cellStyle name="Cálculo 3 32 6" xfId="2530"/>
    <cellStyle name="Cálculo 3 32 6 2" xfId="2531"/>
    <cellStyle name="Cálculo 3 32 7" xfId="2532"/>
    <cellStyle name="Cálculo 3 32 7 2" xfId="2533"/>
    <cellStyle name="Cálculo 3 32 8" xfId="2534"/>
    <cellStyle name="Cálculo 3 32 8 2" xfId="2535"/>
    <cellStyle name="Cálculo 3 32 9" xfId="2536"/>
    <cellStyle name="Cálculo 3 32 9 2" xfId="2537"/>
    <cellStyle name="Cálculo 3 33" xfId="2538"/>
    <cellStyle name="Cálculo 3 33 10" xfId="2539"/>
    <cellStyle name="Cálculo 3 33 10 2" xfId="2540"/>
    <cellStyle name="Cálculo 3 33 11" xfId="2541"/>
    <cellStyle name="Cálculo 3 33 11 2" xfId="2542"/>
    <cellStyle name="Cálculo 3 33 12" xfId="2543"/>
    <cellStyle name="Cálculo 3 33 12 2" xfId="2544"/>
    <cellStyle name="Cálculo 3 33 13" xfId="2545"/>
    <cellStyle name="Cálculo 3 33 13 2" xfId="2546"/>
    <cellStyle name="Cálculo 3 33 14" xfId="2547"/>
    <cellStyle name="Cálculo 3 33 2" xfId="2548"/>
    <cellStyle name="Cálculo 3 33 2 2" xfId="2549"/>
    <cellStyle name="Cálculo 3 33 3" xfId="2550"/>
    <cellStyle name="Cálculo 3 33 3 2" xfId="2551"/>
    <cellStyle name="Cálculo 3 33 4" xfId="2552"/>
    <cellStyle name="Cálculo 3 33 4 2" xfId="2553"/>
    <cellStyle name="Cálculo 3 33 5" xfId="2554"/>
    <cellStyle name="Cálculo 3 33 5 2" xfId="2555"/>
    <cellStyle name="Cálculo 3 33 6" xfId="2556"/>
    <cellStyle name="Cálculo 3 33 6 2" xfId="2557"/>
    <cellStyle name="Cálculo 3 33 7" xfId="2558"/>
    <cellStyle name="Cálculo 3 33 7 2" xfId="2559"/>
    <cellStyle name="Cálculo 3 33 8" xfId="2560"/>
    <cellStyle name="Cálculo 3 33 8 2" xfId="2561"/>
    <cellStyle name="Cálculo 3 33 9" xfId="2562"/>
    <cellStyle name="Cálculo 3 33 9 2" xfId="2563"/>
    <cellStyle name="Cálculo 3 34" xfId="2564"/>
    <cellStyle name="Cálculo 3 34 10" xfId="2565"/>
    <cellStyle name="Cálculo 3 34 10 2" xfId="2566"/>
    <cellStyle name="Cálculo 3 34 11" xfId="2567"/>
    <cellStyle name="Cálculo 3 34 11 2" xfId="2568"/>
    <cellStyle name="Cálculo 3 34 12" xfId="2569"/>
    <cellStyle name="Cálculo 3 34 12 2" xfId="2570"/>
    <cellStyle name="Cálculo 3 34 13" xfId="2571"/>
    <cellStyle name="Cálculo 3 34 13 2" xfId="2572"/>
    <cellStyle name="Cálculo 3 34 14" xfId="2573"/>
    <cellStyle name="Cálculo 3 34 2" xfId="2574"/>
    <cellStyle name="Cálculo 3 34 2 2" xfId="2575"/>
    <cellStyle name="Cálculo 3 34 3" xfId="2576"/>
    <cellStyle name="Cálculo 3 34 3 2" xfId="2577"/>
    <cellStyle name="Cálculo 3 34 4" xfId="2578"/>
    <cellStyle name="Cálculo 3 34 4 2" xfId="2579"/>
    <cellStyle name="Cálculo 3 34 5" xfId="2580"/>
    <cellStyle name="Cálculo 3 34 5 2" xfId="2581"/>
    <cellStyle name="Cálculo 3 34 6" xfId="2582"/>
    <cellStyle name="Cálculo 3 34 6 2" xfId="2583"/>
    <cellStyle name="Cálculo 3 34 7" xfId="2584"/>
    <cellStyle name="Cálculo 3 34 7 2" xfId="2585"/>
    <cellStyle name="Cálculo 3 34 8" xfId="2586"/>
    <cellStyle name="Cálculo 3 34 8 2" xfId="2587"/>
    <cellStyle name="Cálculo 3 34 9" xfId="2588"/>
    <cellStyle name="Cálculo 3 34 9 2" xfId="2589"/>
    <cellStyle name="Cálculo 3 35" xfId="2590"/>
    <cellStyle name="Cálculo 3 35 10" xfId="2591"/>
    <cellStyle name="Cálculo 3 35 10 2" xfId="2592"/>
    <cellStyle name="Cálculo 3 35 11" xfId="2593"/>
    <cellStyle name="Cálculo 3 35 11 2" xfId="2594"/>
    <cellStyle name="Cálculo 3 35 12" xfId="2595"/>
    <cellStyle name="Cálculo 3 35 12 2" xfId="2596"/>
    <cellStyle name="Cálculo 3 35 13" xfId="2597"/>
    <cellStyle name="Cálculo 3 35 13 2" xfId="2598"/>
    <cellStyle name="Cálculo 3 35 14" xfId="2599"/>
    <cellStyle name="Cálculo 3 35 2" xfId="2600"/>
    <cellStyle name="Cálculo 3 35 2 2" xfId="2601"/>
    <cellStyle name="Cálculo 3 35 3" xfId="2602"/>
    <cellStyle name="Cálculo 3 35 3 2" xfId="2603"/>
    <cellStyle name="Cálculo 3 35 4" xfId="2604"/>
    <cellStyle name="Cálculo 3 35 4 2" xfId="2605"/>
    <cellStyle name="Cálculo 3 35 5" xfId="2606"/>
    <cellStyle name="Cálculo 3 35 5 2" xfId="2607"/>
    <cellStyle name="Cálculo 3 35 6" xfId="2608"/>
    <cellStyle name="Cálculo 3 35 6 2" xfId="2609"/>
    <cellStyle name="Cálculo 3 35 7" xfId="2610"/>
    <cellStyle name="Cálculo 3 35 7 2" xfId="2611"/>
    <cellStyle name="Cálculo 3 35 8" xfId="2612"/>
    <cellStyle name="Cálculo 3 35 8 2" xfId="2613"/>
    <cellStyle name="Cálculo 3 35 9" xfId="2614"/>
    <cellStyle name="Cálculo 3 35 9 2" xfId="2615"/>
    <cellStyle name="Cálculo 3 36" xfId="2616"/>
    <cellStyle name="Cálculo 3 36 10" xfId="2617"/>
    <cellStyle name="Cálculo 3 36 10 2" xfId="2618"/>
    <cellStyle name="Cálculo 3 36 11" xfId="2619"/>
    <cellStyle name="Cálculo 3 36 11 2" xfId="2620"/>
    <cellStyle name="Cálculo 3 36 12" xfId="2621"/>
    <cellStyle name="Cálculo 3 36 12 2" xfId="2622"/>
    <cellStyle name="Cálculo 3 36 13" xfId="2623"/>
    <cellStyle name="Cálculo 3 36 13 2" xfId="2624"/>
    <cellStyle name="Cálculo 3 36 14" xfId="2625"/>
    <cellStyle name="Cálculo 3 36 2" xfId="2626"/>
    <cellStyle name="Cálculo 3 36 2 2" xfId="2627"/>
    <cellStyle name="Cálculo 3 36 3" xfId="2628"/>
    <cellStyle name="Cálculo 3 36 3 2" xfId="2629"/>
    <cellStyle name="Cálculo 3 36 4" xfId="2630"/>
    <cellStyle name="Cálculo 3 36 4 2" xfId="2631"/>
    <cellStyle name="Cálculo 3 36 5" xfId="2632"/>
    <cellStyle name="Cálculo 3 36 5 2" xfId="2633"/>
    <cellStyle name="Cálculo 3 36 6" xfId="2634"/>
    <cellStyle name="Cálculo 3 36 6 2" xfId="2635"/>
    <cellStyle name="Cálculo 3 36 7" xfId="2636"/>
    <cellStyle name="Cálculo 3 36 7 2" xfId="2637"/>
    <cellStyle name="Cálculo 3 36 8" xfId="2638"/>
    <cellStyle name="Cálculo 3 36 8 2" xfId="2639"/>
    <cellStyle name="Cálculo 3 36 9" xfId="2640"/>
    <cellStyle name="Cálculo 3 36 9 2" xfId="2641"/>
    <cellStyle name="Cálculo 3 37" xfId="2642"/>
    <cellStyle name="Cálculo 3 37 10" xfId="2643"/>
    <cellStyle name="Cálculo 3 37 10 2" xfId="2644"/>
    <cellStyle name="Cálculo 3 37 11" xfId="2645"/>
    <cellStyle name="Cálculo 3 37 11 2" xfId="2646"/>
    <cellStyle name="Cálculo 3 37 12" xfId="2647"/>
    <cellStyle name="Cálculo 3 37 12 2" xfId="2648"/>
    <cellStyle name="Cálculo 3 37 13" xfId="2649"/>
    <cellStyle name="Cálculo 3 37 13 2" xfId="2650"/>
    <cellStyle name="Cálculo 3 37 14" xfId="2651"/>
    <cellStyle name="Cálculo 3 37 2" xfId="2652"/>
    <cellStyle name="Cálculo 3 37 2 2" xfId="2653"/>
    <cellStyle name="Cálculo 3 37 3" xfId="2654"/>
    <cellStyle name="Cálculo 3 37 3 2" xfId="2655"/>
    <cellStyle name="Cálculo 3 37 4" xfId="2656"/>
    <cellStyle name="Cálculo 3 37 4 2" xfId="2657"/>
    <cellStyle name="Cálculo 3 37 5" xfId="2658"/>
    <cellStyle name="Cálculo 3 37 5 2" xfId="2659"/>
    <cellStyle name="Cálculo 3 37 6" xfId="2660"/>
    <cellStyle name="Cálculo 3 37 6 2" xfId="2661"/>
    <cellStyle name="Cálculo 3 37 7" xfId="2662"/>
    <cellStyle name="Cálculo 3 37 7 2" xfId="2663"/>
    <cellStyle name="Cálculo 3 37 8" xfId="2664"/>
    <cellStyle name="Cálculo 3 37 8 2" xfId="2665"/>
    <cellStyle name="Cálculo 3 37 9" xfId="2666"/>
    <cellStyle name="Cálculo 3 37 9 2" xfId="2667"/>
    <cellStyle name="Cálculo 3 38" xfId="2668"/>
    <cellStyle name="Cálculo 3 38 10" xfId="2669"/>
    <cellStyle name="Cálculo 3 38 10 2" xfId="2670"/>
    <cellStyle name="Cálculo 3 38 11" xfId="2671"/>
    <cellStyle name="Cálculo 3 38 11 2" xfId="2672"/>
    <cellStyle name="Cálculo 3 38 12" xfId="2673"/>
    <cellStyle name="Cálculo 3 38 12 2" xfId="2674"/>
    <cellStyle name="Cálculo 3 38 13" xfId="2675"/>
    <cellStyle name="Cálculo 3 38 13 2" xfId="2676"/>
    <cellStyle name="Cálculo 3 38 14" xfId="2677"/>
    <cellStyle name="Cálculo 3 38 2" xfId="2678"/>
    <cellStyle name="Cálculo 3 38 2 2" xfId="2679"/>
    <cellStyle name="Cálculo 3 38 3" xfId="2680"/>
    <cellStyle name="Cálculo 3 38 3 2" xfId="2681"/>
    <cellStyle name="Cálculo 3 38 4" xfId="2682"/>
    <cellStyle name="Cálculo 3 38 4 2" xfId="2683"/>
    <cellStyle name="Cálculo 3 38 5" xfId="2684"/>
    <cellStyle name="Cálculo 3 38 5 2" xfId="2685"/>
    <cellStyle name="Cálculo 3 38 6" xfId="2686"/>
    <cellStyle name="Cálculo 3 38 6 2" xfId="2687"/>
    <cellStyle name="Cálculo 3 38 7" xfId="2688"/>
    <cellStyle name="Cálculo 3 38 7 2" xfId="2689"/>
    <cellStyle name="Cálculo 3 38 8" xfId="2690"/>
    <cellStyle name="Cálculo 3 38 8 2" xfId="2691"/>
    <cellStyle name="Cálculo 3 38 9" xfId="2692"/>
    <cellStyle name="Cálculo 3 38 9 2" xfId="2693"/>
    <cellStyle name="Cálculo 3 39" xfId="2694"/>
    <cellStyle name="Cálculo 3 39 10" xfId="2695"/>
    <cellStyle name="Cálculo 3 39 10 2" xfId="2696"/>
    <cellStyle name="Cálculo 3 39 11" xfId="2697"/>
    <cellStyle name="Cálculo 3 39 11 2" xfId="2698"/>
    <cellStyle name="Cálculo 3 39 12" xfId="2699"/>
    <cellStyle name="Cálculo 3 39 12 2" xfId="2700"/>
    <cellStyle name="Cálculo 3 39 13" xfId="2701"/>
    <cellStyle name="Cálculo 3 39 13 2" xfId="2702"/>
    <cellStyle name="Cálculo 3 39 14" xfId="2703"/>
    <cellStyle name="Cálculo 3 39 2" xfId="2704"/>
    <cellStyle name="Cálculo 3 39 2 2" xfId="2705"/>
    <cellStyle name="Cálculo 3 39 3" xfId="2706"/>
    <cellStyle name="Cálculo 3 39 3 2" xfId="2707"/>
    <cellStyle name="Cálculo 3 39 4" xfId="2708"/>
    <cellStyle name="Cálculo 3 39 4 2" xfId="2709"/>
    <cellStyle name="Cálculo 3 39 5" xfId="2710"/>
    <cellStyle name="Cálculo 3 39 5 2" xfId="2711"/>
    <cellStyle name="Cálculo 3 39 6" xfId="2712"/>
    <cellStyle name="Cálculo 3 39 6 2" xfId="2713"/>
    <cellStyle name="Cálculo 3 39 7" xfId="2714"/>
    <cellStyle name="Cálculo 3 39 7 2" xfId="2715"/>
    <cellStyle name="Cálculo 3 39 8" xfId="2716"/>
    <cellStyle name="Cálculo 3 39 8 2" xfId="2717"/>
    <cellStyle name="Cálculo 3 39 9" xfId="2718"/>
    <cellStyle name="Cálculo 3 39 9 2" xfId="2719"/>
    <cellStyle name="Cálculo 3 4" xfId="2720"/>
    <cellStyle name="Cálculo 3 4 10" xfId="2721"/>
    <cellStyle name="Cálculo 3 4 10 2" xfId="2722"/>
    <cellStyle name="Cálculo 3 4 11" xfId="2723"/>
    <cellStyle name="Cálculo 3 4 11 2" xfId="2724"/>
    <cellStyle name="Cálculo 3 4 12" xfId="2725"/>
    <cellStyle name="Cálculo 3 4 12 2" xfId="2726"/>
    <cellStyle name="Cálculo 3 4 13" xfId="2727"/>
    <cellStyle name="Cálculo 3 4 13 2" xfId="2728"/>
    <cellStyle name="Cálculo 3 4 14" xfId="2729"/>
    <cellStyle name="Cálculo 3 4 2" xfId="2730"/>
    <cellStyle name="Cálculo 3 4 2 2" xfId="2731"/>
    <cellStyle name="Cálculo 3 4 3" xfId="2732"/>
    <cellStyle name="Cálculo 3 4 3 2" xfId="2733"/>
    <cellStyle name="Cálculo 3 4 4" xfId="2734"/>
    <cellStyle name="Cálculo 3 4 4 2" xfId="2735"/>
    <cellStyle name="Cálculo 3 4 5" xfId="2736"/>
    <cellStyle name="Cálculo 3 4 5 2" xfId="2737"/>
    <cellStyle name="Cálculo 3 4 6" xfId="2738"/>
    <cellStyle name="Cálculo 3 4 6 2" xfId="2739"/>
    <cellStyle name="Cálculo 3 4 7" xfId="2740"/>
    <cellStyle name="Cálculo 3 4 7 2" xfId="2741"/>
    <cellStyle name="Cálculo 3 4 8" xfId="2742"/>
    <cellStyle name="Cálculo 3 4 8 2" xfId="2743"/>
    <cellStyle name="Cálculo 3 4 9" xfId="2744"/>
    <cellStyle name="Cálculo 3 4 9 2" xfId="2745"/>
    <cellStyle name="Cálculo 3 40" xfId="2746"/>
    <cellStyle name="Cálculo 3 40 10" xfId="2747"/>
    <cellStyle name="Cálculo 3 40 10 2" xfId="2748"/>
    <cellStyle name="Cálculo 3 40 11" xfId="2749"/>
    <cellStyle name="Cálculo 3 40 11 2" xfId="2750"/>
    <cellStyle name="Cálculo 3 40 12" xfId="2751"/>
    <cellStyle name="Cálculo 3 40 12 2" xfId="2752"/>
    <cellStyle name="Cálculo 3 40 13" xfId="2753"/>
    <cellStyle name="Cálculo 3 40 13 2" xfId="2754"/>
    <cellStyle name="Cálculo 3 40 14" xfId="2755"/>
    <cellStyle name="Cálculo 3 40 2" xfId="2756"/>
    <cellStyle name="Cálculo 3 40 2 2" xfId="2757"/>
    <cellStyle name="Cálculo 3 40 3" xfId="2758"/>
    <cellStyle name="Cálculo 3 40 3 2" xfId="2759"/>
    <cellStyle name="Cálculo 3 40 4" xfId="2760"/>
    <cellStyle name="Cálculo 3 40 4 2" xfId="2761"/>
    <cellStyle name="Cálculo 3 40 5" xfId="2762"/>
    <cellStyle name="Cálculo 3 40 5 2" xfId="2763"/>
    <cellStyle name="Cálculo 3 40 6" xfId="2764"/>
    <cellStyle name="Cálculo 3 40 6 2" xfId="2765"/>
    <cellStyle name="Cálculo 3 40 7" xfId="2766"/>
    <cellStyle name="Cálculo 3 40 7 2" xfId="2767"/>
    <cellStyle name="Cálculo 3 40 8" xfId="2768"/>
    <cellStyle name="Cálculo 3 40 8 2" xfId="2769"/>
    <cellStyle name="Cálculo 3 40 9" xfId="2770"/>
    <cellStyle name="Cálculo 3 40 9 2" xfId="2771"/>
    <cellStyle name="Cálculo 3 41" xfId="2772"/>
    <cellStyle name="Cálculo 3 41 10" xfId="2773"/>
    <cellStyle name="Cálculo 3 41 10 2" xfId="2774"/>
    <cellStyle name="Cálculo 3 41 11" xfId="2775"/>
    <cellStyle name="Cálculo 3 41 11 2" xfId="2776"/>
    <cellStyle name="Cálculo 3 41 12" xfId="2777"/>
    <cellStyle name="Cálculo 3 41 12 2" xfId="2778"/>
    <cellStyle name="Cálculo 3 41 13" xfId="2779"/>
    <cellStyle name="Cálculo 3 41 13 2" xfId="2780"/>
    <cellStyle name="Cálculo 3 41 14" xfId="2781"/>
    <cellStyle name="Cálculo 3 41 2" xfId="2782"/>
    <cellStyle name="Cálculo 3 41 2 2" xfId="2783"/>
    <cellStyle name="Cálculo 3 41 3" xfId="2784"/>
    <cellStyle name="Cálculo 3 41 3 2" xfId="2785"/>
    <cellStyle name="Cálculo 3 41 4" xfId="2786"/>
    <cellStyle name="Cálculo 3 41 4 2" xfId="2787"/>
    <cellStyle name="Cálculo 3 41 5" xfId="2788"/>
    <cellStyle name="Cálculo 3 41 5 2" xfId="2789"/>
    <cellStyle name="Cálculo 3 41 6" xfId="2790"/>
    <cellStyle name="Cálculo 3 41 6 2" xfId="2791"/>
    <cellStyle name="Cálculo 3 41 7" xfId="2792"/>
    <cellStyle name="Cálculo 3 41 7 2" xfId="2793"/>
    <cellStyle name="Cálculo 3 41 8" xfId="2794"/>
    <cellStyle name="Cálculo 3 41 8 2" xfId="2795"/>
    <cellStyle name="Cálculo 3 41 9" xfId="2796"/>
    <cellStyle name="Cálculo 3 41 9 2" xfId="2797"/>
    <cellStyle name="Cálculo 3 42" xfId="2798"/>
    <cellStyle name="Cálculo 3 42 10" xfId="2799"/>
    <cellStyle name="Cálculo 3 42 10 2" xfId="2800"/>
    <cellStyle name="Cálculo 3 42 11" xfId="2801"/>
    <cellStyle name="Cálculo 3 42 11 2" xfId="2802"/>
    <cellStyle name="Cálculo 3 42 12" xfId="2803"/>
    <cellStyle name="Cálculo 3 42 12 2" xfId="2804"/>
    <cellStyle name="Cálculo 3 42 13" xfId="2805"/>
    <cellStyle name="Cálculo 3 42 13 2" xfId="2806"/>
    <cellStyle name="Cálculo 3 42 14" xfId="2807"/>
    <cellStyle name="Cálculo 3 42 2" xfId="2808"/>
    <cellStyle name="Cálculo 3 42 2 2" xfId="2809"/>
    <cellStyle name="Cálculo 3 42 3" xfId="2810"/>
    <cellStyle name="Cálculo 3 42 3 2" xfId="2811"/>
    <cellStyle name="Cálculo 3 42 4" xfId="2812"/>
    <cellStyle name="Cálculo 3 42 4 2" xfId="2813"/>
    <cellStyle name="Cálculo 3 42 5" xfId="2814"/>
    <cellStyle name="Cálculo 3 42 5 2" xfId="2815"/>
    <cellStyle name="Cálculo 3 42 6" xfId="2816"/>
    <cellStyle name="Cálculo 3 42 6 2" xfId="2817"/>
    <cellStyle name="Cálculo 3 42 7" xfId="2818"/>
    <cellStyle name="Cálculo 3 42 7 2" xfId="2819"/>
    <cellStyle name="Cálculo 3 42 8" xfId="2820"/>
    <cellStyle name="Cálculo 3 42 8 2" xfId="2821"/>
    <cellStyle name="Cálculo 3 42 9" xfId="2822"/>
    <cellStyle name="Cálculo 3 42 9 2" xfId="2823"/>
    <cellStyle name="Cálculo 3 43" xfId="2824"/>
    <cellStyle name="Cálculo 3 43 10" xfId="2825"/>
    <cellStyle name="Cálculo 3 43 10 2" xfId="2826"/>
    <cellStyle name="Cálculo 3 43 11" xfId="2827"/>
    <cellStyle name="Cálculo 3 43 11 2" xfId="2828"/>
    <cellStyle name="Cálculo 3 43 12" xfId="2829"/>
    <cellStyle name="Cálculo 3 43 12 2" xfId="2830"/>
    <cellStyle name="Cálculo 3 43 13" xfId="2831"/>
    <cellStyle name="Cálculo 3 43 13 2" xfId="2832"/>
    <cellStyle name="Cálculo 3 43 14" xfId="2833"/>
    <cellStyle name="Cálculo 3 43 2" xfId="2834"/>
    <cellStyle name="Cálculo 3 43 2 2" xfId="2835"/>
    <cellStyle name="Cálculo 3 43 3" xfId="2836"/>
    <cellStyle name="Cálculo 3 43 3 2" xfId="2837"/>
    <cellStyle name="Cálculo 3 43 4" xfId="2838"/>
    <cellStyle name="Cálculo 3 43 4 2" xfId="2839"/>
    <cellStyle name="Cálculo 3 43 5" xfId="2840"/>
    <cellStyle name="Cálculo 3 43 5 2" xfId="2841"/>
    <cellStyle name="Cálculo 3 43 6" xfId="2842"/>
    <cellStyle name="Cálculo 3 43 6 2" xfId="2843"/>
    <cellStyle name="Cálculo 3 43 7" xfId="2844"/>
    <cellStyle name="Cálculo 3 43 7 2" xfId="2845"/>
    <cellStyle name="Cálculo 3 43 8" xfId="2846"/>
    <cellStyle name="Cálculo 3 43 8 2" xfId="2847"/>
    <cellStyle name="Cálculo 3 43 9" xfId="2848"/>
    <cellStyle name="Cálculo 3 43 9 2" xfId="2849"/>
    <cellStyle name="Cálculo 3 44" xfId="2850"/>
    <cellStyle name="Cálculo 3 44 10" xfId="2851"/>
    <cellStyle name="Cálculo 3 44 10 2" xfId="2852"/>
    <cellStyle name="Cálculo 3 44 11" xfId="2853"/>
    <cellStyle name="Cálculo 3 44 11 2" xfId="2854"/>
    <cellStyle name="Cálculo 3 44 12" xfId="2855"/>
    <cellStyle name="Cálculo 3 44 12 2" xfId="2856"/>
    <cellStyle name="Cálculo 3 44 13" xfId="2857"/>
    <cellStyle name="Cálculo 3 44 13 2" xfId="2858"/>
    <cellStyle name="Cálculo 3 44 14" xfId="2859"/>
    <cellStyle name="Cálculo 3 44 2" xfId="2860"/>
    <cellStyle name="Cálculo 3 44 2 2" xfId="2861"/>
    <cellStyle name="Cálculo 3 44 3" xfId="2862"/>
    <cellStyle name="Cálculo 3 44 3 2" xfId="2863"/>
    <cellStyle name="Cálculo 3 44 4" xfId="2864"/>
    <cellStyle name="Cálculo 3 44 4 2" xfId="2865"/>
    <cellStyle name="Cálculo 3 44 5" xfId="2866"/>
    <cellStyle name="Cálculo 3 44 5 2" xfId="2867"/>
    <cellStyle name="Cálculo 3 44 6" xfId="2868"/>
    <cellStyle name="Cálculo 3 44 6 2" xfId="2869"/>
    <cellStyle name="Cálculo 3 44 7" xfId="2870"/>
    <cellStyle name="Cálculo 3 44 7 2" xfId="2871"/>
    <cellStyle name="Cálculo 3 44 8" xfId="2872"/>
    <cellStyle name="Cálculo 3 44 8 2" xfId="2873"/>
    <cellStyle name="Cálculo 3 44 9" xfId="2874"/>
    <cellStyle name="Cálculo 3 44 9 2" xfId="2875"/>
    <cellStyle name="Cálculo 3 45" xfId="2876"/>
    <cellStyle name="Cálculo 3 45 10" xfId="2877"/>
    <cellStyle name="Cálculo 3 45 10 2" xfId="2878"/>
    <cellStyle name="Cálculo 3 45 11" xfId="2879"/>
    <cellStyle name="Cálculo 3 45 11 2" xfId="2880"/>
    <cellStyle name="Cálculo 3 45 12" xfId="2881"/>
    <cellStyle name="Cálculo 3 45 12 2" xfId="2882"/>
    <cellStyle name="Cálculo 3 45 13" xfId="2883"/>
    <cellStyle name="Cálculo 3 45 13 2" xfId="2884"/>
    <cellStyle name="Cálculo 3 45 14" xfId="2885"/>
    <cellStyle name="Cálculo 3 45 2" xfId="2886"/>
    <cellStyle name="Cálculo 3 45 2 2" xfId="2887"/>
    <cellStyle name="Cálculo 3 45 3" xfId="2888"/>
    <cellStyle name="Cálculo 3 45 3 2" xfId="2889"/>
    <cellStyle name="Cálculo 3 45 4" xfId="2890"/>
    <cellStyle name="Cálculo 3 45 4 2" xfId="2891"/>
    <cellStyle name="Cálculo 3 45 5" xfId="2892"/>
    <cellStyle name="Cálculo 3 45 5 2" xfId="2893"/>
    <cellStyle name="Cálculo 3 45 6" xfId="2894"/>
    <cellStyle name="Cálculo 3 45 6 2" xfId="2895"/>
    <cellStyle name="Cálculo 3 45 7" xfId="2896"/>
    <cellStyle name="Cálculo 3 45 7 2" xfId="2897"/>
    <cellStyle name="Cálculo 3 45 8" xfId="2898"/>
    <cellStyle name="Cálculo 3 45 8 2" xfId="2899"/>
    <cellStyle name="Cálculo 3 45 9" xfId="2900"/>
    <cellStyle name="Cálculo 3 45 9 2" xfId="2901"/>
    <cellStyle name="Cálculo 3 46" xfId="2902"/>
    <cellStyle name="Cálculo 3 46 10" xfId="2903"/>
    <cellStyle name="Cálculo 3 46 10 2" xfId="2904"/>
    <cellStyle name="Cálculo 3 46 11" xfId="2905"/>
    <cellStyle name="Cálculo 3 46 11 2" xfId="2906"/>
    <cellStyle name="Cálculo 3 46 12" xfId="2907"/>
    <cellStyle name="Cálculo 3 46 12 2" xfId="2908"/>
    <cellStyle name="Cálculo 3 46 13" xfId="2909"/>
    <cellStyle name="Cálculo 3 46 13 2" xfId="2910"/>
    <cellStyle name="Cálculo 3 46 14" xfId="2911"/>
    <cellStyle name="Cálculo 3 46 2" xfId="2912"/>
    <cellStyle name="Cálculo 3 46 2 2" xfId="2913"/>
    <cellStyle name="Cálculo 3 46 3" xfId="2914"/>
    <cellStyle name="Cálculo 3 46 3 2" xfId="2915"/>
    <cellStyle name="Cálculo 3 46 4" xfId="2916"/>
    <cellStyle name="Cálculo 3 46 4 2" xfId="2917"/>
    <cellStyle name="Cálculo 3 46 5" xfId="2918"/>
    <cellStyle name="Cálculo 3 46 5 2" xfId="2919"/>
    <cellStyle name="Cálculo 3 46 6" xfId="2920"/>
    <cellStyle name="Cálculo 3 46 6 2" xfId="2921"/>
    <cellStyle name="Cálculo 3 46 7" xfId="2922"/>
    <cellStyle name="Cálculo 3 46 7 2" xfId="2923"/>
    <cellStyle name="Cálculo 3 46 8" xfId="2924"/>
    <cellStyle name="Cálculo 3 46 8 2" xfId="2925"/>
    <cellStyle name="Cálculo 3 46 9" xfId="2926"/>
    <cellStyle name="Cálculo 3 46 9 2" xfId="2927"/>
    <cellStyle name="Cálculo 3 47" xfId="2928"/>
    <cellStyle name="Cálculo 3 47 10" xfId="2929"/>
    <cellStyle name="Cálculo 3 47 10 2" xfId="2930"/>
    <cellStyle name="Cálculo 3 47 11" xfId="2931"/>
    <cellStyle name="Cálculo 3 47 11 2" xfId="2932"/>
    <cellStyle name="Cálculo 3 47 12" xfId="2933"/>
    <cellStyle name="Cálculo 3 47 12 2" xfId="2934"/>
    <cellStyle name="Cálculo 3 47 13" xfId="2935"/>
    <cellStyle name="Cálculo 3 47 13 2" xfId="2936"/>
    <cellStyle name="Cálculo 3 47 14" xfId="2937"/>
    <cellStyle name="Cálculo 3 47 2" xfId="2938"/>
    <cellStyle name="Cálculo 3 47 2 2" xfId="2939"/>
    <cellStyle name="Cálculo 3 47 3" xfId="2940"/>
    <cellStyle name="Cálculo 3 47 3 2" xfId="2941"/>
    <cellStyle name="Cálculo 3 47 4" xfId="2942"/>
    <cellStyle name="Cálculo 3 47 4 2" xfId="2943"/>
    <cellStyle name="Cálculo 3 47 5" xfId="2944"/>
    <cellStyle name="Cálculo 3 47 5 2" xfId="2945"/>
    <cellStyle name="Cálculo 3 47 6" xfId="2946"/>
    <cellStyle name="Cálculo 3 47 6 2" xfId="2947"/>
    <cellStyle name="Cálculo 3 47 7" xfId="2948"/>
    <cellStyle name="Cálculo 3 47 7 2" xfId="2949"/>
    <cellStyle name="Cálculo 3 47 8" xfId="2950"/>
    <cellStyle name="Cálculo 3 47 8 2" xfId="2951"/>
    <cellStyle name="Cálculo 3 47 9" xfId="2952"/>
    <cellStyle name="Cálculo 3 47 9 2" xfId="2953"/>
    <cellStyle name="Cálculo 3 48" xfId="2954"/>
    <cellStyle name="Cálculo 3 48 10" xfId="2955"/>
    <cellStyle name="Cálculo 3 48 10 2" xfId="2956"/>
    <cellStyle name="Cálculo 3 48 11" xfId="2957"/>
    <cellStyle name="Cálculo 3 48 11 2" xfId="2958"/>
    <cellStyle name="Cálculo 3 48 12" xfId="2959"/>
    <cellStyle name="Cálculo 3 48 12 2" xfId="2960"/>
    <cellStyle name="Cálculo 3 48 13" xfId="2961"/>
    <cellStyle name="Cálculo 3 48 13 2" xfId="2962"/>
    <cellStyle name="Cálculo 3 48 14" xfId="2963"/>
    <cellStyle name="Cálculo 3 48 2" xfId="2964"/>
    <cellStyle name="Cálculo 3 48 2 2" xfId="2965"/>
    <cellStyle name="Cálculo 3 48 3" xfId="2966"/>
    <cellStyle name="Cálculo 3 48 3 2" xfId="2967"/>
    <cellStyle name="Cálculo 3 48 4" xfId="2968"/>
    <cellStyle name="Cálculo 3 48 4 2" xfId="2969"/>
    <cellStyle name="Cálculo 3 48 5" xfId="2970"/>
    <cellStyle name="Cálculo 3 48 5 2" xfId="2971"/>
    <cellStyle name="Cálculo 3 48 6" xfId="2972"/>
    <cellStyle name="Cálculo 3 48 6 2" xfId="2973"/>
    <cellStyle name="Cálculo 3 48 7" xfId="2974"/>
    <cellStyle name="Cálculo 3 48 7 2" xfId="2975"/>
    <cellStyle name="Cálculo 3 48 8" xfId="2976"/>
    <cellStyle name="Cálculo 3 48 8 2" xfId="2977"/>
    <cellStyle name="Cálculo 3 48 9" xfId="2978"/>
    <cellStyle name="Cálculo 3 48 9 2" xfId="2979"/>
    <cellStyle name="Cálculo 3 49" xfId="2980"/>
    <cellStyle name="Cálculo 3 49 10" xfId="2981"/>
    <cellStyle name="Cálculo 3 49 10 2" xfId="2982"/>
    <cellStyle name="Cálculo 3 49 11" xfId="2983"/>
    <cellStyle name="Cálculo 3 49 11 2" xfId="2984"/>
    <cellStyle name="Cálculo 3 49 12" xfId="2985"/>
    <cellStyle name="Cálculo 3 49 12 2" xfId="2986"/>
    <cellStyle name="Cálculo 3 49 13" xfId="2987"/>
    <cellStyle name="Cálculo 3 49 13 2" xfId="2988"/>
    <cellStyle name="Cálculo 3 49 14" xfId="2989"/>
    <cellStyle name="Cálculo 3 49 2" xfId="2990"/>
    <cellStyle name="Cálculo 3 49 2 2" xfId="2991"/>
    <cellStyle name="Cálculo 3 49 3" xfId="2992"/>
    <cellStyle name="Cálculo 3 49 3 2" xfId="2993"/>
    <cellStyle name="Cálculo 3 49 4" xfId="2994"/>
    <cellStyle name="Cálculo 3 49 4 2" xfId="2995"/>
    <cellStyle name="Cálculo 3 49 5" xfId="2996"/>
    <cellStyle name="Cálculo 3 49 5 2" xfId="2997"/>
    <cellStyle name="Cálculo 3 49 6" xfId="2998"/>
    <cellStyle name="Cálculo 3 49 6 2" xfId="2999"/>
    <cellStyle name="Cálculo 3 49 7" xfId="3000"/>
    <cellStyle name="Cálculo 3 49 7 2" xfId="3001"/>
    <cellStyle name="Cálculo 3 49 8" xfId="3002"/>
    <cellStyle name="Cálculo 3 49 8 2" xfId="3003"/>
    <cellStyle name="Cálculo 3 49 9" xfId="3004"/>
    <cellStyle name="Cálculo 3 49 9 2" xfId="3005"/>
    <cellStyle name="Cálculo 3 5" xfId="3006"/>
    <cellStyle name="Cálculo 3 5 10" xfId="3007"/>
    <cellStyle name="Cálculo 3 5 10 2" xfId="3008"/>
    <cellStyle name="Cálculo 3 5 11" xfId="3009"/>
    <cellStyle name="Cálculo 3 5 11 2" xfId="3010"/>
    <cellStyle name="Cálculo 3 5 12" xfId="3011"/>
    <cellStyle name="Cálculo 3 5 12 2" xfId="3012"/>
    <cellStyle name="Cálculo 3 5 13" xfId="3013"/>
    <cellStyle name="Cálculo 3 5 13 2" xfId="3014"/>
    <cellStyle name="Cálculo 3 5 14" xfId="3015"/>
    <cellStyle name="Cálculo 3 5 2" xfId="3016"/>
    <cellStyle name="Cálculo 3 5 2 2" xfId="3017"/>
    <cellStyle name="Cálculo 3 5 3" xfId="3018"/>
    <cellStyle name="Cálculo 3 5 3 2" xfId="3019"/>
    <cellStyle name="Cálculo 3 5 4" xfId="3020"/>
    <cellStyle name="Cálculo 3 5 4 2" xfId="3021"/>
    <cellStyle name="Cálculo 3 5 5" xfId="3022"/>
    <cellStyle name="Cálculo 3 5 5 2" xfId="3023"/>
    <cellStyle name="Cálculo 3 5 6" xfId="3024"/>
    <cellStyle name="Cálculo 3 5 6 2" xfId="3025"/>
    <cellStyle name="Cálculo 3 5 7" xfId="3026"/>
    <cellStyle name="Cálculo 3 5 7 2" xfId="3027"/>
    <cellStyle name="Cálculo 3 5 8" xfId="3028"/>
    <cellStyle name="Cálculo 3 5 8 2" xfId="3029"/>
    <cellStyle name="Cálculo 3 5 9" xfId="3030"/>
    <cellStyle name="Cálculo 3 5 9 2" xfId="3031"/>
    <cellStyle name="Cálculo 3 50" xfId="3032"/>
    <cellStyle name="Cálculo 3 50 10" xfId="3033"/>
    <cellStyle name="Cálculo 3 50 10 2" xfId="3034"/>
    <cellStyle name="Cálculo 3 50 11" xfId="3035"/>
    <cellStyle name="Cálculo 3 50 11 2" xfId="3036"/>
    <cellStyle name="Cálculo 3 50 12" xfId="3037"/>
    <cellStyle name="Cálculo 3 50 12 2" xfId="3038"/>
    <cellStyle name="Cálculo 3 50 13" xfId="3039"/>
    <cellStyle name="Cálculo 3 50 13 2" xfId="3040"/>
    <cellStyle name="Cálculo 3 50 14" xfId="3041"/>
    <cellStyle name="Cálculo 3 50 2" xfId="3042"/>
    <cellStyle name="Cálculo 3 50 2 2" xfId="3043"/>
    <cellStyle name="Cálculo 3 50 3" xfId="3044"/>
    <cellStyle name="Cálculo 3 50 3 2" xfId="3045"/>
    <cellStyle name="Cálculo 3 50 4" xfId="3046"/>
    <cellStyle name="Cálculo 3 50 4 2" xfId="3047"/>
    <cellStyle name="Cálculo 3 50 5" xfId="3048"/>
    <cellStyle name="Cálculo 3 50 5 2" xfId="3049"/>
    <cellStyle name="Cálculo 3 50 6" xfId="3050"/>
    <cellStyle name="Cálculo 3 50 6 2" xfId="3051"/>
    <cellStyle name="Cálculo 3 50 7" xfId="3052"/>
    <cellStyle name="Cálculo 3 50 7 2" xfId="3053"/>
    <cellStyle name="Cálculo 3 50 8" xfId="3054"/>
    <cellStyle name="Cálculo 3 50 8 2" xfId="3055"/>
    <cellStyle name="Cálculo 3 50 9" xfId="3056"/>
    <cellStyle name="Cálculo 3 50 9 2" xfId="3057"/>
    <cellStyle name="Cálculo 3 51" xfId="3058"/>
    <cellStyle name="Cálculo 3 51 10" xfId="3059"/>
    <cellStyle name="Cálculo 3 51 10 2" xfId="3060"/>
    <cellStyle name="Cálculo 3 51 11" xfId="3061"/>
    <cellStyle name="Cálculo 3 51 11 2" xfId="3062"/>
    <cellStyle name="Cálculo 3 51 12" xfId="3063"/>
    <cellStyle name="Cálculo 3 51 12 2" xfId="3064"/>
    <cellStyle name="Cálculo 3 51 13" xfId="3065"/>
    <cellStyle name="Cálculo 3 51 13 2" xfId="3066"/>
    <cellStyle name="Cálculo 3 51 14" xfId="3067"/>
    <cellStyle name="Cálculo 3 51 2" xfId="3068"/>
    <cellStyle name="Cálculo 3 51 2 2" xfId="3069"/>
    <cellStyle name="Cálculo 3 51 3" xfId="3070"/>
    <cellStyle name="Cálculo 3 51 3 2" xfId="3071"/>
    <cellStyle name="Cálculo 3 51 4" xfId="3072"/>
    <cellStyle name="Cálculo 3 51 4 2" xfId="3073"/>
    <cellStyle name="Cálculo 3 51 5" xfId="3074"/>
    <cellStyle name="Cálculo 3 51 5 2" xfId="3075"/>
    <cellStyle name="Cálculo 3 51 6" xfId="3076"/>
    <cellStyle name="Cálculo 3 51 6 2" xfId="3077"/>
    <cellStyle name="Cálculo 3 51 7" xfId="3078"/>
    <cellStyle name="Cálculo 3 51 7 2" xfId="3079"/>
    <cellStyle name="Cálculo 3 51 8" xfId="3080"/>
    <cellStyle name="Cálculo 3 51 8 2" xfId="3081"/>
    <cellStyle name="Cálculo 3 51 9" xfId="3082"/>
    <cellStyle name="Cálculo 3 51 9 2" xfId="3083"/>
    <cellStyle name="Cálculo 3 52" xfId="3084"/>
    <cellStyle name="Cálculo 3 52 10" xfId="3085"/>
    <cellStyle name="Cálculo 3 52 10 2" xfId="3086"/>
    <cellStyle name="Cálculo 3 52 11" xfId="3087"/>
    <cellStyle name="Cálculo 3 52 11 2" xfId="3088"/>
    <cellStyle name="Cálculo 3 52 12" xfId="3089"/>
    <cellStyle name="Cálculo 3 52 12 2" xfId="3090"/>
    <cellStyle name="Cálculo 3 52 13" xfId="3091"/>
    <cellStyle name="Cálculo 3 52 13 2" xfId="3092"/>
    <cellStyle name="Cálculo 3 52 14" xfId="3093"/>
    <cellStyle name="Cálculo 3 52 2" xfId="3094"/>
    <cellStyle name="Cálculo 3 52 2 2" xfId="3095"/>
    <cellStyle name="Cálculo 3 52 3" xfId="3096"/>
    <cellStyle name="Cálculo 3 52 3 2" xfId="3097"/>
    <cellStyle name="Cálculo 3 52 4" xfId="3098"/>
    <cellStyle name="Cálculo 3 52 4 2" xfId="3099"/>
    <cellStyle name="Cálculo 3 52 5" xfId="3100"/>
    <cellStyle name="Cálculo 3 52 5 2" xfId="3101"/>
    <cellStyle name="Cálculo 3 52 6" xfId="3102"/>
    <cellStyle name="Cálculo 3 52 6 2" xfId="3103"/>
    <cellStyle name="Cálculo 3 52 7" xfId="3104"/>
    <cellStyle name="Cálculo 3 52 7 2" xfId="3105"/>
    <cellStyle name="Cálculo 3 52 8" xfId="3106"/>
    <cellStyle name="Cálculo 3 52 8 2" xfId="3107"/>
    <cellStyle name="Cálculo 3 52 9" xfId="3108"/>
    <cellStyle name="Cálculo 3 52 9 2" xfId="3109"/>
    <cellStyle name="Cálculo 3 53" xfId="3110"/>
    <cellStyle name="Cálculo 3 53 10" xfId="3111"/>
    <cellStyle name="Cálculo 3 53 10 2" xfId="3112"/>
    <cellStyle name="Cálculo 3 53 11" xfId="3113"/>
    <cellStyle name="Cálculo 3 53 11 2" xfId="3114"/>
    <cellStyle name="Cálculo 3 53 12" xfId="3115"/>
    <cellStyle name="Cálculo 3 53 12 2" xfId="3116"/>
    <cellStyle name="Cálculo 3 53 13" xfId="3117"/>
    <cellStyle name="Cálculo 3 53 13 2" xfId="3118"/>
    <cellStyle name="Cálculo 3 53 14" xfId="3119"/>
    <cellStyle name="Cálculo 3 53 2" xfId="3120"/>
    <cellStyle name="Cálculo 3 53 2 2" xfId="3121"/>
    <cellStyle name="Cálculo 3 53 3" xfId="3122"/>
    <cellStyle name="Cálculo 3 53 3 2" xfId="3123"/>
    <cellStyle name="Cálculo 3 53 4" xfId="3124"/>
    <cellStyle name="Cálculo 3 53 4 2" xfId="3125"/>
    <cellStyle name="Cálculo 3 53 5" xfId="3126"/>
    <cellStyle name="Cálculo 3 53 5 2" xfId="3127"/>
    <cellStyle name="Cálculo 3 53 6" xfId="3128"/>
    <cellStyle name="Cálculo 3 53 6 2" xfId="3129"/>
    <cellStyle name="Cálculo 3 53 7" xfId="3130"/>
    <cellStyle name="Cálculo 3 53 7 2" xfId="3131"/>
    <cellStyle name="Cálculo 3 53 8" xfId="3132"/>
    <cellStyle name="Cálculo 3 53 8 2" xfId="3133"/>
    <cellStyle name="Cálculo 3 53 9" xfId="3134"/>
    <cellStyle name="Cálculo 3 53 9 2" xfId="3135"/>
    <cellStyle name="Cálculo 3 54" xfId="3136"/>
    <cellStyle name="Cálculo 3 54 10" xfId="3137"/>
    <cellStyle name="Cálculo 3 54 10 2" xfId="3138"/>
    <cellStyle name="Cálculo 3 54 11" xfId="3139"/>
    <cellStyle name="Cálculo 3 54 11 2" xfId="3140"/>
    <cellStyle name="Cálculo 3 54 12" xfId="3141"/>
    <cellStyle name="Cálculo 3 54 12 2" xfId="3142"/>
    <cellStyle name="Cálculo 3 54 13" xfId="3143"/>
    <cellStyle name="Cálculo 3 54 13 2" xfId="3144"/>
    <cellStyle name="Cálculo 3 54 14" xfId="3145"/>
    <cellStyle name="Cálculo 3 54 2" xfId="3146"/>
    <cellStyle name="Cálculo 3 54 2 2" xfId="3147"/>
    <cellStyle name="Cálculo 3 54 3" xfId="3148"/>
    <cellStyle name="Cálculo 3 54 3 2" xfId="3149"/>
    <cellStyle name="Cálculo 3 54 4" xfId="3150"/>
    <cellStyle name="Cálculo 3 54 4 2" xfId="3151"/>
    <cellStyle name="Cálculo 3 54 5" xfId="3152"/>
    <cellStyle name="Cálculo 3 54 5 2" xfId="3153"/>
    <cellStyle name="Cálculo 3 54 6" xfId="3154"/>
    <cellStyle name="Cálculo 3 54 6 2" xfId="3155"/>
    <cellStyle name="Cálculo 3 54 7" xfId="3156"/>
    <cellStyle name="Cálculo 3 54 7 2" xfId="3157"/>
    <cellStyle name="Cálculo 3 54 8" xfId="3158"/>
    <cellStyle name="Cálculo 3 54 8 2" xfId="3159"/>
    <cellStyle name="Cálculo 3 54 9" xfId="3160"/>
    <cellStyle name="Cálculo 3 54 9 2" xfId="3161"/>
    <cellStyle name="Cálculo 3 55" xfId="3162"/>
    <cellStyle name="Cálculo 3 55 10" xfId="3163"/>
    <cellStyle name="Cálculo 3 55 10 2" xfId="3164"/>
    <cellStyle name="Cálculo 3 55 11" xfId="3165"/>
    <cellStyle name="Cálculo 3 55 11 2" xfId="3166"/>
    <cellStyle name="Cálculo 3 55 12" xfId="3167"/>
    <cellStyle name="Cálculo 3 55 12 2" xfId="3168"/>
    <cellStyle name="Cálculo 3 55 13" xfId="3169"/>
    <cellStyle name="Cálculo 3 55 13 2" xfId="3170"/>
    <cellStyle name="Cálculo 3 55 14" xfId="3171"/>
    <cellStyle name="Cálculo 3 55 2" xfId="3172"/>
    <cellStyle name="Cálculo 3 55 2 2" xfId="3173"/>
    <cellStyle name="Cálculo 3 55 3" xfId="3174"/>
    <cellStyle name="Cálculo 3 55 3 2" xfId="3175"/>
    <cellStyle name="Cálculo 3 55 4" xfId="3176"/>
    <cellStyle name="Cálculo 3 55 4 2" xfId="3177"/>
    <cellStyle name="Cálculo 3 55 5" xfId="3178"/>
    <cellStyle name="Cálculo 3 55 5 2" xfId="3179"/>
    <cellStyle name="Cálculo 3 55 6" xfId="3180"/>
    <cellStyle name="Cálculo 3 55 6 2" xfId="3181"/>
    <cellStyle name="Cálculo 3 55 7" xfId="3182"/>
    <cellStyle name="Cálculo 3 55 7 2" xfId="3183"/>
    <cellStyle name="Cálculo 3 55 8" xfId="3184"/>
    <cellStyle name="Cálculo 3 55 8 2" xfId="3185"/>
    <cellStyle name="Cálculo 3 55 9" xfId="3186"/>
    <cellStyle name="Cálculo 3 55 9 2" xfId="3187"/>
    <cellStyle name="Cálculo 3 56" xfId="3188"/>
    <cellStyle name="Cálculo 3 56 10" xfId="3189"/>
    <cellStyle name="Cálculo 3 56 10 2" xfId="3190"/>
    <cellStyle name="Cálculo 3 56 11" xfId="3191"/>
    <cellStyle name="Cálculo 3 56 11 2" xfId="3192"/>
    <cellStyle name="Cálculo 3 56 12" xfId="3193"/>
    <cellStyle name="Cálculo 3 56 12 2" xfId="3194"/>
    <cellStyle name="Cálculo 3 56 13" xfId="3195"/>
    <cellStyle name="Cálculo 3 56 13 2" xfId="3196"/>
    <cellStyle name="Cálculo 3 56 14" xfId="3197"/>
    <cellStyle name="Cálculo 3 56 2" xfId="3198"/>
    <cellStyle name="Cálculo 3 56 2 2" xfId="3199"/>
    <cellStyle name="Cálculo 3 56 3" xfId="3200"/>
    <cellStyle name="Cálculo 3 56 3 2" xfId="3201"/>
    <cellStyle name="Cálculo 3 56 4" xfId="3202"/>
    <cellStyle name="Cálculo 3 56 4 2" xfId="3203"/>
    <cellStyle name="Cálculo 3 56 5" xfId="3204"/>
    <cellStyle name="Cálculo 3 56 5 2" xfId="3205"/>
    <cellStyle name="Cálculo 3 56 6" xfId="3206"/>
    <cellStyle name="Cálculo 3 56 6 2" xfId="3207"/>
    <cellStyle name="Cálculo 3 56 7" xfId="3208"/>
    <cellStyle name="Cálculo 3 56 7 2" xfId="3209"/>
    <cellStyle name="Cálculo 3 56 8" xfId="3210"/>
    <cellStyle name="Cálculo 3 56 8 2" xfId="3211"/>
    <cellStyle name="Cálculo 3 56 9" xfId="3212"/>
    <cellStyle name="Cálculo 3 56 9 2" xfId="3213"/>
    <cellStyle name="Cálculo 3 57" xfId="3214"/>
    <cellStyle name="Cálculo 3 57 10" xfId="3215"/>
    <cellStyle name="Cálculo 3 57 10 2" xfId="3216"/>
    <cellStyle name="Cálculo 3 57 11" xfId="3217"/>
    <cellStyle name="Cálculo 3 57 11 2" xfId="3218"/>
    <cellStyle name="Cálculo 3 57 12" xfId="3219"/>
    <cellStyle name="Cálculo 3 57 12 2" xfId="3220"/>
    <cellStyle name="Cálculo 3 57 13" xfId="3221"/>
    <cellStyle name="Cálculo 3 57 13 2" xfId="3222"/>
    <cellStyle name="Cálculo 3 57 14" xfId="3223"/>
    <cellStyle name="Cálculo 3 57 2" xfId="3224"/>
    <cellStyle name="Cálculo 3 57 2 2" xfId="3225"/>
    <cellStyle name="Cálculo 3 57 3" xfId="3226"/>
    <cellStyle name="Cálculo 3 57 3 2" xfId="3227"/>
    <cellStyle name="Cálculo 3 57 4" xfId="3228"/>
    <cellStyle name="Cálculo 3 57 4 2" xfId="3229"/>
    <cellStyle name="Cálculo 3 57 5" xfId="3230"/>
    <cellStyle name="Cálculo 3 57 5 2" xfId="3231"/>
    <cellStyle name="Cálculo 3 57 6" xfId="3232"/>
    <cellStyle name="Cálculo 3 57 6 2" xfId="3233"/>
    <cellStyle name="Cálculo 3 57 7" xfId="3234"/>
    <cellStyle name="Cálculo 3 57 7 2" xfId="3235"/>
    <cellStyle name="Cálculo 3 57 8" xfId="3236"/>
    <cellStyle name="Cálculo 3 57 8 2" xfId="3237"/>
    <cellStyle name="Cálculo 3 57 9" xfId="3238"/>
    <cellStyle name="Cálculo 3 57 9 2" xfId="3239"/>
    <cellStyle name="Cálculo 3 58" xfId="3240"/>
    <cellStyle name="Cálculo 3 58 10" xfId="3241"/>
    <cellStyle name="Cálculo 3 58 10 2" xfId="3242"/>
    <cellStyle name="Cálculo 3 58 11" xfId="3243"/>
    <cellStyle name="Cálculo 3 58 11 2" xfId="3244"/>
    <cellStyle name="Cálculo 3 58 12" xfId="3245"/>
    <cellStyle name="Cálculo 3 58 12 2" xfId="3246"/>
    <cellStyle name="Cálculo 3 58 13" xfId="3247"/>
    <cellStyle name="Cálculo 3 58 13 2" xfId="3248"/>
    <cellStyle name="Cálculo 3 58 14" xfId="3249"/>
    <cellStyle name="Cálculo 3 58 2" xfId="3250"/>
    <cellStyle name="Cálculo 3 58 2 2" xfId="3251"/>
    <cellStyle name="Cálculo 3 58 3" xfId="3252"/>
    <cellStyle name="Cálculo 3 58 3 2" xfId="3253"/>
    <cellStyle name="Cálculo 3 58 4" xfId="3254"/>
    <cellStyle name="Cálculo 3 58 4 2" xfId="3255"/>
    <cellStyle name="Cálculo 3 58 5" xfId="3256"/>
    <cellStyle name="Cálculo 3 58 5 2" xfId="3257"/>
    <cellStyle name="Cálculo 3 58 6" xfId="3258"/>
    <cellStyle name="Cálculo 3 58 6 2" xfId="3259"/>
    <cellStyle name="Cálculo 3 58 7" xfId="3260"/>
    <cellStyle name="Cálculo 3 58 7 2" xfId="3261"/>
    <cellStyle name="Cálculo 3 58 8" xfId="3262"/>
    <cellStyle name="Cálculo 3 58 8 2" xfId="3263"/>
    <cellStyle name="Cálculo 3 58 9" xfId="3264"/>
    <cellStyle name="Cálculo 3 58 9 2" xfId="3265"/>
    <cellStyle name="Cálculo 3 59" xfId="3266"/>
    <cellStyle name="Cálculo 3 59 10" xfId="3267"/>
    <cellStyle name="Cálculo 3 59 10 2" xfId="3268"/>
    <cellStyle name="Cálculo 3 59 11" xfId="3269"/>
    <cellStyle name="Cálculo 3 59 11 2" xfId="3270"/>
    <cellStyle name="Cálculo 3 59 12" xfId="3271"/>
    <cellStyle name="Cálculo 3 59 12 2" xfId="3272"/>
    <cellStyle name="Cálculo 3 59 13" xfId="3273"/>
    <cellStyle name="Cálculo 3 59 13 2" xfId="3274"/>
    <cellStyle name="Cálculo 3 59 14" xfId="3275"/>
    <cellStyle name="Cálculo 3 59 2" xfId="3276"/>
    <cellStyle name="Cálculo 3 59 2 2" xfId="3277"/>
    <cellStyle name="Cálculo 3 59 3" xfId="3278"/>
    <cellStyle name="Cálculo 3 59 3 2" xfId="3279"/>
    <cellStyle name="Cálculo 3 59 4" xfId="3280"/>
    <cellStyle name="Cálculo 3 59 4 2" xfId="3281"/>
    <cellStyle name="Cálculo 3 59 5" xfId="3282"/>
    <cellStyle name="Cálculo 3 59 5 2" xfId="3283"/>
    <cellStyle name="Cálculo 3 59 6" xfId="3284"/>
    <cellStyle name="Cálculo 3 59 6 2" xfId="3285"/>
    <cellStyle name="Cálculo 3 59 7" xfId="3286"/>
    <cellStyle name="Cálculo 3 59 7 2" xfId="3287"/>
    <cellStyle name="Cálculo 3 59 8" xfId="3288"/>
    <cellStyle name="Cálculo 3 59 8 2" xfId="3289"/>
    <cellStyle name="Cálculo 3 59 9" xfId="3290"/>
    <cellStyle name="Cálculo 3 59 9 2" xfId="3291"/>
    <cellStyle name="Cálculo 3 6" xfId="3292"/>
    <cellStyle name="Cálculo 3 6 10" xfId="3293"/>
    <cellStyle name="Cálculo 3 6 10 2" xfId="3294"/>
    <cellStyle name="Cálculo 3 6 11" xfId="3295"/>
    <cellStyle name="Cálculo 3 6 11 2" xfId="3296"/>
    <cellStyle name="Cálculo 3 6 12" xfId="3297"/>
    <cellStyle name="Cálculo 3 6 12 2" xfId="3298"/>
    <cellStyle name="Cálculo 3 6 13" xfId="3299"/>
    <cellStyle name="Cálculo 3 6 13 2" xfId="3300"/>
    <cellStyle name="Cálculo 3 6 14" xfId="3301"/>
    <cellStyle name="Cálculo 3 6 2" xfId="3302"/>
    <cellStyle name="Cálculo 3 6 2 2" xfId="3303"/>
    <cellStyle name="Cálculo 3 6 3" xfId="3304"/>
    <cellStyle name="Cálculo 3 6 3 2" xfId="3305"/>
    <cellStyle name="Cálculo 3 6 4" xfId="3306"/>
    <cellStyle name="Cálculo 3 6 4 2" xfId="3307"/>
    <cellStyle name="Cálculo 3 6 5" xfId="3308"/>
    <cellStyle name="Cálculo 3 6 5 2" xfId="3309"/>
    <cellStyle name="Cálculo 3 6 6" xfId="3310"/>
    <cellStyle name="Cálculo 3 6 6 2" xfId="3311"/>
    <cellStyle name="Cálculo 3 6 7" xfId="3312"/>
    <cellStyle name="Cálculo 3 6 7 2" xfId="3313"/>
    <cellStyle name="Cálculo 3 6 8" xfId="3314"/>
    <cellStyle name="Cálculo 3 6 8 2" xfId="3315"/>
    <cellStyle name="Cálculo 3 6 9" xfId="3316"/>
    <cellStyle name="Cálculo 3 6 9 2" xfId="3317"/>
    <cellStyle name="Cálculo 3 60" xfId="3318"/>
    <cellStyle name="Cálculo 3 60 10" xfId="3319"/>
    <cellStyle name="Cálculo 3 60 10 2" xfId="3320"/>
    <cellStyle name="Cálculo 3 60 11" xfId="3321"/>
    <cellStyle name="Cálculo 3 60 11 2" xfId="3322"/>
    <cellStyle name="Cálculo 3 60 12" xfId="3323"/>
    <cellStyle name="Cálculo 3 60 12 2" xfId="3324"/>
    <cellStyle name="Cálculo 3 60 13" xfId="3325"/>
    <cellStyle name="Cálculo 3 60 13 2" xfId="3326"/>
    <cellStyle name="Cálculo 3 60 14" xfId="3327"/>
    <cellStyle name="Cálculo 3 60 2" xfId="3328"/>
    <cellStyle name="Cálculo 3 60 2 2" xfId="3329"/>
    <cellStyle name="Cálculo 3 60 3" xfId="3330"/>
    <cellStyle name="Cálculo 3 60 3 2" xfId="3331"/>
    <cellStyle name="Cálculo 3 60 4" xfId="3332"/>
    <cellStyle name="Cálculo 3 60 4 2" xfId="3333"/>
    <cellStyle name="Cálculo 3 60 5" xfId="3334"/>
    <cellStyle name="Cálculo 3 60 5 2" xfId="3335"/>
    <cellStyle name="Cálculo 3 60 6" xfId="3336"/>
    <cellStyle name="Cálculo 3 60 6 2" xfId="3337"/>
    <cellStyle name="Cálculo 3 60 7" xfId="3338"/>
    <cellStyle name="Cálculo 3 60 7 2" xfId="3339"/>
    <cellStyle name="Cálculo 3 60 8" xfId="3340"/>
    <cellStyle name="Cálculo 3 60 8 2" xfId="3341"/>
    <cellStyle name="Cálculo 3 60 9" xfId="3342"/>
    <cellStyle name="Cálculo 3 60 9 2" xfId="3343"/>
    <cellStyle name="Cálculo 3 61" xfId="3344"/>
    <cellStyle name="Cálculo 3 61 10" xfId="3345"/>
    <cellStyle name="Cálculo 3 61 10 2" xfId="3346"/>
    <cellStyle name="Cálculo 3 61 11" xfId="3347"/>
    <cellStyle name="Cálculo 3 61 11 2" xfId="3348"/>
    <cellStyle name="Cálculo 3 61 12" xfId="3349"/>
    <cellStyle name="Cálculo 3 61 12 2" xfId="3350"/>
    <cellStyle name="Cálculo 3 61 13" xfId="3351"/>
    <cellStyle name="Cálculo 3 61 13 2" xfId="3352"/>
    <cellStyle name="Cálculo 3 61 14" xfId="3353"/>
    <cellStyle name="Cálculo 3 61 2" xfId="3354"/>
    <cellStyle name="Cálculo 3 61 2 2" xfId="3355"/>
    <cellStyle name="Cálculo 3 61 3" xfId="3356"/>
    <cellStyle name="Cálculo 3 61 3 2" xfId="3357"/>
    <cellStyle name="Cálculo 3 61 4" xfId="3358"/>
    <cellStyle name="Cálculo 3 61 4 2" xfId="3359"/>
    <cellStyle name="Cálculo 3 61 5" xfId="3360"/>
    <cellStyle name="Cálculo 3 61 5 2" xfId="3361"/>
    <cellStyle name="Cálculo 3 61 6" xfId="3362"/>
    <cellStyle name="Cálculo 3 61 6 2" xfId="3363"/>
    <cellStyle name="Cálculo 3 61 7" xfId="3364"/>
    <cellStyle name="Cálculo 3 61 7 2" xfId="3365"/>
    <cellStyle name="Cálculo 3 61 8" xfId="3366"/>
    <cellStyle name="Cálculo 3 61 8 2" xfId="3367"/>
    <cellStyle name="Cálculo 3 61 9" xfId="3368"/>
    <cellStyle name="Cálculo 3 61 9 2" xfId="3369"/>
    <cellStyle name="Cálculo 3 62" xfId="3370"/>
    <cellStyle name="Cálculo 3 62 10" xfId="3371"/>
    <cellStyle name="Cálculo 3 62 10 2" xfId="3372"/>
    <cellStyle name="Cálculo 3 62 11" xfId="3373"/>
    <cellStyle name="Cálculo 3 62 11 2" xfId="3374"/>
    <cellStyle name="Cálculo 3 62 12" xfId="3375"/>
    <cellStyle name="Cálculo 3 62 12 2" xfId="3376"/>
    <cellStyle name="Cálculo 3 62 13" xfId="3377"/>
    <cellStyle name="Cálculo 3 62 13 2" xfId="3378"/>
    <cellStyle name="Cálculo 3 62 14" xfId="3379"/>
    <cellStyle name="Cálculo 3 62 2" xfId="3380"/>
    <cellStyle name="Cálculo 3 62 2 2" xfId="3381"/>
    <cellStyle name="Cálculo 3 62 3" xfId="3382"/>
    <cellStyle name="Cálculo 3 62 3 2" xfId="3383"/>
    <cellStyle name="Cálculo 3 62 4" xfId="3384"/>
    <cellStyle name="Cálculo 3 62 4 2" xfId="3385"/>
    <cellStyle name="Cálculo 3 62 5" xfId="3386"/>
    <cellStyle name="Cálculo 3 62 5 2" xfId="3387"/>
    <cellStyle name="Cálculo 3 62 6" xfId="3388"/>
    <cellStyle name="Cálculo 3 62 6 2" xfId="3389"/>
    <cellStyle name="Cálculo 3 62 7" xfId="3390"/>
    <cellStyle name="Cálculo 3 62 7 2" xfId="3391"/>
    <cellStyle name="Cálculo 3 62 8" xfId="3392"/>
    <cellStyle name="Cálculo 3 62 8 2" xfId="3393"/>
    <cellStyle name="Cálculo 3 62 9" xfId="3394"/>
    <cellStyle name="Cálculo 3 62 9 2" xfId="3395"/>
    <cellStyle name="Cálculo 3 63" xfId="3396"/>
    <cellStyle name="Cálculo 3 63 10" xfId="3397"/>
    <cellStyle name="Cálculo 3 63 10 2" xfId="3398"/>
    <cellStyle name="Cálculo 3 63 11" xfId="3399"/>
    <cellStyle name="Cálculo 3 63 11 2" xfId="3400"/>
    <cellStyle name="Cálculo 3 63 12" xfId="3401"/>
    <cellStyle name="Cálculo 3 63 12 2" xfId="3402"/>
    <cellStyle name="Cálculo 3 63 13" xfId="3403"/>
    <cellStyle name="Cálculo 3 63 13 2" xfId="3404"/>
    <cellStyle name="Cálculo 3 63 14" xfId="3405"/>
    <cellStyle name="Cálculo 3 63 2" xfId="3406"/>
    <cellStyle name="Cálculo 3 63 2 2" xfId="3407"/>
    <cellStyle name="Cálculo 3 63 3" xfId="3408"/>
    <cellStyle name="Cálculo 3 63 3 2" xfId="3409"/>
    <cellStyle name="Cálculo 3 63 4" xfId="3410"/>
    <cellStyle name="Cálculo 3 63 4 2" xfId="3411"/>
    <cellStyle name="Cálculo 3 63 5" xfId="3412"/>
    <cellStyle name="Cálculo 3 63 5 2" xfId="3413"/>
    <cellStyle name="Cálculo 3 63 6" xfId="3414"/>
    <cellStyle name="Cálculo 3 63 6 2" xfId="3415"/>
    <cellStyle name="Cálculo 3 63 7" xfId="3416"/>
    <cellStyle name="Cálculo 3 63 7 2" xfId="3417"/>
    <cellStyle name="Cálculo 3 63 8" xfId="3418"/>
    <cellStyle name="Cálculo 3 63 8 2" xfId="3419"/>
    <cellStyle name="Cálculo 3 63 9" xfId="3420"/>
    <cellStyle name="Cálculo 3 63 9 2" xfId="3421"/>
    <cellStyle name="Cálculo 3 64" xfId="3422"/>
    <cellStyle name="Cálculo 3 64 10" xfId="3423"/>
    <cellStyle name="Cálculo 3 64 10 2" xfId="3424"/>
    <cellStyle name="Cálculo 3 64 11" xfId="3425"/>
    <cellStyle name="Cálculo 3 64 11 2" xfId="3426"/>
    <cellStyle name="Cálculo 3 64 12" xfId="3427"/>
    <cellStyle name="Cálculo 3 64 12 2" xfId="3428"/>
    <cellStyle name="Cálculo 3 64 13" xfId="3429"/>
    <cellStyle name="Cálculo 3 64 13 2" xfId="3430"/>
    <cellStyle name="Cálculo 3 64 14" xfId="3431"/>
    <cellStyle name="Cálculo 3 64 2" xfId="3432"/>
    <cellStyle name="Cálculo 3 64 2 2" xfId="3433"/>
    <cellStyle name="Cálculo 3 64 3" xfId="3434"/>
    <cellStyle name="Cálculo 3 64 3 2" xfId="3435"/>
    <cellStyle name="Cálculo 3 64 4" xfId="3436"/>
    <cellStyle name="Cálculo 3 64 4 2" xfId="3437"/>
    <cellStyle name="Cálculo 3 64 5" xfId="3438"/>
    <cellStyle name="Cálculo 3 64 5 2" xfId="3439"/>
    <cellStyle name="Cálculo 3 64 6" xfId="3440"/>
    <cellStyle name="Cálculo 3 64 6 2" xfId="3441"/>
    <cellStyle name="Cálculo 3 64 7" xfId="3442"/>
    <cellStyle name="Cálculo 3 64 7 2" xfId="3443"/>
    <cellStyle name="Cálculo 3 64 8" xfId="3444"/>
    <cellStyle name="Cálculo 3 64 8 2" xfId="3445"/>
    <cellStyle name="Cálculo 3 64 9" xfId="3446"/>
    <cellStyle name="Cálculo 3 64 9 2" xfId="3447"/>
    <cellStyle name="Cálculo 3 65" xfId="3448"/>
    <cellStyle name="Cálculo 3 65 10" xfId="3449"/>
    <cellStyle name="Cálculo 3 65 10 2" xfId="3450"/>
    <cellStyle name="Cálculo 3 65 11" xfId="3451"/>
    <cellStyle name="Cálculo 3 65 11 2" xfId="3452"/>
    <cellStyle name="Cálculo 3 65 12" xfId="3453"/>
    <cellStyle name="Cálculo 3 65 12 2" xfId="3454"/>
    <cellStyle name="Cálculo 3 65 13" xfId="3455"/>
    <cellStyle name="Cálculo 3 65 13 2" xfId="3456"/>
    <cellStyle name="Cálculo 3 65 14" xfId="3457"/>
    <cellStyle name="Cálculo 3 65 2" xfId="3458"/>
    <cellStyle name="Cálculo 3 65 2 2" xfId="3459"/>
    <cellStyle name="Cálculo 3 65 3" xfId="3460"/>
    <cellStyle name="Cálculo 3 65 3 2" xfId="3461"/>
    <cellStyle name="Cálculo 3 65 4" xfId="3462"/>
    <cellStyle name="Cálculo 3 65 4 2" xfId="3463"/>
    <cellStyle name="Cálculo 3 65 5" xfId="3464"/>
    <cellStyle name="Cálculo 3 65 5 2" xfId="3465"/>
    <cellStyle name="Cálculo 3 65 6" xfId="3466"/>
    <cellStyle name="Cálculo 3 65 6 2" xfId="3467"/>
    <cellStyle name="Cálculo 3 65 7" xfId="3468"/>
    <cellStyle name="Cálculo 3 65 7 2" xfId="3469"/>
    <cellStyle name="Cálculo 3 65 8" xfId="3470"/>
    <cellStyle name="Cálculo 3 65 8 2" xfId="3471"/>
    <cellStyle name="Cálculo 3 65 9" xfId="3472"/>
    <cellStyle name="Cálculo 3 65 9 2" xfId="3473"/>
    <cellStyle name="Cálculo 3 66" xfId="3474"/>
    <cellStyle name="Cálculo 3 66 10" xfId="3475"/>
    <cellStyle name="Cálculo 3 66 10 2" xfId="3476"/>
    <cellStyle name="Cálculo 3 66 11" xfId="3477"/>
    <cellStyle name="Cálculo 3 66 11 2" xfId="3478"/>
    <cellStyle name="Cálculo 3 66 12" xfId="3479"/>
    <cellStyle name="Cálculo 3 66 12 2" xfId="3480"/>
    <cellStyle name="Cálculo 3 66 13" xfId="3481"/>
    <cellStyle name="Cálculo 3 66 13 2" xfId="3482"/>
    <cellStyle name="Cálculo 3 66 14" xfId="3483"/>
    <cellStyle name="Cálculo 3 66 2" xfId="3484"/>
    <cellStyle name="Cálculo 3 66 2 2" xfId="3485"/>
    <cellStyle name="Cálculo 3 66 3" xfId="3486"/>
    <cellStyle name="Cálculo 3 66 3 2" xfId="3487"/>
    <cellStyle name="Cálculo 3 66 4" xfId="3488"/>
    <cellStyle name="Cálculo 3 66 4 2" xfId="3489"/>
    <cellStyle name="Cálculo 3 66 5" xfId="3490"/>
    <cellStyle name="Cálculo 3 66 5 2" xfId="3491"/>
    <cellStyle name="Cálculo 3 66 6" xfId="3492"/>
    <cellStyle name="Cálculo 3 66 6 2" xfId="3493"/>
    <cellStyle name="Cálculo 3 66 7" xfId="3494"/>
    <cellStyle name="Cálculo 3 66 7 2" xfId="3495"/>
    <cellStyle name="Cálculo 3 66 8" xfId="3496"/>
    <cellStyle name="Cálculo 3 66 8 2" xfId="3497"/>
    <cellStyle name="Cálculo 3 66 9" xfId="3498"/>
    <cellStyle name="Cálculo 3 66 9 2" xfId="3499"/>
    <cellStyle name="Cálculo 3 67" xfId="3500"/>
    <cellStyle name="Cálculo 3 67 10" xfId="3501"/>
    <cellStyle name="Cálculo 3 67 10 2" xfId="3502"/>
    <cellStyle name="Cálculo 3 67 11" xfId="3503"/>
    <cellStyle name="Cálculo 3 67 11 2" xfId="3504"/>
    <cellStyle name="Cálculo 3 67 12" xfId="3505"/>
    <cellStyle name="Cálculo 3 67 12 2" xfId="3506"/>
    <cellStyle name="Cálculo 3 67 13" xfId="3507"/>
    <cellStyle name="Cálculo 3 67 13 2" xfId="3508"/>
    <cellStyle name="Cálculo 3 67 14" xfId="3509"/>
    <cellStyle name="Cálculo 3 67 2" xfId="3510"/>
    <cellStyle name="Cálculo 3 67 2 2" xfId="3511"/>
    <cellStyle name="Cálculo 3 67 3" xfId="3512"/>
    <cellStyle name="Cálculo 3 67 3 2" xfId="3513"/>
    <cellStyle name="Cálculo 3 67 4" xfId="3514"/>
    <cellStyle name="Cálculo 3 67 4 2" xfId="3515"/>
    <cellStyle name="Cálculo 3 67 5" xfId="3516"/>
    <cellStyle name="Cálculo 3 67 5 2" xfId="3517"/>
    <cellStyle name="Cálculo 3 67 6" xfId="3518"/>
    <cellStyle name="Cálculo 3 67 6 2" xfId="3519"/>
    <cellStyle name="Cálculo 3 67 7" xfId="3520"/>
    <cellStyle name="Cálculo 3 67 7 2" xfId="3521"/>
    <cellStyle name="Cálculo 3 67 8" xfId="3522"/>
    <cellStyle name="Cálculo 3 67 8 2" xfId="3523"/>
    <cellStyle name="Cálculo 3 67 9" xfId="3524"/>
    <cellStyle name="Cálculo 3 67 9 2" xfId="3525"/>
    <cellStyle name="Cálculo 3 68" xfId="3526"/>
    <cellStyle name="Cálculo 3 68 10" xfId="3527"/>
    <cellStyle name="Cálculo 3 68 10 2" xfId="3528"/>
    <cellStyle name="Cálculo 3 68 11" xfId="3529"/>
    <cellStyle name="Cálculo 3 68 11 2" xfId="3530"/>
    <cellStyle name="Cálculo 3 68 12" xfId="3531"/>
    <cellStyle name="Cálculo 3 68 12 2" xfId="3532"/>
    <cellStyle name="Cálculo 3 68 13" xfId="3533"/>
    <cellStyle name="Cálculo 3 68 13 2" xfId="3534"/>
    <cellStyle name="Cálculo 3 68 14" xfId="3535"/>
    <cellStyle name="Cálculo 3 68 2" xfId="3536"/>
    <cellStyle name="Cálculo 3 68 2 2" xfId="3537"/>
    <cellStyle name="Cálculo 3 68 3" xfId="3538"/>
    <cellStyle name="Cálculo 3 68 3 2" xfId="3539"/>
    <cellStyle name="Cálculo 3 68 4" xfId="3540"/>
    <cellStyle name="Cálculo 3 68 4 2" xfId="3541"/>
    <cellStyle name="Cálculo 3 68 5" xfId="3542"/>
    <cellStyle name="Cálculo 3 68 5 2" xfId="3543"/>
    <cellStyle name="Cálculo 3 68 6" xfId="3544"/>
    <cellStyle name="Cálculo 3 68 6 2" xfId="3545"/>
    <cellStyle name="Cálculo 3 68 7" xfId="3546"/>
    <cellStyle name="Cálculo 3 68 7 2" xfId="3547"/>
    <cellStyle name="Cálculo 3 68 8" xfId="3548"/>
    <cellStyle name="Cálculo 3 68 8 2" xfId="3549"/>
    <cellStyle name="Cálculo 3 68 9" xfId="3550"/>
    <cellStyle name="Cálculo 3 68 9 2" xfId="3551"/>
    <cellStyle name="Cálculo 3 69" xfId="3552"/>
    <cellStyle name="Cálculo 3 69 10" xfId="3553"/>
    <cellStyle name="Cálculo 3 69 10 2" xfId="3554"/>
    <cellStyle name="Cálculo 3 69 11" xfId="3555"/>
    <cellStyle name="Cálculo 3 69 11 2" xfId="3556"/>
    <cellStyle name="Cálculo 3 69 12" xfId="3557"/>
    <cellStyle name="Cálculo 3 69 12 2" xfId="3558"/>
    <cellStyle name="Cálculo 3 69 13" xfId="3559"/>
    <cellStyle name="Cálculo 3 69 13 2" xfId="3560"/>
    <cellStyle name="Cálculo 3 69 14" xfId="3561"/>
    <cellStyle name="Cálculo 3 69 2" xfId="3562"/>
    <cellStyle name="Cálculo 3 69 2 2" xfId="3563"/>
    <cellStyle name="Cálculo 3 69 3" xfId="3564"/>
    <cellStyle name="Cálculo 3 69 3 2" xfId="3565"/>
    <cellStyle name="Cálculo 3 69 4" xfId="3566"/>
    <cellStyle name="Cálculo 3 69 4 2" xfId="3567"/>
    <cellStyle name="Cálculo 3 69 5" xfId="3568"/>
    <cellStyle name="Cálculo 3 69 5 2" xfId="3569"/>
    <cellStyle name="Cálculo 3 69 6" xfId="3570"/>
    <cellStyle name="Cálculo 3 69 6 2" xfId="3571"/>
    <cellStyle name="Cálculo 3 69 7" xfId="3572"/>
    <cellStyle name="Cálculo 3 69 7 2" xfId="3573"/>
    <cellStyle name="Cálculo 3 69 8" xfId="3574"/>
    <cellStyle name="Cálculo 3 69 8 2" xfId="3575"/>
    <cellStyle name="Cálculo 3 69 9" xfId="3576"/>
    <cellStyle name="Cálculo 3 69 9 2" xfId="3577"/>
    <cellStyle name="Cálculo 3 7" xfId="3578"/>
    <cellStyle name="Cálculo 3 7 10" xfId="3579"/>
    <cellStyle name="Cálculo 3 7 10 2" xfId="3580"/>
    <cellStyle name="Cálculo 3 7 11" xfId="3581"/>
    <cellStyle name="Cálculo 3 7 11 2" xfId="3582"/>
    <cellStyle name="Cálculo 3 7 12" xfId="3583"/>
    <cellStyle name="Cálculo 3 7 12 2" xfId="3584"/>
    <cellStyle name="Cálculo 3 7 13" xfId="3585"/>
    <cellStyle name="Cálculo 3 7 13 2" xfId="3586"/>
    <cellStyle name="Cálculo 3 7 14" xfId="3587"/>
    <cellStyle name="Cálculo 3 7 2" xfId="3588"/>
    <cellStyle name="Cálculo 3 7 2 2" xfId="3589"/>
    <cellStyle name="Cálculo 3 7 3" xfId="3590"/>
    <cellStyle name="Cálculo 3 7 3 2" xfId="3591"/>
    <cellStyle name="Cálculo 3 7 4" xfId="3592"/>
    <cellStyle name="Cálculo 3 7 4 2" xfId="3593"/>
    <cellStyle name="Cálculo 3 7 5" xfId="3594"/>
    <cellStyle name="Cálculo 3 7 5 2" xfId="3595"/>
    <cellStyle name="Cálculo 3 7 6" xfId="3596"/>
    <cellStyle name="Cálculo 3 7 6 2" xfId="3597"/>
    <cellStyle name="Cálculo 3 7 7" xfId="3598"/>
    <cellStyle name="Cálculo 3 7 7 2" xfId="3599"/>
    <cellStyle name="Cálculo 3 7 8" xfId="3600"/>
    <cellStyle name="Cálculo 3 7 8 2" xfId="3601"/>
    <cellStyle name="Cálculo 3 7 9" xfId="3602"/>
    <cellStyle name="Cálculo 3 7 9 2" xfId="3603"/>
    <cellStyle name="Cálculo 3 70" xfId="3604"/>
    <cellStyle name="Cálculo 3 70 10" xfId="3605"/>
    <cellStyle name="Cálculo 3 70 10 2" xfId="3606"/>
    <cellStyle name="Cálculo 3 70 11" xfId="3607"/>
    <cellStyle name="Cálculo 3 70 11 2" xfId="3608"/>
    <cellStyle name="Cálculo 3 70 12" xfId="3609"/>
    <cellStyle name="Cálculo 3 70 12 2" xfId="3610"/>
    <cellStyle name="Cálculo 3 70 13" xfId="3611"/>
    <cellStyle name="Cálculo 3 70 13 2" xfId="3612"/>
    <cellStyle name="Cálculo 3 70 14" xfId="3613"/>
    <cellStyle name="Cálculo 3 70 2" xfId="3614"/>
    <cellStyle name="Cálculo 3 70 2 2" xfId="3615"/>
    <cellStyle name="Cálculo 3 70 3" xfId="3616"/>
    <cellStyle name="Cálculo 3 70 3 2" xfId="3617"/>
    <cellStyle name="Cálculo 3 70 4" xfId="3618"/>
    <cellStyle name="Cálculo 3 70 4 2" xfId="3619"/>
    <cellStyle name="Cálculo 3 70 5" xfId="3620"/>
    <cellStyle name="Cálculo 3 70 5 2" xfId="3621"/>
    <cellStyle name="Cálculo 3 70 6" xfId="3622"/>
    <cellStyle name="Cálculo 3 70 6 2" xfId="3623"/>
    <cellStyle name="Cálculo 3 70 7" xfId="3624"/>
    <cellStyle name="Cálculo 3 70 7 2" xfId="3625"/>
    <cellStyle name="Cálculo 3 70 8" xfId="3626"/>
    <cellStyle name="Cálculo 3 70 8 2" xfId="3627"/>
    <cellStyle name="Cálculo 3 70 9" xfId="3628"/>
    <cellStyle name="Cálculo 3 70 9 2" xfId="3629"/>
    <cellStyle name="Cálculo 3 71" xfId="3630"/>
    <cellStyle name="Cálculo 3 71 2" xfId="3631"/>
    <cellStyle name="Cálculo 3 72" xfId="3632"/>
    <cellStyle name="Cálculo 3 72 2" xfId="3633"/>
    <cellStyle name="Cálculo 3 73" xfId="3634"/>
    <cellStyle name="Cálculo 3 73 2" xfId="3635"/>
    <cellStyle name="Cálculo 3 74" xfId="3636"/>
    <cellStyle name="Cálculo 3 74 2" xfId="3637"/>
    <cellStyle name="Cálculo 3 75" xfId="3638"/>
    <cellStyle name="Cálculo 3 75 2" xfId="3639"/>
    <cellStyle name="Cálculo 3 76" xfId="3640"/>
    <cellStyle name="Cálculo 3 76 2" xfId="3641"/>
    <cellStyle name="Cálculo 3 77" xfId="3642"/>
    <cellStyle name="Cálculo 3 77 2" xfId="3643"/>
    <cellStyle name="Cálculo 3 78" xfId="3644"/>
    <cellStyle name="Cálculo 3 78 2" xfId="3645"/>
    <cellStyle name="Cálculo 3 79" xfId="3646"/>
    <cellStyle name="Cálculo 3 79 2" xfId="3647"/>
    <cellStyle name="Cálculo 3 8" xfId="3648"/>
    <cellStyle name="Cálculo 3 8 10" xfId="3649"/>
    <cellStyle name="Cálculo 3 8 10 2" xfId="3650"/>
    <cellStyle name="Cálculo 3 8 11" xfId="3651"/>
    <cellStyle name="Cálculo 3 8 11 2" xfId="3652"/>
    <cellStyle name="Cálculo 3 8 12" xfId="3653"/>
    <cellStyle name="Cálculo 3 8 12 2" xfId="3654"/>
    <cellStyle name="Cálculo 3 8 13" xfId="3655"/>
    <cellStyle name="Cálculo 3 8 13 2" xfId="3656"/>
    <cellStyle name="Cálculo 3 8 14" xfId="3657"/>
    <cellStyle name="Cálculo 3 8 2" xfId="3658"/>
    <cellStyle name="Cálculo 3 8 2 2" xfId="3659"/>
    <cellStyle name="Cálculo 3 8 3" xfId="3660"/>
    <cellStyle name="Cálculo 3 8 3 2" xfId="3661"/>
    <cellStyle name="Cálculo 3 8 4" xfId="3662"/>
    <cellStyle name="Cálculo 3 8 4 2" xfId="3663"/>
    <cellStyle name="Cálculo 3 8 5" xfId="3664"/>
    <cellStyle name="Cálculo 3 8 5 2" xfId="3665"/>
    <cellStyle name="Cálculo 3 8 6" xfId="3666"/>
    <cellStyle name="Cálculo 3 8 6 2" xfId="3667"/>
    <cellStyle name="Cálculo 3 8 7" xfId="3668"/>
    <cellStyle name="Cálculo 3 8 7 2" xfId="3669"/>
    <cellStyle name="Cálculo 3 8 8" xfId="3670"/>
    <cellStyle name="Cálculo 3 8 8 2" xfId="3671"/>
    <cellStyle name="Cálculo 3 8 9" xfId="3672"/>
    <cellStyle name="Cálculo 3 8 9 2" xfId="3673"/>
    <cellStyle name="Cálculo 3 80" xfId="3674"/>
    <cellStyle name="Cálculo 3 80 2" xfId="3675"/>
    <cellStyle name="Cálculo 3 81" xfId="3676"/>
    <cellStyle name="Cálculo 3 81 2" xfId="3677"/>
    <cellStyle name="Cálculo 3 82" xfId="3678"/>
    <cellStyle name="Cálculo 3 9" xfId="3679"/>
    <cellStyle name="Cálculo 3 9 10" xfId="3680"/>
    <cellStyle name="Cálculo 3 9 10 2" xfId="3681"/>
    <cellStyle name="Cálculo 3 9 11" xfId="3682"/>
    <cellStyle name="Cálculo 3 9 11 2" xfId="3683"/>
    <cellStyle name="Cálculo 3 9 12" xfId="3684"/>
    <cellStyle name="Cálculo 3 9 12 2" xfId="3685"/>
    <cellStyle name="Cálculo 3 9 13" xfId="3686"/>
    <cellStyle name="Cálculo 3 9 13 2" xfId="3687"/>
    <cellStyle name="Cálculo 3 9 14" xfId="3688"/>
    <cellStyle name="Cálculo 3 9 2" xfId="3689"/>
    <cellStyle name="Cálculo 3 9 2 2" xfId="3690"/>
    <cellStyle name="Cálculo 3 9 3" xfId="3691"/>
    <cellStyle name="Cálculo 3 9 3 2" xfId="3692"/>
    <cellStyle name="Cálculo 3 9 4" xfId="3693"/>
    <cellStyle name="Cálculo 3 9 4 2" xfId="3694"/>
    <cellStyle name="Cálculo 3 9 5" xfId="3695"/>
    <cellStyle name="Cálculo 3 9 5 2" xfId="3696"/>
    <cellStyle name="Cálculo 3 9 6" xfId="3697"/>
    <cellStyle name="Cálculo 3 9 6 2" xfId="3698"/>
    <cellStyle name="Cálculo 3 9 7" xfId="3699"/>
    <cellStyle name="Cálculo 3 9 7 2" xfId="3700"/>
    <cellStyle name="Cálculo 3 9 8" xfId="3701"/>
    <cellStyle name="Cálculo 3 9 8 2" xfId="3702"/>
    <cellStyle name="Cálculo 3 9 9" xfId="3703"/>
    <cellStyle name="Cálculo 3 9 9 2" xfId="3704"/>
    <cellStyle name="Celda de comprobación 2" xfId="3705"/>
    <cellStyle name="Celda de comprobación 2 2" xfId="3706"/>
    <cellStyle name="Celda de comprobación 3" xfId="3707"/>
    <cellStyle name="Celda vinculada 2" xfId="3708"/>
    <cellStyle name="Celda vinculada 2 2" xfId="3709"/>
    <cellStyle name="Celda vinculada 3" xfId="3710"/>
    <cellStyle name="Encabezado 4 2" xfId="3711"/>
    <cellStyle name="Encabezado 4 2 2" xfId="3712"/>
    <cellStyle name="Encabezado 4 3" xfId="3713"/>
    <cellStyle name="Énfasis1 2" xfId="3714"/>
    <cellStyle name="Énfasis1 2 2" xfId="3715"/>
    <cellStyle name="Énfasis1 3" xfId="3716"/>
    <cellStyle name="Énfasis2 2" xfId="3717"/>
    <cellStyle name="Énfasis2 2 2" xfId="3718"/>
    <cellStyle name="Énfasis2 3" xfId="3719"/>
    <cellStyle name="Énfasis3 2" xfId="3720"/>
    <cellStyle name="Énfasis3 2 2" xfId="3721"/>
    <cellStyle name="Énfasis3 3" xfId="3722"/>
    <cellStyle name="Énfasis4 2" xfId="3723"/>
    <cellStyle name="Énfasis4 2 2" xfId="3724"/>
    <cellStyle name="Énfasis4 3" xfId="3725"/>
    <cellStyle name="Énfasis5 2" xfId="3726"/>
    <cellStyle name="Énfasis5 2 2" xfId="3727"/>
    <cellStyle name="Énfasis5 3" xfId="3728"/>
    <cellStyle name="Énfasis6 2" xfId="3729"/>
    <cellStyle name="Énfasis6 2 2" xfId="3730"/>
    <cellStyle name="Énfasis6 3" xfId="3731"/>
    <cellStyle name="Entrada 2" xfId="3732"/>
    <cellStyle name="Entrada 2 10" xfId="3733"/>
    <cellStyle name="Entrada 2 10 10" xfId="3734"/>
    <cellStyle name="Entrada 2 10 10 2" xfId="3735"/>
    <cellStyle name="Entrada 2 10 11" xfId="3736"/>
    <cellStyle name="Entrada 2 10 11 2" xfId="3737"/>
    <cellStyle name="Entrada 2 10 12" xfId="3738"/>
    <cellStyle name="Entrada 2 10 12 2" xfId="3739"/>
    <cellStyle name="Entrada 2 10 13" xfId="3740"/>
    <cellStyle name="Entrada 2 10 13 2" xfId="3741"/>
    <cellStyle name="Entrada 2 10 14" xfId="3742"/>
    <cellStyle name="Entrada 2 10 2" xfId="3743"/>
    <cellStyle name="Entrada 2 10 2 2" xfId="3744"/>
    <cellStyle name="Entrada 2 10 3" xfId="3745"/>
    <cellStyle name="Entrada 2 10 3 2" xfId="3746"/>
    <cellStyle name="Entrada 2 10 4" xfId="3747"/>
    <cellStyle name="Entrada 2 10 4 2" xfId="3748"/>
    <cellStyle name="Entrada 2 10 5" xfId="3749"/>
    <cellStyle name="Entrada 2 10 5 2" xfId="3750"/>
    <cellStyle name="Entrada 2 10 6" xfId="3751"/>
    <cellStyle name="Entrada 2 10 6 2" xfId="3752"/>
    <cellStyle name="Entrada 2 10 7" xfId="3753"/>
    <cellStyle name="Entrada 2 10 7 2" xfId="3754"/>
    <cellStyle name="Entrada 2 10 8" xfId="3755"/>
    <cellStyle name="Entrada 2 10 8 2" xfId="3756"/>
    <cellStyle name="Entrada 2 10 9" xfId="3757"/>
    <cellStyle name="Entrada 2 10 9 2" xfId="3758"/>
    <cellStyle name="Entrada 2 11" xfId="3759"/>
    <cellStyle name="Entrada 2 11 10" xfId="3760"/>
    <cellStyle name="Entrada 2 11 10 2" xfId="3761"/>
    <cellStyle name="Entrada 2 11 11" xfId="3762"/>
    <cellStyle name="Entrada 2 11 11 2" xfId="3763"/>
    <cellStyle name="Entrada 2 11 12" xfId="3764"/>
    <cellStyle name="Entrada 2 11 12 2" xfId="3765"/>
    <cellStyle name="Entrada 2 11 13" xfId="3766"/>
    <cellStyle name="Entrada 2 11 13 2" xfId="3767"/>
    <cellStyle name="Entrada 2 11 14" xfId="3768"/>
    <cellStyle name="Entrada 2 11 2" xfId="3769"/>
    <cellStyle name="Entrada 2 11 2 2" xfId="3770"/>
    <cellStyle name="Entrada 2 11 3" xfId="3771"/>
    <cellStyle name="Entrada 2 11 3 2" xfId="3772"/>
    <cellStyle name="Entrada 2 11 4" xfId="3773"/>
    <cellStyle name="Entrada 2 11 4 2" xfId="3774"/>
    <cellStyle name="Entrada 2 11 5" xfId="3775"/>
    <cellStyle name="Entrada 2 11 5 2" xfId="3776"/>
    <cellStyle name="Entrada 2 11 6" xfId="3777"/>
    <cellStyle name="Entrada 2 11 6 2" xfId="3778"/>
    <cellStyle name="Entrada 2 11 7" xfId="3779"/>
    <cellStyle name="Entrada 2 11 7 2" xfId="3780"/>
    <cellStyle name="Entrada 2 11 8" xfId="3781"/>
    <cellStyle name="Entrada 2 11 8 2" xfId="3782"/>
    <cellStyle name="Entrada 2 11 9" xfId="3783"/>
    <cellStyle name="Entrada 2 11 9 2" xfId="3784"/>
    <cellStyle name="Entrada 2 12" xfId="3785"/>
    <cellStyle name="Entrada 2 12 10" xfId="3786"/>
    <cellStyle name="Entrada 2 12 10 2" xfId="3787"/>
    <cellStyle name="Entrada 2 12 11" xfId="3788"/>
    <cellStyle name="Entrada 2 12 11 2" xfId="3789"/>
    <cellStyle name="Entrada 2 12 12" xfId="3790"/>
    <cellStyle name="Entrada 2 12 12 2" xfId="3791"/>
    <cellStyle name="Entrada 2 12 13" xfId="3792"/>
    <cellStyle name="Entrada 2 12 13 2" xfId="3793"/>
    <cellStyle name="Entrada 2 12 14" xfId="3794"/>
    <cellStyle name="Entrada 2 12 2" xfId="3795"/>
    <cellStyle name="Entrada 2 12 2 2" xfId="3796"/>
    <cellStyle name="Entrada 2 12 3" xfId="3797"/>
    <cellStyle name="Entrada 2 12 3 2" xfId="3798"/>
    <cellStyle name="Entrada 2 12 4" xfId="3799"/>
    <cellStyle name="Entrada 2 12 4 2" xfId="3800"/>
    <cellStyle name="Entrada 2 12 5" xfId="3801"/>
    <cellStyle name="Entrada 2 12 5 2" xfId="3802"/>
    <cellStyle name="Entrada 2 12 6" xfId="3803"/>
    <cellStyle name="Entrada 2 12 6 2" xfId="3804"/>
    <cellStyle name="Entrada 2 12 7" xfId="3805"/>
    <cellStyle name="Entrada 2 12 7 2" xfId="3806"/>
    <cellStyle name="Entrada 2 12 8" xfId="3807"/>
    <cellStyle name="Entrada 2 12 8 2" xfId="3808"/>
    <cellStyle name="Entrada 2 12 9" xfId="3809"/>
    <cellStyle name="Entrada 2 12 9 2" xfId="3810"/>
    <cellStyle name="Entrada 2 13" xfId="3811"/>
    <cellStyle name="Entrada 2 13 10" xfId="3812"/>
    <cellStyle name="Entrada 2 13 10 2" xfId="3813"/>
    <cellStyle name="Entrada 2 13 11" xfId="3814"/>
    <cellStyle name="Entrada 2 13 11 2" xfId="3815"/>
    <cellStyle name="Entrada 2 13 12" xfId="3816"/>
    <cellStyle name="Entrada 2 13 12 2" xfId="3817"/>
    <cellStyle name="Entrada 2 13 13" xfId="3818"/>
    <cellStyle name="Entrada 2 13 13 2" xfId="3819"/>
    <cellStyle name="Entrada 2 13 14" xfId="3820"/>
    <cellStyle name="Entrada 2 13 2" xfId="3821"/>
    <cellStyle name="Entrada 2 13 2 2" xfId="3822"/>
    <cellStyle name="Entrada 2 13 3" xfId="3823"/>
    <cellStyle name="Entrada 2 13 3 2" xfId="3824"/>
    <cellStyle name="Entrada 2 13 4" xfId="3825"/>
    <cellStyle name="Entrada 2 13 4 2" xfId="3826"/>
    <cellStyle name="Entrada 2 13 5" xfId="3827"/>
    <cellStyle name="Entrada 2 13 5 2" xfId="3828"/>
    <cellStyle name="Entrada 2 13 6" xfId="3829"/>
    <cellStyle name="Entrada 2 13 6 2" xfId="3830"/>
    <cellStyle name="Entrada 2 13 7" xfId="3831"/>
    <cellStyle name="Entrada 2 13 7 2" xfId="3832"/>
    <cellStyle name="Entrada 2 13 8" xfId="3833"/>
    <cellStyle name="Entrada 2 13 8 2" xfId="3834"/>
    <cellStyle name="Entrada 2 13 9" xfId="3835"/>
    <cellStyle name="Entrada 2 13 9 2" xfId="3836"/>
    <cellStyle name="Entrada 2 14" xfId="3837"/>
    <cellStyle name="Entrada 2 14 10" xfId="3838"/>
    <cellStyle name="Entrada 2 14 10 2" xfId="3839"/>
    <cellStyle name="Entrada 2 14 11" xfId="3840"/>
    <cellStyle name="Entrada 2 14 11 2" xfId="3841"/>
    <cellStyle name="Entrada 2 14 12" xfId="3842"/>
    <cellStyle name="Entrada 2 14 12 2" xfId="3843"/>
    <cellStyle name="Entrada 2 14 13" xfId="3844"/>
    <cellStyle name="Entrada 2 14 13 2" xfId="3845"/>
    <cellStyle name="Entrada 2 14 14" xfId="3846"/>
    <cellStyle name="Entrada 2 14 2" xfId="3847"/>
    <cellStyle name="Entrada 2 14 2 2" xfId="3848"/>
    <cellStyle name="Entrada 2 14 3" xfId="3849"/>
    <cellStyle name="Entrada 2 14 3 2" xfId="3850"/>
    <cellStyle name="Entrada 2 14 4" xfId="3851"/>
    <cellStyle name="Entrada 2 14 4 2" xfId="3852"/>
    <cellStyle name="Entrada 2 14 5" xfId="3853"/>
    <cellStyle name="Entrada 2 14 5 2" xfId="3854"/>
    <cellStyle name="Entrada 2 14 6" xfId="3855"/>
    <cellStyle name="Entrada 2 14 6 2" xfId="3856"/>
    <cellStyle name="Entrada 2 14 7" xfId="3857"/>
    <cellStyle name="Entrada 2 14 7 2" xfId="3858"/>
    <cellStyle name="Entrada 2 14 8" xfId="3859"/>
    <cellStyle name="Entrada 2 14 8 2" xfId="3860"/>
    <cellStyle name="Entrada 2 14 9" xfId="3861"/>
    <cellStyle name="Entrada 2 14 9 2" xfId="3862"/>
    <cellStyle name="Entrada 2 15" xfId="3863"/>
    <cellStyle name="Entrada 2 15 10" xfId="3864"/>
    <cellStyle name="Entrada 2 15 10 2" xfId="3865"/>
    <cellStyle name="Entrada 2 15 11" xfId="3866"/>
    <cellStyle name="Entrada 2 15 11 2" xfId="3867"/>
    <cellStyle name="Entrada 2 15 12" xfId="3868"/>
    <cellStyle name="Entrada 2 15 12 2" xfId="3869"/>
    <cellStyle name="Entrada 2 15 13" xfId="3870"/>
    <cellStyle name="Entrada 2 15 13 2" xfId="3871"/>
    <cellStyle name="Entrada 2 15 14" xfId="3872"/>
    <cellStyle name="Entrada 2 15 2" xfId="3873"/>
    <cellStyle name="Entrada 2 15 2 2" xfId="3874"/>
    <cellStyle name="Entrada 2 15 3" xfId="3875"/>
    <cellStyle name="Entrada 2 15 3 2" xfId="3876"/>
    <cellStyle name="Entrada 2 15 4" xfId="3877"/>
    <cellStyle name="Entrada 2 15 4 2" xfId="3878"/>
    <cellStyle name="Entrada 2 15 5" xfId="3879"/>
    <cellStyle name="Entrada 2 15 5 2" xfId="3880"/>
    <cellStyle name="Entrada 2 15 6" xfId="3881"/>
    <cellStyle name="Entrada 2 15 6 2" xfId="3882"/>
    <cellStyle name="Entrada 2 15 7" xfId="3883"/>
    <cellStyle name="Entrada 2 15 7 2" xfId="3884"/>
    <cellStyle name="Entrada 2 15 8" xfId="3885"/>
    <cellStyle name="Entrada 2 15 8 2" xfId="3886"/>
    <cellStyle name="Entrada 2 15 9" xfId="3887"/>
    <cellStyle name="Entrada 2 15 9 2" xfId="3888"/>
    <cellStyle name="Entrada 2 16" xfId="3889"/>
    <cellStyle name="Entrada 2 16 10" xfId="3890"/>
    <cellStyle name="Entrada 2 16 10 2" xfId="3891"/>
    <cellStyle name="Entrada 2 16 11" xfId="3892"/>
    <cellStyle name="Entrada 2 16 11 2" xfId="3893"/>
    <cellStyle name="Entrada 2 16 12" xfId="3894"/>
    <cellStyle name="Entrada 2 16 12 2" xfId="3895"/>
    <cellStyle name="Entrada 2 16 13" xfId="3896"/>
    <cellStyle name="Entrada 2 16 13 2" xfId="3897"/>
    <cellStyle name="Entrada 2 16 14" xfId="3898"/>
    <cellStyle name="Entrada 2 16 2" xfId="3899"/>
    <cellStyle name="Entrada 2 16 2 2" xfId="3900"/>
    <cellStyle name="Entrada 2 16 3" xfId="3901"/>
    <cellStyle name="Entrada 2 16 3 2" xfId="3902"/>
    <cellStyle name="Entrada 2 16 4" xfId="3903"/>
    <cellStyle name="Entrada 2 16 4 2" xfId="3904"/>
    <cellStyle name="Entrada 2 16 5" xfId="3905"/>
    <cellStyle name="Entrada 2 16 5 2" xfId="3906"/>
    <cellStyle name="Entrada 2 16 6" xfId="3907"/>
    <cellStyle name="Entrada 2 16 6 2" xfId="3908"/>
    <cellStyle name="Entrada 2 16 7" xfId="3909"/>
    <cellStyle name="Entrada 2 16 7 2" xfId="3910"/>
    <cellStyle name="Entrada 2 16 8" xfId="3911"/>
    <cellStyle name="Entrada 2 16 8 2" xfId="3912"/>
    <cellStyle name="Entrada 2 16 9" xfId="3913"/>
    <cellStyle name="Entrada 2 16 9 2" xfId="3914"/>
    <cellStyle name="Entrada 2 17" xfId="3915"/>
    <cellStyle name="Entrada 2 17 10" xfId="3916"/>
    <cellStyle name="Entrada 2 17 10 2" xfId="3917"/>
    <cellStyle name="Entrada 2 17 11" xfId="3918"/>
    <cellStyle name="Entrada 2 17 11 2" xfId="3919"/>
    <cellStyle name="Entrada 2 17 12" xfId="3920"/>
    <cellStyle name="Entrada 2 17 12 2" xfId="3921"/>
    <cellStyle name="Entrada 2 17 13" xfId="3922"/>
    <cellStyle name="Entrada 2 17 13 2" xfId="3923"/>
    <cellStyle name="Entrada 2 17 14" xfId="3924"/>
    <cellStyle name="Entrada 2 17 2" xfId="3925"/>
    <cellStyle name="Entrada 2 17 2 2" xfId="3926"/>
    <cellStyle name="Entrada 2 17 3" xfId="3927"/>
    <cellStyle name="Entrada 2 17 3 2" xfId="3928"/>
    <cellStyle name="Entrada 2 17 4" xfId="3929"/>
    <cellStyle name="Entrada 2 17 4 2" xfId="3930"/>
    <cellStyle name="Entrada 2 17 5" xfId="3931"/>
    <cellStyle name="Entrada 2 17 5 2" xfId="3932"/>
    <cellStyle name="Entrada 2 17 6" xfId="3933"/>
    <cellStyle name="Entrada 2 17 6 2" xfId="3934"/>
    <cellStyle name="Entrada 2 17 7" xfId="3935"/>
    <cellStyle name="Entrada 2 17 7 2" xfId="3936"/>
    <cellStyle name="Entrada 2 17 8" xfId="3937"/>
    <cellStyle name="Entrada 2 17 8 2" xfId="3938"/>
    <cellStyle name="Entrada 2 17 9" xfId="3939"/>
    <cellStyle name="Entrada 2 17 9 2" xfId="3940"/>
    <cellStyle name="Entrada 2 18" xfId="3941"/>
    <cellStyle name="Entrada 2 18 10" xfId="3942"/>
    <cellStyle name="Entrada 2 18 10 2" xfId="3943"/>
    <cellStyle name="Entrada 2 18 11" xfId="3944"/>
    <cellStyle name="Entrada 2 18 11 2" xfId="3945"/>
    <cellStyle name="Entrada 2 18 12" xfId="3946"/>
    <cellStyle name="Entrada 2 18 12 2" xfId="3947"/>
    <cellStyle name="Entrada 2 18 13" xfId="3948"/>
    <cellStyle name="Entrada 2 18 13 2" xfId="3949"/>
    <cellStyle name="Entrada 2 18 14" xfId="3950"/>
    <cellStyle name="Entrada 2 18 2" xfId="3951"/>
    <cellStyle name="Entrada 2 18 2 2" xfId="3952"/>
    <cellStyle name="Entrada 2 18 3" xfId="3953"/>
    <cellStyle name="Entrada 2 18 3 2" xfId="3954"/>
    <cellStyle name="Entrada 2 18 4" xfId="3955"/>
    <cellStyle name="Entrada 2 18 4 2" xfId="3956"/>
    <cellStyle name="Entrada 2 18 5" xfId="3957"/>
    <cellStyle name="Entrada 2 18 5 2" xfId="3958"/>
    <cellStyle name="Entrada 2 18 6" xfId="3959"/>
    <cellStyle name="Entrada 2 18 6 2" xfId="3960"/>
    <cellStyle name="Entrada 2 18 7" xfId="3961"/>
    <cellStyle name="Entrada 2 18 7 2" xfId="3962"/>
    <cellStyle name="Entrada 2 18 8" xfId="3963"/>
    <cellStyle name="Entrada 2 18 8 2" xfId="3964"/>
    <cellStyle name="Entrada 2 18 9" xfId="3965"/>
    <cellStyle name="Entrada 2 18 9 2" xfId="3966"/>
    <cellStyle name="Entrada 2 19" xfId="3967"/>
    <cellStyle name="Entrada 2 19 10" xfId="3968"/>
    <cellStyle name="Entrada 2 19 10 2" xfId="3969"/>
    <cellStyle name="Entrada 2 19 11" xfId="3970"/>
    <cellStyle name="Entrada 2 19 11 2" xfId="3971"/>
    <cellStyle name="Entrada 2 19 12" xfId="3972"/>
    <cellStyle name="Entrada 2 19 12 2" xfId="3973"/>
    <cellStyle name="Entrada 2 19 13" xfId="3974"/>
    <cellStyle name="Entrada 2 19 13 2" xfId="3975"/>
    <cellStyle name="Entrada 2 19 14" xfId="3976"/>
    <cellStyle name="Entrada 2 19 2" xfId="3977"/>
    <cellStyle name="Entrada 2 19 2 2" xfId="3978"/>
    <cellStyle name="Entrada 2 19 3" xfId="3979"/>
    <cellStyle name="Entrada 2 19 3 2" xfId="3980"/>
    <cellStyle name="Entrada 2 19 4" xfId="3981"/>
    <cellStyle name="Entrada 2 19 4 2" xfId="3982"/>
    <cellStyle name="Entrada 2 19 5" xfId="3983"/>
    <cellStyle name="Entrada 2 19 5 2" xfId="3984"/>
    <cellStyle name="Entrada 2 19 6" xfId="3985"/>
    <cellStyle name="Entrada 2 19 6 2" xfId="3986"/>
    <cellStyle name="Entrada 2 19 7" xfId="3987"/>
    <cellStyle name="Entrada 2 19 7 2" xfId="3988"/>
    <cellStyle name="Entrada 2 19 8" xfId="3989"/>
    <cellStyle name="Entrada 2 19 8 2" xfId="3990"/>
    <cellStyle name="Entrada 2 19 9" xfId="3991"/>
    <cellStyle name="Entrada 2 19 9 2" xfId="3992"/>
    <cellStyle name="Entrada 2 2" xfId="3993"/>
    <cellStyle name="Entrada 2 2 10" xfId="3994"/>
    <cellStyle name="Entrada 2 2 10 2" xfId="3995"/>
    <cellStyle name="Entrada 2 2 11" xfId="3996"/>
    <cellStyle name="Entrada 2 2 11 2" xfId="3997"/>
    <cellStyle name="Entrada 2 2 12" xfId="3998"/>
    <cellStyle name="Entrada 2 2 12 2" xfId="3999"/>
    <cellStyle name="Entrada 2 2 13" xfId="4000"/>
    <cellStyle name="Entrada 2 2 13 2" xfId="4001"/>
    <cellStyle name="Entrada 2 2 14" xfId="4002"/>
    <cellStyle name="Entrada 2 2 2" xfId="4003"/>
    <cellStyle name="Entrada 2 2 2 2" xfId="4004"/>
    <cellStyle name="Entrada 2 2 3" xfId="4005"/>
    <cellStyle name="Entrada 2 2 3 2" xfId="4006"/>
    <cellStyle name="Entrada 2 2 4" xfId="4007"/>
    <cellStyle name="Entrada 2 2 4 2" xfId="4008"/>
    <cellStyle name="Entrada 2 2 5" xfId="4009"/>
    <cellStyle name="Entrada 2 2 5 2" xfId="4010"/>
    <cellStyle name="Entrada 2 2 6" xfId="4011"/>
    <cellStyle name="Entrada 2 2 6 2" xfId="4012"/>
    <cellStyle name="Entrada 2 2 7" xfId="4013"/>
    <cellStyle name="Entrada 2 2 7 2" xfId="4014"/>
    <cellStyle name="Entrada 2 2 8" xfId="4015"/>
    <cellStyle name="Entrada 2 2 8 2" xfId="4016"/>
    <cellStyle name="Entrada 2 2 9" xfId="4017"/>
    <cellStyle name="Entrada 2 2 9 2" xfId="4018"/>
    <cellStyle name="Entrada 2 20" xfId="4019"/>
    <cellStyle name="Entrada 2 20 10" xfId="4020"/>
    <cellStyle name="Entrada 2 20 10 2" xfId="4021"/>
    <cellStyle name="Entrada 2 20 11" xfId="4022"/>
    <cellStyle name="Entrada 2 20 11 2" xfId="4023"/>
    <cellStyle name="Entrada 2 20 12" xfId="4024"/>
    <cellStyle name="Entrada 2 20 12 2" xfId="4025"/>
    <cellStyle name="Entrada 2 20 13" xfId="4026"/>
    <cellStyle name="Entrada 2 20 13 2" xfId="4027"/>
    <cellStyle name="Entrada 2 20 14" xfId="4028"/>
    <cellStyle name="Entrada 2 20 2" xfId="4029"/>
    <cellStyle name="Entrada 2 20 2 2" xfId="4030"/>
    <cellStyle name="Entrada 2 20 3" xfId="4031"/>
    <cellStyle name="Entrada 2 20 3 2" xfId="4032"/>
    <cellStyle name="Entrada 2 20 4" xfId="4033"/>
    <cellStyle name="Entrada 2 20 4 2" xfId="4034"/>
    <cellStyle name="Entrada 2 20 5" xfId="4035"/>
    <cellStyle name="Entrada 2 20 5 2" xfId="4036"/>
    <cellStyle name="Entrada 2 20 6" xfId="4037"/>
    <cellStyle name="Entrada 2 20 6 2" xfId="4038"/>
    <cellStyle name="Entrada 2 20 7" xfId="4039"/>
    <cellStyle name="Entrada 2 20 7 2" xfId="4040"/>
    <cellStyle name="Entrada 2 20 8" xfId="4041"/>
    <cellStyle name="Entrada 2 20 8 2" xfId="4042"/>
    <cellStyle name="Entrada 2 20 9" xfId="4043"/>
    <cellStyle name="Entrada 2 20 9 2" xfId="4044"/>
    <cellStyle name="Entrada 2 21" xfId="4045"/>
    <cellStyle name="Entrada 2 21 10" xfId="4046"/>
    <cellStyle name="Entrada 2 21 10 2" xfId="4047"/>
    <cellStyle name="Entrada 2 21 11" xfId="4048"/>
    <cellStyle name="Entrada 2 21 11 2" xfId="4049"/>
    <cellStyle name="Entrada 2 21 12" xfId="4050"/>
    <cellStyle name="Entrada 2 21 12 2" xfId="4051"/>
    <cellStyle name="Entrada 2 21 13" xfId="4052"/>
    <cellStyle name="Entrada 2 21 13 2" xfId="4053"/>
    <cellStyle name="Entrada 2 21 14" xfId="4054"/>
    <cellStyle name="Entrada 2 21 2" xfId="4055"/>
    <cellStyle name="Entrada 2 21 2 2" xfId="4056"/>
    <cellStyle name="Entrada 2 21 3" xfId="4057"/>
    <cellStyle name="Entrada 2 21 3 2" xfId="4058"/>
    <cellStyle name="Entrada 2 21 4" xfId="4059"/>
    <cellStyle name="Entrada 2 21 4 2" xfId="4060"/>
    <cellStyle name="Entrada 2 21 5" xfId="4061"/>
    <cellStyle name="Entrada 2 21 5 2" xfId="4062"/>
    <cellStyle name="Entrada 2 21 6" xfId="4063"/>
    <cellStyle name="Entrada 2 21 6 2" xfId="4064"/>
    <cellStyle name="Entrada 2 21 7" xfId="4065"/>
    <cellStyle name="Entrada 2 21 7 2" xfId="4066"/>
    <cellStyle name="Entrada 2 21 8" xfId="4067"/>
    <cellStyle name="Entrada 2 21 8 2" xfId="4068"/>
    <cellStyle name="Entrada 2 21 9" xfId="4069"/>
    <cellStyle name="Entrada 2 21 9 2" xfId="4070"/>
    <cellStyle name="Entrada 2 22" xfId="4071"/>
    <cellStyle name="Entrada 2 22 10" xfId="4072"/>
    <cellStyle name="Entrada 2 22 10 2" xfId="4073"/>
    <cellStyle name="Entrada 2 22 11" xfId="4074"/>
    <cellStyle name="Entrada 2 22 11 2" xfId="4075"/>
    <cellStyle name="Entrada 2 22 12" xfId="4076"/>
    <cellStyle name="Entrada 2 22 12 2" xfId="4077"/>
    <cellStyle name="Entrada 2 22 13" xfId="4078"/>
    <cellStyle name="Entrada 2 22 13 2" xfId="4079"/>
    <cellStyle name="Entrada 2 22 14" xfId="4080"/>
    <cellStyle name="Entrada 2 22 2" xfId="4081"/>
    <cellStyle name="Entrada 2 22 2 2" xfId="4082"/>
    <cellStyle name="Entrada 2 22 3" xfId="4083"/>
    <cellStyle name="Entrada 2 22 3 2" xfId="4084"/>
    <cellStyle name="Entrada 2 22 4" xfId="4085"/>
    <cellStyle name="Entrada 2 22 4 2" xfId="4086"/>
    <cellStyle name="Entrada 2 22 5" xfId="4087"/>
    <cellStyle name="Entrada 2 22 5 2" xfId="4088"/>
    <cellStyle name="Entrada 2 22 6" xfId="4089"/>
    <cellStyle name="Entrada 2 22 6 2" xfId="4090"/>
    <cellStyle name="Entrada 2 22 7" xfId="4091"/>
    <cellStyle name="Entrada 2 22 7 2" xfId="4092"/>
    <cellStyle name="Entrada 2 22 8" xfId="4093"/>
    <cellStyle name="Entrada 2 22 8 2" xfId="4094"/>
    <cellStyle name="Entrada 2 22 9" xfId="4095"/>
    <cellStyle name="Entrada 2 22 9 2" xfId="4096"/>
    <cellStyle name="Entrada 2 23" xfId="4097"/>
    <cellStyle name="Entrada 2 23 10" xfId="4098"/>
    <cellStyle name="Entrada 2 23 10 2" xfId="4099"/>
    <cellStyle name="Entrada 2 23 11" xfId="4100"/>
    <cellStyle name="Entrada 2 23 11 2" xfId="4101"/>
    <cellStyle name="Entrada 2 23 12" xfId="4102"/>
    <cellStyle name="Entrada 2 23 12 2" xfId="4103"/>
    <cellStyle name="Entrada 2 23 13" xfId="4104"/>
    <cellStyle name="Entrada 2 23 13 2" xfId="4105"/>
    <cellStyle name="Entrada 2 23 14" xfId="4106"/>
    <cellStyle name="Entrada 2 23 2" xfId="4107"/>
    <cellStyle name="Entrada 2 23 2 2" xfId="4108"/>
    <cellStyle name="Entrada 2 23 3" xfId="4109"/>
    <cellStyle name="Entrada 2 23 3 2" xfId="4110"/>
    <cellStyle name="Entrada 2 23 4" xfId="4111"/>
    <cellStyle name="Entrada 2 23 4 2" xfId="4112"/>
    <cellStyle name="Entrada 2 23 5" xfId="4113"/>
    <cellStyle name="Entrada 2 23 5 2" xfId="4114"/>
    <cellStyle name="Entrada 2 23 6" xfId="4115"/>
    <cellStyle name="Entrada 2 23 6 2" xfId="4116"/>
    <cellStyle name="Entrada 2 23 7" xfId="4117"/>
    <cellStyle name="Entrada 2 23 7 2" xfId="4118"/>
    <cellStyle name="Entrada 2 23 8" xfId="4119"/>
    <cellStyle name="Entrada 2 23 8 2" xfId="4120"/>
    <cellStyle name="Entrada 2 23 9" xfId="4121"/>
    <cellStyle name="Entrada 2 23 9 2" xfId="4122"/>
    <cellStyle name="Entrada 2 24" xfId="4123"/>
    <cellStyle name="Entrada 2 24 10" xfId="4124"/>
    <cellStyle name="Entrada 2 24 10 2" xfId="4125"/>
    <cellStyle name="Entrada 2 24 11" xfId="4126"/>
    <cellStyle name="Entrada 2 24 11 2" xfId="4127"/>
    <cellStyle name="Entrada 2 24 12" xfId="4128"/>
    <cellStyle name="Entrada 2 24 12 2" xfId="4129"/>
    <cellStyle name="Entrada 2 24 13" xfId="4130"/>
    <cellStyle name="Entrada 2 24 13 2" xfId="4131"/>
    <cellStyle name="Entrada 2 24 14" xfId="4132"/>
    <cellStyle name="Entrada 2 24 2" xfId="4133"/>
    <cellStyle name="Entrada 2 24 2 2" xfId="4134"/>
    <cellStyle name="Entrada 2 24 3" xfId="4135"/>
    <cellStyle name="Entrada 2 24 3 2" xfId="4136"/>
    <cellStyle name="Entrada 2 24 4" xfId="4137"/>
    <cellStyle name="Entrada 2 24 4 2" xfId="4138"/>
    <cellStyle name="Entrada 2 24 5" xfId="4139"/>
    <cellStyle name="Entrada 2 24 5 2" xfId="4140"/>
    <cellStyle name="Entrada 2 24 6" xfId="4141"/>
    <cellStyle name="Entrada 2 24 6 2" xfId="4142"/>
    <cellStyle name="Entrada 2 24 7" xfId="4143"/>
    <cellStyle name="Entrada 2 24 7 2" xfId="4144"/>
    <cellStyle name="Entrada 2 24 8" xfId="4145"/>
    <cellStyle name="Entrada 2 24 8 2" xfId="4146"/>
    <cellStyle name="Entrada 2 24 9" xfId="4147"/>
    <cellStyle name="Entrada 2 24 9 2" xfId="4148"/>
    <cellStyle name="Entrada 2 25" xfId="4149"/>
    <cellStyle name="Entrada 2 25 10" xfId="4150"/>
    <cellStyle name="Entrada 2 25 10 2" xfId="4151"/>
    <cellStyle name="Entrada 2 25 11" xfId="4152"/>
    <cellStyle name="Entrada 2 25 11 2" xfId="4153"/>
    <cellStyle name="Entrada 2 25 12" xfId="4154"/>
    <cellStyle name="Entrada 2 25 12 2" xfId="4155"/>
    <cellStyle name="Entrada 2 25 13" xfId="4156"/>
    <cellStyle name="Entrada 2 25 13 2" xfId="4157"/>
    <cellStyle name="Entrada 2 25 14" xfId="4158"/>
    <cellStyle name="Entrada 2 25 2" xfId="4159"/>
    <cellStyle name="Entrada 2 25 2 2" xfId="4160"/>
    <cellStyle name="Entrada 2 25 3" xfId="4161"/>
    <cellStyle name="Entrada 2 25 3 2" xfId="4162"/>
    <cellStyle name="Entrada 2 25 4" xfId="4163"/>
    <cellStyle name="Entrada 2 25 4 2" xfId="4164"/>
    <cellStyle name="Entrada 2 25 5" xfId="4165"/>
    <cellStyle name="Entrada 2 25 5 2" xfId="4166"/>
    <cellStyle name="Entrada 2 25 6" xfId="4167"/>
    <cellStyle name="Entrada 2 25 6 2" xfId="4168"/>
    <cellStyle name="Entrada 2 25 7" xfId="4169"/>
    <cellStyle name="Entrada 2 25 7 2" xfId="4170"/>
    <cellStyle name="Entrada 2 25 8" xfId="4171"/>
    <cellStyle name="Entrada 2 25 8 2" xfId="4172"/>
    <cellStyle name="Entrada 2 25 9" xfId="4173"/>
    <cellStyle name="Entrada 2 25 9 2" xfId="4174"/>
    <cellStyle name="Entrada 2 26" xfId="4175"/>
    <cellStyle name="Entrada 2 26 10" xfId="4176"/>
    <cellStyle name="Entrada 2 26 10 2" xfId="4177"/>
    <cellStyle name="Entrada 2 26 11" xfId="4178"/>
    <cellStyle name="Entrada 2 26 11 2" xfId="4179"/>
    <cellStyle name="Entrada 2 26 12" xfId="4180"/>
    <cellStyle name="Entrada 2 26 12 2" xfId="4181"/>
    <cellStyle name="Entrada 2 26 13" xfId="4182"/>
    <cellStyle name="Entrada 2 26 13 2" xfId="4183"/>
    <cellStyle name="Entrada 2 26 14" xfId="4184"/>
    <cellStyle name="Entrada 2 26 2" xfId="4185"/>
    <cellStyle name="Entrada 2 26 2 2" xfId="4186"/>
    <cellStyle name="Entrada 2 26 3" xfId="4187"/>
    <cellStyle name="Entrada 2 26 3 2" xfId="4188"/>
    <cellStyle name="Entrada 2 26 4" xfId="4189"/>
    <cellStyle name="Entrada 2 26 4 2" xfId="4190"/>
    <cellStyle name="Entrada 2 26 5" xfId="4191"/>
    <cellStyle name="Entrada 2 26 5 2" xfId="4192"/>
    <cellStyle name="Entrada 2 26 6" xfId="4193"/>
    <cellStyle name="Entrada 2 26 6 2" xfId="4194"/>
    <cellStyle name="Entrada 2 26 7" xfId="4195"/>
    <cellStyle name="Entrada 2 26 7 2" xfId="4196"/>
    <cellStyle name="Entrada 2 26 8" xfId="4197"/>
    <cellStyle name="Entrada 2 26 8 2" xfId="4198"/>
    <cellStyle name="Entrada 2 26 9" xfId="4199"/>
    <cellStyle name="Entrada 2 26 9 2" xfId="4200"/>
    <cellStyle name="Entrada 2 27" xfId="4201"/>
    <cellStyle name="Entrada 2 27 10" xfId="4202"/>
    <cellStyle name="Entrada 2 27 10 2" xfId="4203"/>
    <cellStyle name="Entrada 2 27 11" xfId="4204"/>
    <cellStyle name="Entrada 2 27 11 2" xfId="4205"/>
    <cellStyle name="Entrada 2 27 12" xfId="4206"/>
    <cellStyle name="Entrada 2 27 12 2" xfId="4207"/>
    <cellStyle name="Entrada 2 27 13" xfId="4208"/>
    <cellStyle name="Entrada 2 27 13 2" xfId="4209"/>
    <cellStyle name="Entrada 2 27 14" xfId="4210"/>
    <cellStyle name="Entrada 2 27 2" xfId="4211"/>
    <cellStyle name="Entrada 2 27 2 2" xfId="4212"/>
    <cellStyle name="Entrada 2 27 3" xfId="4213"/>
    <cellStyle name="Entrada 2 27 3 2" xfId="4214"/>
    <cellStyle name="Entrada 2 27 4" xfId="4215"/>
    <cellStyle name="Entrada 2 27 4 2" xfId="4216"/>
    <cellStyle name="Entrada 2 27 5" xfId="4217"/>
    <cellStyle name="Entrada 2 27 5 2" xfId="4218"/>
    <cellStyle name="Entrada 2 27 6" xfId="4219"/>
    <cellStyle name="Entrada 2 27 6 2" xfId="4220"/>
    <cellStyle name="Entrada 2 27 7" xfId="4221"/>
    <cellStyle name="Entrada 2 27 7 2" xfId="4222"/>
    <cellStyle name="Entrada 2 27 8" xfId="4223"/>
    <cellStyle name="Entrada 2 27 8 2" xfId="4224"/>
    <cellStyle name="Entrada 2 27 9" xfId="4225"/>
    <cellStyle name="Entrada 2 27 9 2" xfId="4226"/>
    <cellStyle name="Entrada 2 28" xfId="4227"/>
    <cellStyle name="Entrada 2 28 10" xfId="4228"/>
    <cellStyle name="Entrada 2 28 10 2" xfId="4229"/>
    <cellStyle name="Entrada 2 28 11" xfId="4230"/>
    <cellStyle name="Entrada 2 28 11 2" xfId="4231"/>
    <cellStyle name="Entrada 2 28 12" xfId="4232"/>
    <cellStyle name="Entrada 2 28 12 2" xfId="4233"/>
    <cellStyle name="Entrada 2 28 13" xfId="4234"/>
    <cellStyle name="Entrada 2 28 13 2" xfId="4235"/>
    <cellStyle name="Entrada 2 28 14" xfId="4236"/>
    <cellStyle name="Entrada 2 28 2" xfId="4237"/>
    <cellStyle name="Entrada 2 28 2 2" xfId="4238"/>
    <cellStyle name="Entrada 2 28 3" xfId="4239"/>
    <cellStyle name="Entrada 2 28 3 2" xfId="4240"/>
    <cellStyle name="Entrada 2 28 4" xfId="4241"/>
    <cellStyle name="Entrada 2 28 4 2" xfId="4242"/>
    <cellStyle name="Entrada 2 28 5" xfId="4243"/>
    <cellStyle name="Entrada 2 28 5 2" xfId="4244"/>
    <cellStyle name="Entrada 2 28 6" xfId="4245"/>
    <cellStyle name="Entrada 2 28 6 2" xfId="4246"/>
    <cellStyle name="Entrada 2 28 7" xfId="4247"/>
    <cellStyle name="Entrada 2 28 7 2" xfId="4248"/>
    <cellStyle name="Entrada 2 28 8" xfId="4249"/>
    <cellStyle name="Entrada 2 28 8 2" xfId="4250"/>
    <cellStyle name="Entrada 2 28 9" xfId="4251"/>
    <cellStyle name="Entrada 2 28 9 2" xfId="4252"/>
    <cellStyle name="Entrada 2 29" xfId="4253"/>
    <cellStyle name="Entrada 2 29 10" xfId="4254"/>
    <cellStyle name="Entrada 2 29 10 2" xfId="4255"/>
    <cellStyle name="Entrada 2 29 11" xfId="4256"/>
    <cellStyle name="Entrada 2 29 11 2" xfId="4257"/>
    <cellStyle name="Entrada 2 29 12" xfId="4258"/>
    <cellStyle name="Entrada 2 29 12 2" xfId="4259"/>
    <cellStyle name="Entrada 2 29 13" xfId="4260"/>
    <cellStyle name="Entrada 2 29 13 2" xfId="4261"/>
    <cellStyle name="Entrada 2 29 14" xfId="4262"/>
    <cellStyle name="Entrada 2 29 2" xfId="4263"/>
    <cellStyle name="Entrada 2 29 2 2" xfId="4264"/>
    <cellStyle name="Entrada 2 29 3" xfId="4265"/>
    <cellStyle name="Entrada 2 29 3 2" xfId="4266"/>
    <cellStyle name="Entrada 2 29 4" xfId="4267"/>
    <cellStyle name="Entrada 2 29 4 2" xfId="4268"/>
    <cellStyle name="Entrada 2 29 5" xfId="4269"/>
    <cellStyle name="Entrada 2 29 5 2" xfId="4270"/>
    <cellStyle name="Entrada 2 29 6" xfId="4271"/>
    <cellStyle name="Entrada 2 29 6 2" xfId="4272"/>
    <cellStyle name="Entrada 2 29 7" xfId="4273"/>
    <cellStyle name="Entrada 2 29 7 2" xfId="4274"/>
    <cellStyle name="Entrada 2 29 8" xfId="4275"/>
    <cellStyle name="Entrada 2 29 8 2" xfId="4276"/>
    <cellStyle name="Entrada 2 29 9" xfId="4277"/>
    <cellStyle name="Entrada 2 29 9 2" xfId="4278"/>
    <cellStyle name="Entrada 2 3" xfId="4279"/>
    <cellStyle name="Entrada 2 3 10" xfId="4280"/>
    <cellStyle name="Entrada 2 3 10 2" xfId="4281"/>
    <cellStyle name="Entrada 2 3 11" xfId="4282"/>
    <cellStyle name="Entrada 2 3 11 2" xfId="4283"/>
    <cellStyle name="Entrada 2 3 12" xfId="4284"/>
    <cellStyle name="Entrada 2 3 12 2" xfId="4285"/>
    <cellStyle name="Entrada 2 3 13" xfId="4286"/>
    <cellStyle name="Entrada 2 3 13 2" xfId="4287"/>
    <cellStyle name="Entrada 2 3 14" xfId="4288"/>
    <cellStyle name="Entrada 2 3 2" xfId="4289"/>
    <cellStyle name="Entrada 2 3 2 2" xfId="4290"/>
    <cellStyle name="Entrada 2 3 3" xfId="4291"/>
    <cellStyle name="Entrada 2 3 3 2" xfId="4292"/>
    <cellStyle name="Entrada 2 3 4" xfId="4293"/>
    <cellStyle name="Entrada 2 3 4 2" xfId="4294"/>
    <cellStyle name="Entrada 2 3 5" xfId="4295"/>
    <cellStyle name="Entrada 2 3 5 2" xfId="4296"/>
    <cellStyle name="Entrada 2 3 6" xfId="4297"/>
    <cellStyle name="Entrada 2 3 6 2" xfId="4298"/>
    <cellStyle name="Entrada 2 3 7" xfId="4299"/>
    <cellStyle name="Entrada 2 3 7 2" xfId="4300"/>
    <cellStyle name="Entrada 2 3 8" xfId="4301"/>
    <cellStyle name="Entrada 2 3 8 2" xfId="4302"/>
    <cellStyle name="Entrada 2 3 9" xfId="4303"/>
    <cellStyle name="Entrada 2 3 9 2" xfId="4304"/>
    <cellStyle name="Entrada 2 30" xfId="4305"/>
    <cellStyle name="Entrada 2 30 10" xfId="4306"/>
    <cellStyle name="Entrada 2 30 10 2" xfId="4307"/>
    <cellStyle name="Entrada 2 30 11" xfId="4308"/>
    <cellStyle name="Entrada 2 30 11 2" xfId="4309"/>
    <cellStyle name="Entrada 2 30 12" xfId="4310"/>
    <cellStyle name="Entrada 2 30 12 2" xfId="4311"/>
    <cellStyle name="Entrada 2 30 13" xfId="4312"/>
    <cellStyle name="Entrada 2 30 13 2" xfId="4313"/>
    <cellStyle name="Entrada 2 30 14" xfId="4314"/>
    <cellStyle name="Entrada 2 30 2" xfId="4315"/>
    <cellStyle name="Entrada 2 30 2 2" xfId="4316"/>
    <cellStyle name="Entrada 2 30 3" xfId="4317"/>
    <cellStyle name="Entrada 2 30 3 2" xfId="4318"/>
    <cellStyle name="Entrada 2 30 4" xfId="4319"/>
    <cellStyle name="Entrada 2 30 4 2" xfId="4320"/>
    <cellStyle name="Entrada 2 30 5" xfId="4321"/>
    <cellStyle name="Entrada 2 30 5 2" xfId="4322"/>
    <cellStyle name="Entrada 2 30 6" xfId="4323"/>
    <cellStyle name="Entrada 2 30 6 2" xfId="4324"/>
    <cellStyle name="Entrada 2 30 7" xfId="4325"/>
    <cellStyle name="Entrada 2 30 7 2" xfId="4326"/>
    <cellStyle name="Entrada 2 30 8" xfId="4327"/>
    <cellStyle name="Entrada 2 30 8 2" xfId="4328"/>
    <cellStyle name="Entrada 2 30 9" xfId="4329"/>
    <cellStyle name="Entrada 2 30 9 2" xfId="4330"/>
    <cellStyle name="Entrada 2 31" xfId="4331"/>
    <cellStyle name="Entrada 2 31 10" xfId="4332"/>
    <cellStyle name="Entrada 2 31 10 2" xfId="4333"/>
    <cellStyle name="Entrada 2 31 11" xfId="4334"/>
    <cellStyle name="Entrada 2 31 11 2" xfId="4335"/>
    <cellStyle name="Entrada 2 31 12" xfId="4336"/>
    <cellStyle name="Entrada 2 31 12 2" xfId="4337"/>
    <cellStyle name="Entrada 2 31 13" xfId="4338"/>
    <cellStyle name="Entrada 2 31 13 2" xfId="4339"/>
    <cellStyle name="Entrada 2 31 14" xfId="4340"/>
    <cellStyle name="Entrada 2 31 2" xfId="4341"/>
    <cellStyle name="Entrada 2 31 2 2" xfId="4342"/>
    <cellStyle name="Entrada 2 31 3" xfId="4343"/>
    <cellStyle name="Entrada 2 31 3 2" xfId="4344"/>
    <cellStyle name="Entrada 2 31 4" xfId="4345"/>
    <cellStyle name="Entrada 2 31 4 2" xfId="4346"/>
    <cellStyle name="Entrada 2 31 5" xfId="4347"/>
    <cellStyle name="Entrada 2 31 5 2" xfId="4348"/>
    <cellStyle name="Entrada 2 31 6" xfId="4349"/>
    <cellStyle name="Entrada 2 31 6 2" xfId="4350"/>
    <cellStyle name="Entrada 2 31 7" xfId="4351"/>
    <cellStyle name="Entrada 2 31 7 2" xfId="4352"/>
    <cellStyle name="Entrada 2 31 8" xfId="4353"/>
    <cellStyle name="Entrada 2 31 8 2" xfId="4354"/>
    <cellStyle name="Entrada 2 31 9" xfId="4355"/>
    <cellStyle name="Entrada 2 31 9 2" xfId="4356"/>
    <cellStyle name="Entrada 2 32" xfId="4357"/>
    <cellStyle name="Entrada 2 32 10" xfId="4358"/>
    <cellStyle name="Entrada 2 32 10 2" xfId="4359"/>
    <cellStyle name="Entrada 2 32 11" xfId="4360"/>
    <cellStyle name="Entrada 2 32 11 2" xfId="4361"/>
    <cellStyle name="Entrada 2 32 12" xfId="4362"/>
    <cellStyle name="Entrada 2 32 12 2" xfId="4363"/>
    <cellStyle name="Entrada 2 32 13" xfId="4364"/>
    <cellStyle name="Entrada 2 32 13 2" xfId="4365"/>
    <cellStyle name="Entrada 2 32 14" xfId="4366"/>
    <cellStyle name="Entrada 2 32 2" xfId="4367"/>
    <cellStyle name="Entrada 2 32 2 2" xfId="4368"/>
    <cellStyle name="Entrada 2 32 3" xfId="4369"/>
    <cellStyle name="Entrada 2 32 3 2" xfId="4370"/>
    <cellStyle name="Entrada 2 32 4" xfId="4371"/>
    <cellStyle name="Entrada 2 32 4 2" xfId="4372"/>
    <cellStyle name="Entrada 2 32 5" xfId="4373"/>
    <cellStyle name="Entrada 2 32 5 2" xfId="4374"/>
    <cellStyle name="Entrada 2 32 6" xfId="4375"/>
    <cellStyle name="Entrada 2 32 6 2" xfId="4376"/>
    <cellStyle name="Entrada 2 32 7" xfId="4377"/>
    <cellStyle name="Entrada 2 32 7 2" xfId="4378"/>
    <cellStyle name="Entrada 2 32 8" xfId="4379"/>
    <cellStyle name="Entrada 2 32 8 2" xfId="4380"/>
    <cellStyle name="Entrada 2 32 9" xfId="4381"/>
    <cellStyle name="Entrada 2 32 9 2" xfId="4382"/>
    <cellStyle name="Entrada 2 33" xfId="4383"/>
    <cellStyle name="Entrada 2 33 10" xfId="4384"/>
    <cellStyle name="Entrada 2 33 10 2" xfId="4385"/>
    <cellStyle name="Entrada 2 33 11" xfId="4386"/>
    <cellStyle name="Entrada 2 33 11 2" xfId="4387"/>
    <cellStyle name="Entrada 2 33 12" xfId="4388"/>
    <cellStyle name="Entrada 2 33 12 2" xfId="4389"/>
    <cellStyle name="Entrada 2 33 13" xfId="4390"/>
    <cellStyle name="Entrada 2 33 13 2" xfId="4391"/>
    <cellStyle name="Entrada 2 33 14" xfId="4392"/>
    <cellStyle name="Entrada 2 33 2" xfId="4393"/>
    <cellStyle name="Entrada 2 33 2 2" xfId="4394"/>
    <cellStyle name="Entrada 2 33 3" xfId="4395"/>
    <cellStyle name="Entrada 2 33 3 2" xfId="4396"/>
    <cellStyle name="Entrada 2 33 4" xfId="4397"/>
    <cellStyle name="Entrada 2 33 4 2" xfId="4398"/>
    <cellStyle name="Entrada 2 33 5" xfId="4399"/>
    <cellStyle name="Entrada 2 33 5 2" xfId="4400"/>
    <cellStyle name="Entrada 2 33 6" xfId="4401"/>
    <cellStyle name="Entrada 2 33 6 2" xfId="4402"/>
    <cellStyle name="Entrada 2 33 7" xfId="4403"/>
    <cellStyle name="Entrada 2 33 7 2" xfId="4404"/>
    <cellStyle name="Entrada 2 33 8" xfId="4405"/>
    <cellStyle name="Entrada 2 33 8 2" xfId="4406"/>
    <cellStyle name="Entrada 2 33 9" xfId="4407"/>
    <cellStyle name="Entrada 2 33 9 2" xfId="4408"/>
    <cellStyle name="Entrada 2 34" xfId="4409"/>
    <cellStyle name="Entrada 2 34 10" xfId="4410"/>
    <cellStyle name="Entrada 2 34 10 2" xfId="4411"/>
    <cellStyle name="Entrada 2 34 11" xfId="4412"/>
    <cellStyle name="Entrada 2 34 11 2" xfId="4413"/>
    <cellStyle name="Entrada 2 34 12" xfId="4414"/>
    <cellStyle name="Entrada 2 34 12 2" xfId="4415"/>
    <cellStyle name="Entrada 2 34 13" xfId="4416"/>
    <cellStyle name="Entrada 2 34 13 2" xfId="4417"/>
    <cellStyle name="Entrada 2 34 14" xfId="4418"/>
    <cellStyle name="Entrada 2 34 2" xfId="4419"/>
    <cellStyle name="Entrada 2 34 2 2" xfId="4420"/>
    <cellStyle name="Entrada 2 34 3" xfId="4421"/>
    <cellStyle name="Entrada 2 34 3 2" xfId="4422"/>
    <cellStyle name="Entrada 2 34 4" xfId="4423"/>
    <cellStyle name="Entrada 2 34 4 2" xfId="4424"/>
    <cellStyle name="Entrada 2 34 5" xfId="4425"/>
    <cellStyle name="Entrada 2 34 5 2" xfId="4426"/>
    <cellStyle name="Entrada 2 34 6" xfId="4427"/>
    <cellStyle name="Entrada 2 34 6 2" xfId="4428"/>
    <cellStyle name="Entrada 2 34 7" xfId="4429"/>
    <cellStyle name="Entrada 2 34 7 2" xfId="4430"/>
    <cellStyle name="Entrada 2 34 8" xfId="4431"/>
    <cellStyle name="Entrada 2 34 8 2" xfId="4432"/>
    <cellStyle name="Entrada 2 34 9" xfId="4433"/>
    <cellStyle name="Entrada 2 34 9 2" xfId="4434"/>
    <cellStyle name="Entrada 2 35" xfId="4435"/>
    <cellStyle name="Entrada 2 35 10" xfId="4436"/>
    <cellStyle name="Entrada 2 35 10 2" xfId="4437"/>
    <cellStyle name="Entrada 2 35 11" xfId="4438"/>
    <cellStyle name="Entrada 2 35 11 2" xfId="4439"/>
    <cellStyle name="Entrada 2 35 12" xfId="4440"/>
    <cellStyle name="Entrada 2 35 12 2" xfId="4441"/>
    <cellStyle name="Entrada 2 35 13" xfId="4442"/>
    <cellStyle name="Entrada 2 35 13 2" xfId="4443"/>
    <cellStyle name="Entrada 2 35 14" xfId="4444"/>
    <cellStyle name="Entrada 2 35 2" xfId="4445"/>
    <cellStyle name="Entrada 2 35 2 2" xfId="4446"/>
    <cellStyle name="Entrada 2 35 3" xfId="4447"/>
    <cellStyle name="Entrada 2 35 3 2" xfId="4448"/>
    <cellStyle name="Entrada 2 35 4" xfId="4449"/>
    <cellStyle name="Entrada 2 35 4 2" xfId="4450"/>
    <cellStyle name="Entrada 2 35 5" xfId="4451"/>
    <cellStyle name="Entrada 2 35 5 2" xfId="4452"/>
    <cellStyle name="Entrada 2 35 6" xfId="4453"/>
    <cellStyle name="Entrada 2 35 6 2" xfId="4454"/>
    <cellStyle name="Entrada 2 35 7" xfId="4455"/>
    <cellStyle name="Entrada 2 35 7 2" xfId="4456"/>
    <cellStyle name="Entrada 2 35 8" xfId="4457"/>
    <cellStyle name="Entrada 2 35 8 2" xfId="4458"/>
    <cellStyle name="Entrada 2 35 9" xfId="4459"/>
    <cellStyle name="Entrada 2 35 9 2" xfId="4460"/>
    <cellStyle name="Entrada 2 36" xfId="4461"/>
    <cellStyle name="Entrada 2 36 10" xfId="4462"/>
    <cellStyle name="Entrada 2 36 10 2" xfId="4463"/>
    <cellStyle name="Entrada 2 36 11" xfId="4464"/>
    <cellStyle name="Entrada 2 36 11 2" xfId="4465"/>
    <cellStyle name="Entrada 2 36 12" xfId="4466"/>
    <cellStyle name="Entrada 2 36 12 2" xfId="4467"/>
    <cellStyle name="Entrada 2 36 13" xfId="4468"/>
    <cellStyle name="Entrada 2 36 13 2" xfId="4469"/>
    <cellStyle name="Entrada 2 36 14" xfId="4470"/>
    <cellStyle name="Entrada 2 36 2" xfId="4471"/>
    <cellStyle name="Entrada 2 36 2 2" xfId="4472"/>
    <cellStyle name="Entrada 2 36 3" xfId="4473"/>
    <cellStyle name="Entrada 2 36 3 2" xfId="4474"/>
    <cellStyle name="Entrada 2 36 4" xfId="4475"/>
    <cellStyle name="Entrada 2 36 4 2" xfId="4476"/>
    <cellStyle name="Entrada 2 36 5" xfId="4477"/>
    <cellStyle name="Entrada 2 36 5 2" xfId="4478"/>
    <cellStyle name="Entrada 2 36 6" xfId="4479"/>
    <cellStyle name="Entrada 2 36 6 2" xfId="4480"/>
    <cellStyle name="Entrada 2 36 7" xfId="4481"/>
    <cellStyle name="Entrada 2 36 7 2" xfId="4482"/>
    <cellStyle name="Entrada 2 36 8" xfId="4483"/>
    <cellStyle name="Entrada 2 36 8 2" xfId="4484"/>
    <cellStyle name="Entrada 2 36 9" xfId="4485"/>
    <cellStyle name="Entrada 2 36 9 2" xfId="4486"/>
    <cellStyle name="Entrada 2 37" xfId="4487"/>
    <cellStyle name="Entrada 2 37 10" xfId="4488"/>
    <cellStyle name="Entrada 2 37 10 2" xfId="4489"/>
    <cellStyle name="Entrada 2 37 11" xfId="4490"/>
    <cellStyle name="Entrada 2 37 11 2" xfId="4491"/>
    <cellStyle name="Entrada 2 37 12" xfId="4492"/>
    <cellStyle name="Entrada 2 37 12 2" xfId="4493"/>
    <cellStyle name="Entrada 2 37 13" xfId="4494"/>
    <cellStyle name="Entrada 2 37 13 2" xfId="4495"/>
    <cellStyle name="Entrada 2 37 14" xfId="4496"/>
    <cellStyle name="Entrada 2 37 2" xfId="4497"/>
    <cellStyle name="Entrada 2 37 2 2" xfId="4498"/>
    <cellStyle name="Entrada 2 37 3" xfId="4499"/>
    <cellStyle name="Entrada 2 37 3 2" xfId="4500"/>
    <cellStyle name="Entrada 2 37 4" xfId="4501"/>
    <cellStyle name="Entrada 2 37 4 2" xfId="4502"/>
    <cellStyle name="Entrada 2 37 5" xfId="4503"/>
    <cellStyle name="Entrada 2 37 5 2" xfId="4504"/>
    <cellStyle name="Entrada 2 37 6" xfId="4505"/>
    <cellStyle name="Entrada 2 37 6 2" xfId="4506"/>
    <cellStyle name="Entrada 2 37 7" xfId="4507"/>
    <cellStyle name="Entrada 2 37 7 2" xfId="4508"/>
    <cellStyle name="Entrada 2 37 8" xfId="4509"/>
    <cellStyle name="Entrada 2 37 8 2" xfId="4510"/>
    <cellStyle name="Entrada 2 37 9" xfId="4511"/>
    <cellStyle name="Entrada 2 37 9 2" xfId="4512"/>
    <cellStyle name="Entrada 2 38" xfId="4513"/>
    <cellStyle name="Entrada 2 38 10" xfId="4514"/>
    <cellStyle name="Entrada 2 38 10 2" xfId="4515"/>
    <cellStyle name="Entrada 2 38 11" xfId="4516"/>
    <cellStyle name="Entrada 2 38 11 2" xfId="4517"/>
    <cellStyle name="Entrada 2 38 12" xfId="4518"/>
    <cellStyle name="Entrada 2 38 12 2" xfId="4519"/>
    <cellStyle name="Entrada 2 38 13" xfId="4520"/>
    <cellStyle name="Entrada 2 38 13 2" xfId="4521"/>
    <cellStyle name="Entrada 2 38 14" xfId="4522"/>
    <cellStyle name="Entrada 2 38 2" xfId="4523"/>
    <cellStyle name="Entrada 2 38 2 2" xfId="4524"/>
    <cellStyle name="Entrada 2 38 3" xfId="4525"/>
    <cellStyle name="Entrada 2 38 3 2" xfId="4526"/>
    <cellStyle name="Entrada 2 38 4" xfId="4527"/>
    <cellStyle name="Entrada 2 38 4 2" xfId="4528"/>
    <cellStyle name="Entrada 2 38 5" xfId="4529"/>
    <cellStyle name="Entrada 2 38 5 2" xfId="4530"/>
    <cellStyle name="Entrada 2 38 6" xfId="4531"/>
    <cellStyle name="Entrada 2 38 6 2" xfId="4532"/>
    <cellStyle name="Entrada 2 38 7" xfId="4533"/>
    <cellStyle name="Entrada 2 38 7 2" xfId="4534"/>
    <cellStyle name="Entrada 2 38 8" xfId="4535"/>
    <cellStyle name="Entrada 2 38 8 2" xfId="4536"/>
    <cellStyle name="Entrada 2 38 9" xfId="4537"/>
    <cellStyle name="Entrada 2 38 9 2" xfId="4538"/>
    <cellStyle name="Entrada 2 39" xfId="4539"/>
    <cellStyle name="Entrada 2 39 10" xfId="4540"/>
    <cellStyle name="Entrada 2 39 10 2" xfId="4541"/>
    <cellStyle name="Entrada 2 39 11" xfId="4542"/>
    <cellStyle name="Entrada 2 39 11 2" xfId="4543"/>
    <cellStyle name="Entrada 2 39 12" xfId="4544"/>
    <cellStyle name="Entrada 2 39 12 2" xfId="4545"/>
    <cellStyle name="Entrada 2 39 13" xfId="4546"/>
    <cellStyle name="Entrada 2 39 13 2" xfId="4547"/>
    <cellStyle name="Entrada 2 39 14" xfId="4548"/>
    <cellStyle name="Entrada 2 39 2" xfId="4549"/>
    <cellStyle name="Entrada 2 39 2 2" xfId="4550"/>
    <cellStyle name="Entrada 2 39 3" xfId="4551"/>
    <cellStyle name="Entrada 2 39 3 2" xfId="4552"/>
    <cellStyle name="Entrada 2 39 4" xfId="4553"/>
    <cellStyle name="Entrada 2 39 4 2" xfId="4554"/>
    <cellStyle name="Entrada 2 39 5" xfId="4555"/>
    <cellStyle name="Entrada 2 39 5 2" xfId="4556"/>
    <cellStyle name="Entrada 2 39 6" xfId="4557"/>
    <cellStyle name="Entrada 2 39 6 2" xfId="4558"/>
    <cellStyle name="Entrada 2 39 7" xfId="4559"/>
    <cellStyle name="Entrada 2 39 7 2" xfId="4560"/>
    <cellStyle name="Entrada 2 39 8" xfId="4561"/>
    <cellStyle name="Entrada 2 39 8 2" xfId="4562"/>
    <cellStyle name="Entrada 2 39 9" xfId="4563"/>
    <cellStyle name="Entrada 2 39 9 2" xfId="4564"/>
    <cellStyle name="Entrada 2 4" xfId="4565"/>
    <cellStyle name="Entrada 2 4 10" xfId="4566"/>
    <cellStyle name="Entrada 2 4 10 2" xfId="4567"/>
    <cellStyle name="Entrada 2 4 11" xfId="4568"/>
    <cellStyle name="Entrada 2 4 11 2" xfId="4569"/>
    <cellStyle name="Entrada 2 4 12" xfId="4570"/>
    <cellStyle name="Entrada 2 4 12 2" xfId="4571"/>
    <cellStyle name="Entrada 2 4 13" xfId="4572"/>
    <cellStyle name="Entrada 2 4 13 2" xfId="4573"/>
    <cellStyle name="Entrada 2 4 14" xfId="4574"/>
    <cellStyle name="Entrada 2 4 2" xfId="4575"/>
    <cellStyle name="Entrada 2 4 2 2" xfId="4576"/>
    <cellStyle name="Entrada 2 4 3" xfId="4577"/>
    <cellStyle name="Entrada 2 4 3 2" xfId="4578"/>
    <cellStyle name="Entrada 2 4 4" xfId="4579"/>
    <cellStyle name="Entrada 2 4 4 2" xfId="4580"/>
    <cellStyle name="Entrada 2 4 5" xfId="4581"/>
    <cellStyle name="Entrada 2 4 5 2" xfId="4582"/>
    <cellStyle name="Entrada 2 4 6" xfId="4583"/>
    <cellStyle name="Entrada 2 4 6 2" xfId="4584"/>
    <cellStyle name="Entrada 2 4 7" xfId="4585"/>
    <cellStyle name="Entrada 2 4 7 2" xfId="4586"/>
    <cellStyle name="Entrada 2 4 8" xfId="4587"/>
    <cellStyle name="Entrada 2 4 8 2" xfId="4588"/>
    <cellStyle name="Entrada 2 4 9" xfId="4589"/>
    <cellStyle name="Entrada 2 4 9 2" xfId="4590"/>
    <cellStyle name="Entrada 2 40" xfId="4591"/>
    <cellStyle name="Entrada 2 40 10" xfId="4592"/>
    <cellStyle name="Entrada 2 40 10 2" xfId="4593"/>
    <cellStyle name="Entrada 2 40 11" xfId="4594"/>
    <cellStyle name="Entrada 2 40 11 2" xfId="4595"/>
    <cellStyle name="Entrada 2 40 12" xfId="4596"/>
    <cellStyle name="Entrada 2 40 12 2" xfId="4597"/>
    <cellStyle name="Entrada 2 40 13" xfId="4598"/>
    <cellStyle name="Entrada 2 40 13 2" xfId="4599"/>
    <cellStyle name="Entrada 2 40 14" xfId="4600"/>
    <cellStyle name="Entrada 2 40 2" xfId="4601"/>
    <cellStyle name="Entrada 2 40 2 2" xfId="4602"/>
    <cellStyle name="Entrada 2 40 3" xfId="4603"/>
    <cellStyle name="Entrada 2 40 3 2" xfId="4604"/>
    <cellStyle name="Entrada 2 40 4" xfId="4605"/>
    <cellStyle name="Entrada 2 40 4 2" xfId="4606"/>
    <cellStyle name="Entrada 2 40 5" xfId="4607"/>
    <cellStyle name="Entrada 2 40 5 2" xfId="4608"/>
    <cellStyle name="Entrada 2 40 6" xfId="4609"/>
    <cellStyle name="Entrada 2 40 6 2" xfId="4610"/>
    <cellStyle name="Entrada 2 40 7" xfId="4611"/>
    <cellStyle name="Entrada 2 40 7 2" xfId="4612"/>
    <cellStyle name="Entrada 2 40 8" xfId="4613"/>
    <cellStyle name="Entrada 2 40 8 2" xfId="4614"/>
    <cellStyle name="Entrada 2 40 9" xfId="4615"/>
    <cellStyle name="Entrada 2 40 9 2" xfId="4616"/>
    <cellStyle name="Entrada 2 41" xfId="4617"/>
    <cellStyle name="Entrada 2 41 10" xfId="4618"/>
    <cellStyle name="Entrada 2 41 10 2" xfId="4619"/>
    <cellStyle name="Entrada 2 41 11" xfId="4620"/>
    <cellStyle name="Entrada 2 41 11 2" xfId="4621"/>
    <cellStyle name="Entrada 2 41 12" xfId="4622"/>
    <cellStyle name="Entrada 2 41 12 2" xfId="4623"/>
    <cellStyle name="Entrada 2 41 13" xfId="4624"/>
    <cellStyle name="Entrada 2 41 13 2" xfId="4625"/>
    <cellStyle name="Entrada 2 41 14" xfId="4626"/>
    <cellStyle name="Entrada 2 41 2" xfId="4627"/>
    <cellStyle name="Entrada 2 41 2 2" xfId="4628"/>
    <cellStyle name="Entrada 2 41 3" xfId="4629"/>
    <cellStyle name="Entrada 2 41 3 2" xfId="4630"/>
    <cellStyle name="Entrada 2 41 4" xfId="4631"/>
    <cellStyle name="Entrada 2 41 4 2" xfId="4632"/>
    <cellStyle name="Entrada 2 41 5" xfId="4633"/>
    <cellStyle name="Entrada 2 41 5 2" xfId="4634"/>
    <cellStyle name="Entrada 2 41 6" xfId="4635"/>
    <cellStyle name="Entrada 2 41 6 2" xfId="4636"/>
    <cellStyle name="Entrada 2 41 7" xfId="4637"/>
    <cellStyle name="Entrada 2 41 7 2" xfId="4638"/>
    <cellStyle name="Entrada 2 41 8" xfId="4639"/>
    <cellStyle name="Entrada 2 41 8 2" xfId="4640"/>
    <cellStyle name="Entrada 2 41 9" xfId="4641"/>
    <cellStyle name="Entrada 2 41 9 2" xfId="4642"/>
    <cellStyle name="Entrada 2 42" xfId="4643"/>
    <cellStyle name="Entrada 2 42 10" xfId="4644"/>
    <cellStyle name="Entrada 2 42 10 2" xfId="4645"/>
    <cellStyle name="Entrada 2 42 11" xfId="4646"/>
    <cellStyle name="Entrada 2 42 11 2" xfId="4647"/>
    <cellStyle name="Entrada 2 42 12" xfId="4648"/>
    <cellStyle name="Entrada 2 42 12 2" xfId="4649"/>
    <cellStyle name="Entrada 2 42 13" xfId="4650"/>
    <cellStyle name="Entrada 2 42 13 2" xfId="4651"/>
    <cellStyle name="Entrada 2 42 14" xfId="4652"/>
    <cellStyle name="Entrada 2 42 2" xfId="4653"/>
    <cellStyle name="Entrada 2 42 2 2" xfId="4654"/>
    <cellStyle name="Entrada 2 42 3" xfId="4655"/>
    <cellStyle name="Entrada 2 42 3 2" xfId="4656"/>
    <cellStyle name="Entrada 2 42 4" xfId="4657"/>
    <cellStyle name="Entrada 2 42 4 2" xfId="4658"/>
    <cellStyle name="Entrada 2 42 5" xfId="4659"/>
    <cellStyle name="Entrada 2 42 5 2" xfId="4660"/>
    <cellStyle name="Entrada 2 42 6" xfId="4661"/>
    <cellStyle name="Entrada 2 42 6 2" xfId="4662"/>
    <cellStyle name="Entrada 2 42 7" xfId="4663"/>
    <cellStyle name="Entrada 2 42 7 2" xfId="4664"/>
    <cellStyle name="Entrada 2 42 8" xfId="4665"/>
    <cellStyle name="Entrada 2 42 8 2" xfId="4666"/>
    <cellStyle name="Entrada 2 42 9" xfId="4667"/>
    <cellStyle name="Entrada 2 42 9 2" xfId="4668"/>
    <cellStyle name="Entrada 2 43" xfId="4669"/>
    <cellStyle name="Entrada 2 43 10" xfId="4670"/>
    <cellStyle name="Entrada 2 43 10 2" xfId="4671"/>
    <cellStyle name="Entrada 2 43 11" xfId="4672"/>
    <cellStyle name="Entrada 2 43 11 2" xfId="4673"/>
    <cellStyle name="Entrada 2 43 12" xfId="4674"/>
    <cellStyle name="Entrada 2 43 12 2" xfId="4675"/>
    <cellStyle name="Entrada 2 43 13" xfId="4676"/>
    <cellStyle name="Entrada 2 43 13 2" xfId="4677"/>
    <cellStyle name="Entrada 2 43 14" xfId="4678"/>
    <cellStyle name="Entrada 2 43 2" xfId="4679"/>
    <cellStyle name="Entrada 2 43 2 2" xfId="4680"/>
    <cellStyle name="Entrada 2 43 3" xfId="4681"/>
    <cellStyle name="Entrada 2 43 3 2" xfId="4682"/>
    <cellStyle name="Entrada 2 43 4" xfId="4683"/>
    <cellStyle name="Entrada 2 43 4 2" xfId="4684"/>
    <cellStyle name="Entrada 2 43 5" xfId="4685"/>
    <cellStyle name="Entrada 2 43 5 2" xfId="4686"/>
    <cellStyle name="Entrada 2 43 6" xfId="4687"/>
    <cellStyle name="Entrada 2 43 6 2" xfId="4688"/>
    <cellStyle name="Entrada 2 43 7" xfId="4689"/>
    <cellStyle name="Entrada 2 43 7 2" xfId="4690"/>
    <cellStyle name="Entrada 2 43 8" xfId="4691"/>
    <cellStyle name="Entrada 2 43 8 2" xfId="4692"/>
    <cellStyle name="Entrada 2 43 9" xfId="4693"/>
    <cellStyle name="Entrada 2 43 9 2" xfId="4694"/>
    <cellStyle name="Entrada 2 44" xfId="4695"/>
    <cellStyle name="Entrada 2 44 10" xfId="4696"/>
    <cellStyle name="Entrada 2 44 10 2" xfId="4697"/>
    <cellStyle name="Entrada 2 44 11" xfId="4698"/>
    <cellStyle name="Entrada 2 44 11 2" xfId="4699"/>
    <cellStyle name="Entrada 2 44 12" xfId="4700"/>
    <cellStyle name="Entrada 2 44 12 2" xfId="4701"/>
    <cellStyle name="Entrada 2 44 13" xfId="4702"/>
    <cellStyle name="Entrada 2 44 13 2" xfId="4703"/>
    <cellStyle name="Entrada 2 44 14" xfId="4704"/>
    <cellStyle name="Entrada 2 44 2" xfId="4705"/>
    <cellStyle name="Entrada 2 44 2 2" xfId="4706"/>
    <cellStyle name="Entrada 2 44 3" xfId="4707"/>
    <cellStyle name="Entrada 2 44 3 2" xfId="4708"/>
    <cellStyle name="Entrada 2 44 4" xfId="4709"/>
    <cellStyle name="Entrada 2 44 4 2" xfId="4710"/>
    <cellStyle name="Entrada 2 44 5" xfId="4711"/>
    <cellStyle name="Entrada 2 44 5 2" xfId="4712"/>
    <cellStyle name="Entrada 2 44 6" xfId="4713"/>
    <cellStyle name="Entrada 2 44 6 2" xfId="4714"/>
    <cellStyle name="Entrada 2 44 7" xfId="4715"/>
    <cellStyle name="Entrada 2 44 7 2" xfId="4716"/>
    <cellStyle name="Entrada 2 44 8" xfId="4717"/>
    <cellStyle name="Entrada 2 44 8 2" xfId="4718"/>
    <cellStyle name="Entrada 2 44 9" xfId="4719"/>
    <cellStyle name="Entrada 2 44 9 2" xfId="4720"/>
    <cellStyle name="Entrada 2 45" xfId="4721"/>
    <cellStyle name="Entrada 2 45 10" xfId="4722"/>
    <cellStyle name="Entrada 2 45 10 2" xfId="4723"/>
    <cellStyle name="Entrada 2 45 11" xfId="4724"/>
    <cellStyle name="Entrada 2 45 11 2" xfId="4725"/>
    <cellStyle name="Entrada 2 45 12" xfId="4726"/>
    <cellStyle name="Entrada 2 45 12 2" xfId="4727"/>
    <cellStyle name="Entrada 2 45 13" xfId="4728"/>
    <cellStyle name="Entrada 2 45 13 2" xfId="4729"/>
    <cellStyle name="Entrada 2 45 14" xfId="4730"/>
    <cellStyle name="Entrada 2 45 2" xfId="4731"/>
    <cellStyle name="Entrada 2 45 2 2" xfId="4732"/>
    <cellStyle name="Entrada 2 45 3" xfId="4733"/>
    <cellStyle name="Entrada 2 45 3 2" xfId="4734"/>
    <cellStyle name="Entrada 2 45 4" xfId="4735"/>
    <cellStyle name="Entrada 2 45 4 2" xfId="4736"/>
    <cellStyle name="Entrada 2 45 5" xfId="4737"/>
    <cellStyle name="Entrada 2 45 5 2" xfId="4738"/>
    <cellStyle name="Entrada 2 45 6" xfId="4739"/>
    <cellStyle name="Entrada 2 45 6 2" xfId="4740"/>
    <cellStyle name="Entrada 2 45 7" xfId="4741"/>
    <cellStyle name="Entrada 2 45 7 2" xfId="4742"/>
    <cellStyle name="Entrada 2 45 8" xfId="4743"/>
    <cellStyle name="Entrada 2 45 8 2" xfId="4744"/>
    <cellStyle name="Entrada 2 45 9" xfId="4745"/>
    <cellStyle name="Entrada 2 45 9 2" xfId="4746"/>
    <cellStyle name="Entrada 2 46" xfId="4747"/>
    <cellStyle name="Entrada 2 46 10" xfId="4748"/>
    <cellStyle name="Entrada 2 46 10 2" xfId="4749"/>
    <cellStyle name="Entrada 2 46 11" xfId="4750"/>
    <cellStyle name="Entrada 2 46 11 2" xfId="4751"/>
    <cellStyle name="Entrada 2 46 12" xfId="4752"/>
    <cellStyle name="Entrada 2 46 12 2" xfId="4753"/>
    <cellStyle name="Entrada 2 46 13" xfId="4754"/>
    <cellStyle name="Entrada 2 46 13 2" xfId="4755"/>
    <cellStyle name="Entrada 2 46 14" xfId="4756"/>
    <cellStyle name="Entrada 2 46 2" xfId="4757"/>
    <cellStyle name="Entrada 2 46 2 2" xfId="4758"/>
    <cellStyle name="Entrada 2 46 3" xfId="4759"/>
    <cellStyle name="Entrada 2 46 3 2" xfId="4760"/>
    <cellStyle name="Entrada 2 46 4" xfId="4761"/>
    <cellStyle name="Entrada 2 46 4 2" xfId="4762"/>
    <cellStyle name="Entrada 2 46 5" xfId="4763"/>
    <cellStyle name="Entrada 2 46 5 2" xfId="4764"/>
    <cellStyle name="Entrada 2 46 6" xfId="4765"/>
    <cellStyle name="Entrada 2 46 6 2" xfId="4766"/>
    <cellStyle name="Entrada 2 46 7" xfId="4767"/>
    <cellStyle name="Entrada 2 46 7 2" xfId="4768"/>
    <cellStyle name="Entrada 2 46 8" xfId="4769"/>
    <cellStyle name="Entrada 2 46 8 2" xfId="4770"/>
    <cellStyle name="Entrada 2 46 9" xfId="4771"/>
    <cellStyle name="Entrada 2 46 9 2" xfId="4772"/>
    <cellStyle name="Entrada 2 47" xfId="4773"/>
    <cellStyle name="Entrada 2 47 10" xfId="4774"/>
    <cellStyle name="Entrada 2 47 10 2" xfId="4775"/>
    <cellStyle name="Entrada 2 47 11" xfId="4776"/>
    <cellStyle name="Entrada 2 47 11 2" xfId="4777"/>
    <cellStyle name="Entrada 2 47 12" xfId="4778"/>
    <cellStyle name="Entrada 2 47 12 2" xfId="4779"/>
    <cellStyle name="Entrada 2 47 13" xfId="4780"/>
    <cellStyle name="Entrada 2 47 13 2" xfId="4781"/>
    <cellStyle name="Entrada 2 47 14" xfId="4782"/>
    <cellStyle name="Entrada 2 47 2" xfId="4783"/>
    <cellStyle name="Entrada 2 47 2 2" xfId="4784"/>
    <cellStyle name="Entrada 2 47 3" xfId="4785"/>
    <cellStyle name="Entrada 2 47 3 2" xfId="4786"/>
    <cellStyle name="Entrada 2 47 4" xfId="4787"/>
    <cellStyle name="Entrada 2 47 4 2" xfId="4788"/>
    <cellStyle name="Entrada 2 47 5" xfId="4789"/>
    <cellStyle name="Entrada 2 47 5 2" xfId="4790"/>
    <cellStyle name="Entrada 2 47 6" xfId="4791"/>
    <cellStyle name="Entrada 2 47 6 2" xfId="4792"/>
    <cellStyle name="Entrada 2 47 7" xfId="4793"/>
    <cellStyle name="Entrada 2 47 7 2" xfId="4794"/>
    <cellStyle name="Entrada 2 47 8" xfId="4795"/>
    <cellStyle name="Entrada 2 47 8 2" xfId="4796"/>
    <cellStyle name="Entrada 2 47 9" xfId="4797"/>
    <cellStyle name="Entrada 2 47 9 2" xfId="4798"/>
    <cellStyle name="Entrada 2 48" xfId="4799"/>
    <cellStyle name="Entrada 2 48 10" xfId="4800"/>
    <cellStyle name="Entrada 2 48 10 2" xfId="4801"/>
    <cellStyle name="Entrada 2 48 11" xfId="4802"/>
    <cellStyle name="Entrada 2 48 11 2" xfId="4803"/>
    <cellStyle name="Entrada 2 48 12" xfId="4804"/>
    <cellStyle name="Entrada 2 48 12 2" xfId="4805"/>
    <cellStyle name="Entrada 2 48 13" xfId="4806"/>
    <cellStyle name="Entrada 2 48 13 2" xfId="4807"/>
    <cellStyle name="Entrada 2 48 14" xfId="4808"/>
    <cellStyle name="Entrada 2 48 2" xfId="4809"/>
    <cellStyle name="Entrada 2 48 2 2" xfId="4810"/>
    <cellStyle name="Entrada 2 48 3" xfId="4811"/>
    <cellStyle name="Entrada 2 48 3 2" xfId="4812"/>
    <cellStyle name="Entrada 2 48 4" xfId="4813"/>
    <cellStyle name="Entrada 2 48 4 2" xfId="4814"/>
    <cellStyle name="Entrada 2 48 5" xfId="4815"/>
    <cellStyle name="Entrada 2 48 5 2" xfId="4816"/>
    <cellStyle name="Entrada 2 48 6" xfId="4817"/>
    <cellStyle name="Entrada 2 48 6 2" xfId="4818"/>
    <cellStyle name="Entrada 2 48 7" xfId="4819"/>
    <cellStyle name="Entrada 2 48 7 2" xfId="4820"/>
    <cellStyle name="Entrada 2 48 8" xfId="4821"/>
    <cellStyle name="Entrada 2 48 8 2" xfId="4822"/>
    <cellStyle name="Entrada 2 48 9" xfId="4823"/>
    <cellStyle name="Entrada 2 48 9 2" xfId="4824"/>
    <cellStyle name="Entrada 2 49" xfId="4825"/>
    <cellStyle name="Entrada 2 49 10" xfId="4826"/>
    <cellStyle name="Entrada 2 49 10 2" xfId="4827"/>
    <cellStyle name="Entrada 2 49 11" xfId="4828"/>
    <cellStyle name="Entrada 2 49 11 2" xfId="4829"/>
    <cellStyle name="Entrada 2 49 12" xfId="4830"/>
    <cellStyle name="Entrada 2 49 12 2" xfId="4831"/>
    <cellStyle name="Entrada 2 49 13" xfId="4832"/>
    <cellStyle name="Entrada 2 49 13 2" xfId="4833"/>
    <cellStyle name="Entrada 2 49 14" xfId="4834"/>
    <cellStyle name="Entrada 2 49 2" xfId="4835"/>
    <cellStyle name="Entrada 2 49 2 2" xfId="4836"/>
    <cellStyle name="Entrada 2 49 3" xfId="4837"/>
    <cellStyle name="Entrada 2 49 3 2" xfId="4838"/>
    <cellStyle name="Entrada 2 49 4" xfId="4839"/>
    <cellStyle name="Entrada 2 49 4 2" xfId="4840"/>
    <cellStyle name="Entrada 2 49 5" xfId="4841"/>
    <cellStyle name="Entrada 2 49 5 2" xfId="4842"/>
    <cellStyle name="Entrada 2 49 6" xfId="4843"/>
    <cellStyle name="Entrada 2 49 6 2" xfId="4844"/>
    <cellStyle name="Entrada 2 49 7" xfId="4845"/>
    <cellStyle name="Entrada 2 49 7 2" xfId="4846"/>
    <cellStyle name="Entrada 2 49 8" xfId="4847"/>
    <cellStyle name="Entrada 2 49 8 2" xfId="4848"/>
    <cellStyle name="Entrada 2 49 9" xfId="4849"/>
    <cellStyle name="Entrada 2 49 9 2" xfId="4850"/>
    <cellStyle name="Entrada 2 5" xfId="4851"/>
    <cellStyle name="Entrada 2 5 10" xfId="4852"/>
    <cellStyle name="Entrada 2 5 10 2" xfId="4853"/>
    <cellStyle name="Entrada 2 5 11" xfId="4854"/>
    <cellStyle name="Entrada 2 5 11 2" xfId="4855"/>
    <cellStyle name="Entrada 2 5 12" xfId="4856"/>
    <cellStyle name="Entrada 2 5 12 2" xfId="4857"/>
    <cellStyle name="Entrada 2 5 13" xfId="4858"/>
    <cellStyle name="Entrada 2 5 13 2" xfId="4859"/>
    <cellStyle name="Entrada 2 5 14" xfId="4860"/>
    <cellStyle name="Entrada 2 5 2" xfId="4861"/>
    <cellStyle name="Entrada 2 5 2 2" xfId="4862"/>
    <cellStyle name="Entrada 2 5 3" xfId="4863"/>
    <cellStyle name="Entrada 2 5 3 2" xfId="4864"/>
    <cellStyle name="Entrada 2 5 4" xfId="4865"/>
    <cellStyle name="Entrada 2 5 4 2" xfId="4866"/>
    <cellStyle name="Entrada 2 5 5" xfId="4867"/>
    <cellStyle name="Entrada 2 5 5 2" xfId="4868"/>
    <cellStyle name="Entrada 2 5 6" xfId="4869"/>
    <cellStyle name="Entrada 2 5 6 2" xfId="4870"/>
    <cellStyle name="Entrada 2 5 7" xfId="4871"/>
    <cellStyle name="Entrada 2 5 7 2" xfId="4872"/>
    <cellStyle name="Entrada 2 5 8" xfId="4873"/>
    <cellStyle name="Entrada 2 5 8 2" xfId="4874"/>
    <cellStyle name="Entrada 2 5 9" xfId="4875"/>
    <cellStyle name="Entrada 2 5 9 2" xfId="4876"/>
    <cellStyle name="Entrada 2 50" xfId="4877"/>
    <cellStyle name="Entrada 2 50 10" xfId="4878"/>
    <cellStyle name="Entrada 2 50 10 2" xfId="4879"/>
    <cellStyle name="Entrada 2 50 11" xfId="4880"/>
    <cellStyle name="Entrada 2 50 11 2" xfId="4881"/>
    <cellStyle name="Entrada 2 50 12" xfId="4882"/>
    <cellStyle name="Entrada 2 50 12 2" xfId="4883"/>
    <cellStyle name="Entrada 2 50 13" xfId="4884"/>
    <cellStyle name="Entrada 2 50 13 2" xfId="4885"/>
    <cellStyle name="Entrada 2 50 14" xfId="4886"/>
    <cellStyle name="Entrada 2 50 2" xfId="4887"/>
    <cellStyle name="Entrada 2 50 2 2" xfId="4888"/>
    <cellStyle name="Entrada 2 50 3" xfId="4889"/>
    <cellStyle name="Entrada 2 50 3 2" xfId="4890"/>
    <cellStyle name="Entrada 2 50 4" xfId="4891"/>
    <cellStyle name="Entrada 2 50 4 2" xfId="4892"/>
    <cellStyle name="Entrada 2 50 5" xfId="4893"/>
    <cellStyle name="Entrada 2 50 5 2" xfId="4894"/>
    <cellStyle name="Entrada 2 50 6" xfId="4895"/>
    <cellStyle name="Entrada 2 50 6 2" xfId="4896"/>
    <cellStyle name="Entrada 2 50 7" xfId="4897"/>
    <cellStyle name="Entrada 2 50 7 2" xfId="4898"/>
    <cellStyle name="Entrada 2 50 8" xfId="4899"/>
    <cellStyle name="Entrada 2 50 8 2" xfId="4900"/>
    <cellStyle name="Entrada 2 50 9" xfId="4901"/>
    <cellStyle name="Entrada 2 50 9 2" xfId="4902"/>
    <cellStyle name="Entrada 2 51" xfId="4903"/>
    <cellStyle name="Entrada 2 51 10" xfId="4904"/>
    <cellStyle name="Entrada 2 51 10 2" xfId="4905"/>
    <cellStyle name="Entrada 2 51 11" xfId="4906"/>
    <cellStyle name="Entrada 2 51 11 2" xfId="4907"/>
    <cellStyle name="Entrada 2 51 12" xfId="4908"/>
    <cellStyle name="Entrada 2 51 12 2" xfId="4909"/>
    <cellStyle name="Entrada 2 51 13" xfId="4910"/>
    <cellStyle name="Entrada 2 51 13 2" xfId="4911"/>
    <cellStyle name="Entrada 2 51 14" xfId="4912"/>
    <cellStyle name="Entrada 2 51 2" xfId="4913"/>
    <cellStyle name="Entrada 2 51 2 2" xfId="4914"/>
    <cellStyle name="Entrada 2 51 3" xfId="4915"/>
    <cellStyle name="Entrada 2 51 3 2" xfId="4916"/>
    <cellStyle name="Entrada 2 51 4" xfId="4917"/>
    <cellStyle name="Entrada 2 51 4 2" xfId="4918"/>
    <cellStyle name="Entrada 2 51 5" xfId="4919"/>
    <cellStyle name="Entrada 2 51 5 2" xfId="4920"/>
    <cellStyle name="Entrada 2 51 6" xfId="4921"/>
    <cellStyle name="Entrada 2 51 6 2" xfId="4922"/>
    <cellStyle name="Entrada 2 51 7" xfId="4923"/>
    <cellStyle name="Entrada 2 51 7 2" xfId="4924"/>
    <cellStyle name="Entrada 2 51 8" xfId="4925"/>
    <cellStyle name="Entrada 2 51 8 2" xfId="4926"/>
    <cellStyle name="Entrada 2 51 9" xfId="4927"/>
    <cellStyle name="Entrada 2 51 9 2" xfId="4928"/>
    <cellStyle name="Entrada 2 52" xfId="4929"/>
    <cellStyle name="Entrada 2 52 10" xfId="4930"/>
    <cellStyle name="Entrada 2 52 10 2" xfId="4931"/>
    <cellStyle name="Entrada 2 52 11" xfId="4932"/>
    <cellStyle name="Entrada 2 52 11 2" xfId="4933"/>
    <cellStyle name="Entrada 2 52 12" xfId="4934"/>
    <cellStyle name="Entrada 2 52 12 2" xfId="4935"/>
    <cellStyle name="Entrada 2 52 13" xfId="4936"/>
    <cellStyle name="Entrada 2 52 13 2" xfId="4937"/>
    <cellStyle name="Entrada 2 52 14" xfId="4938"/>
    <cellStyle name="Entrada 2 52 2" xfId="4939"/>
    <cellStyle name="Entrada 2 52 2 2" xfId="4940"/>
    <cellStyle name="Entrada 2 52 3" xfId="4941"/>
    <cellStyle name="Entrada 2 52 3 2" xfId="4942"/>
    <cellStyle name="Entrada 2 52 4" xfId="4943"/>
    <cellStyle name="Entrada 2 52 4 2" xfId="4944"/>
    <cellStyle name="Entrada 2 52 5" xfId="4945"/>
    <cellStyle name="Entrada 2 52 5 2" xfId="4946"/>
    <cellStyle name="Entrada 2 52 6" xfId="4947"/>
    <cellStyle name="Entrada 2 52 6 2" xfId="4948"/>
    <cellStyle name="Entrada 2 52 7" xfId="4949"/>
    <cellStyle name="Entrada 2 52 7 2" xfId="4950"/>
    <cellStyle name="Entrada 2 52 8" xfId="4951"/>
    <cellStyle name="Entrada 2 52 8 2" xfId="4952"/>
    <cellStyle name="Entrada 2 52 9" xfId="4953"/>
    <cellStyle name="Entrada 2 52 9 2" xfId="4954"/>
    <cellStyle name="Entrada 2 53" xfId="4955"/>
    <cellStyle name="Entrada 2 53 10" xfId="4956"/>
    <cellStyle name="Entrada 2 53 10 2" xfId="4957"/>
    <cellStyle name="Entrada 2 53 11" xfId="4958"/>
    <cellStyle name="Entrada 2 53 11 2" xfId="4959"/>
    <cellStyle name="Entrada 2 53 12" xfId="4960"/>
    <cellStyle name="Entrada 2 53 12 2" xfId="4961"/>
    <cellStyle name="Entrada 2 53 13" xfId="4962"/>
    <cellStyle name="Entrada 2 53 13 2" xfId="4963"/>
    <cellStyle name="Entrada 2 53 14" xfId="4964"/>
    <cellStyle name="Entrada 2 53 2" xfId="4965"/>
    <cellStyle name="Entrada 2 53 2 2" xfId="4966"/>
    <cellStyle name="Entrada 2 53 3" xfId="4967"/>
    <cellStyle name="Entrada 2 53 3 2" xfId="4968"/>
    <cellStyle name="Entrada 2 53 4" xfId="4969"/>
    <cellStyle name="Entrada 2 53 4 2" xfId="4970"/>
    <cellStyle name="Entrada 2 53 5" xfId="4971"/>
    <cellStyle name="Entrada 2 53 5 2" xfId="4972"/>
    <cellStyle name="Entrada 2 53 6" xfId="4973"/>
    <cellStyle name="Entrada 2 53 6 2" xfId="4974"/>
    <cellStyle name="Entrada 2 53 7" xfId="4975"/>
    <cellStyle name="Entrada 2 53 7 2" xfId="4976"/>
    <cellStyle name="Entrada 2 53 8" xfId="4977"/>
    <cellStyle name="Entrada 2 53 8 2" xfId="4978"/>
    <cellStyle name="Entrada 2 53 9" xfId="4979"/>
    <cellStyle name="Entrada 2 53 9 2" xfId="4980"/>
    <cellStyle name="Entrada 2 54" xfId="4981"/>
    <cellStyle name="Entrada 2 54 10" xfId="4982"/>
    <cellStyle name="Entrada 2 54 10 2" xfId="4983"/>
    <cellStyle name="Entrada 2 54 11" xfId="4984"/>
    <cellStyle name="Entrada 2 54 11 2" xfId="4985"/>
    <cellStyle name="Entrada 2 54 12" xfId="4986"/>
    <cellStyle name="Entrada 2 54 12 2" xfId="4987"/>
    <cellStyle name="Entrada 2 54 13" xfId="4988"/>
    <cellStyle name="Entrada 2 54 13 2" xfId="4989"/>
    <cellStyle name="Entrada 2 54 14" xfId="4990"/>
    <cellStyle name="Entrada 2 54 2" xfId="4991"/>
    <cellStyle name="Entrada 2 54 2 2" xfId="4992"/>
    <cellStyle name="Entrada 2 54 3" xfId="4993"/>
    <cellStyle name="Entrada 2 54 3 2" xfId="4994"/>
    <cellStyle name="Entrada 2 54 4" xfId="4995"/>
    <cellStyle name="Entrada 2 54 4 2" xfId="4996"/>
    <cellStyle name="Entrada 2 54 5" xfId="4997"/>
    <cellStyle name="Entrada 2 54 5 2" xfId="4998"/>
    <cellStyle name="Entrada 2 54 6" xfId="4999"/>
    <cellStyle name="Entrada 2 54 6 2" xfId="5000"/>
    <cellStyle name="Entrada 2 54 7" xfId="5001"/>
    <cellStyle name="Entrada 2 54 7 2" xfId="5002"/>
    <cellStyle name="Entrada 2 54 8" xfId="5003"/>
    <cellStyle name="Entrada 2 54 8 2" xfId="5004"/>
    <cellStyle name="Entrada 2 54 9" xfId="5005"/>
    <cellStyle name="Entrada 2 54 9 2" xfId="5006"/>
    <cellStyle name="Entrada 2 55" xfId="5007"/>
    <cellStyle name="Entrada 2 55 10" xfId="5008"/>
    <cellStyle name="Entrada 2 55 10 2" xfId="5009"/>
    <cellStyle name="Entrada 2 55 11" xfId="5010"/>
    <cellStyle name="Entrada 2 55 11 2" xfId="5011"/>
    <cellStyle name="Entrada 2 55 12" xfId="5012"/>
    <cellStyle name="Entrada 2 55 12 2" xfId="5013"/>
    <cellStyle name="Entrada 2 55 13" xfId="5014"/>
    <cellStyle name="Entrada 2 55 13 2" xfId="5015"/>
    <cellStyle name="Entrada 2 55 14" xfId="5016"/>
    <cellStyle name="Entrada 2 55 2" xfId="5017"/>
    <cellStyle name="Entrada 2 55 2 2" xfId="5018"/>
    <cellStyle name="Entrada 2 55 3" xfId="5019"/>
    <cellStyle name="Entrada 2 55 3 2" xfId="5020"/>
    <cellStyle name="Entrada 2 55 4" xfId="5021"/>
    <cellStyle name="Entrada 2 55 4 2" xfId="5022"/>
    <cellStyle name="Entrada 2 55 5" xfId="5023"/>
    <cellStyle name="Entrada 2 55 5 2" xfId="5024"/>
    <cellStyle name="Entrada 2 55 6" xfId="5025"/>
    <cellStyle name="Entrada 2 55 6 2" xfId="5026"/>
    <cellStyle name="Entrada 2 55 7" xfId="5027"/>
    <cellStyle name="Entrada 2 55 7 2" xfId="5028"/>
    <cellStyle name="Entrada 2 55 8" xfId="5029"/>
    <cellStyle name="Entrada 2 55 8 2" xfId="5030"/>
    <cellStyle name="Entrada 2 55 9" xfId="5031"/>
    <cellStyle name="Entrada 2 55 9 2" xfId="5032"/>
    <cellStyle name="Entrada 2 56" xfId="5033"/>
    <cellStyle name="Entrada 2 56 10" xfId="5034"/>
    <cellStyle name="Entrada 2 56 10 2" xfId="5035"/>
    <cellStyle name="Entrada 2 56 11" xfId="5036"/>
    <cellStyle name="Entrada 2 56 11 2" xfId="5037"/>
    <cellStyle name="Entrada 2 56 12" xfId="5038"/>
    <cellStyle name="Entrada 2 56 12 2" xfId="5039"/>
    <cellStyle name="Entrada 2 56 13" xfId="5040"/>
    <cellStyle name="Entrada 2 56 13 2" xfId="5041"/>
    <cellStyle name="Entrada 2 56 14" xfId="5042"/>
    <cellStyle name="Entrada 2 56 2" xfId="5043"/>
    <cellStyle name="Entrada 2 56 2 2" xfId="5044"/>
    <cellStyle name="Entrada 2 56 3" xfId="5045"/>
    <cellStyle name="Entrada 2 56 3 2" xfId="5046"/>
    <cellStyle name="Entrada 2 56 4" xfId="5047"/>
    <cellStyle name="Entrada 2 56 4 2" xfId="5048"/>
    <cellStyle name="Entrada 2 56 5" xfId="5049"/>
    <cellStyle name="Entrada 2 56 5 2" xfId="5050"/>
    <cellStyle name="Entrada 2 56 6" xfId="5051"/>
    <cellStyle name="Entrada 2 56 6 2" xfId="5052"/>
    <cellStyle name="Entrada 2 56 7" xfId="5053"/>
    <cellStyle name="Entrada 2 56 7 2" xfId="5054"/>
    <cellStyle name="Entrada 2 56 8" xfId="5055"/>
    <cellStyle name="Entrada 2 56 8 2" xfId="5056"/>
    <cellStyle name="Entrada 2 56 9" xfId="5057"/>
    <cellStyle name="Entrada 2 56 9 2" xfId="5058"/>
    <cellStyle name="Entrada 2 57" xfId="5059"/>
    <cellStyle name="Entrada 2 57 10" xfId="5060"/>
    <cellStyle name="Entrada 2 57 10 2" xfId="5061"/>
    <cellStyle name="Entrada 2 57 11" xfId="5062"/>
    <cellStyle name="Entrada 2 57 11 2" xfId="5063"/>
    <cellStyle name="Entrada 2 57 12" xfId="5064"/>
    <cellStyle name="Entrada 2 57 12 2" xfId="5065"/>
    <cellStyle name="Entrada 2 57 13" xfId="5066"/>
    <cellStyle name="Entrada 2 57 13 2" xfId="5067"/>
    <cellStyle name="Entrada 2 57 14" xfId="5068"/>
    <cellStyle name="Entrada 2 57 2" xfId="5069"/>
    <cellStyle name="Entrada 2 57 2 2" xfId="5070"/>
    <cellStyle name="Entrada 2 57 3" xfId="5071"/>
    <cellStyle name="Entrada 2 57 3 2" xfId="5072"/>
    <cellStyle name="Entrada 2 57 4" xfId="5073"/>
    <cellStyle name="Entrada 2 57 4 2" xfId="5074"/>
    <cellStyle name="Entrada 2 57 5" xfId="5075"/>
    <cellStyle name="Entrada 2 57 5 2" xfId="5076"/>
    <cellStyle name="Entrada 2 57 6" xfId="5077"/>
    <cellStyle name="Entrada 2 57 6 2" xfId="5078"/>
    <cellStyle name="Entrada 2 57 7" xfId="5079"/>
    <cellStyle name="Entrada 2 57 7 2" xfId="5080"/>
    <cellStyle name="Entrada 2 57 8" xfId="5081"/>
    <cellStyle name="Entrada 2 57 8 2" xfId="5082"/>
    <cellStyle name="Entrada 2 57 9" xfId="5083"/>
    <cellStyle name="Entrada 2 57 9 2" xfId="5084"/>
    <cellStyle name="Entrada 2 58" xfId="5085"/>
    <cellStyle name="Entrada 2 58 10" xfId="5086"/>
    <cellStyle name="Entrada 2 58 10 2" xfId="5087"/>
    <cellStyle name="Entrada 2 58 11" xfId="5088"/>
    <cellStyle name="Entrada 2 58 11 2" xfId="5089"/>
    <cellStyle name="Entrada 2 58 12" xfId="5090"/>
    <cellStyle name="Entrada 2 58 12 2" xfId="5091"/>
    <cellStyle name="Entrada 2 58 13" xfId="5092"/>
    <cellStyle name="Entrada 2 58 13 2" xfId="5093"/>
    <cellStyle name="Entrada 2 58 14" xfId="5094"/>
    <cellStyle name="Entrada 2 58 2" xfId="5095"/>
    <cellStyle name="Entrada 2 58 2 2" xfId="5096"/>
    <cellStyle name="Entrada 2 58 3" xfId="5097"/>
    <cellStyle name="Entrada 2 58 3 2" xfId="5098"/>
    <cellStyle name="Entrada 2 58 4" xfId="5099"/>
    <cellStyle name="Entrada 2 58 4 2" xfId="5100"/>
    <cellStyle name="Entrada 2 58 5" xfId="5101"/>
    <cellStyle name="Entrada 2 58 5 2" xfId="5102"/>
    <cellStyle name="Entrada 2 58 6" xfId="5103"/>
    <cellStyle name="Entrada 2 58 6 2" xfId="5104"/>
    <cellStyle name="Entrada 2 58 7" xfId="5105"/>
    <cellStyle name="Entrada 2 58 7 2" xfId="5106"/>
    <cellStyle name="Entrada 2 58 8" xfId="5107"/>
    <cellStyle name="Entrada 2 58 8 2" xfId="5108"/>
    <cellStyle name="Entrada 2 58 9" xfId="5109"/>
    <cellStyle name="Entrada 2 58 9 2" xfId="5110"/>
    <cellStyle name="Entrada 2 59" xfId="5111"/>
    <cellStyle name="Entrada 2 59 10" xfId="5112"/>
    <cellStyle name="Entrada 2 59 10 2" xfId="5113"/>
    <cellStyle name="Entrada 2 59 11" xfId="5114"/>
    <cellStyle name="Entrada 2 59 11 2" xfId="5115"/>
    <cellStyle name="Entrada 2 59 12" xfId="5116"/>
    <cellStyle name="Entrada 2 59 12 2" xfId="5117"/>
    <cellStyle name="Entrada 2 59 13" xfId="5118"/>
    <cellStyle name="Entrada 2 59 13 2" xfId="5119"/>
    <cellStyle name="Entrada 2 59 14" xfId="5120"/>
    <cellStyle name="Entrada 2 59 2" xfId="5121"/>
    <cellStyle name="Entrada 2 59 2 2" xfId="5122"/>
    <cellStyle name="Entrada 2 59 3" xfId="5123"/>
    <cellStyle name="Entrada 2 59 3 2" xfId="5124"/>
    <cellStyle name="Entrada 2 59 4" xfId="5125"/>
    <cellStyle name="Entrada 2 59 4 2" xfId="5126"/>
    <cellStyle name="Entrada 2 59 5" xfId="5127"/>
    <cellStyle name="Entrada 2 59 5 2" xfId="5128"/>
    <cellStyle name="Entrada 2 59 6" xfId="5129"/>
    <cellStyle name="Entrada 2 59 6 2" xfId="5130"/>
    <cellStyle name="Entrada 2 59 7" xfId="5131"/>
    <cellStyle name="Entrada 2 59 7 2" xfId="5132"/>
    <cellStyle name="Entrada 2 59 8" xfId="5133"/>
    <cellStyle name="Entrada 2 59 8 2" xfId="5134"/>
    <cellStyle name="Entrada 2 59 9" xfId="5135"/>
    <cellStyle name="Entrada 2 59 9 2" xfId="5136"/>
    <cellStyle name="Entrada 2 6" xfId="5137"/>
    <cellStyle name="Entrada 2 6 10" xfId="5138"/>
    <cellStyle name="Entrada 2 6 10 2" xfId="5139"/>
    <cellStyle name="Entrada 2 6 11" xfId="5140"/>
    <cellStyle name="Entrada 2 6 11 2" xfId="5141"/>
    <cellStyle name="Entrada 2 6 12" xfId="5142"/>
    <cellStyle name="Entrada 2 6 12 2" xfId="5143"/>
    <cellStyle name="Entrada 2 6 13" xfId="5144"/>
    <cellStyle name="Entrada 2 6 13 2" xfId="5145"/>
    <cellStyle name="Entrada 2 6 14" xfId="5146"/>
    <cellStyle name="Entrada 2 6 2" xfId="5147"/>
    <cellStyle name="Entrada 2 6 2 2" xfId="5148"/>
    <cellStyle name="Entrada 2 6 3" xfId="5149"/>
    <cellStyle name="Entrada 2 6 3 2" xfId="5150"/>
    <cellStyle name="Entrada 2 6 4" xfId="5151"/>
    <cellStyle name="Entrada 2 6 4 2" xfId="5152"/>
    <cellStyle name="Entrada 2 6 5" xfId="5153"/>
    <cellStyle name="Entrada 2 6 5 2" xfId="5154"/>
    <cellStyle name="Entrada 2 6 6" xfId="5155"/>
    <cellStyle name="Entrada 2 6 6 2" xfId="5156"/>
    <cellStyle name="Entrada 2 6 7" xfId="5157"/>
    <cellStyle name="Entrada 2 6 7 2" xfId="5158"/>
    <cellStyle name="Entrada 2 6 8" xfId="5159"/>
    <cellStyle name="Entrada 2 6 8 2" xfId="5160"/>
    <cellStyle name="Entrada 2 6 9" xfId="5161"/>
    <cellStyle name="Entrada 2 6 9 2" xfId="5162"/>
    <cellStyle name="Entrada 2 60" xfId="5163"/>
    <cellStyle name="Entrada 2 60 10" xfId="5164"/>
    <cellStyle name="Entrada 2 60 10 2" xfId="5165"/>
    <cellStyle name="Entrada 2 60 11" xfId="5166"/>
    <cellStyle name="Entrada 2 60 11 2" xfId="5167"/>
    <cellStyle name="Entrada 2 60 12" xfId="5168"/>
    <cellStyle name="Entrada 2 60 12 2" xfId="5169"/>
    <cellStyle name="Entrada 2 60 13" xfId="5170"/>
    <cellStyle name="Entrada 2 60 13 2" xfId="5171"/>
    <cellStyle name="Entrada 2 60 14" xfId="5172"/>
    <cellStyle name="Entrada 2 60 2" xfId="5173"/>
    <cellStyle name="Entrada 2 60 2 2" xfId="5174"/>
    <cellStyle name="Entrada 2 60 3" xfId="5175"/>
    <cellStyle name="Entrada 2 60 3 2" xfId="5176"/>
    <cellStyle name="Entrada 2 60 4" xfId="5177"/>
    <cellStyle name="Entrada 2 60 4 2" xfId="5178"/>
    <cellStyle name="Entrada 2 60 5" xfId="5179"/>
    <cellStyle name="Entrada 2 60 5 2" xfId="5180"/>
    <cellStyle name="Entrada 2 60 6" xfId="5181"/>
    <cellStyle name="Entrada 2 60 6 2" xfId="5182"/>
    <cellStyle name="Entrada 2 60 7" xfId="5183"/>
    <cellStyle name="Entrada 2 60 7 2" xfId="5184"/>
    <cellStyle name="Entrada 2 60 8" xfId="5185"/>
    <cellStyle name="Entrada 2 60 8 2" xfId="5186"/>
    <cellStyle name="Entrada 2 60 9" xfId="5187"/>
    <cellStyle name="Entrada 2 60 9 2" xfId="5188"/>
    <cellStyle name="Entrada 2 61" xfId="5189"/>
    <cellStyle name="Entrada 2 61 10" xfId="5190"/>
    <cellStyle name="Entrada 2 61 10 2" xfId="5191"/>
    <cellStyle name="Entrada 2 61 11" xfId="5192"/>
    <cellStyle name="Entrada 2 61 11 2" xfId="5193"/>
    <cellStyle name="Entrada 2 61 12" xfId="5194"/>
    <cellStyle name="Entrada 2 61 12 2" xfId="5195"/>
    <cellStyle name="Entrada 2 61 13" xfId="5196"/>
    <cellStyle name="Entrada 2 61 13 2" xfId="5197"/>
    <cellStyle name="Entrada 2 61 14" xfId="5198"/>
    <cellStyle name="Entrada 2 61 2" xfId="5199"/>
    <cellStyle name="Entrada 2 61 2 2" xfId="5200"/>
    <cellStyle name="Entrada 2 61 3" xfId="5201"/>
    <cellStyle name="Entrada 2 61 3 2" xfId="5202"/>
    <cellStyle name="Entrada 2 61 4" xfId="5203"/>
    <cellStyle name="Entrada 2 61 4 2" xfId="5204"/>
    <cellStyle name="Entrada 2 61 5" xfId="5205"/>
    <cellStyle name="Entrada 2 61 5 2" xfId="5206"/>
    <cellStyle name="Entrada 2 61 6" xfId="5207"/>
    <cellStyle name="Entrada 2 61 6 2" xfId="5208"/>
    <cellStyle name="Entrada 2 61 7" xfId="5209"/>
    <cellStyle name="Entrada 2 61 7 2" xfId="5210"/>
    <cellStyle name="Entrada 2 61 8" xfId="5211"/>
    <cellStyle name="Entrada 2 61 8 2" xfId="5212"/>
    <cellStyle name="Entrada 2 61 9" xfId="5213"/>
    <cellStyle name="Entrada 2 61 9 2" xfId="5214"/>
    <cellStyle name="Entrada 2 62" xfId="5215"/>
    <cellStyle name="Entrada 2 62 10" xfId="5216"/>
    <cellStyle name="Entrada 2 62 10 2" xfId="5217"/>
    <cellStyle name="Entrada 2 62 11" xfId="5218"/>
    <cellStyle name="Entrada 2 62 11 2" xfId="5219"/>
    <cellStyle name="Entrada 2 62 12" xfId="5220"/>
    <cellStyle name="Entrada 2 62 12 2" xfId="5221"/>
    <cellStyle name="Entrada 2 62 13" xfId="5222"/>
    <cellStyle name="Entrada 2 62 13 2" xfId="5223"/>
    <cellStyle name="Entrada 2 62 14" xfId="5224"/>
    <cellStyle name="Entrada 2 62 2" xfId="5225"/>
    <cellStyle name="Entrada 2 62 2 2" xfId="5226"/>
    <cellStyle name="Entrada 2 62 3" xfId="5227"/>
    <cellStyle name="Entrada 2 62 3 2" xfId="5228"/>
    <cellStyle name="Entrada 2 62 4" xfId="5229"/>
    <cellStyle name="Entrada 2 62 4 2" xfId="5230"/>
    <cellStyle name="Entrada 2 62 5" xfId="5231"/>
    <cellStyle name="Entrada 2 62 5 2" xfId="5232"/>
    <cellStyle name="Entrada 2 62 6" xfId="5233"/>
    <cellStyle name="Entrada 2 62 6 2" xfId="5234"/>
    <cellStyle name="Entrada 2 62 7" xfId="5235"/>
    <cellStyle name="Entrada 2 62 7 2" xfId="5236"/>
    <cellStyle name="Entrada 2 62 8" xfId="5237"/>
    <cellStyle name="Entrada 2 62 8 2" xfId="5238"/>
    <cellStyle name="Entrada 2 62 9" xfId="5239"/>
    <cellStyle name="Entrada 2 62 9 2" xfId="5240"/>
    <cellStyle name="Entrada 2 63" xfId="5241"/>
    <cellStyle name="Entrada 2 63 10" xfId="5242"/>
    <cellStyle name="Entrada 2 63 10 2" xfId="5243"/>
    <cellStyle name="Entrada 2 63 11" xfId="5244"/>
    <cellStyle name="Entrada 2 63 11 2" xfId="5245"/>
    <cellStyle name="Entrada 2 63 12" xfId="5246"/>
    <cellStyle name="Entrada 2 63 12 2" xfId="5247"/>
    <cellStyle name="Entrada 2 63 13" xfId="5248"/>
    <cellStyle name="Entrada 2 63 13 2" xfId="5249"/>
    <cellStyle name="Entrada 2 63 14" xfId="5250"/>
    <cellStyle name="Entrada 2 63 2" xfId="5251"/>
    <cellStyle name="Entrada 2 63 2 2" xfId="5252"/>
    <cellStyle name="Entrada 2 63 3" xfId="5253"/>
    <cellStyle name="Entrada 2 63 3 2" xfId="5254"/>
    <cellStyle name="Entrada 2 63 4" xfId="5255"/>
    <cellStyle name="Entrada 2 63 4 2" xfId="5256"/>
    <cellStyle name="Entrada 2 63 5" xfId="5257"/>
    <cellStyle name="Entrada 2 63 5 2" xfId="5258"/>
    <cellStyle name="Entrada 2 63 6" xfId="5259"/>
    <cellStyle name="Entrada 2 63 6 2" xfId="5260"/>
    <cellStyle name="Entrada 2 63 7" xfId="5261"/>
    <cellStyle name="Entrada 2 63 7 2" xfId="5262"/>
    <cellStyle name="Entrada 2 63 8" xfId="5263"/>
    <cellStyle name="Entrada 2 63 8 2" xfId="5264"/>
    <cellStyle name="Entrada 2 63 9" xfId="5265"/>
    <cellStyle name="Entrada 2 63 9 2" xfId="5266"/>
    <cellStyle name="Entrada 2 64" xfId="5267"/>
    <cellStyle name="Entrada 2 64 10" xfId="5268"/>
    <cellStyle name="Entrada 2 64 10 2" xfId="5269"/>
    <cellStyle name="Entrada 2 64 11" xfId="5270"/>
    <cellStyle name="Entrada 2 64 11 2" xfId="5271"/>
    <cellStyle name="Entrada 2 64 12" xfId="5272"/>
    <cellStyle name="Entrada 2 64 12 2" xfId="5273"/>
    <cellStyle name="Entrada 2 64 13" xfId="5274"/>
    <cellStyle name="Entrada 2 64 13 2" xfId="5275"/>
    <cellStyle name="Entrada 2 64 14" xfId="5276"/>
    <cellStyle name="Entrada 2 64 2" xfId="5277"/>
    <cellStyle name="Entrada 2 64 2 2" xfId="5278"/>
    <cellStyle name="Entrada 2 64 3" xfId="5279"/>
    <cellStyle name="Entrada 2 64 3 2" xfId="5280"/>
    <cellStyle name="Entrada 2 64 4" xfId="5281"/>
    <cellStyle name="Entrada 2 64 4 2" xfId="5282"/>
    <cellStyle name="Entrada 2 64 5" xfId="5283"/>
    <cellStyle name="Entrada 2 64 5 2" xfId="5284"/>
    <cellStyle name="Entrada 2 64 6" xfId="5285"/>
    <cellStyle name="Entrada 2 64 6 2" xfId="5286"/>
    <cellStyle name="Entrada 2 64 7" xfId="5287"/>
    <cellStyle name="Entrada 2 64 7 2" xfId="5288"/>
    <cellStyle name="Entrada 2 64 8" xfId="5289"/>
    <cellStyle name="Entrada 2 64 8 2" xfId="5290"/>
    <cellStyle name="Entrada 2 64 9" xfId="5291"/>
    <cellStyle name="Entrada 2 64 9 2" xfId="5292"/>
    <cellStyle name="Entrada 2 65" xfId="5293"/>
    <cellStyle name="Entrada 2 65 10" xfId="5294"/>
    <cellStyle name="Entrada 2 65 10 2" xfId="5295"/>
    <cellStyle name="Entrada 2 65 11" xfId="5296"/>
    <cellStyle name="Entrada 2 65 11 2" xfId="5297"/>
    <cellStyle name="Entrada 2 65 12" xfId="5298"/>
    <cellStyle name="Entrada 2 65 12 2" xfId="5299"/>
    <cellStyle name="Entrada 2 65 13" xfId="5300"/>
    <cellStyle name="Entrada 2 65 13 2" xfId="5301"/>
    <cellStyle name="Entrada 2 65 14" xfId="5302"/>
    <cellStyle name="Entrada 2 65 2" xfId="5303"/>
    <cellStyle name="Entrada 2 65 2 2" xfId="5304"/>
    <cellStyle name="Entrada 2 65 3" xfId="5305"/>
    <cellStyle name="Entrada 2 65 3 2" xfId="5306"/>
    <cellStyle name="Entrada 2 65 4" xfId="5307"/>
    <cellStyle name="Entrada 2 65 4 2" xfId="5308"/>
    <cellStyle name="Entrada 2 65 5" xfId="5309"/>
    <cellStyle name="Entrada 2 65 5 2" xfId="5310"/>
    <cellStyle name="Entrada 2 65 6" xfId="5311"/>
    <cellStyle name="Entrada 2 65 6 2" xfId="5312"/>
    <cellStyle name="Entrada 2 65 7" xfId="5313"/>
    <cellStyle name="Entrada 2 65 7 2" xfId="5314"/>
    <cellStyle name="Entrada 2 65 8" xfId="5315"/>
    <cellStyle name="Entrada 2 65 8 2" xfId="5316"/>
    <cellStyle name="Entrada 2 65 9" xfId="5317"/>
    <cellStyle name="Entrada 2 65 9 2" xfId="5318"/>
    <cellStyle name="Entrada 2 66" xfId="5319"/>
    <cellStyle name="Entrada 2 66 10" xfId="5320"/>
    <cellStyle name="Entrada 2 66 10 2" xfId="5321"/>
    <cellStyle name="Entrada 2 66 11" xfId="5322"/>
    <cellStyle name="Entrada 2 66 11 2" xfId="5323"/>
    <cellStyle name="Entrada 2 66 12" xfId="5324"/>
    <cellStyle name="Entrada 2 66 12 2" xfId="5325"/>
    <cellStyle name="Entrada 2 66 13" xfId="5326"/>
    <cellStyle name="Entrada 2 66 13 2" xfId="5327"/>
    <cellStyle name="Entrada 2 66 14" xfId="5328"/>
    <cellStyle name="Entrada 2 66 2" xfId="5329"/>
    <cellStyle name="Entrada 2 66 2 2" xfId="5330"/>
    <cellStyle name="Entrada 2 66 3" xfId="5331"/>
    <cellStyle name="Entrada 2 66 3 2" xfId="5332"/>
    <cellStyle name="Entrada 2 66 4" xfId="5333"/>
    <cellStyle name="Entrada 2 66 4 2" xfId="5334"/>
    <cellStyle name="Entrada 2 66 5" xfId="5335"/>
    <cellStyle name="Entrada 2 66 5 2" xfId="5336"/>
    <cellStyle name="Entrada 2 66 6" xfId="5337"/>
    <cellStyle name="Entrada 2 66 6 2" xfId="5338"/>
    <cellStyle name="Entrada 2 66 7" xfId="5339"/>
    <cellStyle name="Entrada 2 66 7 2" xfId="5340"/>
    <cellStyle name="Entrada 2 66 8" xfId="5341"/>
    <cellStyle name="Entrada 2 66 8 2" xfId="5342"/>
    <cellStyle name="Entrada 2 66 9" xfId="5343"/>
    <cellStyle name="Entrada 2 66 9 2" xfId="5344"/>
    <cellStyle name="Entrada 2 67" xfId="5345"/>
    <cellStyle name="Entrada 2 67 10" xfId="5346"/>
    <cellStyle name="Entrada 2 67 10 2" xfId="5347"/>
    <cellStyle name="Entrada 2 67 11" xfId="5348"/>
    <cellStyle name="Entrada 2 67 11 2" xfId="5349"/>
    <cellStyle name="Entrada 2 67 12" xfId="5350"/>
    <cellStyle name="Entrada 2 67 12 2" xfId="5351"/>
    <cellStyle name="Entrada 2 67 13" xfId="5352"/>
    <cellStyle name="Entrada 2 67 13 2" xfId="5353"/>
    <cellStyle name="Entrada 2 67 14" xfId="5354"/>
    <cellStyle name="Entrada 2 67 2" xfId="5355"/>
    <cellStyle name="Entrada 2 67 2 2" xfId="5356"/>
    <cellStyle name="Entrada 2 67 3" xfId="5357"/>
    <cellStyle name="Entrada 2 67 3 2" xfId="5358"/>
    <cellStyle name="Entrada 2 67 4" xfId="5359"/>
    <cellStyle name="Entrada 2 67 4 2" xfId="5360"/>
    <cellStyle name="Entrada 2 67 5" xfId="5361"/>
    <cellStyle name="Entrada 2 67 5 2" xfId="5362"/>
    <cellStyle name="Entrada 2 67 6" xfId="5363"/>
    <cellStyle name="Entrada 2 67 6 2" xfId="5364"/>
    <cellStyle name="Entrada 2 67 7" xfId="5365"/>
    <cellStyle name="Entrada 2 67 7 2" xfId="5366"/>
    <cellStyle name="Entrada 2 67 8" xfId="5367"/>
    <cellStyle name="Entrada 2 67 8 2" xfId="5368"/>
    <cellStyle name="Entrada 2 67 9" xfId="5369"/>
    <cellStyle name="Entrada 2 67 9 2" xfId="5370"/>
    <cellStyle name="Entrada 2 68" xfId="5371"/>
    <cellStyle name="Entrada 2 68 10" xfId="5372"/>
    <cellStyle name="Entrada 2 68 10 2" xfId="5373"/>
    <cellStyle name="Entrada 2 68 11" xfId="5374"/>
    <cellStyle name="Entrada 2 68 11 2" xfId="5375"/>
    <cellStyle name="Entrada 2 68 12" xfId="5376"/>
    <cellStyle name="Entrada 2 68 12 2" xfId="5377"/>
    <cellStyle name="Entrada 2 68 13" xfId="5378"/>
    <cellStyle name="Entrada 2 68 13 2" xfId="5379"/>
    <cellStyle name="Entrada 2 68 14" xfId="5380"/>
    <cellStyle name="Entrada 2 68 2" xfId="5381"/>
    <cellStyle name="Entrada 2 68 2 2" xfId="5382"/>
    <cellStyle name="Entrada 2 68 3" xfId="5383"/>
    <cellStyle name="Entrada 2 68 3 2" xfId="5384"/>
    <cellStyle name="Entrada 2 68 4" xfId="5385"/>
    <cellStyle name="Entrada 2 68 4 2" xfId="5386"/>
    <cellStyle name="Entrada 2 68 5" xfId="5387"/>
    <cellStyle name="Entrada 2 68 5 2" xfId="5388"/>
    <cellStyle name="Entrada 2 68 6" xfId="5389"/>
    <cellStyle name="Entrada 2 68 6 2" xfId="5390"/>
    <cellStyle name="Entrada 2 68 7" xfId="5391"/>
    <cellStyle name="Entrada 2 68 7 2" xfId="5392"/>
    <cellStyle name="Entrada 2 68 8" xfId="5393"/>
    <cellStyle name="Entrada 2 68 8 2" xfId="5394"/>
    <cellStyle name="Entrada 2 68 9" xfId="5395"/>
    <cellStyle name="Entrada 2 68 9 2" xfId="5396"/>
    <cellStyle name="Entrada 2 69" xfId="5397"/>
    <cellStyle name="Entrada 2 69 10" xfId="5398"/>
    <cellStyle name="Entrada 2 69 10 2" xfId="5399"/>
    <cellStyle name="Entrada 2 69 11" xfId="5400"/>
    <cellStyle name="Entrada 2 69 11 2" xfId="5401"/>
    <cellStyle name="Entrada 2 69 12" xfId="5402"/>
    <cellStyle name="Entrada 2 69 12 2" xfId="5403"/>
    <cellStyle name="Entrada 2 69 13" xfId="5404"/>
    <cellStyle name="Entrada 2 69 13 2" xfId="5405"/>
    <cellStyle name="Entrada 2 69 14" xfId="5406"/>
    <cellStyle name="Entrada 2 69 2" xfId="5407"/>
    <cellStyle name="Entrada 2 69 2 2" xfId="5408"/>
    <cellStyle name="Entrada 2 69 3" xfId="5409"/>
    <cellStyle name="Entrada 2 69 3 2" xfId="5410"/>
    <cellStyle name="Entrada 2 69 4" xfId="5411"/>
    <cellStyle name="Entrada 2 69 4 2" xfId="5412"/>
    <cellStyle name="Entrada 2 69 5" xfId="5413"/>
    <cellStyle name="Entrada 2 69 5 2" xfId="5414"/>
    <cellStyle name="Entrada 2 69 6" xfId="5415"/>
    <cellStyle name="Entrada 2 69 6 2" xfId="5416"/>
    <cellStyle name="Entrada 2 69 7" xfId="5417"/>
    <cellStyle name="Entrada 2 69 7 2" xfId="5418"/>
    <cellStyle name="Entrada 2 69 8" xfId="5419"/>
    <cellStyle name="Entrada 2 69 8 2" xfId="5420"/>
    <cellStyle name="Entrada 2 69 9" xfId="5421"/>
    <cellStyle name="Entrada 2 69 9 2" xfId="5422"/>
    <cellStyle name="Entrada 2 7" xfId="5423"/>
    <cellStyle name="Entrada 2 7 10" xfId="5424"/>
    <cellStyle name="Entrada 2 7 10 2" xfId="5425"/>
    <cellStyle name="Entrada 2 7 11" xfId="5426"/>
    <cellStyle name="Entrada 2 7 11 2" xfId="5427"/>
    <cellStyle name="Entrada 2 7 12" xfId="5428"/>
    <cellStyle name="Entrada 2 7 12 2" xfId="5429"/>
    <cellStyle name="Entrada 2 7 13" xfId="5430"/>
    <cellStyle name="Entrada 2 7 13 2" xfId="5431"/>
    <cellStyle name="Entrada 2 7 14" xfId="5432"/>
    <cellStyle name="Entrada 2 7 2" xfId="5433"/>
    <cellStyle name="Entrada 2 7 2 2" xfId="5434"/>
    <cellStyle name="Entrada 2 7 3" xfId="5435"/>
    <cellStyle name="Entrada 2 7 3 2" xfId="5436"/>
    <cellStyle name="Entrada 2 7 4" xfId="5437"/>
    <cellStyle name="Entrada 2 7 4 2" xfId="5438"/>
    <cellStyle name="Entrada 2 7 5" xfId="5439"/>
    <cellStyle name="Entrada 2 7 5 2" xfId="5440"/>
    <cellStyle name="Entrada 2 7 6" xfId="5441"/>
    <cellStyle name="Entrada 2 7 6 2" xfId="5442"/>
    <cellStyle name="Entrada 2 7 7" xfId="5443"/>
    <cellStyle name="Entrada 2 7 7 2" xfId="5444"/>
    <cellStyle name="Entrada 2 7 8" xfId="5445"/>
    <cellStyle name="Entrada 2 7 8 2" xfId="5446"/>
    <cellStyle name="Entrada 2 7 9" xfId="5447"/>
    <cellStyle name="Entrada 2 7 9 2" xfId="5448"/>
    <cellStyle name="Entrada 2 70" xfId="5449"/>
    <cellStyle name="Entrada 2 70 10" xfId="5450"/>
    <cellStyle name="Entrada 2 70 10 2" xfId="5451"/>
    <cellStyle name="Entrada 2 70 11" xfId="5452"/>
    <cellStyle name="Entrada 2 70 11 2" xfId="5453"/>
    <cellStyle name="Entrada 2 70 12" xfId="5454"/>
    <cellStyle name="Entrada 2 70 12 2" xfId="5455"/>
    <cellStyle name="Entrada 2 70 13" xfId="5456"/>
    <cellStyle name="Entrada 2 70 13 2" xfId="5457"/>
    <cellStyle name="Entrada 2 70 14" xfId="5458"/>
    <cellStyle name="Entrada 2 70 2" xfId="5459"/>
    <cellStyle name="Entrada 2 70 2 2" xfId="5460"/>
    <cellStyle name="Entrada 2 70 3" xfId="5461"/>
    <cellStyle name="Entrada 2 70 3 2" xfId="5462"/>
    <cellStyle name="Entrada 2 70 4" xfId="5463"/>
    <cellStyle name="Entrada 2 70 4 2" xfId="5464"/>
    <cellStyle name="Entrada 2 70 5" xfId="5465"/>
    <cellStyle name="Entrada 2 70 5 2" xfId="5466"/>
    <cellStyle name="Entrada 2 70 6" xfId="5467"/>
    <cellStyle name="Entrada 2 70 6 2" xfId="5468"/>
    <cellStyle name="Entrada 2 70 7" xfId="5469"/>
    <cellStyle name="Entrada 2 70 7 2" xfId="5470"/>
    <cellStyle name="Entrada 2 70 8" xfId="5471"/>
    <cellStyle name="Entrada 2 70 8 2" xfId="5472"/>
    <cellStyle name="Entrada 2 70 9" xfId="5473"/>
    <cellStyle name="Entrada 2 70 9 2" xfId="5474"/>
    <cellStyle name="Entrada 2 71" xfId="5475"/>
    <cellStyle name="Entrada 2 71 2" xfId="5476"/>
    <cellStyle name="Entrada 2 72" xfId="5477"/>
    <cellStyle name="Entrada 2 72 2" xfId="5478"/>
    <cellStyle name="Entrada 2 73" xfId="5479"/>
    <cellStyle name="Entrada 2 73 2" xfId="5480"/>
    <cellStyle name="Entrada 2 74" xfId="5481"/>
    <cellStyle name="Entrada 2 74 2" xfId="5482"/>
    <cellStyle name="Entrada 2 75" xfId="5483"/>
    <cellStyle name="Entrada 2 75 2" xfId="5484"/>
    <cellStyle name="Entrada 2 76" xfId="5485"/>
    <cellStyle name="Entrada 2 76 2" xfId="5486"/>
    <cellStyle name="Entrada 2 77" xfId="5487"/>
    <cellStyle name="Entrada 2 77 2" xfId="5488"/>
    <cellStyle name="Entrada 2 78" xfId="5489"/>
    <cellStyle name="Entrada 2 78 2" xfId="5490"/>
    <cellStyle name="Entrada 2 79" xfId="5491"/>
    <cellStyle name="Entrada 2 79 2" xfId="5492"/>
    <cellStyle name="Entrada 2 8" xfId="5493"/>
    <cellStyle name="Entrada 2 8 10" xfId="5494"/>
    <cellStyle name="Entrada 2 8 10 2" xfId="5495"/>
    <cellStyle name="Entrada 2 8 11" xfId="5496"/>
    <cellStyle name="Entrada 2 8 11 2" xfId="5497"/>
    <cellStyle name="Entrada 2 8 12" xfId="5498"/>
    <cellStyle name="Entrada 2 8 12 2" xfId="5499"/>
    <cellStyle name="Entrada 2 8 13" xfId="5500"/>
    <cellStyle name="Entrada 2 8 13 2" xfId="5501"/>
    <cellStyle name="Entrada 2 8 14" xfId="5502"/>
    <cellStyle name="Entrada 2 8 2" xfId="5503"/>
    <cellStyle name="Entrada 2 8 2 2" xfId="5504"/>
    <cellStyle name="Entrada 2 8 3" xfId="5505"/>
    <cellStyle name="Entrada 2 8 3 2" xfId="5506"/>
    <cellStyle name="Entrada 2 8 4" xfId="5507"/>
    <cellStyle name="Entrada 2 8 4 2" xfId="5508"/>
    <cellStyle name="Entrada 2 8 5" xfId="5509"/>
    <cellStyle name="Entrada 2 8 5 2" xfId="5510"/>
    <cellStyle name="Entrada 2 8 6" xfId="5511"/>
    <cellStyle name="Entrada 2 8 6 2" xfId="5512"/>
    <cellStyle name="Entrada 2 8 7" xfId="5513"/>
    <cellStyle name="Entrada 2 8 7 2" xfId="5514"/>
    <cellStyle name="Entrada 2 8 8" xfId="5515"/>
    <cellStyle name="Entrada 2 8 8 2" xfId="5516"/>
    <cellStyle name="Entrada 2 8 9" xfId="5517"/>
    <cellStyle name="Entrada 2 8 9 2" xfId="5518"/>
    <cellStyle name="Entrada 2 80" xfId="5519"/>
    <cellStyle name="Entrada 2 80 2" xfId="5520"/>
    <cellStyle name="Entrada 2 81" xfId="5521"/>
    <cellStyle name="Entrada 2 81 2" xfId="5522"/>
    <cellStyle name="Entrada 2 82" xfId="5523"/>
    <cellStyle name="Entrada 2 9" xfId="5524"/>
    <cellStyle name="Entrada 2 9 10" xfId="5525"/>
    <cellStyle name="Entrada 2 9 10 2" xfId="5526"/>
    <cellStyle name="Entrada 2 9 11" xfId="5527"/>
    <cellStyle name="Entrada 2 9 11 2" xfId="5528"/>
    <cellStyle name="Entrada 2 9 12" xfId="5529"/>
    <cellStyle name="Entrada 2 9 12 2" xfId="5530"/>
    <cellStyle name="Entrada 2 9 13" xfId="5531"/>
    <cellStyle name="Entrada 2 9 13 2" xfId="5532"/>
    <cellStyle name="Entrada 2 9 14" xfId="5533"/>
    <cellStyle name="Entrada 2 9 2" xfId="5534"/>
    <cellStyle name="Entrada 2 9 2 2" xfId="5535"/>
    <cellStyle name="Entrada 2 9 3" xfId="5536"/>
    <cellStyle name="Entrada 2 9 3 2" xfId="5537"/>
    <cellStyle name="Entrada 2 9 4" xfId="5538"/>
    <cellStyle name="Entrada 2 9 4 2" xfId="5539"/>
    <cellStyle name="Entrada 2 9 5" xfId="5540"/>
    <cellStyle name="Entrada 2 9 5 2" xfId="5541"/>
    <cellStyle name="Entrada 2 9 6" xfId="5542"/>
    <cellStyle name="Entrada 2 9 6 2" xfId="5543"/>
    <cellStyle name="Entrada 2 9 7" xfId="5544"/>
    <cellStyle name="Entrada 2 9 7 2" xfId="5545"/>
    <cellStyle name="Entrada 2 9 8" xfId="5546"/>
    <cellStyle name="Entrada 2 9 8 2" xfId="5547"/>
    <cellStyle name="Entrada 2 9 9" xfId="5548"/>
    <cellStyle name="Entrada 2 9 9 2" xfId="5549"/>
    <cellStyle name="Entrada 3" xfId="5550"/>
    <cellStyle name="Entrada 3 10" xfId="5551"/>
    <cellStyle name="Entrada 3 10 10" xfId="5552"/>
    <cellStyle name="Entrada 3 10 10 2" xfId="5553"/>
    <cellStyle name="Entrada 3 10 11" xfId="5554"/>
    <cellStyle name="Entrada 3 10 11 2" xfId="5555"/>
    <cellStyle name="Entrada 3 10 12" xfId="5556"/>
    <cellStyle name="Entrada 3 10 12 2" xfId="5557"/>
    <cellStyle name="Entrada 3 10 13" xfId="5558"/>
    <cellStyle name="Entrada 3 10 13 2" xfId="5559"/>
    <cellStyle name="Entrada 3 10 14" xfId="5560"/>
    <cellStyle name="Entrada 3 10 2" xfId="5561"/>
    <cellStyle name="Entrada 3 10 2 2" xfId="5562"/>
    <cellStyle name="Entrada 3 10 3" xfId="5563"/>
    <cellStyle name="Entrada 3 10 3 2" xfId="5564"/>
    <cellStyle name="Entrada 3 10 4" xfId="5565"/>
    <cellStyle name="Entrada 3 10 4 2" xfId="5566"/>
    <cellStyle name="Entrada 3 10 5" xfId="5567"/>
    <cellStyle name="Entrada 3 10 5 2" xfId="5568"/>
    <cellStyle name="Entrada 3 10 6" xfId="5569"/>
    <cellStyle name="Entrada 3 10 6 2" xfId="5570"/>
    <cellStyle name="Entrada 3 10 7" xfId="5571"/>
    <cellStyle name="Entrada 3 10 7 2" xfId="5572"/>
    <cellStyle name="Entrada 3 10 8" xfId="5573"/>
    <cellStyle name="Entrada 3 10 8 2" xfId="5574"/>
    <cellStyle name="Entrada 3 10 9" xfId="5575"/>
    <cellStyle name="Entrada 3 10 9 2" xfId="5576"/>
    <cellStyle name="Entrada 3 11" xfId="5577"/>
    <cellStyle name="Entrada 3 11 10" xfId="5578"/>
    <cellStyle name="Entrada 3 11 10 2" xfId="5579"/>
    <cellStyle name="Entrada 3 11 11" xfId="5580"/>
    <cellStyle name="Entrada 3 11 11 2" xfId="5581"/>
    <cellStyle name="Entrada 3 11 12" xfId="5582"/>
    <cellStyle name="Entrada 3 11 12 2" xfId="5583"/>
    <cellStyle name="Entrada 3 11 13" xfId="5584"/>
    <cellStyle name="Entrada 3 11 13 2" xfId="5585"/>
    <cellStyle name="Entrada 3 11 14" xfId="5586"/>
    <cellStyle name="Entrada 3 11 2" xfId="5587"/>
    <cellStyle name="Entrada 3 11 2 2" xfId="5588"/>
    <cellStyle name="Entrada 3 11 3" xfId="5589"/>
    <cellStyle name="Entrada 3 11 3 2" xfId="5590"/>
    <cellStyle name="Entrada 3 11 4" xfId="5591"/>
    <cellStyle name="Entrada 3 11 4 2" xfId="5592"/>
    <cellStyle name="Entrada 3 11 5" xfId="5593"/>
    <cellStyle name="Entrada 3 11 5 2" xfId="5594"/>
    <cellStyle name="Entrada 3 11 6" xfId="5595"/>
    <cellStyle name="Entrada 3 11 6 2" xfId="5596"/>
    <cellStyle name="Entrada 3 11 7" xfId="5597"/>
    <cellStyle name="Entrada 3 11 7 2" xfId="5598"/>
    <cellStyle name="Entrada 3 11 8" xfId="5599"/>
    <cellStyle name="Entrada 3 11 8 2" xfId="5600"/>
    <cellStyle name="Entrada 3 11 9" xfId="5601"/>
    <cellStyle name="Entrada 3 11 9 2" xfId="5602"/>
    <cellStyle name="Entrada 3 12" xfId="5603"/>
    <cellStyle name="Entrada 3 12 10" xfId="5604"/>
    <cellStyle name="Entrada 3 12 10 2" xfId="5605"/>
    <cellStyle name="Entrada 3 12 11" xfId="5606"/>
    <cellStyle name="Entrada 3 12 11 2" xfId="5607"/>
    <cellStyle name="Entrada 3 12 12" xfId="5608"/>
    <cellStyle name="Entrada 3 12 12 2" xfId="5609"/>
    <cellStyle name="Entrada 3 12 13" xfId="5610"/>
    <cellStyle name="Entrada 3 12 13 2" xfId="5611"/>
    <cellStyle name="Entrada 3 12 14" xfId="5612"/>
    <cellStyle name="Entrada 3 12 2" xfId="5613"/>
    <cellStyle name="Entrada 3 12 2 2" xfId="5614"/>
    <cellStyle name="Entrada 3 12 3" xfId="5615"/>
    <cellStyle name="Entrada 3 12 3 2" xfId="5616"/>
    <cellStyle name="Entrada 3 12 4" xfId="5617"/>
    <cellStyle name="Entrada 3 12 4 2" xfId="5618"/>
    <cellStyle name="Entrada 3 12 5" xfId="5619"/>
    <cellStyle name="Entrada 3 12 5 2" xfId="5620"/>
    <cellStyle name="Entrada 3 12 6" xfId="5621"/>
    <cellStyle name="Entrada 3 12 6 2" xfId="5622"/>
    <cellStyle name="Entrada 3 12 7" xfId="5623"/>
    <cellStyle name="Entrada 3 12 7 2" xfId="5624"/>
    <cellStyle name="Entrada 3 12 8" xfId="5625"/>
    <cellStyle name="Entrada 3 12 8 2" xfId="5626"/>
    <cellStyle name="Entrada 3 12 9" xfId="5627"/>
    <cellStyle name="Entrada 3 12 9 2" xfId="5628"/>
    <cellStyle name="Entrada 3 13" xfId="5629"/>
    <cellStyle name="Entrada 3 13 10" xfId="5630"/>
    <cellStyle name="Entrada 3 13 10 2" xfId="5631"/>
    <cellStyle name="Entrada 3 13 11" xfId="5632"/>
    <cellStyle name="Entrada 3 13 11 2" xfId="5633"/>
    <cellStyle name="Entrada 3 13 12" xfId="5634"/>
    <cellStyle name="Entrada 3 13 12 2" xfId="5635"/>
    <cellStyle name="Entrada 3 13 13" xfId="5636"/>
    <cellStyle name="Entrada 3 13 13 2" xfId="5637"/>
    <cellStyle name="Entrada 3 13 14" xfId="5638"/>
    <cellStyle name="Entrada 3 13 2" xfId="5639"/>
    <cellStyle name="Entrada 3 13 2 2" xfId="5640"/>
    <cellStyle name="Entrada 3 13 3" xfId="5641"/>
    <cellStyle name="Entrada 3 13 3 2" xfId="5642"/>
    <cellStyle name="Entrada 3 13 4" xfId="5643"/>
    <cellStyle name="Entrada 3 13 4 2" xfId="5644"/>
    <cellStyle name="Entrada 3 13 5" xfId="5645"/>
    <cellStyle name="Entrada 3 13 5 2" xfId="5646"/>
    <cellStyle name="Entrada 3 13 6" xfId="5647"/>
    <cellStyle name="Entrada 3 13 6 2" xfId="5648"/>
    <cellStyle name="Entrada 3 13 7" xfId="5649"/>
    <cellStyle name="Entrada 3 13 7 2" xfId="5650"/>
    <cellStyle name="Entrada 3 13 8" xfId="5651"/>
    <cellStyle name="Entrada 3 13 8 2" xfId="5652"/>
    <cellStyle name="Entrada 3 13 9" xfId="5653"/>
    <cellStyle name="Entrada 3 13 9 2" xfId="5654"/>
    <cellStyle name="Entrada 3 14" xfId="5655"/>
    <cellStyle name="Entrada 3 14 10" xfId="5656"/>
    <cellStyle name="Entrada 3 14 10 2" xfId="5657"/>
    <cellStyle name="Entrada 3 14 11" xfId="5658"/>
    <cellStyle name="Entrada 3 14 11 2" xfId="5659"/>
    <cellStyle name="Entrada 3 14 12" xfId="5660"/>
    <cellStyle name="Entrada 3 14 12 2" xfId="5661"/>
    <cellStyle name="Entrada 3 14 13" xfId="5662"/>
    <cellStyle name="Entrada 3 14 13 2" xfId="5663"/>
    <cellStyle name="Entrada 3 14 14" xfId="5664"/>
    <cellStyle name="Entrada 3 14 2" xfId="5665"/>
    <cellStyle name="Entrada 3 14 2 2" xfId="5666"/>
    <cellStyle name="Entrada 3 14 3" xfId="5667"/>
    <cellStyle name="Entrada 3 14 3 2" xfId="5668"/>
    <cellStyle name="Entrada 3 14 4" xfId="5669"/>
    <cellStyle name="Entrada 3 14 4 2" xfId="5670"/>
    <cellStyle name="Entrada 3 14 5" xfId="5671"/>
    <cellStyle name="Entrada 3 14 5 2" xfId="5672"/>
    <cellStyle name="Entrada 3 14 6" xfId="5673"/>
    <cellStyle name="Entrada 3 14 6 2" xfId="5674"/>
    <cellStyle name="Entrada 3 14 7" xfId="5675"/>
    <cellStyle name="Entrada 3 14 7 2" xfId="5676"/>
    <cellStyle name="Entrada 3 14 8" xfId="5677"/>
    <cellStyle name="Entrada 3 14 8 2" xfId="5678"/>
    <cellStyle name="Entrada 3 14 9" xfId="5679"/>
    <cellStyle name="Entrada 3 14 9 2" xfId="5680"/>
    <cellStyle name="Entrada 3 15" xfId="5681"/>
    <cellStyle name="Entrada 3 15 10" xfId="5682"/>
    <cellStyle name="Entrada 3 15 10 2" xfId="5683"/>
    <cellStyle name="Entrada 3 15 11" xfId="5684"/>
    <cellStyle name="Entrada 3 15 11 2" xfId="5685"/>
    <cellStyle name="Entrada 3 15 12" xfId="5686"/>
    <cellStyle name="Entrada 3 15 12 2" xfId="5687"/>
    <cellStyle name="Entrada 3 15 13" xfId="5688"/>
    <cellStyle name="Entrada 3 15 13 2" xfId="5689"/>
    <cellStyle name="Entrada 3 15 14" xfId="5690"/>
    <cellStyle name="Entrada 3 15 2" xfId="5691"/>
    <cellStyle name="Entrada 3 15 2 2" xfId="5692"/>
    <cellStyle name="Entrada 3 15 3" xfId="5693"/>
    <cellStyle name="Entrada 3 15 3 2" xfId="5694"/>
    <cellStyle name="Entrada 3 15 4" xfId="5695"/>
    <cellStyle name="Entrada 3 15 4 2" xfId="5696"/>
    <cellStyle name="Entrada 3 15 5" xfId="5697"/>
    <cellStyle name="Entrada 3 15 5 2" xfId="5698"/>
    <cellStyle name="Entrada 3 15 6" xfId="5699"/>
    <cellStyle name="Entrada 3 15 6 2" xfId="5700"/>
    <cellStyle name="Entrada 3 15 7" xfId="5701"/>
    <cellStyle name="Entrada 3 15 7 2" xfId="5702"/>
    <cellStyle name="Entrada 3 15 8" xfId="5703"/>
    <cellStyle name="Entrada 3 15 8 2" xfId="5704"/>
    <cellStyle name="Entrada 3 15 9" xfId="5705"/>
    <cellStyle name="Entrada 3 15 9 2" xfId="5706"/>
    <cellStyle name="Entrada 3 16" xfId="5707"/>
    <cellStyle name="Entrada 3 16 10" xfId="5708"/>
    <cellStyle name="Entrada 3 16 10 2" xfId="5709"/>
    <cellStyle name="Entrada 3 16 11" xfId="5710"/>
    <cellStyle name="Entrada 3 16 11 2" xfId="5711"/>
    <cellStyle name="Entrada 3 16 12" xfId="5712"/>
    <cellStyle name="Entrada 3 16 12 2" xfId="5713"/>
    <cellStyle name="Entrada 3 16 13" xfId="5714"/>
    <cellStyle name="Entrada 3 16 13 2" xfId="5715"/>
    <cellStyle name="Entrada 3 16 14" xfId="5716"/>
    <cellStyle name="Entrada 3 16 2" xfId="5717"/>
    <cellStyle name="Entrada 3 16 2 2" xfId="5718"/>
    <cellStyle name="Entrada 3 16 3" xfId="5719"/>
    <cellStyle name="Entrada 3 16 3 2" xfId="5720"/>
    <cellStyle name="Entrada 3 16 4" xfId="5721"/>
    <cellStyle name="Entrada 3 16 4 2" xfId="5722"/>
    <cellStyle name="Entrada 3 16 5" xfId="5723"/>
    <cellStyle name="Entrada 3 16 5 2" xfId="5724"/>
    <cellStyle name="Entrada 3 16 6" xfId="5725"/>
    <cellStyle name="Entrada 3 16 6 2" xfId="5726"/>
    <cellStyle name="Entrada 3 16 7" xfId="5727"/>
    <cellStyle name="Entrada 3 16 7 2" xfId="5728"/>
    <cellStyle name="Entrada 3 16 8" xfId="5729"/>
    <cellStyle name="Entrada 3 16 8 2" xfId="5730"/>
    <cellStyle name="Entrada 3 16 9" xfId="5731"/>
    <cellStyle name="Entrada 3 16 9 2" xfId="5732"/>
    <cellStyle name="Entrada 3 17" xfId="5733"/>
    <cellStyle name="Entrada 3 17 10" xfId="5734"/>
    <cellStyle name="Entrada 3 17 10 2" xfId="5735"/>
    <cellStyle name="Entrada 3 17 11" xfId="5736"/>
    <cellStyle name="Entrada 3 17 11 2" xfId="5737"/>
    <cellStyle name="Entrada 3 17 12" xfId="5738"/>
    <cellStyle name="Entrada 3 17 12 2" xfId="5739"/>
    <cellStyle name="Entrada 3 17 13" xfId="5740"/>
    <cellStyle name="Entrada 3 17 13 2" xfId="5741"/>
    <cellStyle name="Entrada 3 17 14" xfId="5742"/>
    <cellStyle name="Entrada 3 17 2" xfId="5743"/>
    <cellStyle name="Entrada 3 17 2 2" xfId="5744"/>
    <cellStyle name="Entrada 3 17 3" xfId="5745"/>
    <cellStyle name="Entrada 3 17 3 2" xfId="5746"/>
    <cellStyle name="Entrada 3 17 4" xfId="5747"/>
    <cellStyle name="Entrada 3 17 4 2" xfId="5748"/>
    <cellStyle name="Entrada 3 17 5" xfId="5749"/>
    <cellStyle name="Entrada 3 17 5 2" xfId="5750"/>
    <cellStyle name="Entrada 3 17 6" xfId="5751"/>
    <cellStyle name="Entrada 3 17 6 2" xfId="5752"/>
    <cellStyle name="Entrada 3 17 7" xfId="5753"/>
    <cellStyle name="Entrada 3 17 7 2" xfId="5754"/>
    <cellStyle name="Entrada 3 17 8" xfId="5755"/>
    <cellStyle name="Entrada 3 17 8 2" xfId="5756"/>
    <cellStyle name="Entrada 3 17 9" xfId="5757"/>
    <cellStyle name="Entrada 3 17 9 2" xfId="5758"/>
    <cellStyle name="Entrada 3 18" xfId="5759"/>
    <cellStyle name="Entrada 3 18 10" xfId="5760"/>
    <cellStyle name="Entrada 3 18 10 2" xfId="5761"/>
    <cellStyle name="Entrada 3 18 11" xfId="5762"/>
    <cellStyle name="Entrada 3 18 11 2" xfId="5763"/>
    <cellStyle name="Entrada 3 18 12" xfId="5764"/>
    <cellStyle name="Entrada 3 18 12 2" xfId="5765"/>
    <cellStyle name="Entrada 3 18 13" xfId="5766"/>
    <cellStyle name="Entrada 3 18 13 2" xfId="5767"/>
    <cellStyle name="Entrada 3 18 14" xfId="5768"/>
    <cellStyle name="Entrada 3 18 2" xfId="5769"/>
    <cellStyle name="Entrada 3 18 2 2" xfId="5770"/>
    <cellStyle name="Entrada 3 18 3" xfId="5771"/>
    <cellStyle name="Entrada 3 18 3 2" xfId="5772"/>
    <cellStyle name="Entrada 3 18 4" xfId="5773"/>
    <cellStyle name="Entrada 3 18 4 2" xfId="5774"/>
    <cellStyle name="Entrada 3 18 5" xfId="5775"/>
    <cellStyle name="Entrada 3 18 5 2" xfId="5776"/>
    <cellStyle name="Entrada 3 18 6" xfId="5777"/>
    <cellStyle name="Entrada 3 18 6 2" xfId="5778"/>
    <cellStyle name="Entrada 3 18 7" xfId="5779"/>
    <cellStyle name="Entrada 3 18 7 2" xfId="5780"/>
    <cellStyle name="Entrada 3 18 8" xfId="5781"/>
    <cellStyle name="Entrada 3 18 8 2" xfId="5782"/>
    <cellStyle name="Entrada 3 18 9" xfId="5783"/>
    <cellStyle name="Entrada 3 18 9 2" xfId="5784"/>
    <cellStyle name="Entrada 3 19" xfId="5785"/>
    <cellStyle name="Entrada 3 19 10" xfId="5786"/>
    <cellStyle name="Entrada 3 19 10 2" xfId="5787"/>
    <cellStyle name="Entrada 3 19 11" xfId="5788"/>
    <cellStyle name="Entrada 3 19 11 2" xfId="5789"/>
    <cellStyle name="Entrada 3 19 12" xfId="5790"/>
    <cellStyle name="Entrada 3 19 12 2" xfId="5791"/>
    <cellStyle name="Entrada 3 19 13" xfId="5792"/>
    <cellStyle name="Entrada 3 19 13 2" xfId="5793"/>
    <cellStyle name="Entrada 3 19 14" xfId="5794"/>
    <cellStyle name="Entrada 3 19 2" xfId="5795"/>
    <cellStyle name="Entrada 3 19 2 2" xfId="5796"/>
    <cellStyle name="Entrada 3 19 3" xfId="5797"/>
    <cellStyle name="Entrada 3 19 3 2" xfId="5798"/>
    <cellStyle name="Entrada 3 19 4" xfId="5799"/>
    <cellStyle name="Entrada 3 19 4 2" xfId="5800"/>
    <cellStyle name="Entrada 3 19 5" xfId="5801"/>
    <cellStyle name="Entrada 3 19 5 2" xfId="5802"/>
    <cellStyle name="Entrada 3 19 6" xfId="5803"/>
    <cellStyle name="Entrada 3 19 6 2" xfId="5804"/>
    <cellStyle name="Entrada 3 19 7" xfId="5805"/>
    <cellStyle name="Entrada 3 19 7 2" xfId="5806"/>
    <cellStyle name="Entrada 3 19 8" xfId="5807"/>
    <cellStyle name="Entrada 3 19 8 2" xfId="5808"/>
    <cellStyle name="Entrada 3 19 9" xfId="5809"/>
    <cellStyle name="Entrada 3 19 9 2" xfId="5810"/>
    <cellStyle name="Entrada 3 2" xfId="5811"/>
    <cellStyle name="Entrada 3 2 10" xfId="5812"/>
    <cellStyle name="Entrada 3 2 10 2" xfId="5813"/>
    <cellStyle name="Entrada 3 2 11" xfId="5814"/>
    <cellStyle name="Entrada 3 2 11 2" xfId="5815"/>
    <cellStyle name="Entrada 3 2 12" xfId="5816"/>
    <cellStyle name="Entrada 3 2 12 2" xfId="5817"/>
    <cellStyle name="Entrada 3 2 13" xfId="5818"/>
    <cellStyle name="Entrada 3 2 13 2" xfId="5819"/>
    <cellStyle name="Entrada 3 2 14" xfId="5820"/>
    <cellStyle name="Entrada 3 2 2" xfId="5821"/>
    <cellStyle name="Entrada 3 2 2 2" xfId="5822"/>
    <cellStyle name="Entrada 3 2 3" xfId="5823"/>
    <cellStyle name="Entrada 3 2 3 2" xfId="5824"/>
    <cellStyle name="Entrada 3 2 4" xfId="5825"/>
    <cellStyle name="Entrada 3 2 4 2" xfId="5826"/>
    <cellStyle name="Entrada 3 2 5" xfId="5827"/>
    <cellStyle name="Entrada 3 2 5 2" xfId="5828"/>
    <cellStyle name="Entrada 3 2 6" xfId="5829"/>
    <cellStyle name="Entrada 3 2 6 2" xfId="5830"/>
    <cellStyle name="Entrada 3 2 7" xfId="5831"/>
    <cellStyle name="Entrada 3 2 7 2" xfId="5832"/>
    <cellStyle name="Entrada 3 2 8" xfId="5833"/>
    <cellStyle name="Entrada 3 2 8 2" xfId="5834"/>
    <cellStyle name="Entrada 3 2 9" xfId="5835"/>
    <cellStyle name="Entrada 3 2 9 2" xfId="5836"/>
    <cellStyle name="Entrada 3 20" xfId="5837"/>
    <cellStyle name="Entrada 3 20 10" xfId="5838"/>
    <cellStyle name="Entrada 3 20 10 2" xfId="5839"/>
    <cellStyle name="Entrada 3 20 11" xfId="5840"/>
    <cellStyle name="Entrada 3 20 11 2" xfId="5841"/>
    <cellStyle name="Entrada 3 20 12" xfId="5842"/>
    <cellStyle name="Entrada 3 20 12 2" xfId="5843"/>
    <cellStyle name="Entrada 3 20 13" xfId="5844"/>
    <cellStyle name="Entrada 3 20 13 2" xfId="5845"/>
    <cellStyle name="Entrada 3 20 14" xfId="5846"/>
    <cellStyle name="Entrada 3 20 2" xfId="5847"/>
    <cellStyle name="Entrada 3 20 2 2" xfId="5848"/>
    <cellStyle name="Entrada 3 20 3" xfId="5849"/>
    <cellStyle name="Entrada 3 20 3 2" xfId="5850"/>
    <cellStyle name="Entrada 3 20 4" xfId="5851"/>
    <cellStyle name="Entrada 3 20 4 2" xfId="5852"/>
    <cellStyle name="Entrada 3 20 5" xfId="5853"/>
    <cellStyle name="Entrada 3 20 5 2" xfId="5854"/>
    <cellStyle name="Entrada 3 20 6" xfId="5855"/>
    <cellStyle name="Entrada 3 20 6 2" xfId="5856"/>
    <cellStyle name="Entrada 3 20 7" xfId="5857"/>
    <cellStyle name="Entrada 3 20 7 2" xfId="5858"/>
    <cellStyle name="Entrada 3 20 8" xfId="5859"/>
    <cellStyle name="Entrada 3 20 8 2" xfId="5860"/>
    <cellStyle name="Entrada 3 20 9" xfId="5861"/>
    <cellStyle name="Entrada 3 20 9 2" xfId="5862"/>
    <cellStyle name="Entrada 3 21" xfId="5863"/>
    <cellStyle name="Entrada 3 21 10" xfId="5864"/>
    <cellStyle name="Entrada 3 21 10 2" xfId="5865"/>
    <cellStyle name="Entrada 3 21 11" xfId="5866"/>
    <cellStyle name="Entrada 3 21 11 2" xfId="5867"/>
    <cellStyle name="Entrada 3 21 12" xfId="5868"/>
    <cellStyle name="Entrada 3 21 12 2" xfId="5869"/>
    <cellStyle name="Entrada 3 21 13" xfId="5870"/>
    <cellStyle name="Entrada 3 21 13 2" xfId="5871"/>
    <cellStyle name="Entrada 3 21 14" xfId="5872"/>
    <cellStyle name="Entrada 3 21 2" xfId="5873"/>
    <cellStyle name="Entrada 3 21 2 2" xfId="5874"/>
    <cellStyle name="Entrada 3 21 3" xfId="5875"/>
    <cellStyle name="Entrada 3 21 3 2" xfId="5876"/>
    <cellStyle name="Entrada 3 21 4" xfId="5877"/>
    <cellStyle name="Entrada 3 21 4 2" xfId="5878"/>
    <cellStyle name="Entrada 3 21 5" xfId="5879"/>
    <cellStyle name="Entrada 3 21 5 2" xfId="5880"/>
    <cellStyle name="Entrada 3 21 6" xfId="5881"/>
    <cellStyle name="Entrada 3 21 6 2" xfId="5882"/>
    <cellStyle name="Entrada 3 21 7" xfId="5883"/>
    <cellStyle name="Entrada 3 21 7 2" xfId="5884"/>
    <cellStyle name="Entrada 3 21 8" xfId="5885"/>
    <cellStyle name="Entrada 3 21 8 2" xfId="5886"/>
    <cellStyle name="Entrada 3 21 9" xfId="5887"/>
    <cellStyle name="Entrada 3 21 9 2" xfId="5888"/>
    <cellStyle name="Entrada 3 22" xfId="5889"/>
    <cellStyle name="Entrada 3 22 10" xfId="5890"/>
    <cellStyle name="Entrada 3 22 10 2" xfId="5891"/>
    <cellStyle name="Entrada 3 22 11" xfId="5892"/>
    <cellStyle name="Entrada 3 22 11 2" xfId="5893"/>
    <cellStyle name="Entrada 3 22 12" xfId="5894"/>
    <cellStyle name="Entrada 3 22 12 2" xfId="5895"/>
    <cellStyle name="Entrada 3 22 13" xfId="5896"/>
    <cellStyle name="Entrada 3 22 13 2" xfId="5897"/>
    <cellStyle name="Entrada 3 22 14" xfId="5898"/>
    <cellStyle name="Entrada 3 22 2" xfId="5899"/>
    <cellStyle name="Entrada 3 22 2 2" xfId="5900"/>
    <cellStyle name="Entrada 3 22 3" xfId="5901"/>
    <cellStyle name="Entrada 3 22 3 2" xfId="5902"/>
    <cellStyle name="Entrada 3 22 4" xfId="5903"/>
    <cellStyle name="Entrada 3 22 4 2" xfId="5904"/>
    <cellStyle name="Entrada 3 22 5" xfId="5905"/>
    <cellStyle name="Entrada 3 22 5 2" xfId="5906"/>
    <cellStyle name="Entrada 3 22 6" xfId="5907"/>
    <cellStyle name="Entrada 3 22 6 2" xfId="5908"/>
    <cellStyle name="Entrada 3 22 7" xfId="5909"/>
    <cellStyle name="Entrada 3 22 7 2" xfId="5910"/>
    <cellStyle name="Entrada 3 22 8" xfId="5911"/>
    <cellStyle name="Entrada 3 22 8 2" xfId="5912"/>
    <cellStyle name="Entrada 3 22 9" xfId="5913"/>
    <cellStyle name="Entrada 3 22 9 2" xfId="5914"/>
    <cellStyle name="Entrada 3 23" xfId="5915"/>
    <cellStyle name="Entrada 3 23 10" xfId="5916"/>
    <cellStyle name="Entrada 3 23 10 2" xfId="5917"/>
    <cellStyle name="Entrada 3 23 11" xfId="5918"/>
    <cellStyle name="Entrada 3 23 11 2" xfId="5919"/>
    <cellStyle name="Entrada 3 23 12" xfId="5920"/>
    <cellStyle name="Entrada 3 23 12 2" xfId="5921"/>
    <cellStyle name="Entrada 3 23 13" xfId="5922"/>
    <cellStyle name="Entrada 3 23 13 2" xfId="5923"/>
    <cellStyle name="Entrada 3 23 14" xfId="5924"/>
    <cellStyle name="Entrada 3 23 2" xfId="5925"/>
    <cellStyle name="Entrada 3 23 2 2" xfId="5926"/>
    <cellStyle name="Entrada 3 23 3" xfId="5927"/>
    <cellStyle name="Entrada 3 23 3 2" xfId="5928"/>
    <cellStyle name="Entrada 3 23 4" xfId="5929"/>
    <cellStyle name="Entrada 3 23 4 2" xfId="5930"/>
    <cellStyle name="Entrada 3 23 5" xfId="5931"/>
    <cellStyle name="Entrada 3 23 5 2" xfId="5932"/>
    <cellStyle name="Entrada 3 23 6" xfId="5933"/>
    <cellStyle name="Entrada 3 23 6 2" xfId="5934"/>
    <cellStyle name="Entrada 3 23 7" xfId="5935"/>
    <cellStyle name="Entrada 3 23 7 2" xfId="5936"/>
    <cellStyle name="Entrada 3 23 8" xfId="5937"/>
    <cellStyle name="Entrada 3 23 8 2" xfId="5938"/>
    <cellStyle name="Entrada 3 23 9" xfId="5939"/>
    <cellStyle name="Entrada 3 23 9 2" xfId="5940"/>
    <cellStyle name="Entrada 3 24" xfId="5941"/>
    <cellStyle name="Entrada 3 24 10" xfId="5942"/>
    <cellStyle name="Entrada 3 24 10 2" xfId="5943"/>
    <cellStyle name="Entrada 3 24 11" xfId="5944"/>
    <cellStyle name="Entrada 3 24 11 2" xfId="5945"/>
    <cellStyle name="Entrada 3 24 12" xfId="5946"/>
    <cellStyle name="Entrada 3 24 12 2" xfId="5947"/>
    <cellStyle name="Entrada 3 24 13" xfId="5948"/>
    <cellStyle name="Entrada 3 24 13 2" xfId="5949"/>
    <cellStyle name="Entrada 3 24 14" xfId="5950"/>
    <cellStyle name="Entrada 3 24 2" xfId="5951"/>
    <cellStyle name="Entrada 3 24 2 2" xfId="5952"/>
    <cellStyle name="Entrada 3 24 3" xfId="5953"/>
    <cellStyle name="Entrada 3 24 3 2" xfId="5954"/>
    <cellStyle name="Entrada 3 24 4" xfId="5955"/>
    <cellStyle name="Entrada 3 24 4 2" xfId="5956"/>
    <cellStyle name="Entrada 3 24 5" xfId="5957"/>
    <cellStyle name="Entrada 3 24 5 2" xfId="5958"/>
    <cellStyle name="Entrada 3 24 6" xfId="5959"/>
    <cellStyle name="Entrada 3 24 6 2" xfId="5960"/>
    <cellStyle name="Entrada 3 24 7" xfId="5961"/>
    <cellStyle name="Entrada 3 24 7 2" xfId="5962"/>
    <cellStyle name="Entrada 3 24 8" xfId="5963"/>
    <cellStyle name="Entrada 3 24 8 2" xfId="5964"/>
    <cellStyle name="Entrada 3 24 9" xfId="5965"/>
    <cellStyle name="Entrada 3 24 9 2" xfId="5966"/>
    <cellStyle name="Entrada 3 25" xfId="5967"/>
    <cellStyle name="Entrada 3 25 10" xfId="5968"/>
    <cellStyle name="Entrada 3 25 10 2" xfId="5969"/>
    <cellStyle name="Entrada 3 25 11" xfId="5970"/>
    <cellStyle name="Entrada 3 25 11 2" xfId="5971"/>
    <cellStyle name="Entrada 3 25 12" xfId="5972"/>
    <cellStyle name="Entrada 3 25 12 2" xfId="5973"/>
    <cellStyle name="Entrada 3 25 13" xfId="5974"/>
    <cellStyle name="Entrada 3 25 13 2" xfId="5975"/>
    <cellStyle name="Entrada 3 25 14" xfId="5976"/>
    <cellStyle name="Entrada 3 25 2" xfId="5977"/>
    <cellStyle name="Entrada 3 25 2 2" xfId="5978"/>
    <cellStyle name="Entrada 3 25 3" xfId="5979"/>
    <cellStyle name="Entrada 3 25 3 2" xfId="5980"/>
    <cellStyle name="Entrada 3 25 4" xfId="5981"/>
    <cellStyle name="Entrada 3 25 4 2" xfId="5982"/>
    <cellStyle name="Entrada 3 25 5" xfId="5983"/>
    <cellStyle name="Entrada 3 25 5 2" xfId="5984"/>
    <cellStyle name="Entrada 3 25 6" xfId="5985"/>
    <cellStyle name="Entrada 3 25 6 2" xfId="5986"/>
    <cellStyle name="Entrada 3 25 7" xfId="5987"/>
    <cellStyle name="Entrada 3 25 7 2" xfId="5988"/>
    <cellStyle name="Entrada 3 25 8" xfId="5989"/>
    <cellStyle name="Entrada 3 25 8 2" xfId="5990"/>
    <cellStyle name="Entrada 3 25 9" xfId="5991"/>
    <cellStyle name="Entrada 3 25 9 2" xfId="5992"/>
    <cellStyle name="Entrada 3 26" xfId="5993"/>
    <cellStyle name="Entrada 3 26 10" xfId="5994"/>
    <cellStyle name="Entrada 3 26 10 2" xfId="5995"/>
    <cellStyle name="Entrada 3 26 11" xfId="5996"/>
    <cellStyle name="Entrada 3 26 11 2" xfId="5997"/>
    <cellStyle name="Entrada 3 26 12" xfId="5998"/>
    <cellStyle name="Entrada 3 26 12 2" xfId="5999"/>
    <cellStyle name="Entrada 3 26 13" xfId="6000"/>
    <cellStyle name="Entrada 3 26 13 2" xfId="6001"/>
    <cellStyle name="Entrada 3 26 14" xfId="6002"/>
    <cellStyle name="Entrada 3 26 2" xfId="6003"/>
    <cellStyle name="Entrada 3 26 2 2" xfId="6004"/>
    <cellStyle name="Entrada 3 26 3" xfId="6005"/>
    <cellStyle name="Entrada 3 26 3 2" xfId="6006"/>
    <cellStyle name="Entrada 3 26 4" xfId="6007"/>
    <cellStyle name="Entrada 3 26 4 2" xfId="6008"/>
    <cellStyle name="Entrada 3 26 5" xfId="6009"/>
    <cellStyle name="Entrada 3 26 5 2" xfId="6010"/>
    <cellStyle name="Entrada 3 26 6" xfId="6011"/>
    <cellStyle name="Entrada 3 26 6 2" xfId="6012"/>
    <cellStyle name="Entrada 3 26 7" xfId="6013"/>
    <cellStyle name="Entrada 3 26 7 2" xfId="6014"/>
    <cellStyle name="Entrada 3 26 8" xfId="6015"/>
    <cellStyle name="Entrada 3 26 8 2" xfId="6016"/>
    <cellStyle name="Entrada 3 26 9" xfId="6017"/>
    <cellStyle name="Entrada 3 26 9 2" xfId="6018"/>
    <cellStyle name="Entrada 3 27" xfId="6019"/>
    <cellStyle name="Entrada 3 27 10" xfId="6020"/>
    <cellStyle name="Entrada 3 27 10 2" xfId="6021"/>
    <cellStyle name="Entrada 3 27 11" xfId="6022"/>
    <cellStyle name="Entrada 3 27 11 2" xfId="6023"/>
    <cellStyle name="Entrada 3 27 12" xfId="6024"/>
    <cellStyle name="Entrada 3 27 12 2" xfId="6025"/>
    <cellStyle name="Entrada 3 27 13" xfId="6026"/>
    <cellStyle name="Entrada 3 27 13 2" xfId="6027"/>
    <cellStyle name="Entrada 3 27 14" xfId="6028"/>
    <cellStyle name="Entrada 3 27 2" xfId="6029"/>
    <cellStyle name="Entrada 3 27 2 2" xfId="6030"/>
    <cellStyle name="Entrada 3 27 3" xfId="6031"/>
    <cellStyle name="Entrada 3 27 3 2" xfId="6032"/>
    <cellStyle name="Entrada 3 27 4" xfId="6033"/>
    <cellStyle name="Entrada 3 27 4 2" xfId="6034"/>
    <cellStyle name="Entrada 3 27 5" xfId="6035"/>
    <cellStyle name="Entrada 3 27 5 2" xfId="6036"/>
    <cellStyle name="Entrada 3 27 6" xfId="6037"/>
    <cellStyle name="Entrada 3 27 6 2" xfId="6038"/>
    <cellStyle name="Entrada 3 27 7" xfId="6039"/>
    <cellStyle name="Entrada 3 27 7 2" xfId="6040"/>
    <cellStyle name="Entrada 3 27 8" xfId="6041"/>
    <cellStyle name="Entrada 3 27 8 2" xfId="6042"/>
    <cellStyle name="Entrada 3 27 9" xfId="6043"/>
    <cellStyle name="Entrada 3 27 9 2" xfId="6044"/>
    <cellStyle name="Entrada 3 28" xfId="6045"/>
    <cellStyle name="Entrada 3 28 10" xfId="6046"/>
    <cellStyle name="Entrada 3 28 10 2" xfId="6047"/>
    <cellStyle name="Entrada 3 28 11" xfId="6048"/>
    <cellStyle name="Entrada 3 28 11 2" xfId="6049"/>
    <cellStyle name="Entrada 3 28 12" xfId="6050"/>
    <cellStyle name="Entrada 3 28 12 2" xfId="6051"/>
    <cellStyle name="Entrada 3 28 13" xfId="6052"/>
    <cellStyle name="Entrada 3 28 13 2" xfId="6053"/>
    <cellStyle name="Entrada 3 28 14" xfId="6054"/>
    <cellStyle name="Entrada 3 28 2" xfId="6055"/>
    <cellStyle name="Entrada 3 28 2 2" xfId="6056"/>
    <cellStyle name="Entrada 3 28 3" xfId="6057"/>
    <cellStyle name="Entrada 3 28 3 2" xfId="6058"/>
    <cellStyle name="Entrada 3 28 4" xfId="6059"/>
    <cellStyle name="Entrada 3 28 4 2" xfId="6060"/>
    <cellStyle name="Entrada 3 28 5" xfId="6061"/>
    <cellStyle name="Entrada 3 28 5 2" xfId="6062"/>
    <cellStyle name="Entrada 3 28 6" xfId="6063"/>
    <cellStyle name="Entrada 3 28 6 2" xfId="6064"/>
    <cellStyle name="Entrada 3 28 7" xfId="6065"/>
    <cellStyle name="Entrada 3 28 7 2" xfId="6066"/>
    <cellStyle name="Entrada 3 28 8" xfId="6067"/>
    <cellStyle name="Entrada 3 28 8 2" xfId="6068"/>
    <cellStyle name="Entrada 3 28 9" xfId="6069"/>
    <cellStyle name="Entrada 3 28 9 2" xfId="6070"/>
    <cellStyle name="Entrada 3 29" xfId="6071"/>
    <cellStyle name="Entrada 3 29 10" xfId="6072"/>
    <cellStyle name="Entrada 3 29 10 2" xfId="6073"/>
    <cellStyle name="Entrada 3 29 11" xfId="6074"/>
    <cellStyle name="Entrada 3 29 11 2" xfId="6075"/>
    <cellStyle name="Entrada 3 29 12" xfId="6076"/>
    <cellStyle name="Entrada 3 29 12 2" xfId="6077"/>
    <cellStyle name="Entrada 3 29 13" xfId="6078"/>
    <cellStyle name="Entrada 3 29 13 2" xfId="6079"/>
    <cellStyle name="Entrada 3 29 14" xfId="6080"/>
    <cellStyle name="Entrada 3 29 2" xfId="6081"/>
    <cellStyle name="Entrada 3 29 2 2" xfId="6082"/>
    <cellStyle name="Entrada 3 29 3" xfId="6083"/>
    <cellStyle name="Entrada 3 29 3 2" xfId="6084"/>
    <cellStyle name="Entrada 3 29 4" xfId="6085"/>
    <cellStyle name="Entrada 3 29 4 2" xfId="6086"/>
    <cellStyle name="Entrada 3 29 5" xfId="6087"/>
    <cellStyle name="Entrada 3 29 5 2" xfId="6088"/>
    <cellStyle name="Entrada 3 29 6" xfId="6089"/>
    <cellStyle name="Entrada 3 29 6 2" xfId="6090"/>
    <cellStyle name="Entrada 3 29 7" xfId="6091"/>
    <cellStyle name="Entrada 3 29 7 2" xfId="6092"/>
    <cellStyle name="Entrada 3 29 8" xfId="6093"/>
    <cellStyle name="Entrada 3 29 8 2" xfId="6094"/>
    <cellStyle name="Entrada 3 29 9" xfId="6095"/>
    <cellStyle name="Entrada 3 29 9 2" xfId="6096"/>
    <cellStyle name="Entrada 3 3" xfId="6097"/>
    <cellStyle name="Entrada 3 3 10" xfId="6098"/>
    <cellStyle name="Entrada 3 3 10 2" xfId="6099"/>
    <cellStyle name="Entrada 3 3 11" xfId="6100"/>
    <cellStyle name="Entrada 3 3 11 2" xfId="6101"/>
    <cellStyle name="Entrada 3 3 12" xfId="6102"/>
    <cellStyle name="Entrada 3 3 12 2" xfId="6103"/>
    <cellStyle name="Entrada 3 3 13" xfId="6104"/>
    <cellStyle name="Entrada 3 3 13 2" xfId="6105"/>
    <cellStyle name="Entrada 3 3 14" xfId="6106"/>
    <cellStyle name="Entrada 3 3 2" xfId="6107"/>
    <cellStyle name="Entrada 3 3 2 2" xfId="6108"/>
    <cellStyle name="Entrada 3 3 3" xfId="6109"/>
    <cellStyle name="Entrada 3 3 3 2" xfId="6110"/>
    <cellStyle name="Entrada 3 3 4" xfId="6111"/>
    <cellStyle name="Entrada 3 3 4 2" xfId="6112"/>
    <cellStyle name="Entrada 3 3 5" xfId="6113"/>
    <cellStyle name="Entrada 3 3 5 2" xfId="6114"/>
    <cellStyle name="Entrada 3 3 6" xfId="6115"/>
    <cellStyle name="Entrada 3 3 6 2" xfId="6116"/>
    <cellStyle name="Entrada 3 3 7" xfId="6117"/>
    <cellStyle name="Entrada 3 3 7 2" xfId="6118"/>
    <cellStyle name="Entrada 3 3 8" xfId="6119"/>
    <cellStyle name="Entrada 3 3 8 2" xfId="6120"/>
    <cellStyle name="Entrada 3 3 9" xfId="6121"/>
    <cellStyle name="Entrada 3 3 9 2" xfId="6122"/>
    <cellStyle name="Entrada 3 30" xfId="6123"/>
    <cellStyle name="Entrada 3 30 10" xfId="6124"/>
    <cellStyle name="Entrada 3 30 10 2" xfId="6125"/>
    <cellStyle name="Entrada 3 30 11" xfId="6126"/>
    <cellStyle name="Entrada 3 30 11 2" xfId="6127"/>
    <cellStyle name="Entrada 3 30 12" xfId="6128"/>
    <cellStyle name="Entrada 3 30 12 2" xfId="6129"/>
    <cellStyle name="Entrada 3 30 13" xfId="6130"/>
    <cellStyle name="Entrada 3 30 13 2" xfId="6131"/>
    <cellStyle name="Entrada 3 30 14" xfId="6132"/>
    <cellStyle name="Entrada 3 30 2" xfId="6133"/>
    <cellStyle name="Entrada 3 30 2 2" xfId="6134"/>
    <cellStyle name="Entrada 3 30 3" xfId="6135"/>
    <cellStyle name="Entrada 3 30 3 2" xfId="6136"/>
    <cellStyle name="Entrada 3 30 4" xfId="6137"/>
    <cellStyle name="Entrada 3 30 4 2" xfId="6138"/>
    <cellStyle name="Entrada 3 30 5" xfId="6139"/>
    <cellStyle name="Entrada 3 30 5 2" xfId="6140"/>
    <cellStyle name="Entrada 3 30 6" xfId="6141"/>
    <cellStyle name="Entrada 3 30 6 2" xfId="6142"/>
    <cellStyle name="Entrada 3 30 7" xfId="6143"/>
    <cellStyle name="Entrada 3 30 7 2" xfId="6144"/>
    <cellStyle name="Entrada 3 30 8" xfId="6145"/>
    <cellStyle name="Entrada 3 30 8 2" xfId="6146"/>
    <cellStyle name="Entrada 3 30 9" xfId="6147"/>
    <cellStyle name="Entrada 3 30 9 2" xfId="6148"/>
    <cellStyle name="Entrada 3 31" xfId="6149"/>
    <cellStyle name="Entrada 3 31 10" xfId="6150"/>
    <cellStyle name="Entrada 3 31 10 2" xfId="6151"/>
    <cellStyle name="Entrada 3 31 11" xfId="6152"/>
    <cellStyle name="Entrada 3 31 11 2" xfId="6153"/>
    <cellStyle name="Entrada 3 31 12" xfId="6154"/>
    <cellStyle name="Entrada 3 31 12 2" xfId="6155"/>
    <cellStyle name="Entrada 3 31 13" xfId="6156"/>
    <cellStyle name="Entrada 3 31 13 2" xfId="6157"/>
    <cellStyle name="Entrada 3 31 14" xfId="6158"/>
    <cellStyle name="Entrada 3 31 2" xfId="6159"/>
    <cellStyle name="Entrada 3 31 2 2" xfId="6160"/>
    <cellStyle name="Entrada 3 31 3" xfId="6161"/>
    <cellStyle name="Entrada 3 31 3 2" xfId="6162"/>
    <cellStyle name="Entrada 3 31 4" xfId="6163"/>
    <cellStyle name="Entrada 3 31 4 2" xfId="6164"/>
    <cellStyle name="Entrada 3 31 5" xfId="6165"/>
    <cellStyle name="Entrada 3 31 5 2" xfId="6166"/>
    <cellStyle name="Entrada 3 31 6" xfId="6167"/>
    <cellStyle name="Entrada 3 31 6 2" xfId="6168"/>
    <cellStyle name="Entrada 3 31 7" xfId="6169"/>
    <cellStyle name="Entrada 3 31 7 2" xfId="6170"/>
    <cellStyle name="Entrada 3 31 8" xfId="6171"/>
    <cellStyle name="Entrada 3 31 8 2" xfId="6172"/>
    <cellStyle name="Entrada 3 31 9" xfId="6173"/>
    <cellStyle name="Entrada 3 31 9 2" xfId="6174"/>
    <cellStyle name="Entrada 3 32" xfId="6175"/>
    <cellStyle name="Entrada 3 32 10" xfId="6176"/>
    <cellStyle name="Entrada 3 32 10 2" xfId="6177"/>
    <cellStyle name="Entrada 3 32 11" xfId="6178"/>
    <cellStyle name="Entrada 3 32 11 2" xfId="6179"/>
    <cellStyle name="Entrada 3 32 12" xfId="6180"/>
    <cellStyle name="Entrada 3 32 12 2" xfId="6181"/>
    <cellStyle name="Entrada 3 32 13" xfId="6182"/>
    <cellStyle name="Entrada 3 32 13 2" xfId="6183"/>
    <cellStyle name="Entrada 3 32 14" xfId="6184"/>
    <cellStyle name="Entrada 3 32 2" xfId="6185"/>
    <cellStyle name="Entrada 3 32 2 2" xfId="6186"/>
    <cellStyle name="Entrada 3 32 3" xfId="6187"/>
    <cellStyle name="Entrada 3 32 3 2" xfId="6188"/>
    <cellStyle name="Entrada 3 32 4" xfId="6189"/>
    <cellStyle name="Entrada 3 32 4 2" xfId="6190"/>
    <cellStyle name="Entrada 3 32 5" xfId="6191"/>
    <cellStyle name="Entrada 3 32 5 2" xfId="6192"/>
    <cellStyle name="Entrada 3 32 6" xfId="6193"/>
    <cellStyle name="Entrada 3 32 6 2" xfId="6194"/>
    <cellStyle name="Entrada 3 32 7" xfId="6195"/>
    <cellStyle name="Entrada 3 32 7 2" xfId="6196"/>
    <cellStyle name="Entrada 3 32 8" xfId="6197"/>
    <cellStyle name="Entrada 3 32 8 2" xfId="6198"/>
    <cellStyle name="Entrada 3 32 9" xfId="6199"/>
    <cellStyle name="Entrada 3 32 9 2" xfId="6200"/>
    <cellStyle name="Entrada 3 33" xfId="6201"/>
    <cellStyle name="Entrada 3 33 10" xfId="6202"/>
    <cellStyle name="Entrada 3 33 10 2" xfId="6203"/>
    <cellStyle name="Entrada 3 33 11" xfId="6204"/>
    <cellStyle name="Entrada 3 33 11 2" xfId="6205"/>
    <cellStyle name="Entrada 3 33 12" xfId="6206"/>
    <cellStyle name="Entrada 3 33 12 2" xfId="6207"/>
    <cellStyle name="Entrada 3 33 13" xfId="6208"/>
    <cellStyle name="Entrada 3 33 13 2" xfId="6209"/>
    <cellStyle name="Entrada 3 33 14" xfId="6210"/>
    <cellStyle name="Entrada 3 33 2" xfId="6211"/>
    <cellStyle name="Entrada 3 33 2 2" xfId="6212"/>
    <cellStyle name="Entrada 3 33 3" xfId="6213"/>
    <cellStyle name="Entrada 3 33 3 2" xfId="6214"/>
    <cellStyle name="Entrada 3 33 4" xfId="6215"/>
    <cellStyle name="Entrada 3 33 4 2" xfId="6216"/>
    <cellStyle name="Entrada 3 33 5" xfId="6217"/>
    <cellStyle name="Entrada 3 33 5 2" xfId="6218"/>
    <cellStyle name="Entrada 3 33 6" xfId="6219"/>
    <cellStyle name="Entrada 3 33 6 2" xfId="6220"/>
    <cellStyle name="Entrada 3 33 7" xfId="6221"/>
    <cellStyle name="Entrada 3 33 7 2" xfId="6222"/>
    <cellStyle name="Entrada 3 33 8" xfId="6223"/>
    <cellStyle name="Entrada 3 33 8 2" xfId="6224"/>
    <cellStyle name="Entrada 3 33 9" xfId="6225"/>
    <cellStyle name="Entrada 3 33 9 2" xfId="6226"/>
    <cellStyle name="Entrada 3 34" xfId="6227"/>
    <cellStyle name="Entrada 3 34 10" xfId="6228"/>
    <cellStyle name="Entrada 3 34 10 2" xfId="6229"/>
    <cellStyle name="Entrada 3 34 11" xfId="6230"/>
    <cellStyle name="Entrada 3 34 11 2" xfId="6231"/>
    <cellStyle name="Entrada 3 34 12" xfId="6232"/>
    <cellStyle name="Entrada 3 34 12 2" xfId="6233"/>
    <cellStyle name="Entrada 3 34 13" xfId="6234"/>
    <cellStyle name="Entrada 3 34 13 2" xfId="6235"/>
    <cellStyle name="Entrada 3 34 14" xfId="6236"/>
    <cellStyle name="Entrada 3 34 2" xfId="6237"/>
    <cellStyle name="Entrada 3 34 2 2" xfId="6238"/>
    <cellStyle name="Entrada 3 34 3" xfId="6239"/>
    <cellStyle name="Entrada 3 34 3 2" xfId="6240"/>
    <cellStyle name="Entrada 3 34 4" xfId="6241"/>
    <cellStyle name="Entrada 3 34 4 2" xfId="6242"/>
    <cellStyle name="Entrada 3 34 5" xfId="6243"/>
    <cellStyle name="Entrada 3 34 5 2" xfId="6244"/>
    <cellStyle name="Entrada 3 34 6" xfId="6245"/>
    <cellStyle name="Entrada 3 34 6 2" xfId="6246"/>
    <cellStyle name="Entrada 3 34 7" xfId="6247"/>
    <cellStyle name="Entrada 3 34 7 2" xfId="6248"/>
    <cellStyle name="Entrada 3 34 8" xfId="6249"/>
    <cellStyle name="Entrada 3 34 8 2" xfId="6250"/>
    <cellStyle name="Entrada 3 34 9" xfId="6251"/>
    <cellStyle name="Entrada 3 34 9 2" xfId="6252"/>
    <cellStyle name="Entrada 3 35" xfId="6253"/>
    <cellStyle name="Entrada 3 35 10" xfId="6254"/>
    <cellStyle name="Entrada 3 35 10 2" xfId="6255"/>
    <cellStyle name="Entrada 3 35 11" xfId="6256"/>
    <cellStyle name="Entrada 3 35 11 2" xfId="6257"/>
    <cellStyle name="Entrada 3 35 12" xfId="6258"/>
    <cellStyle name="Entrada 3 35 12 2" xfId="6259"/>
    <cellStyle name="Entrada 3 35 13" xfId="6260"/>
    <cellStyle name="Entrada 3 35 13 2" xfId="6261"/>
    <cellStyle name="Entrada 3 35 14" xfId="6262"/>
    <cellStyle name="Entrada 3 35 2" xfId="6263"/>
    <cellStyle name="Entrada 3 35 2 2" xfId="6264"/>
    <cellStyle name="Entrada 3 35 3" xfId="6265"/>
    <cellStyle name="Entrada 3 35 3 2" xfId="6266"/>
    <cellStyle name="Entrada 3 35 4" xfId="6267"/>
    <cellStyle name="Entrada 3 35 4 2" xfId="6268"/>
    <cellStyle name="Entrada 3 35 5" xfId="6269"/>
    <cellStyle name="Entrada 3 35 5 2" xfId="6270"/>
    <cellStyle name="Entrada 3 35 6" xfId="6271"/>
    <cellStyle name="Entrada 3 35 6 2" xfId="6272"/>
    <cellStyle name="Entrada 3 35 7" xfId="6273"/>
    <cellStyle name="Entrada 3 35 7 2" xfId="6274"/>
    <cellStyle name="Entrada 3 35 8" xfId="6275"/>
    <cellStyle name="Entrada 3 35 8 2" xfId="6276"/>
    <cellStyle name="Entrada 3 35 9" xfId="6277"/>
    <cellStyle name="Entrada 3 35 9 2" xfId="6278"/>
    <cellStyle name="Entrada 3 36" xfId="6279"/>
    <cellStyle name="Entrada 3 36 10" xfId="6280"/>
    <cellStyle name="Entrada 3 36 10 2" xfId="6281"/>
    <cellStyle name="Entrada 3 36 11" xfId="6282"/>
    <cellStyle name="Entrada 3 36 11 2" xfId="6283"/>
    <cellStyle name="Entrada 3 36 12" xfId="6284"/>
    <cellStyle name="Entrada 3 36 12 2" xfId="6285"/>
    <cellStyle name="Entrada 3 36 13" xfId="6286"/>
    <cellStyle name="Entrada 3 36 13 2" xfId="6287"/>
    <cellStyle name="Entrada 3 36 14" xfId="6288"/>
    <cellStyle name="Entrada 3 36 2" xfId="6289"/>
    <cellStyle name="Entrada 3 36 2 2" xfId="6290"/>
    <cellStyle name="Entrada 3 36 3" xfId="6291"/>
    <cellStyle name="Entrada 3 36 3 2" xfId="6292"/>
    <cellStyle name="Entrada 3 36 4" xfId="6293"/>
    <cellStyle name="Entrada 3 36 4 2" xfId="6294"/>
    <cellStyle name="Entrada 3 36 5" xfId="6295"/>
    <cellStyle name="Entrada 3 36 5 2" xfId="6296"/>
    <cellStyle name="Entrada 3 36 6" xfId="6297"/>
    <cellStyle name="Entrada 3 36 6 2" xfId="6298"/>
    <cellStyle name="Entrada 3 36 7" xfId="6299"/>
    <cellStyle name="Entrada 3 36 7 2" xfId="6300"/>
    <cellStyle name="Entrada 3 36 8" xfId="6301"/>
    <cellStyle name="Entrada 3 36 8 2" xfId="6302"/>
    <cellStyle name="Entrada 3 36 9" xfId="6303"/>
    <cellStyle name="Entrada 3 36 9 2" xfId="6304"/>
    <cellStyle name="Entrada 3 37" xfId="6305"/>
    <cellStyle name="Entrada 3 37 10" xfId="6306"/>
    <cellStyle name="Entrada 3 37 10 2" xfId="6307"/>
    <cellStyle name="Entrada 3 37 11" xfId="6308"/>
    <cellStyle name="Entrada 3 37 11 2" xfId="6309"/>
    <cellStyle name="Entrada 3 37 12" xfId="6310"/>
    <cellStyle name="Entrada 3 37 12 2" xfId="6311"/>
    <cellStyle name="Entrada 3 37 13" xfId="6312"/>
    <cellStyle name="Entrada 3 37 13 2" xfId="6313"/>
    <cellStyle name="Entrada 3 37 14" xfId="6314"/>
    <cellStyle name="Entrada 3 37 2" xfId="6315"/>
    <cellStyle name="Entrada 3 37 2 2" xfId="6316"/>
    <cellStyle name="Entrada 3 37 3" xfId="6317"/>
    <cellStyle name="Entrada 3 37 3 2" xfId="6318"/>
    <cellStyle name="Entrada 3 37 4" xfId="6319"/>
    <cellStyle name="Entrada 3 37 4 2" xfId="6320"/>
    <cellStyle name="Entrada 3 37 5" xfId="6321"/>
    <cellStyle name="Entrada 3 37 5 2" xfId="6322"/>
    <cellStyle name="Entrada 3 37 6" xfId="6323"/>
    <cellStyle name="Entrada 3 37 6 2" xfId="6324"/>
    <cellStyle name="Entrada 3 37 7" xfId="6325"/>
    <cellStyle name="Entrada 3 37 7 2" xfId="6326"/>
    <cellStyle name="Entrada 3 37 8" xfId="6327"/>
    <cellStyle name="Entrada 3 37 8 2" xfId="6328"/>
    <cellStyle name="Entrada 3 37 9" xfId="6329"/>
    <cellStyle name="Entrada 3 37 9 2" xfId="6330"/>
    <cellStyle name="Entrada 3 38" xfId="6331"/>
    <cellStyle name="Entrada 3 38 10" xfId="6332"/>
    <cellStyle name="Entrada 3 38 10 2" xfId="6333"/>
    <cellStyle name="Entrada 3 38 11" xfId="6334"/>
    <cellStyle name="Entrada 3 38 11 2" xfId="6335"/>
    <cellStyle name="Entrada 3 38 12" xfId="6336"/>
    <cellStyle name="Entrada 3 38 12 2" xfId="6337"/>
    <cellStyle name="Entrada 3 38 13" xfId="6338"/>
    <cellStyle name="Entrada 3 38 13 2" xfId="6339"/>
    <cellStyle name="Entrada 3 38 14" xfId="6340"/>
    <cellStyle name="Entrada 3 38 2" xfId="6341"/>
    <cellStyle name="Entrada 3 38 2 2" xfId="6342"/>
    <cellStyle name="Entrada 3 38 3" xfId="6343"/>
    <cellStyle name="Entrada 3 38 3 2" xfId="6344"/>
    <cellStyle name="Entrada 3 38 4" xfId="6345"/>
    <cellStyle name="Entrada 3 38 4 2" xfId="6346"/>
    <cellStyle name="Entrada 3 38 5" xfId="6347"/>
    <cellStyle name="Entrada 3 38 5 2" xfId="6348"/>
    <cellStyle name="Entrada 3 38 6" xfId="6349"/>
    <cellStyle name="Entrada 3 38 6 2" xfId="6350"/>
    <cellStyle name="Entrada 3 38 7" xfId="6351"/>
    <cellStyle name="Entrada 3 38 7 2" xfId="6352"/>
    <cellStyle name="Entrada 3 38 8" xfId="6353"/>
    <cellStyle name="Entrada 3 38 8 2" xfId="6354"/>
    <cellStyle name="Entrada 3 38 9" xfId="6355"/>
    <cellStyle name="Entrada 3 38 9 2" xfId="6356"/>
    <cellStyle name="Entrada 3 39" xfId="6357"/>
    <cellStyle name="Entrada 3 39 10" xfId="6358"/>
    <cellStyle name="Entrada 3 39 10 2" xfId="6359"/>
    <cellStyle name="Entrada 3 39 11" xfId="6360"/>
    <cellStyle name="Entrada 3 39 11 2" xfId="6361"/>
    <cellStyle name="Entrada 3 39 12" xfId="6362"/>
    <cellStyle name="Entrada 3 39 12 2" xfId="6363"/>
    <cellStyle name="Entrada 3 39 13" xfId="6364"/>
    <cellStyle name="Entrada 3 39 13 2" xfId="6365"/>
    <cellStyle name="Entrada 3 39 14" xfId="6366"/>
    <cellStyle name="Entrada 3 39 2" xfId="6367"/>
    <cellStyle name="Entrada 3 39 2 2" xfId="6368"/>
    <cellStyle name="Entrada 3 39 3" xfId="6369"/>
    <cellStyle name="Entrada 3 39 3 2" xfId="6370"/>
    <cellStyle name="Entrada 3 39 4" xfId="6371"/>
    <cellStyle name="Entrada 3 39 4 2" xfId="6372"/>
    <cellStyle name="Entrada 3 39 5" xfId="6373"/>
    <cellStyle name="Entrada 3 39 5 2" xfId="6374"/>
    <cellStyle name="Entrada 3 39 6" xfId="6375"/>
    <cellStyle name="Entrada 3 39 6 2" xfId="6376"/>
    <cellStyle name="Entrada 3 39 7" xfId="6377"/>
    <cellStyle name="Entrada 3 39 7 2" xfId="6378"/>
    <cellStyle name="Entrada 3 39 8" xfId="6379"/>
    <cellStyle name="Entrada 3 39 8 2" xfId="6380"/>
    <cellStyle name="Entrada 3 39 9" xfId="6381"/>
    <cellStyle name="Entrada 3 39 9 2" xfId="6382"/>
    <cellStyle name="Entrada 3 4" xfId="6383"/>
    <cellStyle name="Entrada 3 4 10" xfId="6384"/>
    <cellStyle name="Entrada 3 4 10 2" xfId="6385"/>
    <cellStyle name="Entrada 3 4 11" xfId="6386"/>
    <cellStyle name="Entrada 3 4 11 2" xfId="6387"/>
    <cellStyle name="Entrada 3 4 12" xfId="6388"/>
    <cellStyle name="Entrada 3 4 12 2" xfId="6389"/>
    <cellStyle name="Entrada 3 4 13" xfId="6390"/>
    <cellStyle name="Entrada 3 4 13 2" xfId="6391"/>
    <cellStyle name="Entrada 3 4 14" xfId="6392"/>
    <cellStyle name="Entrada 3 4 2" xfId="6393"/>
    <cellStyle name="Entrada 3 4 2 2" xfId="6394"/>
    <cellStyle name="Entrada 3 4 3" xfId="6395"/>
    <cellStyle name="Entrada 3 4 3 2" xfId="6396"/>
    <cellStyle name="Entrada 3 4 4" xfId="6397"/>
    <cellStyle name="Entrada 3 4 4 2" xfId="6398"/>
    <cellStyle name="Entrada 3 4 5" xfId="6399"/>
    <cellStyle name="Entrada 3 4 5 2" xfId="6400"/>
    <cellStyle name="Entrada 3 4 6" xfId="6401"/>
    <cellStyle name="Entrada 3 4 6 2" xfId="6402"/>
    <cellStyle name="Entrada 3 4 7" xfId="6403"/>
    <cellStyle name="Entrada 3 4 7 2" xfId="6404"/>
    <cellStyle name="Entrada 3 4 8" xfId="6405"/>
    <cellStyle name="Entrada 3 4 8 2" xfId="6406"/>
    <cellStyle name="Entrada 3 4 9" xfId="6407"/>
    <cellStyle name="Entrada 3 4 9 2" xfId="6408"/>
    <cellStyle name="Entrada 3 40" xfId="6409"/>
    <cellStyle name="Entrada 3 40 10" xfId="6410"/>
    <cellStyle name="Entrada 3 40 10 2" xfId="6411"/>
    <cellStyle name="Entrada 3 40 11" xfId="6412"/>
    <cellStyle name="Entrada 3 40 11 2" xfId="6413"/>
    <cellStyle name="Entrada 3 40 12" xfId="6414"/>
    <cellStyle name="Entrada 3 40 12 2" xfId="6415"/>
    <cellStyle name="Entrada 3 40 13" xfId="6416"/>
    <cellStyle name="Entrada 3 40 13 2" xfId="6417"/>
    <cellStyle name="Entrada 3 40 14" xfId="6418"/>
    <cellStyle name="Entrada 3 40 2" xfId="6419"/>
    <cellStyle name="Entrada 3 40 2 2" xfId="6420"/>
    <cellStyle name="Entrada 3 40 3" xfId="6421"/>
    <cellStyle name="Entrada 3 40 3 2" xfId="6422"/>
    <cellStyle name="Entrada 3 40 4" xfId="6423"/>
    <cellStyle name="Entrada 3 40 4 2" xfId="6424"/>
    <cellStyle name="Entrada 3 40 5" xfId="6425"/>
    <cellStyle name="Entrada 3 40 5 2" xfId="6426"/>
    <cellStyle name="Entrada 3 40 6" xfId="6427"/>
    <cellStyle name="Entrada 3 40 6 2" xfId="6428"/>
    <cellStyle name="Entrada 3 40 7" xfId="6429"/>
    <cellStyle name="Entrada 3 40 7 2" xfId="6430"/>
    <cellStyle name="Entrada 3 40 8" xfId="6431"/>
    <cellStyle name="Entrada 3 40 8 2" xfId="6432"/>
    <cellStyle name="Entrada 3 40 9" xfId="6433"/>
    <cellStyle name="Entrada 3 40 9 2" xfId="6434"/>
    <cellStyle name="Entrada 3 41" xfId="6435"/>
    <cellStyle name="Entrada 3 41 10" xfId="6436"/>
    <cellStyle name="Entrada 3 41 10 2" xfId="6437"/>
    <cellStyle name="Entrada 3 41 11" xfId="6438"/>
    <cellStyle name="Entrada 3 41 11 2" xfId="6439"/>
    <cellStyle name="Entrada 3 41 12" xfId="6440"/>
    <cellStyle name="Entrada 3 41 12 2" xfId="6441"/>
    <cellStyle name="Entrada 3 41 13" xfId="6442"/>
    <cellStyle name="Entrada 3 41 13 2" xfId="6443"/>
    <cellStyle name="Entrada 3 41 14" xfId="6444"/>
    <cellStyle name="Entrada 3 41 2" xfId="6445"/>
    <cellStyle name="Entrada 3 41 2 2" xfId="6446"/>
    <cellStyle name="Entrada 3 41 3" xfId="6447"/>
    <cellStyle name="Entrada 3 41 3 2" xfId="6448"/>
    <cellStyle name="Entrada 3 41 4" xfId="6449"/>
    <cellStyle name="Entrada 3 41 4 2" xfId="6450"/>
    <cellStyle name="Entrada 3 41 5" xfId="6451"/>
    <cellStyle name="Entrada 3 41 5 2" xfId="6452"/>
    <cellStyle name="Entrada 3 41 6" xfId="6453"/>
    <cellStyle name="Entrada 3 41 6 2" xfId="6454"/>
    <cellStyle name="Entrada 3 41 7" xfId="6455"/>
    <cellStyle name="Entrada 3 41 7 2" xfId="6456"/>
    <cellStyle name="Entrada 3 41 8" xfId="6457"/>
    <cellStyle name="Entrada 3 41 8 2" xfId="6458"/>
    <cellStyle name="Entrada 3 41 9" xfId="6459"/>
    <cellStyle name="Entrada 3 41 9 2" xfId="6460"/>
    <cellStyle name="Entrada 3 42" xfId="6461"/>
    <cellStyle name="Entrada 3 42 10" xfId="6462"/>
    <cellStyle name="Entrada 3 42 10 2" xfId="6463"/>
    <cellStyle name="Entrada 3 42 11" xfId="6464"/>
    <cellStyle name="Entrada 3 42 11 2" xfId="6465"/>
    <cellStyle name="Entrada 3 42 12" xfId="6466"/>
    <cellStyle name="Entrada 3 42 12 2" xfId="6467"/>
    <cellStyle name="Entrada 3 42 13" xfId="6468"/>
    <cellStyle name="Entrada 3 42 13 2" xfId="6469"/>
    <cellStyle name="Entrada 3 42 14" xfId="6470"/>
    <cellStyle name="Entrada 3 42 2" xfId="6471"/>
    <cellStyle name="Entrada 3 42 2 2" xfId="6472"/>
    <cellStyle name="Entrada 3 42 3" xfId="6473"/>
    <cellStyle name="Entrada 3 42 3 2" xfId="6474"/>
    <cellStyle name="Entrada 3 42 4" xfId="6475"/>
    <cellStyle name="Entrada 3 42 4 2" xfId="6476"/>
    <cellStyle name="Entrada 3 42 5" xfId="6477"/>
    <cellStyle name="Entrada 3 42 5 2" xfId="6478"/>
    <cellStyle name="Entrada 3 42 6" xfId="6479"/>
    <cellStyle name="Entrada 3 42 6 2" xfId="6480"/>
    <cellStyle name="Entrada 3 42 7" xfId="6481"/>
    <cellStyle name="Entrada 3 42 7 2" xfId="6482"/>
    <cellStyle name="Entrada 3 42 8" xfId="6483"/>
    <cellStyle name="Entrada 3 42 8 2" xfId="6484"/>
    <cellStyle name="Entrada 3 42 9" xfId="6485"/>
    <cellStyle name="Entrada 3 42 9 2" xfId="6486"/>
    <cellStyle name="Entrada 3 43" xfId="6487"/>
    <cellStyle name="Entrada 3 43 10" xfId="6488"/>
    <cellStyle name="Entrada 3 43 10 2" xfId="6489"/>
    <cellStyle name="Entrada 3 43 11" xfId="6490"/>
    <cellStyle name="Entrada 3 43 11 2" xfId="6491"/>
    <cellStyle name="Entrada 3 43 12" xfId="6492"/>
    <cellStyle name="Entrada 3 43 12 2" xfId="6493"/>
    <cellStyle name="Entrada 3 43 13" xfId="6494"/>
    <cellStyle name="Entrada 3 43 13 2" xfId="6495"/>
    <cellStyle name="Entrada 3 43 14" xfId="6496"/>
    <cellStyle name="Entrada 3 43 2" xfId="6497"/>
    <cellStyle name="Entrada 3 43 2 2" xfId="6498"/>
    <cellStyle name="Entrada 3 43 3" xfId="6499"/>
    <cellStyle name="Entrada 3 43 3 2" xfId="6500"/>
    <cellStyle name="Entrada 3 43 4" xfId="6501"/>
    <cellStyle name="Entrada 3 43 4 2" xfId="6502"/>
    <cellStyle name="Entrada 3 43 5" xfId="6503"/>
    <cellStyle name="Entrada 3 43 5 2" xfId="6504"/>
    <cellStyle name="Entrada 3 43 6" xfId="6505"/>
    <cellStyle name="Entrada 3 43 6 2" xfId="6506"/>
    <cellStyle name="Entrada 3 43 7" xfId="6507"/>
    <cellStyle name="Entrada 3 43 7 2" xfId="6508"/>
    <cellStyle name="Entrada 3 43 8" xfId="6509"/>
    <cellStyle name="Entrada 3 43 8 2" xfId="6510"/>
    <cellStyle name="Entrada 3 43 9" xfId="6511"/>
    <cellStyle name="Entrada 3 43 9 2" xfId="6512"/>
    <cellStyle name="Entrada 3 44" xfId="6513"/>
    <cellStyle name="Entrada 3 44 10" xfId="6514"/>
    <cellStyle name="Entrada 3 44 10 2" xfId="6515"/>
    <cellStyle name="Entrada 3 44 11" xfId="6516"/>
    <cellStyle name="Entrada 3 44 11 2" xfId="6517"/>
    <cellStyle name="Entrada 3 44 12" xfId="6518"/>
    <cellStyle name="Entrada 3 44 12 2" xfId="6519"/>
    <cellStyle name="Entrada 3 44 13" xfId="6520"/>
    <cellStyle name="Entrada 3 44 13 2" xfId="6521"/>
    <cellStyle name="Entrada 3 44 14" xfId="6522"/>
    <cellStyle name="Entrada 3 44 2" xfId="6523"/>
    <cellStyle name="Entrada 3 44 2 2" xfId="6524"/>
    <cellStyle name="Entrada 3 44 3" xfId="6525"/>
    <cellStyle name="Entrada 3 44 3 2" xfId="6526"/>
    <cellStyle name="Entrada 3 44 4" xfId="6527"/>
    <cellStyle name="Entrada 3 44 4 2" xfId="6528"/>
    <cellStyle name="Entrada 3 44 5" xfId="6529"/>
    <cellStyle name="Entrada 3 44 5 2" xfId="6530"/>
    <cellStyle name="Entrada 3 44 6" xfId="6531"/>
    <cellStyle name="Entrada 3 44 6 2" xfId="6532"/>
    <cellStyle name="Entrada 3 44 7" xfId="6533"/>
    <cellStyle name="Entrada 3 44 7 2" xfId="6534"/>
    <cellStyle name="Entrada 3 44 8" xfId="6535"/>
    <cellStyle name="Entrada 3 44 8 2" xfId="6536"/>
    <cellStyle name="Entrada 3 44 9" xfId="6537"/>
    <cellStyle name="Entrada 3 44 9 2" xfId="6538"/>
    <cellStyle name="Entrada 3 45" xfId="6539"/>
    <cellStyle name="Entrada 3 45 10" xfId="6540"/>
    <cellStyle name="Entrada 3 45 10 2" xfId="6541"/>
    <cellStyle name="Entrada 3 45 11" xfId="6542"/>
    <cellStyle name="Entrada 3 45 11 2" xfId="6543"/>
    <cellStyle name="Entrada 3 45 12" xfId="6544"/>
    <cellStyle name="Entrada 3 45 12 2" xfId="6545"/>
    <cellStyle name="Entrada 3 45 13" xfId="6546"/>
    <cellStyle name="Entrada 3 45 13 2" xfId="6547"/>
    <cellStyle name="Entrada 3 45 14" xfId="6548"/>
    <cellStyle name="Entrada 3 45 2" xfId="6549"/>
    <cellStyle name="Entrada 3 45 2 2" xfId="6550"/>
    <cellStyle name="Entrada 3 45 3" xfId="6551"/>
    <cellStyle name="Entrada 3 45 3 2" xfId="6552"/>
    <cellStyle name="Entrada 3 45 4" xfId="6553"/>
    <cellStyle name="Entrada 3 45 4 2" xfId="6554"/>
    <cellStyle name="Entrada 3 45 5" xfId="6555"/>
    <cellStyle name="Entrada 3 45 5 2" xfId="6556"/>
    <cellStyle name="Entrada 3 45 6" xfId="6557"/>
    <cellStyle name="Entrada 3 45 6 2" xfId="6558"/>
    <cellStyle name="Entrada 3 45 7" xfId="6559"/>
    <cellStyle name="Entrada 3 45 7 2" xfId="6560"/>
    <cellStyle name="Entrada 3 45 8" xfId="6561"/>
    <cellStyle name="Entrada 3 45 8 2" xfId="6562"/>
    <cellStyle name="Entrada 3 45 9" xfId="6563"/>
    <cellStyle name="Entrada 3 45 9 2" xfId="6564"/>
    <cellStyle name="Entrada 3 46" xfId="6565"/>
    <cellStyle name="Entrada 3 46 10" xfId="6566"/>
    <cellStyle name="Entrada 3 46 10 2" xfId="6567"/>
    <cellStyle name="Entrada 3 46 11" xfId="6568"/>
    <cellStyle name="Entrada 3 46 11 2" xfId="6569"/>
    <cellStyle name="Entrada 3 46 12" xfId="6570"/>
    <cellStyle name="Entrada 3 46 12 2" xfId="6571"/>
    <cellStyle name="Entrada 3 46 13" xfId="6572"/>
    <cellStyle name="Entrada 3 46 13 2" xfId="6573"/>
    <cellStyle name="Entrada 3 46 14" xfId="6574"/>
    <cellStyle name="Entrada 3 46 2" xfId="6575"/>
    <cellStyle name="Entrada 3 46 2 2" xfId="6576"/>
    <cellStyle name="Entrada 3 46 3" xfId="6577"/>
    <cellStyle name="Entrada 3 46 3 2" xfId="6578"/>
    <cellStyle name="Entrada 3 46 4" xfId="6579"/>
    <cellStyle name="Entrada 3 46 4 2" xfId="6580"/>
    <cellStyle name="Entrada 3 46 5" xfId="6581"/>
    <cellStyle name="Entrada 3 46 5 2" xfId="6582"/>
    <cellStyle name="Entrada 3 46 6" xfId="6583"/>
    <cellStyle name="Entrada 3 46 6 2" xfId="6584"/>
    <cellStyle name="Entrada 3 46 7" xfId="6585"/>
    <cellStyle name="Entrada 3 46 7 2" xfId="6586"/>
    <cellStyle name="Entrada 3 46 8" xfId="6587"/>
    <cellStyle name="Entrada 3 46 8 2" xfId="6588"/>
    <cellStyle name="Entrada 3 46 9" xfId="6589"/>
    <cellStyle name="Entrada 3 46 9 2" xfId="6590"/>
    <cellStyle name="Entrada 3 47" xfId="6591"/>
    <cellStyle name="Entrada 3 47 10" xfId="6592"/>
    <cellStyle name="Entrada 3 47 10 2" xfId="6593"/>
    <cellStyle name="Entrada 3 47 11" xfId="6594"/>
    <cellStyle name="Entrada 3 47 11 2" xfId="6595"/>
    <cellStyle name="Entrada 3 47 12" xfId="6596"/>
    <cellStyle name="Entrada 3 47 12 2" xfId="6597"/>
    <cellStyle name="Entrada 3 47 13" xfId="6598"/>
    <cellStyle name="Entrada 3 47 13 2" xfId="6599"/>
    <cellStyle name="Entrada 3 47 14" xfId="6600"/>
    <cellStyle name="Entrada 3 47 2" xfId="6601"/>
    <cellStyle name="Entrada 3 47 2 2" xfId="6602"/>
    <cellStyle name="Entrada 3 47 3" xfId="6603"/>
    <cellStyle name="Entrada 3 47 3 2" xfId="6604"/>
    <cellStyle name="Entrada 3 47 4" xfId="6605"/>
    <cellStyle name="Entrada 3 47 4 2" xfId="6606"/>
    <cellStyle name="Entrada 3 47 5" xfId="6607"/>
    <cellStyle name="Entrada 3 47 5 2" xfId="6608"/>
    <cellStyle name="Entrada 3 47 6" xfId="6609"/>
    <cellStyle name="Entrada 3 47 6 2" xfId="6610"/>
    <cellStyle name="Entrada 3 47 7" xfId="6611"/>
    <cellStyle name="Entrada 3 47 7 2" xfId="6612"/>
    <cellStyle name="Entrada 3 47 8" xfId="6613"/>
    <cellStyle name="Entrada 3 47 8 2" xfId="6614"/>
    <cellStyle name="Entrada 3 47 9" xfId="6615"/>
    <cellStyle name="Entrada 3 47 9 2" xfId="6616"/>
    <cellStyle name="Entrada 3 48" xfId="6617"/>
    <cellStyle name="Entrada 3 48 10" xfId="6618"/>
    <cellStyle name="Entrada 3 48 10 2" xfId="6619"/>
    <cellStyle name="Entrada 3 48 11" xfId="6620"/>
    <cellStyle name="Entrada 3 48 11 2" xfId="6621"/>
    <cellStyle name="Entrada 3 48 12" xfId="6622"/>
    <cellStyle name="Entrada 3 48 12 2" xfId="6623"/>
    <cellStyle name="Entrada 3 48 13" xfId="6624"/>
    <cellStyle name="Entrada 3 48 13 2" xfId="6625"/>
    <cellStyle name="Entrada 3 48 14" xfId="6626"/>
    <cellStyle name="Entrada 3 48 2" xfId="6627"/>
    <cellStyle name="Entrada 3 48 2 2" xfId="6628"/>
    <cellStyle name="Entrada 3 48 3" xfId="6629"/>
    <cellStyle name="Entrada 3 48 3 2" xfId="6630"/>
    <cellStyle name="Entrada 3 48 4" xfId="6631"/>
    <cellStyle name="Entrada 3 48 4 2" xfId="6632"/>
    <cellStyle name="Entrada 3 48 5" xfId="6633"/>
    <cellStyle name="Entrada 3 48 5 2" xfId="6634"/>
    <cellStyle name="Entrada 3 48 6" xfId="6635"/>
    <cellStyle name="Entrada 3 48 6 2" xfId="6636"/>
    <cellStyle name="Entrada 3 48 7" xfId="6637"/>
    <cellStyle name="Entrada 3 48 7 2" xfId="6638"/>
    <cellStyle name="Entrada 3 48 8" xfId="6639"/>
    <cellStyle name="Entrada 3 48 8 2" xfId="6640"/>
    <cellStyle name="Entrada 3 48 9" xfId="6641"/>
    <cellStyle name="Entrada 3 48 9 2" xfId="6642"/>
    <cellStyle name="Entrada 3 49" xfId="6643"/>
    <cellStyle name="Entrada 3 49 10" xfId="6644"/>
    <cellStyle name="Entrada 3 49 10 2" xfId="6645"/>
    <cellStyle name="Entrada 3 49 11" xfId="6646"/>
    <cellStyle name="Entrada 3 49 11 2" xfId="6647"/>
    <cellStyle name="Entrada 3 49 12" xfId="6648"/>
    <cellStyle name="Entrada 3 49 12 2" xfId="6649"/>
    <cellStyle name="Entrada 3 49 13" xfId="6650"/>
    <cellStyle name="Entrada 3 49 13 2" xfId="6651"/>
    <cellStyle name="Entrada 3 49 14" xfId="6652"/>
    <cellStyle name="Entrada 3 49 2" xfId="6653"/>
    <cellStyle name="Entrada 3 49 2 2" xfId="6654"/>
    <cellStyle name="Entrada 3 49 3" xfId="6655"/>
    <cellStyle name="Entrada 3 49 3 2" xfId="6656"/>
    <cellStyle name="Entrada 3 49 4" xfId="6657"/>
    <cellStyle name="Entrada 3 49 4 2" xfId="6658"/>
    <cellStyle name="Entrada 3 49 5" xfId="6659"/>
    <cellStyle name="Entrada 3 49 5 2" xfId="6660"/>
    <cellStyle name="Entrada 3 49 6" xfId="6661"/>
    <cellStyle name="Entrada 3 49 6 2" xfId="6662"/>
    <cellStyle name="Entrada 3 49 7" xfId="6663"/>
    <cellStyle name="Entrada 3 49 7 2" xfId="6664"/>
    <cellStyle name="Entrada 3 49 8" xfId="6665"/>
    <cellStyle name="Entrada 3 49 8 2" xfId="6666"/>
    <cellStyle name="Entrada 3 49 9" xfId="6667"/>
    <cellStyle name="Entrada 3 49 9 2" xfId="6668"/>
    <cellStyle name="Entrada 3 5" xfId="6669"/>
    <cellStyle name="Entrada 3 5 10" xfId="6670"/>
    <cellStyle name="Entrada 3 5 10 2" xfId="6671"/>
    <cellStyle name="Entrada 3 5 11" xfId="6672"/>
    <cellStyle name="Entrada 3 5 11 2" xfId="6673"/>
    <cellStyle name="Entrada 3 5 12" xfId="6674"/>
    <cellStyle name="Entrada 3 5 12 2" xfId="6675"/>
    <cellStyle name="Entrada 3 5 13" xfId="6676"/>
    <cellStyle name="Entrada 3 5 13 2" xfId="6677"/>
    <cellStyle name="Entrada 3 5 14" xfId="6678"/>
    <cellStyle name="Entrada 3 5 2" xfId="6679"/>
    <cellStyle name="Entrada 3 5 2 2" xfId="6680"/>
    <cellStyle name="Entrada 3 5 3" xfId="6681"/>
    <cellStyle name="Entrada 3 5 3 2" xfId="6682"/>
    <cellStyle name="Entrada 3 5 4" xfId="6683"/>
    <cellStyle name="Entrada 3 5 4 2" xfId="6684"/>
    <cellStyle name="Entrada 3 5 5" xfId="6685"/>
    <cellStyle name="Entrada 3 5 5 2" xfId="6686"/>
    <cellStyle name="Entrada 3 5 6" xfId="6687"/>
    <cellStyle name="Entrada 3 5 6 2" xfId="6688"/>
    <cellStyle name="Entrada 3 5 7" xfId="6689"/>
    <cellStyle name="Entrada 3 5 7 2" xfId="6690"/>
    <cellStyle name="Entrada 3 5 8" xfId="6691"/>
    <cellStyle name="Entrada 3 5 8 2" xfId="6692"/>
    <cellStyle name="Entrada 3 5 9" xfId="6693"/>
    <cellStyle name="Entrada 3 5 9 2" xfId="6694"/>
    <cellStyle name="Entrada 3 50" xfId="6695"/>
    <cellStyle name="Entrada 3 50 10" xfId="6696"/>
    <cellStyle name="Entrada 3 50 10 2" xfId="6697"/>
    <cellStyle name="Entrada 3 50 11" xfId="6698"/>
    <cellStyle name="Entrada 3 50 11 2" xfId="6699"/>
    <cellStyle name="Entrada 3 50 12" xfId="6700"/>
    <cellStyle name="Entrada 3 50 12 2" xfId="6701"/>
    <cellStyle name="Entrada 3 50 13" xfId="6702"/>
    <cellStyle name="Entrada 3 50 13 2" xfId="6703"/>
    <cellStyle name="Entrada 3 50 14" xfId="6704"/>
    <cellStyle name="Entrada 3 50 2" xfId="6705"/>
    <cellStyle name="Entrada 3 50 2 2" xfId="6706"/>
    <cellStyle name="Entrada 3 50 3" xfId="6707"/>
    <cellStyle name="Entrada 3 50 3 2" xfId="6708"/>
    <cellStyle name="Entrada 3 50 4" xfId="6709"/>
    <cellStyle name="Entrada 3 50 4 2" xfId="6710"/>
    <cellStyle name="Entrada 3 50 5" xfId="6711"/>
    <cellStyle name="Entrada 3 50 5 2" xfId="6712"/>
    <cellStyle name="Entrada 3 50 6" xfId="6713"/>
    <cellStyle name="Entrada 3 50 6 2" xfId="6714"/>
    <cellStyle name="Entrada 3 50 7" xfId="6715"/>
    <cellStyle name="Entrada 3 50 7 2" xfId="6716"/>
    <cellStyle name="Entrada 3 50 8" xfId="6717"/>
    <cellStyle name="Entrada 3 50 8 2" xfId="6718"/>
    <cellStyle name="Entrada 3 50 9" xfId="6719"/>
    <cellStyle name="Entrada 3 50 9 2" xfId="6720"/>
    <cellStyle name="Entrada 3 51" xfId="6721"/>
    <cellStyle name="Entrada 3 51 10" xfId="6722"/>
    <cellStyle name="Entrada 3 51 10 2" xfId="6723"/>
    <cellStyle name="Entrada 3 51 11" xfId="6724"/>
    <cellStyle name="Entrada 3 51 11 2" xfId="6725"/>
    <cellStyle name="Entrada 3 51 12" xfId="6726"/>
    <cellStyle name="Entrada 3 51 12 2" xfId="6727"/>
    <cellStyle name="Entrada 3 51 13" xfId="6728"/>
    <cellStyle name="Entrada 3 51 13 2" xfId="6729"/>
    <cellStyle name="Entrada 3 51 14" xfId="6730"/>
    <cellStyle name="Entrada 3 51 2" xfId="6731"/>
    <cellStyle name="Entrada 3 51 2 2" xfId="6732"/>
    <cellStyle name="Entrada 3 51 3" xfId="6733"/>
    <cellStyle name="Entrada 3 51 3 2" xfId="6734"/>
    <cellStyle name="Entrada 3 51 4" xfId="6735"/>
    <cellStyle name="Entrada 3 51 4 2" xfId="6736"/>
    <cellStyle name="Entrada 3 51 5" xfId="6737"/>
    <cellStyle name="Entrada 3 51 5 2" xfId="6738"/>
    <cellStyle name="Entrada 3 51 6" xfId="6739"/>
    <cellStyle name="Entrada 3 51 6 2" xfId="6740"/>
    <cellStyle name="Entrada 3 51 7" xfId="6741"/>
    <cellStyle name="Entrada 3 51 7 2" xfId="6742"/>
    <cellStyle name="Entrada 3 51 8" xfId="6743"/>
    <cellStyle name="Entrada 3 51 8 2" xfId="6744"/>
    <cellStyle name="Entrada 3 51 9" xfId="6745"/>
    <cellStyle name="Entrada 3 51 9 2" xfId="6746"/>
    <cellStyle name="Entrada 3 52" xfId="6747"/>
    <cellStyle name="Entrada 3 52 10" xfId="6748"/>
    <cellStyle name="Entrada 3 52 10 2" xfId="6749"/>
    <cellStyle name="Entrada 3 52 11" xfId="6750"/>
    <cellStyle name="Entrada 3 52 11 2" xfId="6751"/>
    <cellStyle name="Entrada 3 52 12" xfId="6752"/>
    <cellStyle name="Entrada 3 52 12 2" xfId="6753"/>
    <cellStyle name="Entrada 3 52 13" xfId="6754"/>
    <cellStyle name="Entrada 3 52 13 2" xfId="6755"/>
    <cellStyle name="Entrada 3 52 14" xfId="6756"/>
    <cellStyle name="Entrada 3 52 2" xfId="6757"/>
    <cellStyle name="Entrada 3 52 2 2" xfId="6758"/>
    <cellStyle name="Entrada 3 52 3" xfId="6759"/>
    <cellStyle name="Entrada 3 52 3 2" xfId="6760"/>
    <cellStyle name="Entrada 3 52 4" xfId="6761"/>
    <cellStyle name="Entrada 3 52 4 2" xfId="6762"/>
    <cellStyle name="Entrada 3 52 5" xfId="6763"/>
    <cellStyle name="Entrada 3 52 5 2" xfId="6764"/>
    <cellStyle name="Entrada 3 52 6" xfId="6765"/>
    <cellStyle name="Entrada 3 52 6 2" xfId="6766"/>
    <cellStyle name="Entrada 3 52 7" xfId="6767"/>
    <cellStyle name="Entrada 3 52 7 2" xfId="6768"/>
    <cellStyle name="Entrada 3 52 8" xfId="6769"/>
    <cellStyle name="Entrada 3 52 8 2" xfId="6770"/>
    <cellStyle name="Entrada 3 52 9" xfId="6771"/>
    <cellStyle name="Entrada 3 52 9 2" xfId="6772"/>
    <cellStyle name="Entrada 3 53" xfId="6773"/>
    <cellStyle name="Entrada 3 53 10" xfId="6774"/>
    <cellStyle name="Entrada 3 53 10 2" xfId="6775"/>
    <cellStyle name="Entrada 3 53 11" xfId="6776"/>
    <cellStyle name="Entrada 3 53 11 2" xfId="6777"/>
    <cellStyle name="Entrada 3 53 12" xfId="6778"/>
    <cellStyle name="Entrada 3 53 12 2" xfId="6779"/>
    <cellStyle name="Entrada 3 53 13" xfId="6780"/>
    <cellStyle name="Entrada 3 53 13 2" xfId="6781"/>
    <cellStyle name="Entrada 3 53 14" xfId="6782"/>
    <cellStyle name="Entrada 3 53 2" xfId="6783"/>
    <cellStyle name="Entrada 3 53 2 2" xfId="6784"/>
    <cellStyle name="Entrada 3 53 3" xfId="6785"/>
    <cellStyle name="Entrada 3 53 3 2" xfId="6786"/>
    <cellStyle name="Entrada 3 53 4" xfId="6787"/>
    <cellStyle name="Entrada 3 53 4 2" xfId="6788"/>
    <cellStyle name="Entrada 3 53 5" xfId="6789"/>
    <cellStyle name="Entrada 3 53 5 2" xfId="6790"/>
    <cellStyle name="Entrada 3 53 6" xfId="6791"/>
    <cellStyle name="Entrada 3 53 6 2" xfId="6792"/>
    <cellStyle name="Entrada 3 53 7" xfId="6793"/>
    <cellStyle name="Entrada 3 53 7 2" xfId="6794"/>
    <cellStyle name="Entrada 3 53 8" xfId="6795"/>
    <cellStyle name="Entrada 3 53 8 2" xfId="6796"/>
    <cellStyle name="Entrada 3 53 9" xfId="6797"/>
    <cellStyle name="Entrada 3 53 9 2" xfId="6798"/>
    <cellStyle name="Entrada 3 54" xfId="6799"/>
    <cellStyle name="Entrada 3 54 10" xfId="6800"/>
    <cellStyle name="Entrada 3 54 10 2" xfId="6801"/>
    <cellStyle name="Entrada 3 54 11" xfId="6802"/>
    <cellStyle name="Entrada 3 54 11 2" xfId="6803"/>
    <cellStyle name="Entrada 3 54 12" xfId="6804"/>
    <cellStyle name="Entrada 3 54 12 2" xfId="6805"/>
    <cellStyle name="Entrada 3 54 13" xfId="6806"/>
    <cellStyle name="Entrada 3 54 13 2" xfId="6807"/>
    <cellStyle name="Entrada 3 54 14" xfId="6808"/>
    <cellStyle name="Entrada 3 54 2" xfId="6809"/>
    <cellStyle name="Entrada 3 54 2 2" xfId="6810"/>
    <cellStyle name="Entrada 3 54 3" xfId="6811"/>
    <cellStyle name="Entrada 3 54 3 2" xfId="6812"/>
    <cellStyle name="Entrada 3 54 4" xfId="6813"/>
    <cellStyle name="Entrada 3 54 4 2" xfId="6814"/>
    <cellStyle name="Entrada 3 54 5" xfId="6815"/>
    <cellStyle name="Entrada 3 54 5 2" xfId="6816"/>
    <cellStyle name="Entrada 3 54 6" xfId="6817"/>
    <cellStyle name="Entrada 3 54 6 2" xfId="6818"/>
    <cellStyle name="Entrada 3 54 7" xfId="6819"/>
    <cellStyle name="Entrada 3 54 7 2" xfId="6820"/>
    <cellStyle name="Entrada 3 54 8" xfId="6821"/>
    <cellStyle name="Entrada 3 54 8 2" xfId="6822"/>
    <cellStyle name="Entrada 3 54 9" xfId="6823"/>
    <cellStyle name="Entrada 3 54 9 2" xfId="6824"/>
    <cellStyle name="Entrada 3 55" xfId="6825"/>
    <cellStyle name="Entrada 3 55 10" xfId="6826"/>
    <cellStyle name="Entrada 3 55 10 2" xfId="6827"/>
    <cellStyle name="Entrada 3 55 11" xfId="6828"/>
    <cellStyle name="Entrada 3 55 11 2" xfId="6829"/>
    <cellStyle name="Entrada 3 55 12" xfId="6830"/>
    <cellStyle name="Entrada 3 55 12 2" xfId="6831"/>
    <cellStyle name="Entrada 3 55 13" xfId="6832"/>
    <cellStyle name="Entrada 3 55 13 2" xfId="6833"/>
    <cellStyle name="Entrada 3 55 14" xfId="6834"/>
    <cellStyle name="Entrada 3 55 2" xfId="6835"/>
    <cellStyle name="Entrada 3 55 2 2" xfId="6836"/>
    <cellStyle name="Entrada 3 55 3" xfId="6837"/>
    <cellStyle name="Entrada 3 55 3 2" xfId="6838"/>
    <cellStyle name="Entrada 3 55 4" xfId="6839"/>
    <cellStyle name="Entrada 3 55 4 2" xfId="6840"/>
    <cellStyle name="Entrada 3 55 5" xfId="6841"/>
    <cellStyle name="Entrada 3 55 5 2" xfId="6842"/>
    <cellStyle name="Entrada 3 55 6" xfId="6843"/>
    <cellStyle name="Entrada 3 55 6 2" xfId="6844"/>
    <cellStyle name="Entrada 3 55 7" xfId="6845"/>
    <cellStyle name="Entrada 3 55 7 2" xfId="6846"/>
    <cellStyle name="Entrada 3 55 8" xfId="6847"/>
    <cellStyle name="Entrada 3 55 8 2" xfId="6848"/>
    <cellStyle name="Entrada 3 55 9" xfId="6849"/>
    <cellStyle name="Entrada 3 55 9 2" xfId="6850"/>
    <cellStyle name="Entrada 3 56" xfId="6851"/>
    <cellStyle name="Entrada 3 56 10" xfId="6852"/>
    <cellStyle name="Entrada 3 56 10 2" xfId="6853"/>
    <cellStyle name="Entrada 3 56 11" xfId="6854"/>
    <cellStyle name="Entrada 3 56 11 2" xfId="6855"/>
    <cellStyle name="Entrada 3 56 12" xfId="6856"/>
    <cellStyle name="Entrada 3 56 12 2" xfId="6857"/>
    <cellStyle name="Entrada 3 56 13" xfId="6858"/>
    <cellStyle name="Entrada 3 56 13 2" xfId="6859"/>
    <cellStyle name="Entrada 3 56 14" xfId="6860"/>
    <cellStyle name="Entrada 3 56 2" xfId="6861"/>
    <cellStyle name="Entrada 3 56 2 2" xfId="6862"/>
    <cellStyle name="Entrada 3 56 3" xfId="6863"/>
    <cellStyle name="Entrada 3 56 3 2" xfId="6864"/>
    <cellStyle name="Entrada 3 56 4" xfId="6865"/>
    <cellStyle name="Entrada 3 56 4 2" xfId="6866"/>
    <cellStyle name="Entrada 3 56 5" xfId="6867"/>
    <cellStyle name="Entrada 3 56 5 2" xfId="6868"/>
    <cellStyle name="Entrada 3 56 6" xfId="6869"/>
    <cellStyle name="Entrada 3 56 6 2" xfId="6870"/>
    <cellStyle name="Entrada 3 56 7" xfId="6871"/>
    <cellStyle name="Entrada 3 56 7 2" xfId="6872"/>
    <cellStyle name="Entrada 3 56 8" xfId="6873"/>
    <cellStyle name="Entrada 3 56 8 2" xfId="6874"/>
    <cellStyle name="Entrada 3 56 9" xfId="6875"/>
    <cellStyle name="Entrada 3 56 9 2" xfId="6876"/>
    <cellStyle name="Entrada 3 57" xfId="6877"/>
    <cellStyle name="Entrada 3 57 10" xfId="6878"/>
    <cellStyle name="Entrada 3 57 10 2" xfId="6879"/>
    <cellStyle name="Entrada 3 57 11" xfId="6880"/>
    <cellStyle name="Entrada 3 57 11 2" xfId="6881"/>
    <cellStyle name="Entrada 3 57 12" xfId="6882"/>
    <cellStyle name="Entrada 3 57 12 2" xfId="6883"/>
    <cellStyle name="Entrada 3 57 13" xfId="6884"/>
    <cellStyle name="Entrada 3 57 13 2" xfId="6885"/>
    <cellStyle name="Entrada 3 57 14" xfId="6886"/>
    <cellStyle name="Entrada 3 57 2" xfId="6887"/>
    <cellStyle name="Entrada 3 57 2 2" xfId="6888"/>
    <cellStyle name="Entrada 3 57 3" xfId="6889"/>
    <cellStyle name="Entrada 3 57 3 2" xfId="6890"/>
    <cellStyle name="Entrada 3 57 4" xfId="6891"/>
    <cellStyle name="Entrada 3 57 4 2" xfId="6892"/>
    <cellStyle name="Entrada 3 57 5" xfId="6893"/>
    <cellStyle name="Entrada 3 57 5 2" xfId="6894"/>
    <cellStyle name="Entrada 3 57 6" xfId="6895"/>
    <cellStyle name="Entrada 3 57 6 2" xfId="6896"/>
    <cellStyle name="Entrada 3 57 7" xfId="6897"/>
    <cellStyle name="Entrada 3 57 7 2" xfId="6898"/>
    <cellStyle name="Entrada 3 57 8" xfId="6899"/>
    <cellStyle name="Entrada 3 57 8 2" xfId="6900"/>
    <cellStyle name="Entrada 3 57 9" xfId="6901"/>
    <cellStyle name="Entrada 3 57 9 2" xfId="6902"/>
    <cellStyle name="Entrada 3 58" xfId="6903"/>
    <cellStyle name="Entrada 3 58 10" xfId="6904"/>
    <cellStyle name="Entrada 3 58 10 2" xfId="6905"/>
    <cellStyle name="Entrada 3 58 11" xfId="6906"/>
    <cellStyle name="Entrada 3 58 11 2" xfId="6907"/>
    <cellStyle name="Entrada 3 58 12" xfId="6908"/>
    <cellStyle name="Entrada 3 58 12 2" xfId="6909"/>
    <cellStyle name="Entrada 3 58 13" xfId="6910"/>
    <cellStyle name="Entrada 3 58 13 2" xfId="6911"/>
    <cellStyle name="Entrada 3 58 14" xfId="6912"/>
    <cellStyle name="Entrada 3 58 2" xfId="6913"/>
    <cellStyle name="Entrada 3 58 2 2" xfId="6914"/>
    <cellStyle name="Entrada 3 58 3" xfId="6915"/>
    <cellStyle name="Entrada 3 58 3 2" xfId="6916"/>
    <cellStyle name="Entrada 3 58 4" xfId="6917"/>
    <cellStyle name="Entrada 3 58 4 2" xfId="6918"/>
    <cellStyle name="Entrada 3 58 5" xfId="6919"/>
    <cellStyle name="Entrada 3 58 5 2" xfId="6920"/>
    <cellStyle name="Entrada 3 58 6" xfId="6921"/>
    <cellStyle name="Entrada 3 58 6 2" xfId="6922"/>
    <cellStyle name="Entrada 3 58 7" xfId="6923"/>
    <cellStyle name="Entrada 3 58 7 2" xfId="6924"/>
    <cellStyle name="Entrada 3 58 8" xfId="6925"/>
    <cellStyle name="Entrada 3 58 8 2" xfId="6926"/>
    <cellStyle name="Entrada 3 58 9" xfId="6927"/>
    <cellStyle name="Entrada 3 58 9 2" xfId="6928"/>
    <cellStyle name="Entrada 3 59" xfId="6929"/>
    <cellStyle name="Entrada 3 59 10" xfId="6930"/>
    <cellStyle name="Entrada 3 59 10 2" xfId="6931"/>
    <cellStyle name="Entrada 3 59 11" xfId="6932"/>
    <cellStyle name="Entrada 3 59 11 2" xfId="6933"/>
    <cellStyle name="Entrada 3 59 12" xfId="6934"/>
    <cellStyle name="Entrada 3 59 12 2" xfId="6935"/>
    <cellStyle name="Entrada 3 59 13" xfId="6936"/>
    <cellStyle name="Entrada 3 59 13 2" xfId="6937"/>
    <cellStyle name="Entrada 3 59 14" xfId="6938"/>
    <cellStyle name="Entrada 3 59 2" xfId="6939"/>
    <cellStyle name="Entrada 3 59 2 2" xfId="6940"/>
    <cellStyle name="Entrada 3 59 3" xfId="6941"/>
    <cellStyle name="Entrada 3 59 3 2" xfId="6942"/>
    <cellStyle name="Entrada 3 59 4" xfId="6943"/>
    <cellStyle name="Entrada 3 59 4 2" xfId="6944"/>
    <cellStyle name="Entrada 3 59 5" xfId="6945"/>
    <cellStyle name="Entrada 3 59 5 2" xfId="6946"/>
    <cellStyle name="Entrada 3 59 6" xfId="6947"/>
    <cellStyle name="Entrada 3 59 6 2" xfId="6948"/>
    <cellStyle name="Entrada 3 59 7" xfId="6949"/>
    <cellStyle name="Entrada 3 59 7 2" xfId="6950"/>
    <cellStyle name="Entrada 3 59 8" xfId="6951"/>
    <cellStyle name="Entrada 3 59 8 2" xfId="6952"/>
    <cellStyle name="Entrada 3 59 9" xfId="6953"/>
    <cellStyle name="Entrada 3 59 9 2" xfId="6954"/>
    <cellStyle name="Entrada 3 6" xfId="6955"/>
    <cellStyle name="Entrada 3 6 10" xfId="6956"/>
    <cellStyle name="Entrada 3 6 10 2" xfId="6957"/>
    <cellStyle name="Entrada 3 6 11" xfId="6958"/>
    <cellStyle name="Entrada 3 6 11 2" xfId="6959"/>
    <cellStyle name="Entrada 3 6 12" xfId="6960"/>
    <cellStyle name="Entrada 3 6 12 2" xfId="6961"/>
    <cellStyle name="Entrada 3 6 13" xfId="6962"/>
    <cellStyle name="Entrada 3 6 13 2" xfId="6963"/>
    <cellStyle name="Entrada 3 6 14" xfId="6964"/>
    <cellStyle name="Entrada 3 6 2" xfId="6965"/>
    <cellStyle name="Entrada 3 6 2 2" xfId="6966"/>
    <cellStyle name="Entrada 3 6 3" xfId="6967"/>
    <cellStyle name="Entrada 3 6 3 2" xfId="6968"/>
    <cellStyle name="Entrada 3 6 4" xfId="6969"/>
    <cellStyle name="Entrada 3 6 4 2" xfId="6970"/>
    <cellStyle name="Entrada 3 6 5" xfId="6971"/>
    <cellStyle name="Entrada 3 6 5 2" xfId="6972"/>
    <cellStyle name="Entrada 3 6 6" xfId="6973"/>
    <cellStyle name="Entrada 3 6 6 2" xfId="6974"/>
    <cellStyle name="Entrada 3 6 7" xfId="6975"/>
    <cellStyle name="Entrada 3 6 7 2" xfId="6976"/>
    <cellStyle name="Entrada 3 6 8" xfId="6977"/>
    <cellStyle name="Entrada 3 6 8 2" xfId="6978"/>
    <cellStyle name="Entrada 3 6 9" xfId="6979"/>
    <cellStyle name="Entrada 3 6 9 2" xfId="6980"/>
    <cellStyle name="Entrada 3 60" xfId="6981"/>
    <cellStyle name="Entrada 3 60 10" xfId="6982"/>
    <cellStyle name="Entrada 3 60 10 2" xfId="6983"/>
    <cellStyle name="Entrada 3 60 11" xfId="6984"/>
    <cellStyle name="Entrada 3 60 11 2" xfId="6985"/>
    <cellStyle name="Entrada 3 60 12" xfId="6986"/>
    <cellStyle name="Entrada 3 60 12 2" xfId="6987"/>
    <cellStyle name="Entrada 3 60 13" xfId="6988"/>
    <cellStyle name="Entrada 3 60 13 2" xfId="6989"/>
    <cellStyle name="Entrada 3 60 14" xfId="6990"/>
    <cellStyle name="Entrada 3 60 2" xfId="6991"/>
    <cellStyle name="Entrada 3 60 2 2" xfId="6992"/>
    <cellStyle name="Entrada 3 60 3" xfId="6993"/>
    <cellStyle name="Entrada 3 60 3 2" xfId="6994"/>
    <cellStyle name="Entrada 3 60 4" xfId="6995"/>
    <cellStyle name="Entrada 3 60 4 2" xfId="6996"/>
    <cellStyle name="Entrada 3 60 5" xfId="6997"/>
    <cellStyle name="Entrada 3 60 5 2" xfId="6998"/>
    <cellStyle name="Entrada 3 60 6" xfId="6999"/>
    <cellStyle name="Entrada 3 60 6 2" xfId="7000"/>
    <cellStyle name="Entrada 3 60 7" xfId="7001"/>
    <cellStyle name="Entrada 3 60 7 2" xfId="7002"/>
    <cellStyle name="Entrada 3 60 8" xfId="7003"/>
    <cellStyle name="Entrada 3 60 8 2" xfId="7004"/>
    <cellStyle name="Entrada 3 60 9" xfId="7005"/>
    <cellStyle name="Entrada 3 60 9 2" xfId="7006"/>
    <cellStyle name="Entrada 3 61" xfId="7007"/>
    <cellStyle name="Entrada 3 61 10" xfId="7008"/>
    <cellStyle name="Entrada 3 61 10 2" xfId="7009"/>
    <cellStyle name="Entrada 3 61 11" xfId="7010"/>
    <cellStyle name="Entrada 3 61 11 2" xfId="7011"/>
    <cellStyle name="Entrada 3 61 12" xfId="7012"/>
    <cellStyle name="Entrada 3 61 12 2" xfId="7013"/>
    <cellStyle name="Entrada 3 61 13" xfId="7014"/>
    <cellStyle name="Entrada 3 61 13 2" xfId="7015"/>
    <cellStyle name="Entrada 3 61 14" xfId="7016"/>
    <cellStyle name="Entrada 3 61 2" xfId="7017"/>
    <cellStyle name="Entrada 3 61 2 2" xfId="7018"/>
    <cellStyle name="Entrada 3 61 3" xfId="7019"/>
    <cellStyle name="Entrada 3 61 3 2" xfId="7020"/>
    <cellStyle name="Entrada 3 61 4" xfId="7021"/>
    <cellStyle name="Entrada 3 61 4 2" xfId="7022"/>
    <cellStyle name="Entrada 3 61 5" xfId="7023"/>
    <cellStyle name="Entrada 3 61 5 2" xfId="7024"/>
    <cellStyle name="Entrada 3 61 6" xfId="7025"/>
    <cellStyle name="Entrada 3 61 6 2" xfId="7026"/>
    <cellStyle name="Entrada 3 61 7" xfId="7027"/>
    <cellStyle name="Entrada 3 61 7 2" xfId="7028"/>
    <cellStyle name="Entrada 3 61 8" xfId="7029"/>
    <cellStyle name="Entrada 3 61 8 2" xfId="7030"/>
    <cellStyle name="Entrada 3 61 9" xfId="7031"/>
    <cellStyle name="Entrada 3 61 9 2" xfId="7032"/>
    <cellStyle name="Entrada 3 62" xfId="7033"/>
    <cellStyle name="Entrada 3 62 10" xfId="7034"/>
    <cellStyle name="Entrada 3 62 10 2" xfId="7035"/>
    <cellStyle name="Entrada 3 62 11" xfId="7036"/>
    <cellStyle name="Entrada 3 62 11 2" xfId="7037"/>
    <cellStyle name="Entrada 3 62 12" xfId="7038"/>
    <cellStyle name="Entrada 3 62 12 2" xfId="7039"/>
    <cellStyle name="Entrada 3 62 13" xfId="7040"/>
    <cellStyle name="Entrada 3 62 13 2" xfId="7041"/>
    <cellStyle name="Entrada 3 62 14" xfId="7042"/>
    <cellStyle name="Entrada 3 62 2" xfId="7043"/>
    <cellStyle name="Entrada 3 62 2 2" xfId="7044"/>
    <cellStyle name="Entrada 3 62 3" xfId="7045"/>
    <cellStyle name="Entrada 3 62 3 2" xfId="7046"/>
    <cellStyle name="Entrada 3 62 4" xfId="7047"/>
    <cellStyle name="Entrada 3 62 4 2" xfId="7048"/>
    <cellStyle name="Entrada 3 62 5" xfId="7049"/>
    <cellStyle name="Entrada 3 62 5 2" xfId="7050"/>
    <cellStyle name="Entrada 3 62 6" xfId="7051"/>
    <cellStyle name="Entrada 3 62 6 2" xfId="7052"/>
    <cellStyle name="Entrada 3 62 7" xfId="7053"/>
    <cellStyle name="Entrada 3 62 7 2" xfId="7054"/>
    <cellStyle name="Entrada 3 62 8" xfId="7055"/>
    <cellStyle name="Entrada 3 62 8 2" xfId="7056"/>
    <cellStyle name="Entrada 3 62 9" xfId="7057"/>
    <cellStyle name="Entrada 3 62 9 2" xfId="7058"/>
    <cellStyle name="Entrada 3 63" xfId="7059"/>
    <cellStyle name="Entrada 3 63 10" xfId="7060"/>
    <cellStyle name="Entrada 3 63 10 2" xfId="7061"/>
    <cellStyle name="Entrada 3 63 11" xfId="7062"/>
    <cellStyle name="Entrada 3 63 11 2" xfId="7063"/>
    <cellStyle name="Entrada 3 63 12" xfId="7064"/>
    <cellStyle name="Entrada 3 63 12 2" xfId="7065"/>
    <cellStyle name="Entrada 3 63 13" xfId="7066"/>
    <cellStyle name="Entrada 3 63 13 2" xfId="7067"/>
    <cellStyle name="Entrada 3 63 14" xfId="7068"/>
    <cellStyle name="Entrada 3 63 2" xfId="7069"/>
    <cellStyle name="Entrada 3 63 2 2" xfId="7070"/>
    <cellStyle name="Entrada 3 63 3" xfId="7071"/>
    <cellStyle name="Entrada 3 63 3 2" xfId="7072"/>
    <cellStyle name="Entrada 3 63 4" xfId="7073"/>
    <cellStyle name="Entrada 3 63 4 2" xfId="7074"/>
    <cellStyle name="Entrada 3 63 5" xfId="7075"/>
    <cellStyle name="Entrada 3 63 5 2" xfId="7076"/>
    <cellStyle name="Entrada 3 63 6" xfId="7077"/>
    <cellStyle name="Entrada 3 63 6 2" xfId="7078"/>
    <cellStyle name="Entrada 3 63 7" xfId="7079"/>
    <cellStyle name="Entrada 3 63 7 2" xfId="7080"/>
    <cellStyle name="Entrada 3 63 8" xfId="7081"/>
    <cellStyle name="Entrada 3 63 8 2" xfId="7082"/>
    <cellStyle name="Entrada 3 63 9" xfId="7083"/>
    <cellStyle name="Entrada 3 63 9 2" xfId="7084"/>
    <cellStyle name="Entrada 3 64" xfId="7085"/>
    <cellStyle name="Entrada 3 64 10" xfId="7086"/>
    <cellStyle name="Entrada 3 64 10 2" xfId="7087"/>
    <cellStyle name="Entrada 3 64 11" xfId="7088"/>
    <cellStyle name="Entrada 3 64 11 2" xfId="7089"/>
    <cellStyle name="Entrada 3 64 12" xfId="7090"/>
    <cellStyle name="Entrada 3 64 12 2" xfId="7091"/>
    <cellStyle name="Entrada 3 64 13" xfId="7092"/>
    <cellStyle name="Entrada 3 64 13 2" xfId="7093"/>
    <cellStyle name="Entrada 3 64 14" xfId="7094"/>
    <cellStyle name="Entrada 3 64 2" xfId="7095"/>
    <cellStyle name="Entrada 3 64 2 2" xfId="7096"/>
    <cellStyle name="Entrada 3 64 3" xfId="7097"/>
    <cellStyle name="Entrada 3 64 3 2" xfId="7098"/>
    <cellStyle name="Entrada 3 64 4" xfId="7099"/>
    <cellStyle name="Entrada 3 64 4 2" xfId="7100"/>
    <cellStyle name="Entrada 3 64 5" xfId="7101"/>
    <cellStyle name="Entrada 3 64 5 2" xfId="7102"/>
    <cellStyle name="Entrada 3 64 6" xfId="7103"/>
    <cellStyle name="Entrada 3 64 6 2" xfId="7104"/>
    <cellStyle name="Entrada 3 64 7" xfId="7105"/>
    <cellStyle name="Entrada 3 64 7 2" xfId="7106"/>
    <cellStyle name="Entrada 3 64 8" xfId="7107"/>
    <cellStyle name="Entrada 3 64 8 2" xfId="7108"/>
    <cellStyle name="Entrada 3 64 9" xfId="7109"/>
    <cellStyle name="Entrada 3 64 9 2" xfId="7110"/>
    <cellStyle name="Entrada 3 65" xfId="7111"/>
    <cellStyle name="Entrada 3 65 10" xfId="7112"/>
    <cellStyle name="Entrada 3 65 10 2" xfId="7113"/>
    <cellStyle name="Entrada 3 65 11" xfId="7114"/>
    <cellStyle name="Entrada 3 65 11 2" xfId="7115"/>
    <cellStyle name="Entrada 3 65 12" xfId="7116"/>
    <cellStyle name="Entrada 3 65 12 2" xfId="7117"/>
    <cellStyle name="Entrada 3 65 13" xfId="7118"/>
    <cellStyle name="Entrada 3 65 13 2" xfId="7119"/>
    <cellStyle name="Entrada 3 65 14" xfId="7120"/>
    <cellStyle name="Entrada 3 65 2" xfId="7121"/>
    <cellStyle name="Entrada 3 65 2 2" xfId="7122"/>
    <cellStyle name="Entrada 3 65 3" xfId="7123"/>
    <cellStyle name="Entrada 3 65 3 2" xfId="7124"/>
    <cellStyle name="Entrada 3 65 4" xfId="7125"/>
    <cellStyle name="Entrada 3 65 4 2" xfId="7126"/>
    <cellStyle name="Entrada 3 65 5" xfId="7127"/>
    <cellStyle name="Entrada 3 65 5 2" xfId="7128"/>
    <cellStyle name="Entrada 3 65 6" xfId="7129"/>
    <cellStyle name="Entrada 3 65 6 2" xfId="7130"/>
    <cellStyle name="Entrada 3 65 7" xfId="7131"/>
    <cellStyle name="Entrada 3 65 7 2" xfId="7132"/>
    <cellStyle name="Entrada 3 65 8" xfId="7133"/>
    <cellStyle name="Entrada 3 65 8 2" xfId="7134"/>
    <cellStyle name="Entrada 3 65 9" xfId="7135"/>
    <cellStyle name="Entrada 3 65 9 2" xfId="7136"/>
    <cellStyle name="Entrada 3 66" xfId="7137"/>
    <cellStyle name="Entrada 3 66 10" xfId="7138"/>
    <cellStyle name="Entrada 3 66 10 2" xfId="7139"/>
    <cellStyle name="Entrada 3 66 11" xfId="7140"/>
    <cellStyle name="Entrada 3 66 11 2" xfId="7141"/>
    <cellStyle name="Entrada 3 66 12" xfId="7142"/>
    <cellStyle name="Entrada 3 66 12 2" xfId="7143"/>
    <cellStyle name="Entrada 3 66 13" xfId="7144"/>
    <cellStyle name="Entrada 3 66 13 2" xfId="7145"/>
    <cellStyle name="Entrada 3 66 14" xfId="7146"/>
    <cellStyle name="Entrada 3 66 2" xfId="7147"/>
    <cellStyle name="Entrada 3 66 2 2" xfId="7148"/>
    <cellStyle name="Entrada 3 66 3" xfId="7149"/>
    <cellStyle name="Entrada 3 66 3 2" xfId="7150"/>
    <cellStyle name="Entrada 3 66 4" xfId="7151"/>
    <cellStyle name="Entrada 3 66 4 2" xfId="7152"/>
    <cellStyle name="Entrada 3 66 5" xfId="7153"/>
    <cellStyle name="Entrada 3 66 5 2" xfId="7154"/>
    <cellStyle name="Entrada 3 66 6" xfId="7155"/>
    <cellStyle name="Entrada 3 66 6 2" xfId="7156"/>
    <cellStyle name="Entrada 3 66 7" xfId="7157"/>
    <cellStyle name="Entrada 3 66 7 2" xfId="7158"/>
    <cellStyle name="Entrada 3 66 8" xfId="7159"/>
    <cellStyle name="Entrada 3 66 8 2" xfId="7160"/>
    <cellStyle name="Entrada 3 66 9" xfId="7161"/>
    <cellStyle name="Entrada 3 66 9 2" xfId="7162"/>
    <cellStyle name="Entrada 3 67" xfId="7163"/>
    <cellStyle name="Entrada 3 67 10" xfId="7164"/>
    <cellStyle name="Entrada 3 67 10 2" xfId="7165"/>
    <cellStyle name="Entrada 3 67 11" xfId="7166"/>
    <cellStyle name="Entrada 3 67 11 2" xfId="7167"/>
    <cellStyle name="Entrada 3 67 12" xfId="7168"/>
    <cellStyle name="Entrada 3 67 12 2" xfId="7169"/>
    <cellStyle name="Entrada 3 67 13" xfId="7170"/>
    <cellStyle name="Entrada 3 67 13 2" xfId="7171"/>
    <cellStyle name="Entrada 3 67 14" xfId="7172"/>
    <cellStyle name="Entrada 3 67 2" xfId="7173"/>
    <cellStyle name="Entrada 3 67 2 2" xfId="7174"/>
    <cellStyle name="Entrada 3 67 3" xfId="7175"/>
    <cellStyle name="Entrada 3 67 3 2" xfId="7176"/>
    <cellStyle name="Entrada 3 67 4" xfId="7177"/>
    <cellStyle name="Entrada 3 67 4 2" xfId="7178"/>
    <cellStyle name="Entrada 3 67 5" xfId="7179"/>
    <cellStyle name="Entrada 3 67 5 2" xfId="7180"/>
    <cellStyle name="Entrada 3 67 6" xfId="7181"/>
    <cellStyle name="Entrada 3 67 6 2" xfId="7182"/>
    <cellStyle name="Entrada 3 67 7" xfId="7183"/>
    <cellStyle name="Entrada 3 67 7 2" xfId="7184"/>
    <cellStyle name="Entrada 3 67 8" xfId="7185"/>
    <cellStyle name="Entrada 3 67 8 2" xfId="7186"/>
    <cellStyle name="Entrada 3 67 9" xfId="7187"/>
    <cellStyle name="Entrada 3 67 9 2" xfId="7188"/>
    <cellStyle name="Entrada 3 68" xfId="7189"/>
    <cellStyle name="Entrada 3 68 10" xfId="7190"/>
    <cellStyle name="Entrada 3 68 10 2" xfId="7191"/>
    <cellStyle name="Entrada 3 68 11" xfId="7192"/>
    <cellStyle name="Entrada 3 68 11 2" xfId="7193"/>
    <cellStyle name="Entrada 3 68 12" xfId="7194"/>
    <cellStyle name="Entrada 3 68 12 2" xfId="7195"/>
    <cellStyle name="Entrada 3 68 13" xfId="7196"/>
    <cellStyle name="Entrada 3 68 13 2" xfId="7197"/>
    <cellStyle name="Entrada 3 68 14" xfId="7198"/>
    <cellStyle name="Entrada 3 68 2" xfId="7199"/>
    <cellStyle name="Entrada 3 68 2 2" xfId="7200"/>
    <cellStyle name="Entrada 3 68 3" xfId="7201"/>
    <cellStyle name="Entrada 3 68 3 2" xfId="7202"/>
    <cellStyle name="Entrada 3 68 4" xfId="7203"/>
    <cellStyle name="Entrada 3 68 4 2" xfId="7204"/>
    <cellStyle name="Entrada 3 68 5" xfId="7205"/>
    <cellStyle name="Entrada 3 68 5 2" xfId="7206"/>
    <cellStyle name="Entrada 3 68 6" xfId="7207"/>
    <cellStyle name="Entrada 3 68 6 2" xfId="7208"/>
    <cellStyle name="Entrada 3 68 7" xfId="7209"/>
    <cellStyle name="Entrada 3 68 7 2" xfId="7210"/>
    <cellStyle name="Entrada 3 68 8" xfId="7211"/>
    <cellStyle name="Entrada 3 68 8 2" xfId="7212"/>
    <cellStyle name="Entrada 3 68 9" xfId="7213"/>
    <cellStyle name="Entrada 3 68 9 2" xfId="7214"/>
    <cellStyle name="Entrada 3 69" xfId="7215"/>
    <cellStyle name="Entrada 3 69 10" xfId="7216"/>
    <cellStyle name="Entrada 3 69 10 2" xfId="7217"/>
    <cellStyle name="Entrada 3 69 11" xfId="7218"/>
    <cellStyle name="Entrada 3 69 11 2" xfId="7219"/>
    <cellStyle name="Entrada 3 69 12" xfId="7220"/>
    <cellStyle name="Entrada 3 69 12 2" xfId="7221"/>
    <cellStyle name="Entrada 3 69 13" xfId="7222"/>
    <cellStyle name="Entrada 3 69 13 2" xfId="7223"/>
    <cellStyle name="Entrada 3 69 14" xfId="7224"/>
    <cellStyle name="Entrada 3 69 2" xfId="7225"/>
    <cellStyle name="Entrada 3 69 2 2" xfId="7226"/>
    <cellStyle name="Entrada 3 69 3" xfId="7227"/>
    <cellStyle name="Entrada 3 69 3 2" xfId="7228"/>
    <cellStyle name="Entrada 3 69 4" xfId="7229"/>
    <cellStyle name="Entrada 3 69 4 2" xfId="7230"/>
    <cellStyle name="Entrada 3 69 5" xfId="7231"/>
    <cellStyle name="Entrada 3 69 5 2" xfId="7232"/>
    <cellStyle name="Entrada 3 69 6" xfId="7233"/>
    <cellStyle name="Entrada 3 69 6 2" xfId="7234"/>
    <cellStyle name="Entrada 3 69 7" xfId="7235"/>
    <cellStyle name="Entrada 3 69 7 2" xfId="7236"/>
    <cellStyle name="Entrada 3 69 8" xfId="7237"/>
    <cellStyle name="Entrada 3 69 8 2" xfId="7238"/>
    <cellStyle name="Entrada 3 69 9" xfId="7239"/>
    <cellStyle name="Entrada 3 69 9 2" xfId="7240"/>
    <cellStyle name="Entrada 3 7" xfId="7241"/>
    <cellStyle name="Entrada 3 7 10" xfId="7242"/>
    <cellStyle name="Entrada 3 7 10 2" xfId="7243"/>
    <cellStyle name="Entrada 3 7 11" xfId="7244"/>
    <cellStyle name="Entrada 3 7 11 2" xfId="7245"/>
    <cellStyle name="Entrada 3 7 12" xfId="7246"/>
    <cellStyle name="Entrada 3 7 12 2" xfId="7247"/>
    <cellStyle name="Entrada 3 7 13" xfId="7248"/>
    <cellStyle name="Entrada 3 7 13 2" xfId="7249"/>
    <cellStyle name="Entrada 3 7 14" xfId="7250"/>
    <cellStyle name="Entrada 3 7 2" xfId="7251"/>
    <cellStyle name="Entrada 3 7 2 2" xfId="7252"/>
    <cellStyle name="Entrada 3 7 3" xfId="7253"/>
    <cellStyle name="Entrada 3 7 3 2" xfId="7254"/>
    <cellStyle name="Entrada 3 7 4" xfId="7255"/>
    <cellStyle name="Entrada 3 7 4 2" xfId="7256"/>
    <cellStyle name="Entrada 3 7 5" xfId="7257"/>
    <cellStyle name="Entrada 3 7 5 2" xfId="7258"/>
    <cellStyle name="Entrada 3 7 6" xfId="7259"/>
    <cellStyle name="Entrada 3 7 6 2" xfId="7260"/>
    <cellStyle name="Entrada 3 7 7" xfId="7261"/>
    <cellStyle name="Entrada 3 7 7 2" xfId="7262"/>
    <cellStyle name="Entrada 3 7 8" xfId="7263"/>
    <cellStyle name="Entrada 3 7 8 2" xfId="7264"/>
    <cellStyle name="Entrada 3 7 9" xfId="7265"/>
    <cellStyle name="Entrada 3 7 9 2" xfId="7266"/>
    <cellStyle name="Entrada 3 70" xfId="7267"/>
    <cellStyle name="Entrada 3 70 10" xfId="7268"/>
    <cellStyle name="Entrada 3 70 10 2" xfId="7269"/>
    <cellStyle name="Entrada 3 70 11" xfId="7270"/>
    <cellStyle name="Entrada 3 70 11 2" xfId="7271"/>
    <cellStyle name="Entrada 3 70 12" xfId="7272"/>
    <cellStyle name="Entrada 3 70 12 2" xfId="7273"/>
    <cellStyle name="Entrada 3 70 13" xfId="7274"/>
    <cellStyle name="Entrada 3 70 13 2" xfId="7275"/>
    <cellStyle name="Entrada 3 70 14" xfId="7276"/>
    <cellStyle name="Entrada 3 70 2" xfId="7277"/>
    <cellStyle name="Entrada 3 70 2 2" xfId="7278"/>
    <cellStyle name="Entrada 3 70 3" xfId="7279"/>
    <cellStyle name="Entrada 3 70 3 2" xfId="7280"/>
    <cellStyle name="Entrada 3 70 4" xfId="7281"/>
    <cellStyle name="Entrada 3 70 4 2" xfId="7282"/>
    <cellStyle name="Entrada 3 70 5" xfId="7283"/>
    <cellStyle name="Entrada 3 70 5 2" xfId="7284"/>
    <cellStyle name="Entrada 3 70 6" xfId="7285"/>
    <cellStyle name="Entrada 3 70 6 2" xfId="7286"/>
    <cellStyle name="Entrada 3 70 7" xfId="7287"/>
    <cellStyle name="Entrada 3 70 7 2" xfId="7288"/>
    <cellStyle name="Entrada 3 70 8" xfId="7289"/>
    <cellStyle name="Entrada 3 70 8 2" xfId="7290"/>
    <cellStyle name="Entrada 3 70 9" xfId="7291"/>
    <cellStyle name="Entrada 3 70 9 2" xfId="7292"/>
    <cellStyle name="Entrada 3 71" xfId="7293"/>
    <cellStyle name="Entrada 3 71 2" xfId="7294"/>
    <cellStyle name="Entrada 3 72" xfId="7295"/>
    <cellStyle name="Entrada 3 72 2" xfId="7296"/>
    <cellStyle name="Entrada 3 73" xfId="7297"/>
    <cellStyle name="Entrada 3 73 2" xfId="7298"/>
    <cellStyle name="Entrada 3 74" xfId="7299"/>
    <cellStyle name="Entrada 3 74 2" xfId="7300"/>
    <cellStyle name="Entrada 3 75" xfId="7301"/>
    <cellStyle name="Entrada 3 75 2" xfId="7302"/>
    <cellStyle name="Entrada 3 76" xfId="7303"/>
    <cellStyle name="Entrada 3 76 2" xfId="7304"/>
    <cellStyle name="Entrada 3 77" xfId="7305"/>
    <cellStyle name="Entrada 3 77 2" xfId="7306"/>
    <cellStyle name="Entrada 3 78" xfId="7307"/>
    <cellStyle name="Entrada 3 78 2" xfId="7308"/>
    <cellStyle name="Entrada 3 79" xfId="7309"/>
    <cellStyle name="Entrada 3 79 2" xfId="7310"/>
    <cellStyle name="Entrada 3 8" xfId="7311"/>
    <cellStyle name="Entrada 3 8 10" xfId="7312"/>
    <cellStyle name="Entrada 3 8 10 2" xfId="7313"/>
    <cellStyle name="Entrada 3 8 11" xfId="7314"/>
    <cellStyle name="Entrada 3 8 11 2" xfId="7315"/>
    <cellStyle name="Entrada 3 8 12" xfId="7316"/>
    <cellStyle name="Entrada 3 8 12 2" xfId="7317"/>
    <cellStyle name="Entrada 3 8 13" xfId="7318"/>
    <cellStyle name="Entrada 3 8 13 2" xfId="7319"/>
    <cellStyle name="Entrada 3 8 14" xfId="7320"/>
    <cellStyle name="Entrada 3 8 2" xfId="7321"/>
    <cellStyle name="Entrada 3 8 2 2" xfId="7322"/>
    <cellStyle name="Entrada 3 8 3" xfId="7323"/>
    <cellStyle name="Entrada 3 8 3 2" xfId="7324"/>
    <cellStyle name="Entrada 3 8 4" xfId="7325"/>
    <cellStyle name="Entrada 3 8 4 2" xfId="7326"/>
    <cellStyle name="Entrada 3 8 5" xfId="7327"/>
    <cellStyle name="Entrada 3 8 5 2" xfId="7328"/>
    <cellStyle name="Entrada 3 8 6" xfId="7329"/>
    <cellStyle name="Entrada 3 8 6 2" xfId="7330"/>
    <cellStyle name="Entrada 3 8 7" xfId="7331"/>
    <cellStyle name="Entrada 3 8 7 2" xfId="7332"/>
    <cellStyle name="Entrada 3 8 8" xfId="7333"/>
    <cellStyle name="Entrada 3 8 8 2" xfId="7334"/>
    <cellStyle name="Entrada 3 8 9" xfId="7335"/>
    <cellStyle name="Entrada 3 8 9 2" xfId="7336"/>
    <cellStyle name="Entrada 3 80" xfId="7337"/>
    <cellStyle name="Entrada 3 80 2" xfId="7338"/>
    <cellStyle name="Entrada 3 81" xfId="7339"/>
    <cellStyle name="Entrada 3 81 2" xfId="7340"/>
    <cellStyle name="Entrada 3 82" xfId="7341"/>
    <cellStyle name="Entrada 3 9" xfId="7342"/>
    <cellStyle name="Entrada 3 9 10" xfId="7343"/>
    <cellStyle name="Entrada 3 9 10 2" xfId="7344"/>
    <cellStyle name="Entrada 3 9 11" xfId="7345"/>
    <cellStyle name="Entrada 3 9 11 2" xfId="7346"/>
    <cellStyle name="Entrada 3 9 12" xfId="7347"/>
    <cellStyle name="Entrada 3 9 12 2" xfId="7348"/>
    <cellStyle name="Entrada 3 9 13" xfId="7349"/>
    <cellStyle name="Entrada 3 9 13 2" xfId="7350"/>
    <cellStyle name="Entrada 3 9 14" xfId="7351"/>
    <cellStyle name="Entrada 3 9 2" xfId="7352"/>
    <cellStyle name="Entrada 3 9 2 2" xfId="7353"/>
    <cellStyle name="Entrada 3 9 3" xfId="7354"/>
    <cellStyle name="Entrada 3 9 3 2" xfId="7355"/>
    <cellStyle name="Entrada 3 9 4" xfId="7356"/>
    <cellStyle name="Entrada 3 9 4 2" xfId="7357"/>
    <cellStyle name="Entrada 3 9 5" xfId="7358"/>
    <cellStyle name="Entrada 3 9 5 2" xfId="7359"/>
    <cellStyle name="Entrada 3 9 6" xfId="7360"/>
    <cellStyle name="Entrada 3 9 6 2" xfId="7361"/>
    <cellStyle name="Entrada 3 9 7" xfId="7362"/>
    <cellStyle name="Entrada 3 9 7 2" xfId="7363"/>
    <cellStyle name="Entrada 3 9 8" xfId="7364"/>
    <cellStyle name="Entrada 3 9 8 2" xfId="7365"/>
    <cellStyle name="Entrada 3 9 9" xfId="7366"/>
    <cellStyle name="Entrada 3 9 9 2" xfId="7367"/>
    <cellStyle name="Euro" xfId="7368"/>
    <cellStyle name="Euro 2" xfId="7369"/>
    <cellStyle name="Euro 2 10" xfId="7370"/>
    <cellStyle name="Euro 2 11" xfId="7371"/>
    <cellStyle name="Euro 2 12" xfId="7372"/>
    <cellStyle name="Euro 2 13" xfId="7373"/>
    <cellStyle name="Euro 2 14" xfId="7374"/>
    <cellStyle name="Euro 2 15" xfId="7375"/>
    <cellStyle name="Euro 2 16" xfId="7376"/>
    <cellStyle name="Euro 2 17" xfId="7377"/>
    <cellStyle name="Euro 2 18" xfId="7378"/>
    <cellStyle name="Euro 2 19" xfId="7379"/>
    <cellStyle name="Euro 2 2" xfId="7380"/>
    <cellStyle name="Euro 2 2 10" xfId="7381"/>
    <cellStyle name="Euro 2 2 11" xfId="7382"/>
    <cellStyle name="Euro 2 2 12" xfId="7383"/>
    <cellStyle name="Euro 2 2 13" xfId="7384"/>
    <cellStyle name="Euro 2 2 14" xfId="7385"/>
    <cellStyle name="Euro 2 2 15" xfId="7386"/>
    <cellStyle name="Euro 2 2 16" xfId="7387"/>
    <cellStyle name="Euro 2 2 17" xfId="7388"/>
    <cellStyle name="Euro 2 2 18" xfId="7389"/>
    <cellStyle name="Euro 2 2 19" xfId="7390"/>
    <cellStyle name="Euro 2 2 2" xfId="7391"/>
    <cellStyle name="Euro 2 2 20" xfId="7392"/>
    <cellStyle name="Euro 2 2 21" xfId="7393"/>
    <cellStyle name="Euro 2 2 22" xfId="7394"/>
    <cellStyle name="Euro 2 2 23" xfId="7395"/>
    <cellStyle name="Euro 2 2 24" xfId="7396"/>
    <cellStyle name="Euro 2 2 25" xfId="7397"/>
    <cellStyle name="Euro 2 2 26" xfId="7398"/>
    <cellStyle name="Euro 2 2 27" xfId="7399"/>
    <cellStyle name="Euro 2 2 28" xfId="7400"/>
    <cellStyle name="Euro 2 2 29" xfId="7401"/>
    <cellStyle name="Euro 2 2 3" xfId="7402"/>
    <cellStyle name="Euro 2 2 30" xfId="7403"/>
    <cellStyle name="Euro 2 2 31" xfId="7404"/>
    <cellStyle name="Euro 2 2 32" xfId="7405"/>
    <cellStyle name="Euro 2 2 33" xfId="7406"/>
    <cellStyle name="Euro 2 2 34" xfId="7407"/>
    <cellStyle name="Euro 2 2 35" xfId="7408"/>
    <cellStyle name="Euro 2 2 36" xfId="7409"/>
    <cellStyle name="Euro 2 2 37" xfId="7410"/>
    <cellStyle name="Euro 2 2 38" xfId="7411"/>
    <cellStyle name="Euro 2 2 39" xfId="7412"/>
    <cellStyle name="Euro 2 2 4" xfId="7413"/>
    <cellStyle name="Euro 2 2 40" xfId="7414"/>
    <cellStyle name="Euro 2 2 41" xfId="7415"/>
    <cellStyle name="Euro 2 2 42" xfId="7416"/>
    <cellStyle name="Euro 2 2 43" xfId="7417"/>
    <cellStyle name="Euro 2 2 44" xfId="7418"/>
    <cellStyle name="Euro 2 2 45" xfId="7419"/>
    <cellStyle name="Euro 2 2 46" xfId="7420"/>
    <cellStyle name="Euro 2 2 47" xfId="7421"/>
    <cellStyle name="Euro 2 2 48" xfId="7422"/>
    <cellStyle name="Euro 2 2 49" xfId="7423"/>
    <cellStyle name="Euro 2 2 5" xfId="7424"/>
    <cellStyle name="Euro 2 2 50" xfId="7425"/>
    <cellStyle name="Euro 2 2 51" xfId="7426"/>
    <cellStyle name="Euro 2 2 52" xfId="7427"/>
    <cellStyle name="Euro 2 2 53" xfId="7428"/>
    <cellStyle name="Euro 2 2 54" xfId="7429"/>
    <cellStyle name="Euro 2 2 55" xfId="7430"/>
    <cellStyle name="Euro 2 2 56" xfId="7431"/>
    <cellStyle name="Euro 2 2 57" xfId="7432"/>
    <cellStyle name="Euro 2 2 58" xfId="7433"/>
    <cellStyle name="Euro 2 2 59" xfId="7434"/>
    <cellStyle name="Euro 2 2 6" xfId="7435"/>
    <cellStyle name="Euro 2 2 60" xfId="7436"/>
    <cellStyle name="Euro 2 2 61" xfId="7437"/>
    <cellStyle name="Euro 2 2 62" xfId="7438"/>
    <cellStyle name="Euro 2 2 63" xfId="7439"/>
    <cellStyle name="Euro 2 2 64" xfId="7440"/>
    <cellStyle name="Euro 2 2 65" xfId="7441"/>
    <cellStyle name="Euro 2 2 66" xfId="7442"/>
    <cellStyle name="Euro 2 2 67" xfId="7443"/>
    <cellStyle name="Euro 2 2 68" xfId="7444"/>
    <cellStyle name="Euro 2 2 69" xfId="7445"/>
    <cellStyle name="Euro 2 2 7" xfId="7446"/>
    <cellStyle name="Euro 2 2 70" xfId="7447"/>
    <cellStyle name="Euro 2 2 71" xfId="7448"/>
    <cellStyle name="Euro 2 2 72" xfId="7449"/>
    <cellStyle name="Euro 2 2 73" xfId="7450"/>
    <cellStyle name="Euro 2 2 74" xfId="7451"/>
    <cellStyle name="Euro 2 2 75" xfId="7452"/>
    <cellStyle name="Euro 2 2 76" xfId="7453"/>
    <cellStyle name="Euro 2 2 77" xfId="7454"/>
    <cellStyle name="Euro 2 2 78" xfId="7455"/>
    <cellStyle name="Euro 2 2 79" xfId="7456"/>
    <cellStyle name="Euro 2 2 8" xfId="7457"/>
    <cellStyle name="Euro 2 2 80" xfId="7458"/>
    <cellStyle name="Euro 2 2 81" xfId="7459"/>
    <cellStyle name="Euro 2 2 82" xfId="7460"/>
    <cellStyle name="Euro 2 2 83" xfId="7461"/>
    <cellStyle name="Euro 2 2 9" xfId="7462"/>
    <cellStyle name="Euro 2 20" xfId="7463"/>
    <cellStyle name="Euro 2 21" xfId="7464"/>
    <cellStyle name="Euro 2 22" xfId="7465"/>
    <cellStyle name="Euro 2 23" xfId="7466"/>
    <cellStyle name="Euro 2 24" xfId="7467"/>
    <cellStyle name="Euro 2 25" xfId="7468"/>
    <cellStyle name="Euro 2 26" xfId="7469"/>
    <cellStyle name="Euro 2 27" xfId="7470"/>
    <cellStyle name="Euro 2 28" xfId="7471"/>
    <cellStyle name="Euro 2 29" xfId="7472"/>
    <cellStyle name="Euro 2 3" xfId="7473"/>
    <cellStyle name="Euro 2 30" xfId="7474"/>
    <cellStyle name="Euro 2 31" xfId="7475"/>
    <cellStyle name="Euro 2 32" xfId="7476"/>
    <cellStyle name="Euro 2 33" xfId="7477"/>
    <cellStyle name="Euro 2 34" xfId="7478"/>
    <cellStyle name="Euro 2 35" xfId="7479"/>
    <cellStyle name="Euro 2 36" xfId="7480"/>
    <cellStyle name="Euro 2 37" xfId="7481"/>
    <cellStyle name="Euro 2 38" xfId="7482"/>
    <cellStyle name="Euro 2 39" xfId="7483"/>
    <cellStyle name="Euro 2 4" xfId="7484"/>
    <cellStyle name="Euro 2 40" xfId="7485"/>
    <cellStyle name="Euro 2 41" xfId="7486"/>
    <cellStyle name="Euro 2 42" xfId="7487"/>
    <cellStyle name="Euro 2 43" xfId="7488"/>
    <cellStyle name="Euro 2 44" xfId="7489"/>
    <cellStyle name="Euro 2 45" xfId="7490"/>
    <cellStyle name="Euro 2 46" xfId="7491"/>
    <cellStyle name="Euro 2 47" xfId="7492"/>
    <cellStyle name="Euro 2 48" xfId="7493"/>
    <cellStyle name="Euro 2 49" xfId="7494"/>
    <cellStyle name="Euro 2 5" xfId="7495"/>
    <cellStyle name="Euro 2 50" xfId="7496"/>
    <cellStyle name="Euro 2 51" xfId="7497"/>
    <cellStyle name="Euro 2 52" xfId="7498"/>
    <cellStyle name="Euro 2 53" xfId="7499"/>
    <cellStyle name="Euro 2 54" xfId="7500"/>
    <cellStyle name="Euro 2 55" xfId="7501"/>
    <cellStyle name="Euro 2 56" xfId="7502"/>
    <cellStyle name="Euro 2 57" xfId="7503"/>
    <cellStyle name="Euro 2 58" xfId="7504"/>
    <cellStyle name="Euro 2 59" xfId="7505"/>
    <cellStyle name="Euro 2 6" xfId="7506"/>
    <cellStyle name="Euro 2 60" xfId="7507"/>
    <cellStyle name="Euro 2 61" xfId="7508"/>
    <cellStyle name="Euro 2 62" xfId="7509"/>
    <cellStyle name="Euro 2 63" xfId="7510"/>
    <cellStyle name="Euro 2 64" xfId="7511"/>
    <cellStyle name="Euro 2 65" xfId="7512"/>
    <cellStyle name="Euro 2 66" xfId="7513"/>
    <cellStyle name="Euro 2 67" xfId="7514"/>
    <cellStyle name="Euro 2 68" xfId="7515"/>
    <cellStyle name="Euro 2 69" xfId="7516"/>
    <cellStyle name="Euro 2 7" xfId="7517"/>
    <cellStyle name="Euro 2 70" xfId="7518"/>
    <cellStyle name="Euro 2 71" xfId="7519"/>
    <cellStyle name="Euro 2 72" xfId="7520"/>
    <cellStyle name="Euro 2 73" xfId="7521"/>
    <cellStyle name="Euro 2 74" xfId="7522"/>
    <cellStyle name="Euro 2 75" xfId="7523"/>
    <cellStyle name="Euro 2 76" xfId="7524"/>
    <cellStyle name="Euro 2 77" xfId="7525"/>
    <cellStyle name="Euro 2 78" xfId="7526"/>
    <cellStyle name="Euro 2 79" xfId="7527"/>
    <cellStyle name="Euro 2 8" xfId="7528"/>
    <cellStyle name="Euro 2 80" xfId="7529"/>
    <cellStyle name="Euro 2 81" xfId="7530"/>
    <cellStyle name="Euro 2 82" xfId="7531"/>
    <cellStyle name="Euro 2 83" xfId="7532"/>
    <cellStyle name="Euro 2 84" xfId="7533"/>
    <cellStyle name="Euro 2 9" xfId="7534"/>
    <cellStyle name="Euro 3" xfId="7535"/>
    <cellStyle name="Euro 3 10" xfId="7536"/>
    <cellStyle name="Euro 3 11" xfId="7537"/>
    <cellStyle name="Euro 3 12" xfId="7538"/>
    <cellStyle name="Euro 3 13" xfId="7539"/>
    <cellStyle name="Euro 3 14" xfId="7540"/>
    <cellStyle name="Euro 3 15" xfId="7541"/>
    <cellStyle name="Euro 3 16" xfId="7542"/>
    <cellStyle name="Euro 3 17" xfId="7543"/>
    <cellStyle name="Euro 3 18" xfId="7544"/>
    <cellStyle name="Euro 3 19" xfId="7545"/>
    <cellStyle name="Euro 3 2" xfId="7546"/>
    <cellStyle name="Euro 3 20" xfId="7547"/>
    <cellStyle name="Euro 3 21" xfId="7548"/>
    <cellStyle name="Euro 3 22" xfId="7549"/>
    <cellStyle name="Euro 3 23" xfId="7550"/>
    <cellStyle name="Euro 3 24" xfId="7551"/>
    <cellStyle name="Euro 3 25" xfId="7552"/>
    <cellStyle name="Euro 3 26" xfId="7553"/>
    <cellStyle name="Euro 3 27" xfId="7554"/>
    <cellStyle name="Euro 3 28" xfId="7555"/>
    <cellStyle name="Euro 3 29" xfId="7556"/>
    <cellStyle name="Euro 3 3" xfId="7557"/>
    <cellStyle name="Euro 3 30" xfId="7558"/>
    <cellStyle name="Euro 3 31" xfId="7559"/>
    <cellStyle name="Euro 3 32" xfId="7560"/>
    <cellStyle name="Euro 3 33" xfId="7561"/>
    <cellStyle name="Euro 3 34" xfId="7562"/>
    <cellStyle name="Euro 3 35" xfId="7563"/>
    <cellStyle name="Euro 3 36" xfId="7564"/>
    <cellStyle name="Euro 3 37" xfId="7565"/>
    <cellStyle name="Euro 3 38" xfId="7566"/>
    <cellStyle name="Euro 3 39" xfId="7567"/>
    <cellStyle name="Euro 3 4" xfId="7568"/>
    <cellStyle name="Euro 3 40" xfId="7569"/>
    <cellStyle name="Euro 3 41" xfId="7570"/>
    <cellStyle name="Euro 3 42" xfId="7571"/>
    <cellStyle name="Euro 3 43" xfId="7572"/>
    <cellStyle name="Euro 3 44" xfId="7573"/>
    <cellStyle name="Euro 3 45" xfId="7574"/>
    <cellStyle name="Euro 3 46" xfId="7575"/>
    <cellStyle name="Euro 3 47" xfId="7576"/>
    <cellStyle name="Euro 3 48" xfId="7577"/>
    <cellStyle name="Euro 3 49" xfId="7578"/>
    <cellStyle name="Euro 3 5" xfId="7579"/>
    <cellStyle name="Euro 3 50" xfId="7580"/>
    <cellStyle name="Euro 3 51" xfId="7581"/>
    <cellStyle name="Euro 3 52" xfId="7582"/>
    <cellStyle name="Euro 3 53" xfId="7583"/>
    <cellStyle name="Euro 3 54" xfId="7584"/>
    <cellStyle name="Euro 3 55" xfId="7585"/>
    <cellStyle name="Euro 3 56" xfId="7586"/>
    <cellStyle name="Euro 3 57" xfId="7587"/>
    <cellStyle name="Euro 3 58" xfId="7588"/>
    <cellStyle name="Euro 3 59" xfId="7589"/>
    <cellStyle name="Euro 3 6" xfId="7590"/>
    <cellStyle name="Euro 3 60" xfId="7591"/>
    <cellStyle name="Euro 3 61" xfId="7592"/>
    <cellStyle name="Euro 3 62" xfId="7593"/>
    <cellStyle name="Euro 3 63" xfId="7594"/>
    <cellStyle name="Euro 3 64" xfId="7595"/>
    <cellStyle name="Euro 3 65" xfId="7596"/>
    <cellStyle name="Euro 3 66" xfId="7597"/>
    <cellStyle name="Euro 3 67" xfId="7598"/>
    <cellStyle name="Euro 3 68" xfId="7599"/>
    <cellStyle name="Euro 3 69" xfId="7600"/>
    <cellStyle name="Euro 3 7" xfId="7601"/>
    <cellStyle name="Euro 3 70" xfId="7602"/>
    <cellStyle name="Euro 3 71" xfId="7603"/>
    <cellStyle name="Euro 3 72" xfId="7604"/>
    <cellStyle name="Euro 3 73" xfId="7605"/>
    <cellStyle name="Euro 3 74" xfId="7606"/>
    <cellStyle name="Euro 3 75" xfId="7607"/>
    <cellStyle name="Euro 3 76" xfId="7608"/>
    <cellStyle name="Euro 3 77" xfId="7609"/>
    <cellStyle name="Euro 3 78" xfId="7610"/>
    <cellStyle name="Euro 3 79" xfId="7611"/>
    <cellStyle name="Euro 3 8" xfId="7612"/>
    <cellStyle name="Euro 3 80" xfId="7613"/>
    <cellStyle name="Euro 3 81" xfId="7614"/>
    <cellStyle name="Euro 3 82" xfId="7615"/>
    <cellStyle name="Euro 3 83" xfId="7616"/>
    <cellStyle name="Euro 3 9" xfId="7617"/>
    <cellStyle name="Euro 4" xfId="7618"/>
    <cellStyle name="Euro 4 10" xfId="7619"/>
    <cellStyle name="Euro 4 11" xfId="7620"/>
    <cellStyle name="Euro 4 12" xfId="7621"/>
    <cellStyle name="Euro 4 13" xfId="7622"/>
    <cellStyle name="Euro 4 14" xfId="7623"/>
    <cellStyle name="Euro 4 15" xfId="7624"/>
    <cellStyle name="Euro 4 16" xfId="7625"/>
    <cellStyle name="Euro 4 17" xfId="7626"/>
    <cellStyle name="Euro 4 18" xfId="7627"/>
    <cellStyle name="Euro 4 19" xfId="7628"/>
    <cellStyle name="Euro 4 2" xfId="7629"/>
    <cellStyle name="Euro 4 20" xfId="7630"/>
    <cellStyle name="Euro 4 21" xfId="7631"/>
    <cellStyle name="Euro 4 22" xfId="7632"/>
    <cellStyle name="Euro 4 23" xfId="7633"/>
    <cellStyle name="Euro 4 24" xfId="7634"/>
    <cellStyle name="Euro 4 25" xfId="7635"/>
    <cellStyle name="Euro 4 26" xfId="7636"/>
    <cellStyle name="Euro 4 27" xfId="7637"/>
    <cellStyle name="Euro 4 28" xfId="7638"/>
    <cellStyle name="Euro 4 29" xfId="7639"/>
    <cellStyle name="Euro 4 3" xfId="7640"/>
    <cellStyle name="Euro 4 30" xfId="7641"/>
    <cellStyle name="Euro 4 31" xfId="7642"/>
    <cellStyle name="Euro 4 32" xfId="7643"/>
    <cellStyle name="Euro 4 33" xfId="7644"/>
    <cellStyle name="Euro 4 34" xfId="7645"/>
    <cellStyle name="Euro 4 35" xfId="7646"/>
    <cellStyle name="Euro 4 36" xfId="7647"/>
    <cellStyle name="Euro 4 37" xfId="7648"/>
    <cellStyle name="Euro 4 38" xfId="7649"/>
    <cellStyle name="Euro 4 39" xfId="7650"/>
    <cellStyle name="Euro 4 4" xfId="7651"/>
    <cellStyle name="Euro 4 40" xfId="7652"/>
    <cellStyle name="Euro 4 41" xfId="7653"/>
    <cellStyle name="Euro 4 42" xfId="7654"/>
    <cellStyle name="Euro 4 43" xfId="7655"/>
    <cellStyle name="Euro 4 44" xfId="7656"/>
    <cellStyle name="Euro 4 45" xfId="7657"/>
    <cellStyle name="Euro 4 46" xfId="7658"/>
    <cellStyle name="Euro 4 47" xfId="7659"/>
    <cellStyle name="Euro 4 48" xfId="7660"/>
    <cellStyle name="Euro 4 49" xfId="7661"/>
    <cellStyle name="Euro 4 5" xfId="7662"/>
    <cellStyle name="Euro 4 50" xfId="7663"/>
    <cellStyle name="Euro 4 51" xfId="7664"/>
    <cellStyle name="Euro 4 52" xfId="7665"/>
    <cellStyle name="Euro 4 53" xfId="7666"/>
    <cellStyle name="Euro 4 54" xfId="7667"/>
    <cellStyle name="Euro 4 55" xfId="7668"/>
    <cellStyle name="Euro 4 56" xfId="7669"/>
    <cellStyle name="Euro 4 57" xfId="7670"/>
    <cellStyle name="Euro 4 58" xfId="7671"/>
    <cellStyle name="Euro 4 59" xfId="7672"/>
    <cellStyle name="Euro 4 6" xfId="7673"/>
    <cellStyle name="Euro 4 60" xfId="7674"/>
    <cellStyle name="Euro 4 61" xfId="7675"/>
    <cellStyle name="Euro 4 62" xfId="7676"/>
    <cellStyle name="Euro 4 63" xfId="7677"/>
    <cellStyle name="Euro 4 64" xfId="7678"/>
    <cellStyle name="Euro 4 65" xfId="7679"/>
    <cellStyle name="Euro 4 66" xfId="7680"/>
    <cellStyle name="Euro 4 67" xfId="7681"/>
    <cellStyle name="Euro 4 68" xfId="7682"/>
    <cellStyle name="Euro 4 69" xfId="7683"/>
    <cellStyle name="Euro 4 7" xfId="7684"/>
    <cellStyle name="Euro 4 70" xfId="7685"/>
    <cellStyle name="Euro 4 71" xfId="7686"/>
    <cellStyle name="Euro 4 72" xfId="7687"/>
    <cellStyle name="Euro 4 73" xfId="7688"/>
    <cellStyle name="Euro 4 74" xfId="7689"/>
    <cellStyle name="Euro 4 75" xfId="7690"/>
    <cellStyle name="Euro 4 76" xfId="7691"/>
    <cellStyle name="Euro 4 77" xfId="7692"/>
    <cellStyle name="Euro 4 78" xfId="7693"/>
    <cellStyle name="Euro 4 79" xfId="7694"/>
    <cellStyle name="Euro 4 8" xfId="7695"/>
    <cellStyle name="Euro 4 80" xfId="7696"/>
    <cellStyle name="Euro 4 81" xfId="7697"/>
    <cellStyle name="Euro 4 82" xfId="7698"/>
    <cellStyle name="Euro 4 83" xfId="7699"/>
    <cellStyle name="Euro 4 9" xfId="7700"/>
    <cellStyle name="Euro_PDI anuario de culturaJENAMA 2010" xfId="7701"/>
    <cellStyle name="Hipervínculo" xfId="36453" builtinId="8"/>
    <cellStyle name="Hipervínculo 2" xfId="36457"/>
    <cellStyle name="Incorrecto 2" xfId="7702"/>
    <cellStyle name="Incorrecto 2 2" xfId="7703"/>
    <cellStyle name="Incorrecto 3" xfId="7704"/>
    <cellStyle name="Millares" xfId="1" builtinId="3"/>
    <cellStyle name="Millares 10" xfId="7705"/>
    <cellStyle name="Millares 10 2" xfId="36424"/>
    <cellStyle name="Millares 11" xfId="36426"/>
    <cellStyle name="Millares 12" xfId="36429"/>
    <cellStyle name="Millares 13" xfId="36439"/>
    <cellStyle name="Millares 14" xfId="7706"/>
    <cellStyle name="Millares 15" xfId="7707"/>
    <cellStyle name="Millares 16" xfId="7708"/>
    <cellStyle name="Millares 17" xfId="7709"/>
    <cellStyle name="Millares 2" xfId="7710"/>
    <cellStyle name="Millares 2 2" xfId="7711"/>
    <cellStyle name="Millares 2 3" xfId="7712"/>
    <cellStyle name="Millares 2 4" xfId="36422"/>
    <cellStyle name="Millares 2 5" xfId="36427"/>
    <cellStyle name="Millares 3" xfId="7713"/>
    <cellStyle name="Millares 3 2" xfId="36431"/>
    <cellStyle name="Millares 4" xfId="7714"/>
    <cellStyle name="Millares 5" xfId="9"/>
    <cellStyle name="Millares 5 2" xfId="36449"/>
    <cellStyle name="Millares 6" xfId="7715"/>
    <cellStyle name="Millares 7" xfId="7716"/>
    <cellStyle name="Millares 8" xfId="7717"/>
    <cellStyle name="Millares 9" xfId="7718"/>
    <cellStyle name="Moneda" xfId="2" builtinId="4"/>
    <cellStyle name="Moneda [0] 2" xfId="7719"/>
    <cellStyle name="Moneda 2" xfId="7720"/>
    <cellStyle name="Moneda 3" xfId="36421"/>
    <cellStyle name="Neutral 2" xfId="7721"/>
    <cellStyle name="Neutral 2 2" xfId="7722"/>
    <cellStyle name="Neutral 3" xfId="7723"/>
    <cellStyle name="Normal" xfId="0" builtinId="0"/>
    <cellStyle name="Normal 10" xfId="7"/>
    <cellStyle name="Normal 10 10" xfId="7724"/>
    <cellStyle name="Normal 10 11" xfId="7725"/>
    <cellStyle name="Normal 10 12" xfId="7726"/>
    <cellStyle name="Normal 10 13" xfId="7727"/>
    <cellStyle name="Normal 10 14" xfId="7728"/>
    <cellStyle name="Normal 10 15" xfId="7729"/>
    <cellStyle name="Normal 10 16" xfId="7730"/>
    <cellStyle name="Normal 10 17" xfId="7731"/>
    <cellStyle name="Normal 10 18" xfId="7732"/>
    <cellStyle name="Normal 10 19" xfId="7733"/>
    <cellStyle name="Normal 10 2" xfId="7734"/>
    <cellStyle name="Normal 10 2 10" xfId="7735"/>
    <cellStyle name="Normal 10 2 11" xfId="7736"/>
    <cellStyle name="Normal 10 2 12" xfId="7737"/>
    <cellStyle name="Normal 10 2 13" xfId="7738"/>
    <cellStyle name="Normal 10 2 14" xfId="7739"/>
    <cellStyle name="Normal 10 2 15" xfId="7740"/>
    <cellStyle name="Normal 10 2 16" xfId="7741"/>
    <cellStyle name="Normal 10 2 17" xfId="7742"/>
    <cellStyle name="Normal 10 2 18" xfId="7743"/>
    <cellStyle name="Normal 10 2 19" xfId="7744"/>
    <cellStyle name="Normal 10 2 2" xfId="7745"/>
    <cellStyle name="Normal 10 2 20" xfId="7746"/>
    <cellStyle name="Normal 10 2 21" xfId="7747"/>
    <cellStyle name="Normal 10 2 22" xfId="7748"/>
    <cellStyle name="Normal 10 2 23" xfId="7749"/>
    <cellStyle name="Normal 10 2 24" xfId="7750"/>
    <cellStyle name="Normal 10 2 25" xfId="7751"/>
    <cellStyle name="Normal 10 2 26" xfId="7752"/>
    <cellStyle name="Normal 10 2 27" xfId="7753"/>
    <cellStyle name="Normal 10 2 28" xfId="7754"/>
    <cellStyle name="Normal 10 2 29" xfId="7755"/>
    <cellStyle name="Normal 10 2 3" xfId="7756"/>
    <cellStyle name="Normal 10 2 30" xfId="7757"/>
    <cellStyle name="Normal 10 2 31" xfId="7758"/>
    <cellStyle name="Normal 10 2 32" xfId="7759"/>
    <cellStyle name="Normal 10 2 33" xfId="7760"/>
    <cellStyle name="Normal 10 2 34" xfId="7761"/>
    <cellStyle name="Normal 10 2 35" xfId="7762"/>
    <cellStyle name="Normal 10 2 36" xfId="7763"/>
    <cellStyle name="Normal 10 2 37" xfId="7764"/>
    <cellStyle name="Normal 10 2 38" xfId="7765"/>
    <cellStyle name="Normal 10 2 39" xfId="7766"/>
    <cellStyle name="Normal 10 2 4" xfId="7767"/>
    <cellStyle name="Normal 10 2 40" xfId="7768"/>
    <cellStyle name="Normal 10 2 41" xfId="7769"/>
    <cellStyle name="Normal 10 2 42" xfId="7770"/>
    <cellStyle name="Normal 10 2 43" xfId="7771"/>
    <cellStyle name="Normal 10 2 44" xfId="7772"/>
    <cellStyle name="Normal 10 2 45" xfId="7773"/>
    <cellStyle name="Normal 10 2 46" xfId="7774"/>
    <cellStyle name="Normal 10 2 47" xfId="7775"/>
    <cellStyle name="Normal 10 2 48" xfId="7776"/>
    <cellStyle name="Normal 10 2 49" xfId="7777"/>
    <cellStyle name="Normal 10 2 5" xfId="7778"/>
    <cellStyle name="Normal 10 2 50" xfId="7779"/>
    <cellStyle name="Normal 10 2 51" xfId="7780"/>
    <cellStyle name="Normal 10 2 52" xfId="7781"/>
    <cellStyle name="Normal 10 2 53" xfId="7782"/>
    <cellStyle name="Normal 10 2 54" xfId="7783"/>
    <cellStyle name="Normal 10 2 55" xfId="7784"/>
    <cellStyle name="Normal 10 2 56" xfId="7785"/>
    <cellStyle name="Normal 10 2 57" xfId="7786"/>
    <cellStyle name="Normal 10 2 58" xfId="7787"/>
    <cellStyle name="Normal 10 2 59" xfId="7788"/>
    <cellStyle name="Normal 10 2 6" xfId="7789"/>
    <cellStyle name="Normal 10 2 60" xfId="7790"/>
    <cellStyle name="Normal 10 2 61" xfId="7791"/>
    <cellStyle name="Normal 10 2 62" xfId="7792"/>
    <cellStyle name="Normal 10 2 63" xfId="7793"/>
    <cellStyle name="Normal 10 2 64" xfId="7794"/>
    <cellStyle name="Normal 10 2 65" xfId="7795"/>
    <cellStyle name="Normal 10 2 66" xfId="7796"/>
    <cellStyle name="Normal 10 2 67" xfId="7797"/>
    <cellStyle name="Normal 10 2 68" xfId="7798"/>
    <cellStyle name="Normal 10 2 69" xfId="7799"/>
    <cellStyle name="Normal 10 2 7" xfId="7800"/>
    <cellStyle name="Normal 10 2 70" xfId="7801"/>
    <cellStyle name="Normal 10 2 71" xfId="7802"/>
    <cellStyle name="Normal 10 2 72" xfId="7803"/>
    <cellStyle name="Normal 10 2 73" xfId="7804"/>
    <cellStyle name="Normal 10 2 74" xfId="7805"/>
    <cellStyle name="Normal 10 2 75" xfId="7806"/>
    <cellStyle name="Normal 10 2 76" xfId="7807"/>
    <cellStyle name="Normal 10 2 77" xfId="7808"/>
    <cellStyle name="Normal 10 2 78" xfId="7809"/>
    <cellStyle name="Normal 10 2 79" xfId="7810"/>
    <cellStyle name="Normal 10 2 8" xfId="7811"/>
    <cellStyle name="Normal 10 2 80" xfId="7812"/>
    <cellStyle name="Normal 10 2 81" xfId="7813"/>
    <cellStyle name="Normal 10 2 82" xfId="7814"/>
    <cellStyle name="Normal 10 2 83" xfId="7815"/>
    <cellStyle name="Normal 10 2 9" xfId="7816"/>
    <cellStyle name="Normal 10 20" xfId="7817"/>
    <cellStyle name="Normal 10 21" xfId="7818"/>
    <cellStyle name="Normal 10 22" xfId="7819"/>
    <cellStyle name="Normal 10 23" xfId="7820"/>
    <cellStyle name="Normal 10 24" xfId="7821"/>
    <cellStyle name="Normal 10 25" xfId="7822"/>
    <cellStyle name="Normal 10 26" xfId="7823"/>
    <cellStyle name="Normal 10 27" xfId="7824"/>
    <cellStyle name="Normal 10 28" xfId="7825"/>
    <cellStyle name="Normal 10 29" xfId="7826"/>
    <cellStyle name="Normal 10 3" xfId="7827"/>
    <cellStyle name="Normal 10 3 10" xfId="7828"/>
    <cellStyle name="Normal 10 3 11" xfId="7829"/>
    <cellStyle name="Normal 10 3 12" xfId="7830"/>
    <cellStyle name="Normal 10 3 13" xfId="7831"/>
    <cellStyle name="Normal 10 3 14" xfId="7832"/>
    <cellStyle name="Normal 10 3 15" xfId="7833"/>
    <cellStyle name="Normal 10 3 16" xfId="7834"/>
    <cellStyle name="Normal 10 3 17" xfId="7835"/>
    <cellStyle name="Normal 10 3 18" xfId="7836"/>
    <cellStyle name="Normal 10 3 19" xfId="7837"/>
    <cellStyle name="Normal 10 3 2" xfId="7838"/>
    <cellStyle name="Normal 10 3 20" xfId="7839"/>
    <cellStyle name="Normal 10 3 21" xfId="7840"/>
    <cellStyle name="Normal 10 3 22" xfId="7841"/>
    <cellStyle name="Normal 10 3 23" xfId="7842"/>
    <cellStyle name="Normal 10 3 24" xfId="7843"/>
    <cellStyle name="Normal 10 3 25" xfId="7844"/>
    <cellStyle name="Normal 10 3 26" xfId="7845"/>
    <cellStyle name="Normal 10 3 27" xfId="7846"/>
    <cellStyle name="Normal 10 3 28" xfId="7847"/>
    <cellStyle name="Normal 10 3 29" xfId="7848"/>
    <cellStyle name="Normal 10 3 3" xfId="7849"/>
    <cellStyle name="Normal 10 3 30" xfId="7850"/>
    <cellStyle name="Normal 10 3 31" xfId="7851"/>
    <cellStyle name="Normal 10 3 32" xfId="7852"/>
    <cellStyle name="Normal 10 3 33" xfId="7853"/>
    <cellStyle name="Normal 10 3 34" xfId="7854"/>
    <cellStyle name="Normal 10 3 35" xfId="7855"/>
    <cellStyle name="Normal 10 3 36" xfId="7856"/>
    <cellStyle name="Normal 10 3 37" xfId="7857"/>
    <cellStyle name="Normal 10 3 38" xfId="7858"/>
    <cellStyle name="Normal 10 3 39" xfId="7859"/>
    <cellStyle name="Normal 10 3 4" xfId="7860"/>
    <cellStyle name="Normal 10 3 40" xfId="7861"/>
    <cellStyle name="Normal 10 3 41" xfId="7862"/>
    <cellStyle name="Normal 10 3 42" xfId="7863"/>
    <cellStyle name="Normal 10 3 43" xfId="7864"/>
    <cellStyle name="Normal 10 3 44" xfId="7865"/>
    <cellStyle name="Normal 10 3 45" xfId="7866"/>
    <cellStyle name="Normal 10 3 46" xfId="7867"/>
    <cellStyle name="Normal 10 3 47" xfId="7868"/>
    <cellStyle name="Normal 10 3 48" xfId="7869"/>
    <cellStyle name="Normal 10 3 49" xfId="7870"/>
    <cellStyle name="Normal 10 3 5" xfId="7871"/>
    <cellStyle name="Normal 10 3 50" xfId="7872"/>
    <cellStyle name="Normal 10 3 51" xfId="7873"/>
    <cellStyle name="Normal 10 3 52" xfId="7874"/>
    <cellStyle name="Normal 10 3 53" xfId="7875"/>
    <cellStyle name="Normal 10 3 54" xfId="7876"/>
    <cellStyle name="Normal 10 3 55" xfId="7877"/>
    <cellStyle name="Normal 10 3 56" xfId="7878"/>
    <cellStyle name="Normal 10 3 57" xfId="7879"/>
    <cellStyle name="Normal 10 3 58" xfId="7880"/>
    <cellStyle name="Normal 10 3 59" xfId="7881"/>
    <cellStyle name="Normal 10 3 6" xfId="7882"/>
    <cellStyle name="Normal 10 3 60" xfId="7883"/>
    <cellStyle name="Normal 10 3 61" xfId="7884"/>
    <cellStyle name="Normal 10 3 62" xfId="7885"/>
    <cellStyle name="Normal 10 3 63" xfId="7886"/>
    <cellStyle name="Normal 10 3 64" xfId="7887"/>
    <cellStyle name="Normal 10 3 65" xfId="7888"/>
    <cellStyle name="Normal 10 3 66" xfId="7889"/>
    <cellStyle name="Normal 10 3 67" xfId="7890"/>
    <cellStyle name="Normal 10 3 68" xfId="7891"/>
    <cellStyle name="Normal 10 3 69" xfId="7892"/>
    <cellStyle name="Normal 10 3 7" xfId="7893"/>
    <cellStyle name="Normal 10 3 70" xfId="7894"/>
    <cellStyle name="Normal 10 3 71" xfId="7895"/>
    <cellStyle name="Normal 10 3 72" xfId="7896"/>
    <cellStyle name="Normal 10 3 73" xfId="7897"/>
    <cellStyle name="Normal 10 3 74" xfId="7898"/>
    <cellStyle name="Normal 10 3 75" xfId="7899"/>
    <cellStyle name="Normal 10 3 76" xfId="7900"/>
    <cellStyle name="Normal 10 3 77" xfId="7901"/>
    <cellStyle name="Normal 10 3 78" xfId="7902"/>
    <cellStyle name="Normal 10 3 79" xfId="7903"/>
    <cellStyle name="Normal 10 3 8" xfId="7904"/>
    <cellStyle name="Normal 10 3 80" xfId="7905"/>
    <cellStyle name="Normal 10 3 81" xfId="7906"/>
    <cellStyle name="Normal 10 3 82" xfId="7907"/>
    <cellStyle name="Normal 10 3 83" xfId="7908"/>
    <cellStyle name="Normal 10 3 9" xfId="7909"/>
    <cellStyle name="Normal 10 30" xfId="7910"/>
    <cellStyle name="Normal 10 31" xfId="7911"/>
    <cellStyle name="Normal 10 32" xfId="7912"/>
    <cellStyle name="Normal 10 33" xfId="7913"/>
    <cellStyle name="Normal 10 34" xfId="7914"/>
    <cellStyle name="Normal 10 35" xfId="7915"/>
    <cellStyle name="Normal 10 36" xfId="7916"/>
    <cellStyle name="Normal 10 37" xfId="7917"/>
    <cellStyle name="Normal 10 38" xfId="7918"/>
    <cellStyle name="Normal 10 39" xfId="7919"/>
    <cellStyle name="Normal 10 4" xfId="7920"/>
    <cellStyle name="Normal 10 4 10" xfId="7921"/>
    <cellStyle name="Normal 10 4 11" xfId="7922"/>
    <cellStyle name="Normal 10 4 12" xfId="7923"/>
    <cellStyle name="Normal 10 4 13" xfId="7924"/>
    <cellStyle name="Normal 10 4 14" xfId="7925"/>
    <cellStyle name="Normal 10 4 15" xfId="7926"/>
    <cellStyle name="Normal 10 4 16" xfId="7927"/>
    <cellStyle name="Normal 10 4 17" xfId="7928"/>
    <cellStyle name="Normal 10 4 18" xfId="7929"/>
    <cellStyle name="Normal 10 4 19" xfId="7930"/>
    <cellStyle name="Normal 10 4 2" xfId="7931"/>
    <cellStyle name="Normal 10 4 20" xfId="7932"/>
    <cellStyle name="Normal 10 4 21" xfId="7933"/>
    <cellStyle name="Normal 10 4 22" xfId="7934"/>
    <cellStyle name="Normal 10 4 23" xfId="7935"/>
    <cellStyle name="Normal 10 4 24" xfId="7936"/>
    <cellStyle name="Normal 10 4 25" xfId="7937"/>
    <cellStyle name="Normal 10 4 26" xfId="7938"/>
    <cellStyle name="Normal 10 4 27" xfId="7939"/>
    <cellStyle name="Normal 10 4 28" xfId="7940"/>
    <cellStyle name="Normal 10 4 29" xfId="7941"/>
    <cellStyle name="Normal 10 4 3" xfId="7942"/>
    <cellStyle name="Normal 10 4 30" xfId="7943"/>
    <cellStyle name="Normal 10 4 31" xfId="7944"/>
    <cellStyle name="Normal 10 4 32" xfId="7945"/>
    <cellStyle name="Normal 10 4 33" xfId="7946"/>
    <cellStyle name="Normal 10 4 34" xfId="7947"/>
    <cellStyle name="Normal 10 4 35" xfId="7948"/>
    <cellStyle name="Normal 10 4 36" xfId="7949"/>
    <cellStyle name="Normal 10 4 37" xfId="7950"/>
    <cellStyle name="Normal 10 4 38" xfId="7951"/>
    <cellStyle name="Normal 10 4 39" xfId="7952"/>
    <cellStyle name="Normal 10 4 4" xfId="7953"/>
    <cellStyle name="Normal 10 4 40" xfId="7954"/>
    <cellStyle name="Normal 10 4 41" xfId="7955"/>
    <cellStyle name="Normal 10 4 42" xfId="7956"/>
    <cellStyle name="Normal 10 4 43" xfId="7957"/>
    <cellStyle name="Normal 10 4 44" xfId="7958"/>
    <cellStyle name="Normal 10 4 45" xfId="7959"/>
    <cellStyle name="Normal 10 4 46" xfId="7960"/>
    <cellStyle name="Normal 10 4 47" xfId="7961"/>
    <cellStyle name="Normal 10 4 48" xfId="7962"/>
    <cellStyle name="Normal 10 4 49" xfId="7963"/>
    <cellStyle name="Normal 10 4 5" xfId="7964"/>
    <cellStyle name="Normal 10 4 50" xfId="7965"/>
    <cellStyle name="Normal 10 4 51" xfId="7966"/>
    <cellStyle name="Normal 10 4 52" xfId="7967"/>
    <cellStyle name="Normal 10 4 53" xfId="7968"/>
    <cellStyle name="Normal 10 4 54" xfId="7969"/>
    <cellStyle name="Normal 10 4 55" xfId="7970"/>
    <cellStyle name="Normal 10 4 56" xfId="7971"/>
    <cellStyle name="Normal 10 4 57" xfId="7972"/>
    <cellStyle name="Normal 10 4 58" xfId="7973"/>
    <cellStyle name="Normal 10 4 59" xfId="7974"/>
    <cellStyle name="Normal 10 4 6" xfId="7975"/>
    <cellStyle name="Normal 10 4 60" xfId="7976"/>
    <cellStyle name="Normal 10 4 61" xfId="7977"/>
    <cellStyle name="Normal 10 4 62" xfId="7978"/>
    <cellStyle name="Normal 10 4 63" xfId="7979"/>
    <cellStyle name="Normal 10 4 64" xfId="7980"/>
    <cellStyle name="Normal 10 4 65" xfId="7981"/>
    <cellStyle name="Normal 10 4 66" xfId="7982"/>
    <cellStyle name="Normal 10 4 67" xfId="7983"/>
    <cellStyle name="Normal 10 4 68" xfId="7984"/>
    <cellStyle name="Normal 10 4 69" xfId="7985"/>
    <cellStyle name="Normal 10 4 7" xfId="7986"/>
    <cellStyle name="Normal 10 4 70" xfId="7987"/>
    <cellStyle name="Normal 10 4 71" xfId="7988"/>
    <cellStyle name="Normal 10 4 72" xfId="7989"/>
    <cellStyle name="Normal 10 4 73" xfId="7990"/>
    <cellStyle name="Normal 10 4 74" xfId="7991"/>
    <cellStyle name="Normal 10 4 75" xfId="7992"/>
    <cellStyle name="Normal 10 4 76" xfId="7993"/>
    <cellStyle name="Normal 10 4 77" xfId="7994"/>
    <cellStyle name="Normal 10 4 78" xfId="7995"/>
    <cellStyle name="Normal 10 4 79" xfId="7996"/>
    <cellStyle name="Normal 10 4 8" xfId="7997"/>
    <cellStyle name="Normal 10 4 80" xfId="7998"/>
    <cellStyle name="Normal 10 4 81" xfId="7999"/>
    <cellStyle name="Normal 10 4 82" xfId="8000"/>
    <cellStyle name="Normal 10 4 83" xfId="8001"/>
    <cellStyle name="Normal 10 4 9" xfId="8002"/>
    <cellStyle name="Normal 10 40" xfId="8003"/>
    <cellStyle name="Normal 10 41" xfId="8004"/>
    <cellStyle name="Normal 10 42" xfId="8005"/>
    <cellStyle name="Normal 10 43" xfId="8006"/>
    <cellStyle name="Normal 10 44" xfId="8007"/>
    <cellStyle name="Normal 10 45" xfId="8008"/>
    <cellStyle name="Normal 10 46" xfId="8009"/>
    <cellStyle name="Normal 10 47" xfId="8010"/>
    <cellStyle name="Normal 10 48" xfId="8011"/>
    <cellStyle name="Normal 10 49" xfId="8012"/>
    <cellStyle name="Normal 10 5" xfId="8013"/>
    <cellStyle name="Normal 10 50" xfId="8014"/>
    <cellStyle name="Normal 10 51" xfId="8015"/>
    <cellStyle name="Normal 10 52" xfId="8016"/>
    <cellStyle name="Normal 10 53" xfId="8017"/>
    <cellStyle name="Normal 10 54" xfId="8018"/>
    <cellStyle name="Normal 10 55" xfId="8019"/>
    <cellStyle name="Normal 10 56" xfId="8020"/>
    <cellStyle name="Normal 10 57" xfId="8021"/>
    <cellStyle name="Normal 10 58" xfId="8022"/>
    <cellStyle name="Normal 10 59" xfId="8023"/>
    <cellStyle name="Normal 10 6" xfId="8024"/>
    <cellStyle name="Normal 10 60" xfId="8025"/>
    <cellStyle name="Normal 10 61" xfId="8026"/>
    <cellStyle name="Normal 10 62" xfId="8027"/>
    <cellStyle name="Normal 10 63" xfId="8028"/>
    <cellStyle name="Normal 10 64" xfId="8029"/>
    <cellStyle name="Normal 10 65" xfId="8030"/>
    <cellStyle name="Normal 10 66" xfId="8031"/>
    <cellStyle name="Normal 10 67" xfId="8032"/>
    <cellStyle name="Normal 10 68" xfId="8033"/>
    <cellStyle name="Normal 10 69" xfId="8034"/>
    <cellStyle name="Normal 10 7" xfId="8035"/>
    <cellStyle name="Normal 10 70" xfId="8036"/>
    <cellStyle name="Normal 10 71" xfId="8037"/>
    <cellStyle name="Normal 10 72" xfId="8038"/>
    <cellStyle name="Normal 10 73" xfId="8039"/>
    <cellStyle name="Normal 10 74" xfId="8040"/>
    <cellStyle name="Normal 10 75" xfId="8041"/>
    <cellStyle name="Normal 10 76" xfId="8042"/>
    <cellStyle name="Normal 10 77" xfId="8043"/>
    <cellStyle name="Normal 10 78" xfId="8044"/>
    <cellStyle name="Normal 10 79" xfId="8045"/>
    <cellStyle name="Normal 10 8" xfId="8046"/>
    <cellStyle name="Normal 10 80" xfId="8047"/>
    <cellStyle name="Normal 10 81" xfId="8048"/>
    <cellStyle name="Normal 10 82" xfId="8049"/>
    <cellStyle name="Normal 10 83" xfId="8050"/>
    <cellStyle name="Normal 10 84" xfId="8051"/>
    <cellStyle name="Normal 10 85" xfId="8052"/>
    <cellStyle name="Normal 10 86" xfId="8053"/>
    <cellStyle name="Normal 10 9" xfId="8054"/>
    <cellStyle name="Normal 10_Cultura y Tiempo libre 2011 base 2012 PGM - EMV  2013" xfId="8055"/>
    <cellStyle name="Normal 11" xfId="8056"/>
    <cellStyle name="Normal 11 10" xfId="8057"/>
    <cellStyle name="Normal 11 11" xfId="8058"/>
    <cellStyle name="Normal 11 12" xfId="8059"/>
    <cellStyle name="Normal 11 13" xfId="8060"/>
    <cellStyle name="Normal 11 14" xfId="8061"/>
    <cellStyle name="Normal 11 15" xfId="8062"/>
    <cellStyle name="Normal 11 16" xfId="8063"/>
    <cellStyle name="Normal 11 17" xfId="8064"/>
    <cellStyle name="Normal 11 18" xfId="8065"/>
    <cellStyle name="Normal 11 19" xfId="8066"/>
    <cellStyle name="Normal 11 2" xfId="8067"/>
    <cellStyle name="Normal 11 2 10" xfId="8068"/>
    <cellStyle name="Normal 11 2 11" xfId="8069"/>
    <cellStyle name="Normal 11 2 12" xfId="8070"/>
    <cellStyle name="Normal 11 2 13" xfId="8071"/>
    <cellStyle name="Normal 11 2 14" xfId="8072"/>
    <cellStyle name="Normal 11 2 15" xfId="8073"/>
    <cellStyle name="Normal 11 2 16" xfId="8074"/>
    <cellStyle name="Normal 11 2 17" xfId="8075"/>
    <cellStyle name="Normal 11 2 18" xfId="8076"/>
    <cellStyle name="Normal 11 2 19" xfId="8077"/>
    <cellStyle name="Normal 11 2 2" xfId="8078"/>
    <cellStyle name="Normal 11 2 20" xfId="8079"/>
    <cellStyle name="Normal 11 2 21" xfId="8080"/>
    <cellStyle name="Normal 11 2 22" xfId="8081"/>
    <cellStyle name="Normal 11 2 23" xfId="8082"/>
    <cellStyle name="Normal 11 2 24" xfId="8083"/>
    <cellStyle name="Normal 11 2 25" xfId="8084"/>
    <cellStyle name="Normal 11 2 26" xfId="8085"/>
    <cellStyle name="Normal 11 2 27" xfId="8086"/>
    <cellStyle name="Normal 11 2 28" xfId="8087"/>
    <cellStyle name="Normal 11 2 29" xfId="8088"/>
    <cellStyle name="Normal 11 2 3" xfId="8089"/>
    <cellStyle name="Normal 11 2 30" xfId="8090"/>
    <cellStyle name="Normal 11 2 31" xfId="8091"/>
    <cellStyle name="Normal 11 2 32" xfId="8092"/>
    <cellStyle name="Normal 11 2 33" xfId="8093"/>
    <cellStyle name="Normal 11 2 34" xfId="8094"/>
    <cellStyle name="Normal 11 2 35" xfId="8095"/>
    <cellStyle name="Normal 11 2 36" xfId="8096"/>
    <cellStyle name="Normal 11 2 37" xfId="8097"/>
    <cellStyle name="Normal 11 2 38" xfId="8098"/>
    <cellStyle name="Normal 11 2 39" xfId="8099"/>
    <cellStyle name="Normal 11 2 4" xfId="8100"/>
    <cellStyle name="Normal 11 2 40" xfId="8101"/>
    <cellStyle name="Normal 11 2 41" xfId="8102"/>
    <cellStyle name="Normal 11 2 42" xfId="8103"/>
    <cellStyle name="Normal 11 2 43" xfId="8104"/>
    <cellStyle name="Normal 11 2 44" xfId="8105"/>
    <cellStyle name="Normal 11 2 45" xfId="8106"/>
    <cellStyle name="Normal 11 2 46" xfId="8107"/>
    <cellStyle name="Normal 11 2 47" xfId="8108"/>
    <cellStyle name="Normal 11 2 48" xfId="8109"/>
    <cellStyle name="Normal 11 2 49" xfId="8110"/>
    <cellStyle name="Normal 11 2 5" xfId="8111"/>
    <cellStyle name="Normal 11 2 50" xfId="8112"/>
    <cellStyle name="Normal 11 2 51" xfId="8113"/>
    <cellStyle name="Normal 11 2 52" xfId="8114"/>
    <cellStyle name="Normal 11 2 53" xfId="8115"/>
    <cellStyle name="Normal 11 2 54" xfId="8116"/>
    <cellStyle name="Normal 11 2 55" xfId="8117"/>
    <cellStyle name="Normal 11 2 56" xfId="8118"/>
    <cellStyle name="Normal 11 2 57" xfId="8119"/>
    <cellStyle name="Normal 11 2 58" xfId="8120"/>
    <cellStyle name="Normal 11 2 59" xfId="8121"/>
    <cellStyle name="Normal 11 2 6" xfId="8122"/>
    <cellStyle name="Normal 11 2 60" xfId="8123"/>
    <cellStyle name="Normal 11 2 61" xfId="8124"/>
    <cellStyle name="Normal 11 2 62" xfId="8125"/>
    <cellStyle name="Normal 11 2 63" xfId="8126"/>
    <cellStyle name="Normal 11 2 64" xfId="8127"/>
    <cellStyle name="Normal 11 2 65" xfId="8128"/>
    <cellStyle name="Normal 11 2 66" xfId="8129"/>
    <cellStyle name="Normal 11 2 67" xfId="8130"/>
    <cellStyle name="Normal 11 2 68" xfId="8131"/>
    <cellStyle name="Normal 11 2 69" xfId="8132"/>
    <cellStyle name="Normal 11 2 7" xfId="8133"/>
    <cellStyle name="Normal 11 2 70" xfId="8134"/>
    <cellStyle name="Normal 11 2 71" xfId="8135"/>
    <cellStyle name="Normal 11 2 72" xfId="8136"/>
    <cellStyle name="Normal 11 2 73" xfId="8137"/>
    <cellStyle name="Normal 11 2 74" xfId="8138"/>
    <cellStyle name="Normal 11 2 75" xfId="8139"/>
    <cellStyle name="Normal 11 2 76" xfId="8140"/>
    <cellStyle name="Normal 11 2 77" xfId="8141"/>
    <cellStyle name="Normal 11 2 78" xfId="8142"/>
    <cellStyle name="Normal 11 2 79" xfId="8143"/>
    <cellStyle name="Normal 11 2 8" xfId="8144"/>
    <cellStyle name="Normal 11 2 80" xfId="8145"/>
    <cellStyle name="Normal 11 2 81" xfId="8146"/>
    <cellStyle name="Normal 11 2 82" xfId="8147"/>
    <cellStyle name="Normal 11 2 83" xfId="8148"/>
    <cellStyle name="Normal 11 2 9" xfId="8149"/>
    <cellStyle name="Normal 11 20" xfId="8150"/>
    <cellStyle name="Normal 11 21" xfId="8151"/>
    <cellStyle name="Normal 11 22" xfId="8152"/>
    <cellStyle name="Normal 11 23" xfId="8153"/>
    <cellStyle name="Normal 11 24" xfId="8154"/>
    <cellStyle name="Normal 11 25" xfId="8155"/>
    <cellStyle name="Normal 11 26" xfId="8156"/>
    <cellStyle name="Normal 11 27" xfId="8157"/>
    <cellStyle name="Normal 11 28" xfId="8158"/>
    <cellStyle name="Normal 11 29" xfId="8159"/>
    <cellStyle name="Normal 11 3" xfId="8160"/>
    <cellStyle name="Normal 11 3 10" xfId="8161"/>
    <cellStyle name="Normal 11 3 11" xfId="8162"/>
    <cellStyle name="Normal 11 3 12" xfId="8163"/>
    <cellStyle name="Normal 11 3 13" xfId="8164"/>
    <cellStyle name="Normal 11 3 14" xfId="8165"/>
    <cellStyle name="Normal 11 3 15" xfId="8166"/>
    <cellStyle name="Normal 11 3 16" xfId="8167"/>
    <cellStyle name="Normal 11 3 17" xfId="8168"/>
    <cellStyle name="Normal 11 3 18" xfId="8169"/>
    <cellStyle name="Normal 11 3 19" xfId="8170"/>
    <cellStyle name="Normal 11 3 2" xfId="8171"/>
    <cellStyle name="Normal 11 3 20" xfId="8172"/>
    <cellStyle name="Normal 11 3 21" xfId="8173"/>
    <cellStyle name="Normal 11 3 22" xfId="8174"/>
    <cellStyle name="Normal 11 3 23" xfId="8175"/>
    <cellStyle name="Normal 11 3 24" xfId="8176"/>
    <cellStyle name="Normal 11 3 25" xfId="8177"/>
    <cellStyle name="Normal 11 3 26" xfId="8178"/>
    <cellStyle name="Normal 11 3 27" xfId="8179"/>
    <cellStyle name="Normal 11 3 28" xfId="8180"/>
    <cellStyle name="Normal 11 3 29" xfId="8181"/>
    <cellStyle name="Normal 11 3 3" xfId="8182"/>
    <cellStyle name="Normal 11 3 30" xfId="8183"/>
    <cellStyle name="Normal 11 3 31" xfId="8184"/>
    <cellStyle name="Normal 11 3 32" xfId="8185"/>
    <cellStyle name="Normal 11 3 33" xfId="8186"/>
    <cellStyle name="Normal 11 3 34" xfId="8187"/>
    <cellStyle name="Normal 11 3 35" xfId="8188"/>
    <cellStyle name="Normal 11 3 36" xfId="8189"/>
    <cellStyle name="Normal 11 3 37" xfId="8190"/>
    <cellStyle name="Normal 11 3 38" xfId="8191"/>
    <cellStyle name="Normal 11 3 39" xfId="8192"/>
    <cellStyle name="Normal 11 3 4" xfId="8193"/>
    <cellStyle name="Normal 11 3 40" xfId="8194"/>
    <cellStyle name="Normal 11 3 41" xfId="8195"/>
    <cellStyle name="Normal 11 3 42" xfId="8196"/>
    <cellStyle name="Normal 11 3 43" xfId="8197"/>
    <cellStyle name="Normal 11 3 44" xfId="8198"/>
    <cellStyle name="Normal 11 3 45" xfId="8199"/>
    <cellStyle name="Normal 11 3 46" xfId="8200"/>
    <cellStyle name="Normal 11 3 47" xfId="8201"/>
    <cellStyle name="Normal 11 3 48" xfId="8202"/>
    <cellStyle name="Normal 11 3 49" xfId="8203"/>
    <cellStyle name="Normal 11 3 5" xfId="8204"/>
    <cellStyle name="Normal 11 3 50" xfId="8205"/>
    <cellStyle name="Normal 11 3 51" xfId="8206"/>
    <cellStyle name="Normal 11 3 52" xfId="8207"/>
    <cellStyle name="Normal 11 3 53" xfId="8208"/>
    <cellStyle name="Normal 11 3 54" xfId="8209"/>
    <cellStyle name="Normal 11 3 55" xfId="8210"/>
    <cellStyle name="Normal 11 3 56" xfId="8211"/>
    <cellStyle name="Normal 11 3 57" xfId="8212"/>
    <cellStyle name="Normal 11 3 58" xfId="8213"/>
    <cellStyle name="Normal 11 3 59" xfId="8214"/>
    <cellStyle name="Normal 11 3 6" xfId="8215"/>
    <cellStyle name="Normal 11 3 60" xfId="8216"/>
    <cellStyle name="Normal 11 3 61" xfId="8217"/>
    <cellStyle name="Normal 11 3 62" xfId="8218"/>
    <cellStyle name="Normal 11 3 63" xfId="8219"/>
    <cellStyle name="Normal 11 3 64" xfId="8220"/>
    <cellStyle name="Normal 11 3 65" xfId="8221"/>
    <cellStyle name="Normal 11 3 66" xfId="8222"/>
    <cellStyle name="Normal 11 3 67" xfId="8223"/>
    <cellStyle name="Normal 11 3 68" xfId="8224"/>
    <cellStyle name="Normal 11 3 69" xfId="8225"/>
    <cellStyle name="Normal 11 3 7" xfId="8226"/>
    <cellStyle name="Normal 11 3 70" xfId="8227"/>
    <cellStyle name="Normal 11 3 71" xfId="8228"/>
    <cellStyle name="Normal 11 3 72" xfId="8229"/>
    <cellStyle name="Normal 11 3 73" xfId="8230"/>
    <cellStyle name="Normal 11 3 74" xfId="8231"/>
    <cellStyle name="Normal 11 3 75" xfId="8232"/>
    <cellStyle name="Normal 11 3 76" xfId="8233"/>
    <cellStyle name="Normal 11 3 77" xfId="8234"/>
    <cellStyle name="Normal 11 3 78" xfId="8235"/>
    <cellStyle name="Normal 11 3 79" xfId="8236"/>
    <cellStyle name="Normal 11 3 8" xfId="8237"/>
    <cellStyle name="Normal 11 3 80" xfId="8238"/>
    <cellStyle name="Normal 11 3 81" xfId="8239"/>
    <cellStyle name="Normal 11 3 82" xfId="8240"/>
    <cellStyle name="Normal 11 3 83" xfId="8241"/>
    <cellStyle name="Normal 11 3 9" xfId="8242"/>
    <cellStyle name="Normal 11 30" xfId="8243"/>
    <cellStyle name="Normal 11 31" xfId="8244"/>
    <cellStyle name="Normal 11 32" xfId="8245"/>
    <cellStyle name="Normal 11 33" xfId="8246"/>
    <cellStyle name="Normal 11 34" xfId="8247"/>
    <cellStyle name="Normal 11 35" xfId="8248"/>
    <cellStyle name="Normal 11 36" xfId="8249"/>
    <cellStyle name="Normal 11 37" xfId="8250"/>
    <cellStyle name="Normal 11 38" xfId="8251"/>
    <cellStyle name="Normal 11 39" xfId="8252"/>
    <cellStyle name="Normal 11 4" xfId="8253"/>
    <cellStyle name="Normal 11 4 10" xfId="8254"/>
    <cellStyle name="Normal 11 4 11" xfId="8255"/>
    <cellStyle name="Normal 11 4 12" xfId="8256"/>
    <cellStyle name="Normal 11 4 13" xfId="8257"/>
    <cellStyle name="Normal 11 4 14" xfId="8258"/>
    <cellStyle name="Normal 11 4 15" xfId="8259"/>
    <cellStyle name="Normal 11 4 16" xfId="8260"/>
    <cellStyle name="Normal 11 4 17" xfId="8261"/>
    <cellStyle name="Normal 11 4 18" xfId="8262"/>
    <cellStyle name="Normal 11 4 19" xfId="8263"/>
    <cellStyle name="Normal 11 4 2" xfId="8264"/>
    <cellStyle name="Normal 11 4 20" xfId="8265"/>
    <cellStyle name="Normal 11 4 21" xfId="8266"/>
    <cellStyle name="Normal 11 4 22" xfId="8267"/>
    <cellStyle name="Normal 11 4 23" xfId="8268"/>
    <cellStyle name="Normal 11 4 24" xfId="8269"/>
    <cellStyle name="Normal 11 4 25" xfId="8270"/>
    <cellStyle name="Normal 11 4 26" xfId="8271"/>
    <cellStyle name="Normal 11 4 27" xfId="8272"/>
    <cellStyle name="Normal 11 4 28" xfId="8273"/>
    <cellStyle name="Normal 11 4 29" xfId="8274"/>
    <cellStyle name="Normal 11 4 3" xfId="8275"/>
    <cellStyle name="Normal 11 4 30" xfId="8276"/>
    <cellStyle name="Normal 11 4 31" xfId="8277"/>
    <cellStyle name="Normal 11 4 32" xfId="8278"/>
    <cellStyle name="Normal 11 4 33" xfId="8279"/>
    <cellStyle name="Normal 11 4 34" xfId="8280"/>
    <cellStyle name="Normal 11 4 35" xfId="8281"/>
    <cellStyle name="Normal 11 4 36" xfId="8282"/>
    <cellStyle name="Normal 11 4 37" xfId="8283"/>
    <cellStyle name="Normal 11 4 38" xfId="8284"/>
    <cellStyle name="Normal 11 4 39" xfId="8285"/>
    <cellStyle name="Normal 11 4 4" xfId="8286"/>
    <cellStyle name="Normal 11 4 40" xfId="8287"/>
    <cellStyle name="Normal 11 4 41" xfId="8288"/>
    <cellStyle name="Normal 11 4 42" xfId="8289"/>
    <cellStyle name="Normal 11 4 43" xfId="8290"/>
    <cellStyle name="Normal 11 4 44" xfId="8291"/>
    <cellStyle name="Normal 11 4 45" xfId="8292"/>
    <cellStyle name="Normal 11 4 46" xfId="8293"/>
    <cellStyle name="Normal 11 4 47" xfId="8294"/>
    <cellStyle name="Normal 11 4 48" xfId="8295"/>
    <cellStyle name="Normal 11 4 49" xfId="8296"/>
    <cellStyle name="Normal 11 4 5" xfId="8297"/>
    <cellStyle name="Normal 11 4 50" xfId="8298"/>
    <cellStyle name="Normal 11 4 51" xfId="8299"/>
    <cellStyle name="Normal 11 4 52" xfId="8300"/>
    <cellStyle name="Normal 11 4 53" xfId="8301"/>
    <cellStyle name="Normal 11 4 54" xfId="8302"/>
    <cellStyle name="Normal 11 4 55" xfId="8303"/>
    <cellStyle name="Normal 11 4 56" xfId="8304"/>
    <cellStyle name="Normal 11 4 57" xfId="8305"/>
    <cellStyle name="Normal 11 4 58" xfId="8306"/>
    <cellStyle name="Normal 11 4 59" xfId="8307"/>
    <cellStyle name="Normal 11 4 6" xfId="8308"/>
    <cellStyle name="Normal 11 4 60" xfId="8309"/>
    <cellStyle name="Normal 11 4 61" xfId="8310"/>
    <cellStyle name="Normal 11 4 62" xfId="8311"/>
    <cellStyle name="Normal 11 4 63" xfId="8312"/>
    <cellStyle name="Normal 11 4 64" xfId="8313"/>
    <cellStyle name="Normal 11 4 65" xfId="8314"/>
    <cellStyle name="Normal 11 4 66" xfId="8315"/>
    <cellStyle name="Normal 11 4 67" xfId="8316"/>
    <cellStyle name="Normal 11 4 68" xfId="8317"/>
    <cellStyle name="Normal 11 4 69" xfId="8318"/>
    <cellStyle name="Normal 11 4 7" xfId="8319"/>
    <cellStyle name="Normal 11 4 70" xfId="8320"/>
    <cellStyle name="Normal 11 4 71" xfId="8321"/>
    <cellStyle name="Normal 11 4 72" xfId="8322"/>
    <cellStyle name="Normal 11 4 73" xfId="8323"/>
    <cellStyle name="Normal 11 4 74" xfId="8324"/>
    <cellStyle name="Normal 11 4 75" xfId="8325"/>
    <cellStyle name="Normal 11 4 76" xfId="8326"/>
    <cellStyle name="Normal 11 4 77" xfId="8327"/>
    <cellStyle name="Normal 11 4 78" xfId="8328"/>
    <cellStyle name="Normal 11 4 79" xfId="8329"/>
    <cellStyle name="Normal 11 4 8" xfId="8330"/>
    <cellStyle name="Normal 11 4 80" xfId="8331"/>
    <cellStyle name="Normal 11 4 81" xfId="8332"/>
    <cellStyle name="Normal 11 4 82" xfId="8333"/>
    <cellStyle name="Normal 11 4 83" xfId="8334"/>
    <cellStyle name="Normal 11 4 9" xfId="8335"/>
    <cellStyle name="Normal 11 40" xfId="8336"/>
    <cellStyle name="Normal 11 41" xfId="8337"/>
    <cellStyle name="Normal 11 42" xfId="8338"/>
    <cellStyle name="Normal 11 43" xfId="8339"/>
    <cellStyle name="Normal 11 44" xfId="8340"/>
    <cellStyle name="Normal 11 45" xfId="8341"/>
    <cellStyle name="Normal 11 46" xfId="8342"/>
    <cellStyle name="Normal 11 47" xfId="8343"/>
    <cellStyle name="Normal 11 48" xfId="8344"/>
    <cellStyle name="Normal 11 49" xfId="8345"/>
    <cellStyle name="Normal 11 5" xfId="8346"/>
    <cellStyle name="Normal 11 50" xfId="8347"/>
    <cellStyle name="Normal 11 51" xfId="8348"/>
    <cellStyle name="Normal 11 52" xfId="8349"/>
    <cellStyle name="Normal 11 53" xfId="8350"/>
    <cellStyle name="Normal 11 54" xfId="8351"/>
    <cellStyle name="Normal 11 55" xfId="8352"/>
    <cellStyle name="Normal 11 56" xfId="8353"/>
    <cellStyle name="Normal 11 57" xfId="8354"/>
    <cellStyle name="Normal 11 58" xfId="8355"/>
    <cellStyle name="Normal 11 59" xfId="8356"/>
    <cellStyle name="Normal 11 6" xfId="8357"/>
    <cellStyle name="Normal 11 60" xfId="8358"/>
    <cellStyle name="Normal 11 61" xfId="8359"/>
    <cellStyle name="Normal 11 62" xfId="8360"/>
    <cellStyle name="Normal 11 63" xfId="8361"/>
    <cellStyle name="Normal 11 64" xfId="8362"/>
    <cellStyle name="Normal 11 65" xfId="8363"/>
    <cellStyle name="Normal 11 66" xfId="8364"/>
    <cellStyle name="Normal 11 67" xfId="8365"/>
    <cellStyle name="Normal 11 68" xfId="8366"/>
    <cellStyle name="Normal 11 69" xfId="8367"/>
    <cellStyle name="Normal 11 7" xfId="8368"/>
    <cellStyle name="Normal 11 70" xfId="8369"/>
    <cellStyle name="Normal 11 71" xfId="8370"/>
    <cellStyle name="Normal 11 72" xfId="8371"/>
    <cellStyle name="Normal 11 73" xfId="8372"/>
    <cellStyle name="Normal 11 74" xfId="8373"/>
    <cellStyle name="Normal 11 75" xfId="8374"/>
    <cellStyle name="Normal 11 76" xfId="8375"/>
    <cellStyle name="Normal 11 77" xfId="8376"/>
    <cellStyle name="Normal 11 78" xfId="8377"/>
    <cellStyle name="Normal 11 79" xfId="8378"/>
    <cellStyle name="Normal 11 8" xfId="8379"/>
    <cellStyle name="Normal 11 80" xfId="8380"/>
    <cellStyle name="Normal 11 81" xfId="8381"/>
    <cellStyle name="Normal 11 82" xfId="8382"/>
    <cellStyle name="Normal 11 83" xfId="8383"/>
    <cellStyle name="Normal 11 84" xfId="8384"/>
    <cellStyle name="Normal 11 85" xfId="8385"/>
    <cellStyle name="Normal 11 86" xfId="8386"/>
    <cellStyle name="Normal 11 9" xfId="8387"/>
    <cellStyle name="Normal 11_Cultura y Tiempo libre 2011 base 2012 PGM - EMV  2013" xfId="8388"/>
    <cellStyle name="Normal 12" xfId="8389"/>
    <cellStyle name="Normal 12 10" xfId="8390"/>
    <cellStyle name="Normal 12 11" xfId="8391"/>
    <cellStyle name="Normal 12 12" xfId="8392"/>
    <cellStyle name="Normal 12 13" xfId="8393"/>
    <cellStyle name="Normal 12 14" xfId="8394"/>
    <cellStyle name="Normal 12 15" xfId="8395"/>
    <cellStyle name="Normal 12 16" xfId="8396"/>
    <cellStyle name="Normal 12 17" xfId="8397"/>
    <cellStyle name="Normal 12 18" xfId="8398"/>
    <cellStyle name="Normal 12 19" xfId="8399"/>
    <cellStyle name="Normal 12 2" xfId="8400"/>
    <cellStyle name="Normal 12 2 10" xfId="8401"/>
    <cellStyle name="Normal 12 2 11" xfId="8402"/>
    <cellStyle name="Normal 12 2 12" xfId="8403"/>
    <cellStyle name="Normal 12 2 13" xfId="8404"/>
    <cellStyle name="Normal 12 2 14" xfId="8405"/>
    <cellStyle name="Normal 12 2 15" xfId="8406"/>
    <cellStyle name="Normal 12 2 16" xfId="8407"/>
    <cellStyle name="Normal 12 2 17" xfId="8408"/>
    <cellStyle name="Normal 12 2 18" xfId="8409"/>
    <cellStyle name="Normal 12 2 19" xfId="8410"/>
    <cellStyle name="Normal 12 2 2" xfId="8411"/>
    <cellStyle name="Normal 12 2 20" xfId="8412"/>
    <cellStyle name="Normal 12 2 21" xfId="8413"/>
    <cellStyle name="Normal 12 2 22" xfId="8414"/>
    <cellStyle name="Normal 12 2 23" xfId="8415"/>
    <cellStyle name="Normal 12 2 24" xfId="8416"/>
    <cellStyle name="Normal 12 2 25" xfId="8417"/>
    <cellStyle name="Normal 12 2 26" xfId="8418"/>
    <cellStyle name="Normal 12 2 27" xfId="8419"/>
    <cellStyle name="Normal 12 2 28" xfId="8420"/>
    <cellStyle name="Normal 12 2 29" xfId="8421"/>
    <cellStyle name="Normal 12 2 3" xfId="8422"/>
    <cellStyle name="Normal 12 2 30" xfId="8423"/>
    <cellStyle name="Normal 12 2 31" xfId="8424"/>
    <cellStyle name="Normal 12 2 32" xfId="8425"/>
    <cellStyle name="Normal 12 2 33" xfId="8426"/>
    <cellStyle name="Normal 12 2 34" xfId="8427"/>
    <cellStyle name="Normal 12 2 35" xfId="8428"/>
    <cellStyle name="Normal 12 2 36" xfId="8429"/>
    <cellStyle name="Normal 12 2 37" xfId="8430"/>
    <cellStyle name="Normal 12 2 38" xfId="8431"/>
    <cellStyle name="Normal 12 2 39" xfId="8432"/>
    <cellStyle name="Normal 12 2 4" xfId="8433"/>
    <cellStyle name="Normal 12 2 40" xfId="8434"/>
    <cellStyle name="Normal 12 2 41" xfId="8435"/>
    <cellStyle name="Normal 12 2 42" xfId="8436"/>
    <cellStyle name="Normal 12 2 43" xfId="8437"/>
    <cellStyle name="Normal 12 2 44" xfId="8438"/>
    <cellStyle name="Normal 12 2 45" xfId="8439"/>
    <cellStyle name="Normal 12 2 46" xfId="8440"/>
    <cellStyle name="Normal 12 2 47" xfId="8441"/>
    <cellStyle name="Normal 12 2 48" xfId="8442"/>
    <cellStyle name="Normal 12 2 49" xfId="8443"/>
    <cellStyle name="Normal 12 2 5" xfId="8444"/>
    <cellStyle name="Normal 12 2 50" xfId="8445"/>
    <cellStyle name="Normal 12 2 51" xfId="8446"/>
    <cellStyle name="Normal 12 2 52" xfId="8447"/>
    <cellStyle name="Normal 12 2 53" xfId="8448"/>
    <cellStyle name="Normal 12 2 54" xfId="8449"/>
    <cellStyle name="Normal 12 2 55" xfId="8450"/>
    <cellStyle name="Normal 12 2 56" xfId="8451"/>
    <cellStyle name="Normal 12 2 57" xfId="8452"/>
    <cellStyle name="Normal 12 2 58" xfId="8453"/>
    <cellStyle name="Normal 12 2 59" xfId="8454"/>
    <cellStyle name="Normal 12 2 6" xfId="8455"/>
    <cellStyle name="Normal 12 2 60" xfId="8456"/>
    <cellStyle name="Normal 12 2 61" xfId="8457"/>
    <cellStyle name="Normal 12 2 62" xfId="8458"/>
    <cellStyle name="Normal 12 2 63" xfId="8459"/>
    <cellStyle name="Normal 12 2 64" xfId="8460"/>
    <cellStyle name="Normal 12 2 65" xfId="8461"/>
    <cellStyle name="Normal 12 2 66" xfId="8462"/>
    <cellStyle name="Normal 12 2 67" xfId="8463"/>
    <cellStyle name="Normal 12 2 68" xfId="8464"/>
    <cellStyle name="Normal 12 2 69" xfId="8465"/>
    <cellStyle name="Normal 12 2 7" xfId="8466"/>
    <cellStyle name="Normal 12 2 70" xfId="8467"/>
    <cellStyle name="Normal 12 2 71" xfId="8468"/>
    <cellStyle name="Normal 12 2 72" xfId="8469"/>
    <cellStyle name="Normal 12 2 73" xfId="8470"/>
    <cellStyle name="Normal 12 2 74" xfId="8471"/>
    <cellStyle name="Normal 12 2 75" xfId="8472"/>
    <cellStyle name="Normal 12 2 76" xfId="8473"/>
    <cellStyle name="Normal 12 2 77" xfId="8474"/>
    <cellStyle name="Normal 12 2 78" xfId="8475"/>
    <cellStyle name="Normal 12 2 79" xfId="8476"/>
    <cellStyle name="Normal 12 2 8" xfId="8477"/>
    <cellStyle name="Normal 12 2 80" xfId="8478"/>
    <cellStyle name="Normal 12 2 81" xfId="8479"/>
    <cellStyle name="Normal 12 2 82" xfId="8480"/>
    <cellStyle name="Normal 12 2 83" xfId="8481"/>
    <cellStyle name="Normal 12 2 9" xfId="8482"/>
    <cellStyle name="Normal 12 20" xfId="8483"/>
    <cellStyle name="Normal 12 21" xfId="8484"/>
    <cellStyle name="Normal 12 22" xfId="8485"/>
    <cellStyle name="Normal 12 23" xfId="8486"/>
    <cellStyle name="Normal 12 24" xfId="8487"/>
    <cellStyle name="Normal 12 25" xfId="8488"/>
    <cellStyle name="Normal 12 26" xfId="8489"/>
    <cellStyle name="Normal 12 27" xfId="8490"/>
    <cellStyle name="Normal 12 28" xfId="8491"/>
    <cellStyle name="Normal 12 29" xfId="8492"/>
    <cellStyle name="Normal 12 3" xfId="8493"/>
    <cellStyle name="Normal 12 30" xfId="8494"/>
    <cellStyle name="Normal 12 31" xfId="8495"/>
    <cellStyle name="Normal 12 32" xfId="8496"/>
    <cellStyle name="Normal 12 33" xfId="8497"/>
    <cellStyle name="Normal 12 34" xfId="8498"/>
    <cellStyle name="Normal 12 35" xfId="8499"/>
    <cellStyle name="Normal 12 36" xfId="8500"/>
    <cellStyle name="Normal 12 37" xfId="8501"/>
    <cellStyle name="Normal 12 38" xfId="8502"/>
    <cellStyle name="Normal 12 39" xfId="8503"/>
    <cellStyle name="Normal 12 4" xfId="8504"/>
    <cellStyle name="Normal 12 40" xfId="8505"/>
    <cellStyle name="Normal 12 41" xfId="8506"/>
    <cellStyle name="Normal 12 42" xfId="8507"/>
    <cellStyle name="Normal 12 43" xfId="8508"/>
    <cellStyle name="Normal 12 44" xfId="8509"/>
    <cellStyle name="Normal 12 45" xfId="8510"/>
    <cellStyle name="Normal 12 46" xfId="8511"/>
    <cellStyle name="Normal 12 47" xfId="8512"/>
    <cellStyle name="Normal 12 48" xfId="8513"/>
    <cellStyle name="Normal 12 49" xfId="8514"/>
    <cellStyle name="Normal 12 5" xfId="8515"/>
    <cellStyle name="Normal 12 50" xfId="8516"/>
    <cellStyle name="Normal 12 51" xfId="8517"/>
    <cellStyle name="Normal 12 52" xfId="8518"/>
    <cellStyle name="Normal 12 53" xfId="8519"/>
    <cellStyle name="Normal 12 54" xfId="8520"/>
    <cellStyle name="Normal 12 55" xfId="8521"/>
    <cellStyle name="Normal 12 56" xfId="8522"/>
    <cellStyle name="Normal 12 57" xfId="8523"/>
    <cellStyle name="Normal 12 58" xfId="8524"/>
    <cellStyle name="Normal 12 59" xfId="8525"/>
    <cellStyle name="Normal 12 6" xfId="8526"/>
    <cellStyle name="Normal 12 60" xfId="8527"/>
    <cellStyle name="Normal 12 61" xfId="8528"/>
    <cellStyle name="Normal 12 62" xfId="8529"/>
    <cellStyle name="Normal 12 63" xfId="8530"/>
    <cellStyle name="Normal 12 64" xfId="8531"/>
    <cellStyle name="Normal 12 65" xfId="8532"/>
    <cellStyle name="Normal 12 66" xfId="8533"/>
    <cellStyle name="Normal 12 67" xfId="8534"/>
    <cellStyle name="Normal 12 68" xfId="8535"/>
    <cellStyle name="Normal 12 69" xfId="8536"/>
    <cellStyle name="Normal 12 7" xfId="8537"/>
    <cellStyle name="Normal 12 70" xfId="8538"/>
    <cellStyle name="Normal 12 71" xfId="8539"/>
    <cellStyle name="Normal 12 72" xfId="8540"/>
    <cellStyle name="Normal 12 73" xfId="8541"/>
    <cellStyle name="Normal 12 74" xfId="8542"/>
    <cellStyle name="Normal 12 75" xfId="8543"/>
    <cellStyle name="Normal 12 76" xfId="8544"/>
    <cellStyle name="Normal 12 77" xfId="8545"/>
    <cellStyle name="Normal 12 78" xfId="8546"/>
    <cellStyle name="Normal 12 79" xfId="8547"/>
    <cellStyle name="Normal 12 8" xfId="8548"/>
    <cellStyle name="Normal 12 80" xfId="8549"/>
    <cellStyle name="Normal 12 81" xfId="8550"/>
    <cellStyle name="Normal 12 82" xfId="8551"/>
    <cellStyle name="Normal 12 83" xfId="8552"/>
    <cellStyle name="Normal 12 84" xfId="8553"/>
    <cellStyle name="Normal 12 9" xfId="8554"/>
    <cellStyle name="Normal 12_Cultura y Tiempo libre 2011 base 2012 PGM - EMV  2013" xfId="8555"/>
    <cellStyle name="Normal 13" xfId="8556"/>
    <cellStyle name="Normal 13 10" xfId="8557"/>
    <cellStyle name="Normal 13 11" xfId="8558"/>
    <cellStyle name="Normal 13 12" xfId="8559"/>
    <cellStyle name="Normal 13 13" xfId="8560"/>
    <cellStyle name="Normal 13 14" xfId="8561"/>
    <cellStyle name="Normal 13 15" xfId="8562"/>
    <cellStyle name="Normal 13 16" xfId="8563"/>
    <cellStyle name="Normal 13 17" xfId="8564"/>
    <cellStyle name="Normal 13 18" xfId="8565"/>
    <cellStyle name="Normal 13 19" xfId="8566"/>
    <cellStyle name="Normal 13 2" xfId="8567"/>
    <cellStyle name="Normal 13 20" xfId="8568"/>
    <cellStyle name="Normal 13 21" xfId="8569"/>
    <cellStyle name="Normal 13 22" xfId="8570"/>
    <cellStyle name="Normal 13 23" xfId="8571"/>
    <cellStyle name="Normal 13 24" xfId="8572"/>
    <cellStyle name="Normal 13 25" xfId="8573"/>
    <cellStyle name="Normal 13 26" xfId="8574"/>
    <cellStyle name="Normal 13 27" xfId="8575"/>
    <cellStyle name="Normal 13 28" xfId="8576"/>
    <cellStyle name="Normal 13 29" xfId="8577"/>
    <cellStyle name="Normal 13 3" xfId="8578"/>
    <cellStyle name="Normal 13 30" xfId="8579"/>
    <cellStyle name="Normal 13 31" xfId="8580"/>
    <cellStyle name="Normal 13 32" xfId="8581"/>
    <cellStyle name="Normal 13 33" xfId="8582"/>
    <cellStyle name="Normal 13 34" xfId="8583"/>
    <cellStyle name="Normal 13 35" xfId="8584"/>
    <cellStyle name="Normal 13 36" xfId="8585"/>
    <cellStyle name="Normal 13 37" xfId="8586"/>
    <cellStyle name="Normal 13 38" xfId="8587"/>
    <cellStyle name="Normal 13 39" xfId="8588"/>
    <cellStyle name="Normal 13 4" xfId="8589"/>
    <cellStyle name="Normal 13 40" xfId="8590"/>
    <cellStyle name="Normal 13 41" xfId="8591"/>
    <cellStyle name="Normal 13 42" xfId="8592"/>
    <cellStyle name="Normal 13 43" xfId="8593"/>
    <cellStyle name="Normal 13 44" xfId="8594"/>
    <cellStyle name="Normal 13 45" xfId="8595"/>
    <cellStyle name="Normal 13 46" xfId="8596"/>
    <cellStyle name="Normal 13 47" xfId="8597"/>
    <cellStyle name="Normal 13 48" xfId="8598"/>
    <cellStyle name="Normal 13 49" xfId="8599"/>
    <cellStyle name="Normal 13 5" xfId="8600"/>
    <cellStyle name="Normal 13 50" xfId="8601"/>
    <cellStyle name="Normal 13 51" xfId="8602"/>
    <cellStyle name="Normal 13 52" xfId="8603"/>
    <cellStyle name="Normal 13 53" xfId="8604"/>
    <cellStyle name="Normal 13 54" xfId="8605"/>
    <cellStyle name="Normal 13 55" xfId="8606"/>
    <cellStyle name="Normal 13 56" xfId="8607"/>
    <cellStyle name="Normal 13 57" xfId="8608"/>
    <cellStyle name="Normal 13 58" xfId="8609"/>
    <cellStyle name="Normal 13 59" xfId="8610"/>
    <cellStyle name="Normal 13 6" xfId="8611"/>
    <cellStyle name="Normal 13 60" xfId="8612"/>
    <cellStyle name="Normal 13 61" xfId="8613"/>
    <cellStyle name="Normal 13 62" xfId="8614"/>
    <cellStyle name="Normal 13 63" xfId="8615"/>
    <cellStyle name="Normal 13 64" xfId="8616"/>
    <cellStyle name="Normal 13 65" xfId="8617"/>
    <cellStyle name="Normal 13 66" xfId="8618"/>
    <cellStyle name="Normal 13 67" xfId="8619"/>
    <cellStyle name="Normal 13 68" xfId="8620"/>
    <cellStyle name="Normal 13 69" xfId="8621"/>
    <cellStyle name="Normal 13 7" xfId="8622"/>
    <cellStyle name="Normal 13 70" xfId="8623"/>
    <cellStyle name="Normal 13 71" xfId="8624"/>
    <cellStyle name="Normal 13 72" xfId="8625"/>
    <cellStyle name="Normal 13 73" xfId="8626"/>
    <cellStyle name="Normal 13 74" xfId="8627"/>
    <cellStyle name="Normal 13 75" xfId="8628"/>
    <cellStyle name="Normal 13 76" xfId="8629"/>
    <cellStyle name="Normal 13 77" xfId="8630"/>
    <cellStyle name="Normal 13 78" xfId="8631"/>
    <cellStyle name="Normal 13 79" xfId="8632"/>
    <cellStyle name="Normal 13 8" xfId="8633"/>
    <cellStyle name="Normal 13 80" xfId="8634"/>
    <cellStyle name="Normal 13 81" xfId="8635"/>
    <cellStyle name="Normal 13 82" xfId="8636"/>
    <cellStyle name="Normal 13 83" xfId="8637"/>
    <cellStyle name="Normal 13 9" xfId="8638"/>
    <cellStyle name="Normal 14" xfId="11"/>
    <cellStyle name="Normal 14 10" xfId="8639"/>
    <cellStyle name="Normal 14 10 10" xfId="8640"/>
    <cellStyle name="Normal 14 10 11" xfId="8641"/>
    <cellStyle name="Normal 14 10 12" xfId="8642"/>
    <cellStyle name="Normal 14 10 13" xfId="8643"/>
    <cellStyle name="Normal 14 10 2" xfId="8644"/>
    <cellStyle name="Normal 14 10 3" xfId="8645"/>
    <cellStyle name="Normal 14 10 4" xfId="8646"/>
    <cellStyle name="Normal 14 10 5" xfId="8647"/>
    <cellStyle name="Normal 14 10 6" xfId="8648"/>
    <cellStyle name="Normal 14 10 7" xfId="8649"/>
    <cellStyle name="Normal 14 10 8" xfId="8650"/>
    <cellStyle name="Normal 14 10 9" xfId="8651"/>
    <cellStyle name="Normal 14 11" xfId="8652"/>
    <cellStyle name="Normal 14 11 10" xfId="8653"/>
    <cellStyle name="Normal 14 11 11" xfId="8654"/>
    <cellStyle name="Normal 14 11 12" xfId="8655"/>
    <cellStyle name="Normal 14 11 13" xfId="8656"/>
    <cellStyle name="Normal 14 11 2" xfId="8657"/>
    <cellStyle name="Normal 14 11 3" xfId="8658"/>
    <cellStyle name="Normal 14 11 4" xfId="8659"/>
    <cellStyle name="Normal 14 11 5" xfId="8660"/>
    <cellStyle name="Normal 14 11 6" xfId="8661"/>
    <cellStyle name="Normal 14 11 7" xfId="8662"/>
    <cellStyle name="Normal 14 11 8" xfId="8663"/>
    <cellStyle name="Normal 14 11 9" xfId="8664"/>
    <cellStyle name="Normal 14 12" xfId="8665"/>
    <cellStyle name="Normal 14 12 10" xfId="8666"/>
    <cellStyle name="Normal 14 12 11" xfId="8667"/>
    <cellStyle name="Normal 14 12 12" xfId="8668"/>
    <cellStyle name="Normal 14 12 13" xfId="8669"/>
    <cellStyle name="Normal 14 12 2" xfId="8670"/>
    <cellStyle name="Normal 14 12 3" xfId="8671"/>
    <cellStyle name="Normal 14 12 4" xfId="8672"/>
    <cellStyle name="Normal 14 12 5" xfId="8673"/>
    <cellStyle name="Normal 14 12 6" xfId="8674"/>
    <cellStyle name="Normal 14 12 7" xfId="8675"/>
    <cellStyle name="Normal 14 12 8" xfId="8676"/>
    <cellStyle name="Normal 14 12 9" xfId="8677"/>
    <cellStyle name="Normal 14 13" xfId="8678"/>
    <cellStyle name="Normal 14 13 10" xfId="8679"/>
    <cellStyle name="Normal 14 13 11" xfId="8680"/>
    <cellStyle name="Normal 14 13 12" xfId="8681"/>
    <cellStyle name="Normal 14 13 13" xfId="8682"/>
    <cellStyle name="Normal 14 13 2" xfId="8683"/>
    <cellStyle name="Normal 14 13 3" xfId="8684"/>
    <cellStyle name="Normal 14 13 4" xfId="8685"/>
    <cellStyle name="Normal 14 13 5" xfId="8686"/>
    <cellStyle name="Normal 14 13 6" xfId="8687"/>
    <cellStyle name="Normal 14 13 7" xfId="8688"/>
    <cellStyle name="Normal 14 13 8" xfId="8689"/>
    <cellStyle name="Normal 14 13 9" xfId="8690"/>
    <cellStyle name="Normal 14 14" xfId="8691"/>
    <cellStyle name="Normal 14 14 10" xfId="8692"/>
    <cellStyle name="Normal 14 14 11" xfId="8693"/>
    <cellStyle name="Normal 14 14 12" xfId="8694"/>
    <cellStyle name="Normal 14 14 13" xfId="8695"/>
    <cellStyle name="Normal 14 14 2" xfId="8696"/>
    <cellStyle name="Normal 14 14 3" xfId="8697"/>
    <cellStyle name="Normal 14 14 4" xfId="8698"/>
    <cellStyle name="Normal 14 14 5" xfId="8699"/>
    <cellStyle name="Normal 14 14 6" xfId="8700"/>
    <cellStyle name="Normal 14 14 7" xfId="8701"/>
    <cellStyle name="Normal 14 14 8" xfId="8702"/>
    <cellStyle name="Normal 14 14 9" xfId="8703"/>
    <cellStyle name="Normal 14 15" xfId="8704"/>
    <cellStyle name="Normal 14 15 10" xfId="8705"/>
    <cellStyle name="Normal 14 15 11" xfId="8706"/>
    <cellStyle name="Normal 14 15 12" xfId="8707"/>
    <cellStyle name="Normal 14 15 13" xfId="8708"/>
    <cellStyle name="Normal 14 15 2" xfId="8709"/>
    <cellStyle name="Normal 14 15 3" xfId="8710"/>
    <cellStyle name="Normal 14 15 4" xfId="8711"/>
    <cellStyle name="Normal 14 15 5" xfId="8712"/>
    <cellStyle name="Normal 14 15 6" xfId="8713"/>
    <cellStyle name="Normal 14 15 7" xfId="8714"/>
    <cellStyle name="Normal 14 15 8" xfId="8715"/>
    <cellStyle name="Normal 14 15 9" xfId="8716"/>
    <cellStyle name="Normal 14 16" xfId="8717"/>
    <cellStyle name="Normal 14 16 10" xfId="8718"/>
    <cellStyle name="Normal 14 16 11" xfId="8719"/>
    <cellStyle name="Normal 14 16 12" xfId="8720"/>
    <cellStyle name="Normal 14 16 13" xfId="8721"/>
    <cellStyle name="Normal 14 16 2" xfId="8722"/>
    <cellStyle name="Normal 14 16 3" xfId="8723"/>
    <cellStyle name="Normal 14 16 4" xfId="8724"/>
    <cellStyle name="Normal 14 16 5" xfId="8725"/>
    <cellStyle name="Normal 14 16 6" xfId="8726"/>
    <cellStyle name="Normal 14 16 7" xfId="8727"/>
    <cellStyle name="Normal 14 16 8" xfId="8728"/>
    <cellStyle name="Normal 14 16 9" xfId="8729"/>
    <cellStyle name="Normal 14 17" xfId="8730"/>
    <cellStyle name="Normal 14 17 10" xfId="8731"/>
    <cellStyle name="Normal 14 17 11" xfId="8732"/>
    <cellStyle name="Normal 14 17 12" xfId="8733"/>
    <cellStyle name="Normal 14 17 13" xfId="8734"/>
    <cellStyle name="Normal 14 17 2" xfId="8735"/>
    <cellStyle name="Normal 14 17 3" xfId="8736"/>
    <cellStyle name="Normal 14 17 4" xfId="8737"/>
    <cellStyle name="Normal 14 17 5" xfId="8738"/>
    <cellStyle name="Normal 14 17 6" xfId="8739"/>
    <cellStyle name="Normal 14 17 7" xfId="8740"/>
    <cellStyle name="Normal 14 17 8" xfId="8741"/>
    <cellStyle name="Normal 14 17 9" xfId="8742"/>
    <cellStyle name="Normal 14 18" xfId="8743"/>
    <cellStyle name="Normal 14 18 10" xfId="8744"/>
    <cellStyle name="Normal 14 18 11" xfId="8745"/>
    <cellStyle name="Normal 14 18 12" xfId="8746"/>
    <cellStyle name="Normal 14 18 13" xfId="8747"/>
    <cellStyle name="Normal 14 18 2" xfId="8748"/>
    <cellStyle name="Normal 14 18 3" xfId="8749"/>
    <cellStyle name="Normal 14 18 4" xfId="8750"/>
    <cellStyle name="Normal 14 18 5" xfId="8751"/>
    <cellStyle name="Normal 14 18 6" xfId="8752"/>
    <cellStyle name="Normal 14 18 7" xfId="8753"/>
    <cellStyle name="Normal 14 18 8" xfId="8754"/>
    <cellStyle name="Normal 14 18 9" xfId="8755"/>
    <cellStyle name="Normal 14 19" xfId="8756"/>
    <cellStyle name="Normal 14 19 10" xfId="8757"/>
    <cellStyle name="Normal 14 19 11" xfId="8758"/>
    <cellStyle name="Normal 14 19 12" xfId="8759"/>
    <cellStyle name="Normal 14 19 13" xfId="8760"/>
    <cellStyle name="Normal 14 19 2" xfId="8761"/>
    <cellStyle name="Normal 14 19 3" xfId="8762"/>
    <cellStyle name="Normal 14 19 4" xfId="8763"/>
    <cellStyle name="Normal 14 19 5" xfId="8764"/>
    <cellStyle name="Normal 14 19 6" xfId="8765"/>
    <cellStyle name="Normal 14 19 7" xfId="8766"/>
    <cellStyle name="Normal 14 19 8" xfId="8767"/>
    <cellStyle name="Normal 14 19 9" xfId="8768"/>
    <cellStyle name="Normal 14 2" xfId="8769"/>
    <cellStyle name="Normal 14 2 10" xfId="8770"/>
    <cellStyle name="Normal 14 2 11" xfId="8771"/>
    <cellStyle name="Normal 14 2 12" xfId="8772"/>
    <cellStyle name="Normal 14 2 13" xfId="8773"/>
    <cellStyle name="Normal 14 2 2" xfId="8774"/>
    <cellStyle name="Normal 14 2 3" xfId="8775"/>
    <cellStyle name="Normal 14 2 4" xfId="8776"/>
    <cellStyle name="Normal 14 2 5" xfId="8777"/>
    <cellStyle name="Normal 14 2 6" xfId="8778"/>
    <cellStyle name="Normal 14 2 7" xfId="8779"/>
    <cellStyle name="Normal 14 2 8" xfId="8780"/>
    <cellStyle name="Normal 14 2 9" xfId="8781"/>
    <cellStyle name="Normal 14 20" xfId="8782"/>
    <cellStyle name="Normal 14 20 10" xfId="8783"/>
    <cellStyle name="Normal 14 20 11" xfId="8784"/>
    <cellStyle name="Normal 14 20 12" xfId="8785"/>
    <cellStyle name="Normal 14 20 13" xfId="8786"/>
    <cellStyle name="Normal 14 20 2" xfId="8787"/>
    <cellStyle name="Normal 14 20 3" xfId="8788"/>
    <cellStyle name="Normal 14 20 4" xfId="8789"/>
    <cellStyle name="Normal 14 20 5" xfId="8790"/>
    <cellStyle name="Normal 14 20 6" xfId="8791"/>
    <cellStyle name="Normal 14 20 7" xfId="8792"/>
    <cellStyle name="Normal 14 20 8" xfId="8793"/>
    <cellStyle name="Normal 14 20 9" xfId="8794"/>
    <cellStyle name="Normal 14 21" xfId="8795"/>
    <cellStyle name="Normal 14 21 10" xfId="8796"/>
    <cellStyle name="Normal 14 21 11" xfId="8797"/>
    <cellStyle name="Normal 14 21 12" xfId="8798"/>
    <cellStyle name="Normal 14 21 13" xfId="8799"/>
    <cellStyle name="Normal 14 21 2" xfId="8800"/>
    <cellStyle name="Normal 14 21 3" xfId="8801"/>
    <cellStyle name="Normal 14 21 4" xfId="8802"/>
    <cellStyle name="Normal 14 21 5" xfId="8803"/>
    <cellStyle name="Normal 14 21 6" xfId="8804"/>
    <cellStyle name="Normal 14 21 7" xfId="8805"/>
    <cellStyle name="Normal 14 21 8" xfId="8806"/>
    <cellStyle name="Normal 14 21 9" xfId="8807"/>
    <cellStyle name="Normal 14 22" xfId="8808"/>
    <cellStyle name="Normal 14 22 10" xfId="8809"/>
    <cellStyle name="Normal 14 22 11" xfId="8810"/>
    <cellStyle name="Normal 14 22 12" xfId="8811"/>
    <cellStyle name="Normal 14 22 13" xfId="8812"/>
    <cellStyle name="Normal 14 22 2" xfId="8813"/>
    <cellStyle name="Normal 14 22 3" xfId="8814"/>
    <cellStyle name="Normal 14 22 4" xfId="8815"/>
    <cellStyle name="Normal 14 22 5" xfId="8816"/>
    <cellStyle name="Normal 14 22 6" xfId="8817"/>
    <cellStyle name="Normal 14 22 7" xfId="8818"/>
    <cellStyle name="Normal 14 22 8" xfId="8819"/>
    <cellStyle name="Normal 14 22 9" xfId="8820"/>
    <cellStyle name="Normal 14 23" xfId="8821"/>
    <cellStyle name="Normal 14 23 10" xfId="8822"/>
    <cellStyle name="Normal 14 23 11" xfId="8823"/>
    <cellStyle name="Normal 14 23 12" xfId="8824"/>
    <cellStyle name="Normal 14 23 13" xfId="8825"/>
    <cellStyle name="Normal 14 23 2" xfId="8826"/>
    <cellStyle name="Normal 14 23 3" xfId="8827"/>
    <cellStyle name="Normal 14 23 4" xfId="8828"/>
    <cellStyle name="Normal 14 23 5" xfId="8829"/>
    <cellStyle name="Normal 14 23 6" xfId="8830"/>
    <cellStyle name="Normal 14 23 7" xfId="8831"/>
    <cellStyle name="Normal 14 23 8" xfId="8832"/>
    <cellStyle name="Normal 14 23 9" xfId="8833"/>
    <cellStyle name="Normal 14 24" xfId="8834"/>
    <cellStyle name="Normal 14 24 10" xfId="8835"/>
    <cellStyle name="Normal 14 24 11" xfId="8836"/>
    <cellStyle name="Normal 14 24 12" xfId="8837"/>
    <cellStyle name="Normal 14 24 13" xfId="8838"/>
    <cellStyle name="Normal 14 24 2" xfId="8839"/>
    <cellStyle name="Normal 14 24 3" xfId="8840"/>
    <cellStyle name="Normal 14 24 4" xfId="8841"/>
    <cellStyle name="Normal 14 24 5" xfId="8842"/>
    <cellStyle name="Normal 14 24 6" xfId="8843"/>
    <cellStyle name="Normal 14 24 7" xfId="8844"/>
    <cellStyle name="Normal 14 24 8" xfId="8845"/>
    <cellStyle name="Normal 14 24 9" xfId="8846"/>
    <cellStyle name="Normal 14 25" xfId="8847"/>
    <cellStyle name="Normal 14 25 10" xfId="8848"/>
    <cellStyle name="Normal 14 25 11" xfId="8849"/>
    <cellStyle name="Normal 14 25 12" xfId="8850"/>
    <cellStyle name="Normal 14 25 13" xfId="8851"/>
    <cellStyle name="Normal 14 25 2" xfId="8852"/>
    <cellStyle name="Normal 14 25 3" xfId="8853"/>
    <cellStyle name="Normal 14 25 4" xfId="8854"/>
    <cellStyle name="Normal 14 25 5" xfId="8855"/>
    <cellStyle name="Normal 14 25 6" xfId="8856"/>
    <cellStyle name="Normal 14 25 7" xfId="8857"/>
    <cellStyle name="Normal 14 25 8" xfId="8858"/>
    <cellStyle name="Normal 14 25 9" xfId="8859"/>
    <cellStyle name="Normal 14 26" xfId="8860"/>
    <cellStyle name="Normal 14 26 10" xfId="8861"/>
    <cellStyle name="Normal 14 26 11" xfId="8862"/>
    <cellStyle name="Normal 14 26 12" xfId="8863"/>
    <cellStyle name="Normal 14 26 13" xfId="8864"/>
    <cellStyle name="Normal 14 26 2" xfId="8865"/>
    <cellStyle name="Normal 14 26 3" xfId="8866"/>
    <cellStyle name="Normal 14 26 4" xfId="8867"/>
    <cellStyle name="Normal 14 26 5" xfId="8868"/>
    <cellStyle name="Normal 14 26 6" xfId="8869"/>
    <cellStyle name="Normal 14 26 7" xfId="8870"/>
    <cellStyle name="Normal 14 26 8" xfId="8871"/>
    <cellStyle name="Normal 14 26 9" xfId="8872"/>
    <cellStyle name="Normal 14 27" xfId="8873"/>
    <cellStyle name="Normal 14 27 10" xfId="8874"/>
    <cellStyle name="Normal 14 27 11" xfId="8875"/>
    <cellStyle name="Normal 14 27 12" xfId="8876"/>
    <cellStyle name="Normal 14 27 13" xfId="8877"/>
    <cellStyle name="Normal 14 27 2" xfId="8878"/>
    <cellStyle name="Normal 14 27 3" xfId="8879"/>
    <cellStyle name="Normal 14 27 4" xfId="8880"/>
    <cellStyle name="Normal 14 27 5" xfId="8881"/>
    <cellStyle name="Normal 14 27 6" xfId="8882"/>
    <cellStyle name="Normal 14 27 7" xfId="8883"/>
    <cellStyle name="Normal 14 27 8" xfId="8884"/>
    <cellStyle name="Normal 14 27 9" xfId="8885"/>
    <cellStyle name="Normal 14 28" xfId="8886"/>
    <cellStyle name="Normal 14 28 10" xfId="8887"/>
    <cellStyle name="Normal 14 28 11" xfId="8888"/>
    <cellStyle name="Normal 14 28 12" xfId="8889"/>
    <cellStyle name="Normal 14 28 13" xfId="8890"/>
    <cellStyle name="Normal 14 28 2" xfId="8891"/>
    <cellStyle name="Normal 14 28 3" xfId="8892"/>
    <cellStyle name="Normal 14 28 4" xfId="8893"/>
    <cellStyle name="Normal 14 28 5" xfId="8894"/>
    <cellStyle name="Normal 14 28 6" xfId="8895"/>
    <cellStyle name="Normal 14 28 7" xfId="8896"/>
    <cellStyle name="Normal 14 28 8" xfId="8897"/>
    <cellStyle name="Normal 14 28 9" xfId="8898"/>
    <cellStyle name="Normal 14 29" xfId="8899"/>
    <cellStyle name="Normal 14 29 10" xfId="8900"/>
    <cellStyle name="Normal 14 29 11" xfId="8901"/>
    <cellStyle name="Normal 14 29 12" xfId="8902"/>
    <cellStyle name="Normal 14 29 13" xfId="8903"/>
    <cellStyle name="Normal 14 29 2" xfId="8904"/>
    <cellStyle name="Normal 14 29 3" xfId="8905"/>
    <cellStyle name="Normal 14 29 4" xfId="8906"/>
    <cellStyle name="Normal 14 29 5" xfId="8907"/>
    <cellStyle name="Normal 14 29 6" xfId="8908"/>
    <cellStyle name="Normal 14 29 7" xfId="8909"/>
    <cellStyle name="Normal 14 29 8" xfId="8910"/>
    <cellStyle name="Normal 14 29 9" xfId="8911"/>
    <cellStyle name="Normal 14 3" xfId="8912"/>
    <cellStyle name="Normal 14 3 10" xfId="8913"/>
    <cellStyle name="Normal 14 3 11" xfId="8914"/>
    <cellStyle name="Normal 14 3 12" xfId="8915"/>
    <cellStyle name="Normal 14 3 13" xfId="8916"/>
    <cellStyle name="Normal 14 3 2" xfId="8917"/>
    <cellStyle name="Normal 14 3 3" xfId="8918"/>
    <cellStyle name="Normal 14 3 4" xfId="8919"/>
    <cellStyle name="Normal 14 3 5" xfId="8920"/>
    <cellStyle name="Normal 14 3 6" xfId="8921"/>
    <cellStyle name="Normal 14 3 7" xfId="8922"/>
    <cellStyle name="Normal 14 3 8" xfId="8923"/>
    <cellStyle name="Normal 14 3 9" xfId="8924"/>
    <cellStyle name="Normal 14 30" xfId="8925"/>
    <cellStyle name="Normal 14 30 10" xfId="8926"/>
    <cellStyle name="Normal 14 30 11" xfId="8927"/>
    <cellStyle name="Normal 14 30 12" xfId="8928"/>
    <cellStyle name="Normal 14 30 13" xfId="8929"/>
    <cellStyle name="Normal 14 30 2" xfId="8930"/>
    <cellStyle name="Normal 14 30 3" xfId="8931"/>
    <cellStyle name="Normal 14 30 4" xfId="8932"/>
    <cellStyle name="Normal 14 30 5" xfId="8933"/>
    <cellStyle name="Normal 14 30 6" xfId="8934"/>
    <cellStyle name="Normal 14 30 7" xfId="8935"/>
    <cellStyle name="Normal 14 30 8" xfId="8936"/>
    <cellStyle name="Normal 14 30 9" xfId="8937"/>
    <cellStyle name="Normal 14 31" xfId="8938"/>
    <cellStyle name="Normal 14 31 10" xfId="8939"/>
    <cellStyle name="Normal 14 31 11" xfId="8940"/>
    <cellStyle name="Normal 14 31 12" xfId="8941"/>
    <cellStyle name="Normal 14 31 13" xfId="8942"/>
    <cellStyle name="Normal 14 31 2" xfId="8943"/>
    <cellStyle name="Normal 14 31 3" xfId="8944"/>
    <cellStyle name="Normal 14 31 4" xfId="8945"/>
    <cellStyle name="Normal 14 31 5" xfId="8946"/>
    <cellStyle name="Normal 14 31 6" xfId="8947"/>
    <cellStyle name="Normal 14 31 7" xfId="8948"/>
    <cellStyle name="Normal 14 31 8" xfId="8949"/>
    <cellStyle name="Normal 14 31 9" xfId="8950"/>
    <cellStyle name="Normal 14 32" xfId="8951"/>
    <cellStyle name="Normal 14 32 10" xfId="8952"/>
    <cellStyle name="Normal 14 32 11" xfId="8953"/>
    <cellStyle name="Normal 14 32 12" xfId="8954"/>
    <cellStyle name="Normal 14 32 13" xfId="8955"/>
    <cellStyle name="Normal 14 32 2" xfId="8956"/>
    <cellStyle name="Normal 14 32 3" xfId="8957"/>
    <cellStyle name="Normal 14 32 4" xfId="8958"/>
    <cellStyle name="Normal 14 32 5" xfId="8959"/>
    <cellStyle name="Normal 14 32 6" xfId="8960"/>
    <cellStyle name="Normal 14 32 7" xfId="8961"/>
    <cellStyle name="Normal 14 32 8" xfId="8962"/>
    <cellStyle name="Normal 14 32 9" xfId="8963"/>
    <cellStyle name="Normal 14 33" xfId="8964"/>
    <cellStyle name="Normal 14 33 10" xfId="8965"/>
    <cellStyle name="Normal 14 33 11" xfId="8966"/>
    <cellStyle name="Normal 14 33 12" xfId="8967"/>
    <cellStyle name="Normal 14 33 13" xfId="8968"/>
    <cellStyle name="Normal 14 33 2" xfId="8969"/>
    <cellStyle name="Normal 14 33 3" xfId="8970"/>
    <cellStyle name="Normal 14 33 4" xfId="8971"/>
    <cellStyle name="Normal 14 33 5" xfId="8972"/>
    <cellStyle name="Normal 14 33 6" xfId="8973"/>
    <cellStyle name="Normal 14 33 7" xfId="8974"/>
    <cellStyle name="Normal 14 33 8" xfId="8975"/>
    <cellStyle name="Normal 14 33 9" xfId="8976"/>
    <cellStyle name="Normal 14 34" xfId="8977"/>
    <cellStyle name="Normal 14 34 10" xfId="8978"/>
    <cellStyle name="Normal 14 34 11" xfId="8979"/>
    <cellStyle name="Normal 14 34 12" xfId="8980"/>
    <cellStyle name="Normal 14 34 13" xfId="8981"/>
    <cellStyle name="Normal 14 34 2" xfId="8982"/>
    <cellStyle name="Normal 14 34 3" xfId="8983"/>
    <cellStyle name="Normal 14 34 4" xfId="8984"/>
    <cellStyle name="Normal 14 34 5" xfId="8985"/>
    <cellStyle name="Normal 14 34 6" xfId="8986"/>
    <cellStyle name="Normal 14 34 7" xfId="8987"/>
    <cellStyle name="Normal 14 34 8" xfId="8988"/>
    <cellStyle name="Normal 14 34 9" xfId="8989"/>
    <cellStyle name="Normal 14 35" xfId="8990"/>
    <cellStyle name="Normal 14 35 10" xfId="8991"/>
    <cellStyle name="Normal 14 35 11" xfId="8992"/>
    <cellStyle name="Normal 14 35 12" xfId="8993"/>
    <cellStyle name="Normal 14 35 13" xfId="8994"/>
    <cellStyle name="Normal 14 35 2" xfId="8995"/>
    <cellStyle name="Normal 14 35 3" xfId="8996"/>
    <cellStyle name="Normal 14 35 4" xfId="8997"/>
    <cellStyle name="Normal 14 35 5" xfId="8998"/>
    <cellStyle name="Normal 14 35 6" xfId="8999"/>
    <cellStyle name="Normal 14 35 7" xfId="9000"/>
    <cellStyle name="Normal 14 35 8" xfId="9001"/>
    <cellStyle name="Normal 14 35 9" xfId="9002"/>
    <cellStyle name="Normal 14 36" xfId="9003"/>
    <cellStyle name="Normal 14 36 10" xfId="9004"/>
    <cellStyle name="Normal 14 36 11" xfId="9005"/>
    <cellStyle name="Normal 14 36 12" xfId="9006"/>
    <cellStyle name="Normal 14 36 13" xfId="9007"/>
    <cellStyle name="Normal 14 36 2" xfId="9008"/>
    <cellStyle name="Normal 14 36 3" xfId="9009"/>
    <cellStyle name="Normal 14 36 4" xfId="9010"/>
    <cellStyle name="Normal 14 36 5" xfId="9011"/>
    <cellStyle name="Normal 14 36 6" xfId="9012"/>
    <cellStyle name="Normal 14 36 7" xfId="9013"/>
    <cellStyle name="Normal 14 36 8" xfId="9014"/>
    <cellStyle name="Normal 14 36 9" xfId="9015"/>
    <cellStyle name="Normal 14 37" xfId="9016"/>
    <cellStyle name="Normal 14 37 10" xfId="9017"/>
    <cellStyle name="Normal 14 37 11" xfId="9018"/>
    <cellStyle name="Normal 14 37 12" xfId="9019"/>
    <cellStyle name="Normal 14 37 13" xfId="9020"/>
    <cellStyle name="Normal 14 37 2" xfId="9021"/>
    <cellStyle name="Normal 14 37 3" xfId="9022"/>
    <cellStyle name="Normal 14 37 4" xfId="9023"/>
    <cellStyle name="Normal 14 37 5" xfId="9024"/>
    <cellStyle name="Normal 14 37 6" xfId="9025"/>
    <cellStyle name="Normal 14 37 7" xfId="9026"/>
    <cellStyle name="Normal 14 37 8" xfId="9027"/>
    <cellStyle name="Normal 14 37 9" xfId="9028"/>
    <cellStyle name="Normal 14 38" xfId="9029"/>
    <cellStyle name="Normal 14 38 10" xfId="9030"/>
    <cellStyle name="Normal 14 38 11" xfId="9031"/>
    <cellStyle name="Normal 14 38 12" xfId="9032"/>
    <cellStyle name="Normal 14 38 13" xfId="9033"/>
    <cellStyle name="Normal 14 38 2" xfId="9034"/>
    <cellStyle name="Normal 14 38 3" xfId="9035"/>
    <cellStyle name="Normal 14 38 4" xfId="9036"/>
    <cellStyle name="Normal 14 38 5" xfId="9037"/>
    <cellStyle name="Normal 14 38 6" xfId="9038"/>
    <cellStyle name="Normal 14 38 7" xfId="9039"/>
    <cellStyle name="Normal 14 38 8" xfId="9040"/>
    <cellStyle name="Normal 14 38 9" xfId="9041"/>
    <cellStyle name="Normal 14 39" xfId="9042"/>
    <cellStyle name="Normal 14 39 10" xfId="9043"/>
    <cellStyle name="Normal 14 39 11" xfId="9044"/>
    <cellStyle name="Normal 14 39 12" xfId="9045"/>
    <cellStyle name="Normal 14 39 13" xfId="9046"/>
    <cellStyle name="Normal 14 39 2" xfId="9047"/>
    <cellStyle name="Normal 14 39 3" xfId="9048"/>
    <cellStyle name="Normal 14 39 4" xfId="9049"/>
    <cellStyle name="Normal 14 39 5" xfId="9050"/>
    <cellStyle name="Normal 14 39 6" xfId="9051"/>
    <cellStyle name="Normal 14 39 7" xfId="9052"/>
    <cellStyle name="Normal 14 39 8" xfId="9053"/>
    <cellStyle name="Normal 14 39 9" xfId="9054"/>
    <cellStyle name="Normal 14 4" xfId="9055"/>
    <cellStyle name="Normal 14 4 10" xfId="9056"/>
    <cellStyle name="Normal 14 4 11" xfId="9057"/>
    <cellStyle name="Normal 14 4 12" xfId="9058"/>
    <cellStyle name="Normal 14 4 13" xfId="9059"/>
    <cellStyle name="Normal 14 4 2" xfId="9060"/>
    <cellStyle name="Normal 14 4 3" xfId="9061"/>
    <cellStyle name="Normal 14 4 4" xfId="9062"/>
    <cellStyle name="Normal 14 4 5" xfId="9063"/>
    <cellStyle name="Normal 14 4 6" xfId="9064"/>
    <cellStyle name="Normal 14 4 7" xfId="9065"/>
    <cellStyle name="Normal 14 4 8" xfId="9066"/>
    <cellStyle name="Normal 14 4 9" xfId="9067"/>
    <cellStyle name="Normal 14 40" xfId="9068"/>
    <cellStyle name="Normal 14 40 10" xfId="9069"/>
    <cellStyle name="Normal 14 40 11" xfId="9070"/>
    <cellStyle name="Normal 14 40 12" xfId="9071"/>
    <cellStyle name="Normal 14 40 13" xfId="9072"/>
    <cellStyle name="Normal 14 40 2" xfId="9073"/>
    <cellStyle name="Normal 14 40 3" xfId="9074"/>
    <cellStyle name="Normal 14 40 4" xfId="9075"/>
    <cellStyle name="Normal 14 40 5" xfId="9076"/>
    <cellStyle name="Normal 14 40 6" xfId="9077"/>
    <cellStyle name="Normal 14 40 7" xfId="9078"/>
    <cellStyle name="Normal 14 40 8" xfId="9079"/>
    <cellStyle name="Normal 14 40 9" xfId="9080"/>
    <cellStyle name="Normal 14 41" xfId="9081"/>
    <cellStyle name="Normal 14 41 10" xfId="9082"/>
    <cellStyle name="Normal 14 41 11" xfId="9083"/>
    <cellStyle name="Normal 14 41 12" xfId="9084"/>
    <cellStyle name="Normal 14 41 13" xfId="9085"/>
    <cellStyle name="Normal 14 41 2" xfId="9086"/>
    <cellStyle name="Normal 14 41 3" xfId="9087"/>
    <cellStyle name="Normal 14 41 4" xfId="9088"/>
    <cellStyle name="Normal 14 41 5" xfId="9089"/>
    <cellStyle name="Normal 14 41 6" xfId="9090"/>
    <cellStyle name="Normal 14 41 7" xfId="9091"/>
    <cellStyle name="Normal 14 41 8" xfId="9092"/>
    <cellStyle name="Normal 14 41 9" xfId="9093"/>
    <cellStyle name="Normal 14 42" xfId="9094"/>
    <cellStyle name="Normal 14 42 10" xfId="9095"/>
    <cellStyle name="Normal 14 42 11" xfId="9096"/>
    <cellStyle name="Normal 14 42 12" xfId="9097"/>
    <cellStyle name="Normal 14 42 13" xfId="9098"/>
    <cellStyle name="Normal 14 42 2" xfId="9099"/>
    <cellStyle name="Normal 14 42 3" xfId="9100"/>
    <cellStyle name="Normal 14 42 4" xfId="9101"/>
    <cellStyle name="Normal 14 42 5" xfId="9102"/>
    <cellStyle name="Normal 14 42 6" xfId="9103"/>
    <cellStyle name="Normal 14 42 7" xfId="9104"/>
    <cellStyle name="Normal 14 42 8" xfId="9105"/>
    <cellStyle name="Normal 14 42 9" xfId="9106"/>
    <cellStyle name="Normal 14 43" xfId="9107"/>
    <cellStyle name="Normal 14 43 10" xfId="9108"/>
    <cellStyle name="Normal 14 43 11" xfId="9109"/>
    <cellStyle name="Normal 14 43 12" xfId="9110"/>
    <cellStyle name="Normal 14 43 13" xfId="9111"/>
    <cellStyle name="Normal 14 43 2" xfId="9112"/>
    <cellStyle name="Normal 14 43 3" xfId="9113"/>
    <cellStyle name="Normal 14 43 4" xfId="9114"/>
    <cellStyle name="Normal 14 43 5" xfId="9115"/>
    <cellStyle name="Normal 14 43 6" xfId="9116"/>
    <cellStyle name="Normal 14 43 7" xfId="9117"/>
    <cellStyle name="Normal 14 43 8" xfId="9118"/>
    <cellStyle name="Normal 14 43 9" xfId="9119"/>
    <cellStyle name="Normal 14 44" xfId="9120"/>
    <cellStyle name="Normal 14 44 10" xfId="9121"/>
    <cellStyle name="Normal 14 44 11" xfId="9122"/>
    <cellStyle name="Normal 14 44 12" xfId="9123"/>
    <cellStyle name="Normal 14 44 13" xfId="9124"/>
    <cellStyle name="Normal 14 44 2" xfId="9125"/>
    <cellStyle name="Normal 14 44 3" xfId="9126"/>
    <cellStyle name="Normal 14 44 4" xfId="9127"/>
    <cellStyle name="Normal 14 44 5" xfId="9128"/>
    <cellStyle name="Normal 14 44 6" xfId="9129"/>
    <cellStyle name="Normal 14 44 7" xfId="9130"/>
    <cellStyle name="Normal 14 44 8" xfId="9131"/>
    <cellStyle name="Normal 14 44 9" xfId="9132"/>
    <cellStyle name="Normal 14 45" xfId="9133"/>
    <cellStyle name="Normal 14 45 10" xfId="9134"/>
    <cellStyle name="Normal 14 45 11" xfId="9135"/>
    <cellStyle name="Normal 14 45 12" xfId="9136"/>
    <cellStyle name="Normal 14 45 13" xfId="9137"/>
    <cellStyle name="Normal 14 45 2" xfId="9138"/>
    <cellStyle name="Normal 14 45 3" xfId="9139"/>
    <cellStyle name="Normal 14 45 4" xfId="9140"/>
    <cellStyle name="Normal 14 45 5" xfId="9141"/>
    <cellStyle name="Normal 14 45 6" xfId="9142"/>
    <cellStyle name="Normal 14 45 7" xfId="9143"/>
    <cellStyle name="Normal 14 45 8" xfId="9144"/>
    <cellStyle name="Normal 14 45 9" xfId="9145"/>
    <cellStyle name="Normal 14 46" xfId="9146"/>
    <cellStyle name="Normal 14 46 10" xfId="9147"/>
    <cellStyle name="Normal 14 46 11" xfId="9148"/>
    <cellStyle name="Normal 14 46 12" xfId="9149"/>
    <cellStyle name="Normal 14 46 13" xfId="9150"/>
    <cellStyle name="Normal 14 46 2" xfId="9151"/>
    <cellStyle name="Normal 14 46 3" xfId="9152"/>
    <cellStyle name="Normal 14 46 4" xfId="9153"/>
    <cellStyle name="Normal 14 46 5" xfId="9154"/>
    <cellStyle name="Normal 14 46 6" xfId="9155"/>
    <cellStyle name="Normal 14 46 7" xfId="9156"/>
    <cellStyle name="Normal 14 46 8" xfId="9157"/>
    <cellStyle name="Normal 14 46 9" xfId="9158"/>
    <cellStyle name="Normal 14 47" xfId="9159"/>
    <cellStyle name="Normal 14 47 10" xfId="9160"/>
    <cellStyle name="Normal 14 47 11" xfId="9161"/>
    <cellStyle name="Normal 14 47 12" xfId="9162"/>
    <cellStyle name="Normal 14 47 13" xfId="9163"/>
    <cellStyle name="Normal 14 47 2" xfId="9164"/>
    <cellStyle name="Normal 14 47 3" xfId="9165"/>
    <cellStyle name="Normal 14 47 4" xfId="9166"/>
    <cellStyle name="Normal 14 47 5" xfId="9167"/>
    <cellStyle name="Normal 14 47 6" xfId="9168"/>
    <cellStyle name="Normal 14 47 7" xfId="9169"/>
    <cellStyle name="Normal 14 47 8" xfId="9170"/>
    <cellStyle name="Normal 14 47 9" xfId="9171"/>
    <cellStyle name="Normal 14 48" xfId="9172"/>
    <cellStyle name="Normal 14 48 10" xfId="9173"/>
    <cellStyle name="Normal 14 48 11" xfId="9174"/>
    <cellStyle name="Normal 14 48 12" xfId="9175"/>
    <cellStyle name="Normal 14 48 13" xfId="9176"/>
    <cellStyle name="Normal 14 48 2" xfId="9177"/>
    <cellStyle name="Normal 14 48 3" xfId="9178"/>
    <cellStyle name="Normal 14 48 4" xfId="9179"/>
    <cellStyle name="Normal 14 48 5" xfId="9180"/>
    <cellStyle name="Normal 14 48 6" xfId="9181"/>
    <cellStyle name="Normal 14 48 7" xfId="9182"/>
    <cellStyle name="Normal 14 48 8" xfId="9183"/>
    <cellStyle name="Normal 14 48 9" xfId="9184"/>
    <cellStyle name="Normal 14 49" xfId="9185"/>
    <cellStyle name="Normal 14 49 10" xfId="9186"/>
    <cellStyle name="Normal 14 49 11" xfId="9187"/>
    <cellStyle name="Normal 14 49 12" xfId="9188"/>
    <cellStyle name="Normal 14 49 13" xfId="9189"/>
    <cellStyle name="Normal 14 49 2" xfId="9190"/>
    <cellStyle name="Normal 14 49 3" xfId="9191"/>
    <cellStyle name="Normal 14 49 4" xfId="9192"/>
    <cellStyle name="Normal 14 49 5" xfId="9193"/>
    <cellStyle name="Normal 14 49 6" xfId="9194"/>
    <cellStyle name="Normal 14 49 7" xfId="9195"/>
    <cellStyle name="Normal 14 49 8" xfId="9196"/>
    <cellStyle name="Normal 14 49 9" xfId="9197"/>
    <cellStyle name="Normal 14 5" xfId="9198"/>
    <cellStyle name="Normal 14 5 10" xfId="9199"/>
    <cellStyle name="Normal 14 5 11" xfId="9200"/>
    <cellStyle name="Normal 14 5 12" xfId="9201"/>
    <cellStyle name="Normal 14 5 13" xfId="9202"/>
    <cellStyle name="Normal 14 5 2" xfId="9203"/>
    <cellStyle name="Normal 14 5 3" xfId="9204"/>
    <cellStyle name="Normal 14 5 4" xfId="9205"/>
    <cellStyle name="Normal 14 5 5" xfId="9206"/>
    <cellStyle name="Normal 14 5 6" xfId="9207"/>
    <cellStyle name="Normal 14 5 7" xfId="9208"/>
    <cellStyle name="Normal 14 5 8" xfId="9209"/>
    <cellStyle name="Normal 14 5 9" xfId="9210"/>
    <cellStyle name="Normal 14 50" xfId="9211"/>
    <cellStyle name="Normal 14 50 10" xfId="9212"/>
    <cellStyle name="Normal 14 50 11" xfId="9213"/>
    <cellStyle name="Normal 14 50 12" xfId="9214"/>
    <cellStyle name="Normal 14 50 13" xfId="9215"/>
    <cellStyle name="Normal 14 50 2" xfId="9216"/>
    <cellStyle name="Normal 14 50 3" xfId="9217"/>
    <cellStyle name="Normal 14 50 4" xfId="9218"/>
    <cellStyle name="Normal 14 50 5" xfId="9219"/>
    <cellStyle name="Normal 14 50 6" xfId="9220"/>
    <cellStyle name="Normal 14 50 7" xfId="9221"/>
    <cellStyle name="Normal 14 50 8" xfId="9222"/>
    <cellStyle name="Normal 14 50 9" xfId="9223"/>
    <cellStyle name="Normal 14 51" xfId="9224"/>
    <cellStyle name="Normal 14 51 10" xfId="9225"/>
    <cellStyle name="Normal 14 51 11" xfId="9226"/>
    <cellStyle name="Normal 14 51 12" xfId="9227"/>
    <cellStyle name="Normal 14 51 13" xfId="9228"/>
    <cellStyle name="Normal 14 51 2" xfId="9229"/>
    <cellStyle name="Normal 14 51 3" xfId="9230"/>
    <cellStyle name="Normal 14 51 4" xfId="9231"/>
    <cellStyle name="Normal 14 51 5" xfId="9232"/>
    <cellStyle name="Normal 14 51 6" xfId="9233"/>
    <cellStyle name="Normal 14 51 7" xfId="9234"/>
    <cellStyle name="Normal 14 51 8" xfId="9235"/>
    <cellStyle name="Normal 14 51 9" xfId="9236"/>
    <cellStyle name="Normal 14 52" xfId="9237"/>
    <cellStyle name="Normal 14 52 10" xfId="9238"/>
    <cellStyle name="Normal 14 52 11" xfId="9239"/>
    <cellStyle name="Normal 14 52 12" xfId="9240"/>
    <cellStyle name="Normal 14 52 13" xfId="9241"/>
    <cellStyle name="Normal 14 52 2" xfId="9242"/>
    <cellStyle name="Normal 14 52 3" xfId="9243"/>
    <cellStyle name="Normal 14 52 4" xfId="9244"/>
    <cellStyle name="Normal 14 52 5" xfId="9245"/>
    <cellStyle name="Normal 14 52 6" xfId="9246"/>
    <cellStyle name="Normal 14 52 7" xfId="9247"/>
    <cellStyle name="Normal 14 52 8" xfId="9248"/>
    <cellStyle name="Normal 14 52 9" xfId="9249"/>
    <cellStyle name="Normal 14 53" xfId="9250"/>
    <cellStyle name="Normal 14 53 10" xfId="9251"/>
    <cellStyle name="Normal 14 53 11" xfId="9252"/>
    <cellStyle name="Normal 14 53 12" xfId="9253"/>
    <cellStyle name="Normal 14 53 13" xfId="9254"/>
    <cellStyle name="Normal 14 53 2" xfId="9255"/>
    <cellStyle name="Normal 14 53 3" xfId="9256"/>
    <cellStyle name="Normal 14 53 4" xfId="9257"/>
    <cellStyle name="Normal 14 53 5" xfId="9258"/>
    <cellStyle name="Normal 14 53 6" xfId="9259"/>
    <cellStyle name="Normal 14 53 7" xfId="9260"/>
    <cellStyle name="Normal 14 53 8" xfId="9261"/>
    <cellStyle name="Normal 14 53 9" xfId="9262"/>
    <cellStyle name="Normal 14 54" xfId="9263"/>
    <cellStyle name="Normal 14 54 10" xfId="9264"/>
    <cellStyle name="Normal 14 54 11" xfId="9265"/>
    <cellStyle name="Normal 14 54 12" xfId="9266"/>
    <cellStyle name="Normal 14 54 13" xfId="9267"/>
    <cellStyle name="Normal 14 54 2" xfId="9268"/>
    <cellStyle name="Normal 14 54 3" xfId="9269"/>
    <cellStyle name="Normal 14 54 4" xfId="9270"/>
    <cellStyle name="Normal 14 54 5" xfId="9271"/>
    <cellStyle name="Normal 14 54 6" xfId="9272"/>
    <cellStyle name="Normal 14 54 7" xfId="9273"/>
    <cellStyle name="Normal 14 54 8" xfId="9274"/>
    <cellStyle name="Normal 14 54 9" xfId="9275"/>
    <cellStyle name="Normal 14 55" xfId="9276"/>
    <cellStyle name="Normal 14 55 10" xfId="9277"/>
    <cellStyle name="Normal 14 55 11" xfId="9278"/>
    <cellStyle name="Normal 14 55 12" xfId="9279"/>
    <cellStyle name="Normal 14 55 13" xfId="9280"/>
    <cellStyle name="Normal 14 55 2" xfId="9281"/>
    <cellStyle name="Normal 14 55 3" xfId="9282"/>
    <cellStyle name="Normal 14 55 4" xfId="9283"/>
    <cellStyle name="Normal 14 55 5" xfId="9284"/>
    <cellStyle name="Normal 14 55 6" xfId="9285"/>
    <cellStyle name="Normal 14 55 7" xfId="9286"/>
    <cellStyle name="Normal 14 55 8" xfId="9287"/>
    <cellStyle name="Normal 14 55 9" xfId="9288"/>
    <cellStyle name="Normal 14 56" xfId="9289"/>
    <cellStyle name="Normal 14 56 10" xfId="9290"/>
    <cellStyle name="Normal 14 56 11" xfId="9291"/>
    <cellStyle name="Normal 14 56 12" xfId="9292"/>
    <cellStyle name="Normal 14 56 13" xfId="9293"/>
    <cellStyle name="Normal 14 56 2" xfId="9294"/>
    <cellStyle name="Normal 14 56 3" xfId="9295"/>
    <cellStyle name="Normal 14 56 4" xfId="9296"/>
    <cellStyle name="Normal 14 56 5" xfId="9297"/>
    <cellStyle name="Normal 14 56 6" xfId="9298"/>
    <cellStyle name="Normal 14 56 7" xfId="9299"/>
    <cellStyle name="Normal 14 56 8" xfId="9300"/>
    <cellStyle name="Normal 14 56 9" xfId="9301"/>
    <cellStyle name="Normal 14 57" xfId="9302"/>
    <cellStyle name="Normal 14 57 10" xfId="9303"/>
    <cellStyle name="Normal 14 57 11" xfId="9304"/>
    <cellStyle name="Normal 14 57 12" xfId="9305"/>
    <cellStyle name="Normal 14 57 13" xfId="9306"/>
    <cellStyle name="Normal 14 57 2" xfId="9307"/>
    <cellStyle name="Normal 14 57 3" xfId="9308"/>
    <cellStyle name="Normal 14 57 4" xfId="9309"/>
    <cellStyle name="Normal 14 57 5" xfId="9310"/>
    <cellStyle name="Normal 14 57 6" xfId="9311"/>
    <cellStyle name="Normal 14 57 7" xfId="9312"/>
    <cellStyle name="Normal 14 57 8" xfId="9313"/>
    <cellStyle name="Normal 14 57 9" xfId="9314"/>
    <cellStyle name="Normal 14 58" xfId="9315"/>
    <cellStyle name="Normal 14 58 10" xfId="9316"/>
    <cellStyle name="Normal 14 58 11" xfId="9317"/>
    <cellStyle name="Normal 14 58 12" xfId="9318"/>
    <cellStyle name="Normal 14 58 13" xfId="9319"/>
    <cellStyle name="Normal 14 58 2" xfId="9320"/>
    <cellStyle name="Normal 14 58 3" xfId="9321"/>
    <cellStyle name="Normal 14 58 4" xfId="9322"/>
    <cellStyle name="Normal 14 58 5" xfId="9323"/>
    <cellStyle name="Normal 14 58 6" xfId="9324"/>
    <cellStyle name="Normal 14 58 7" xfId="9325"/>
    <cellStyle name="Normal 14 58 8" xfId="9326"/>
    <cellStyle name="Normal 14 58 9" xfId="9327"/>
    <cellStyle name="Normal 14 59" xfId="9328"/>
    <cellStyle name="Normal 14 59 10" xfId="9329"/>
    <cellStyle name="Normal 14 59 11" xfId="9330"/>
    <cellStyle name="Normal 14 59 12" xfId="9331"/>
    <cellStyle name="Normal 14 59 13" xfId="9332"/>
    <cellStyle name="Normal 14 59 2" xfId="9333"/>
    <cellStyle name="Normal 14 59 3" xfId="9334"/>
    <cellStyle name="Normal 14 59 4" xfId="9335"/>
    <cellStyle name="Normal 14 59 5" xfId="9336"/>
    <cellStyle name="Normal 14 59 6" xfId="9337"/>
    <cellStyle name="Normal 14 59 7" xfId="9338"/>
    <cellStyle name="Normal 14 59 8" xfId="9339"/>
    <cellStyle name="Normal 14 59 9" xfId="9340"/>
    <cellStyle name="Normal 14 6" xfId="9341"/>
    <cellStyle name="Normal 14 6 10" xfId="9342"/>
    <cellStyle name="Normal 14 6 11" xfId="9343"/>
    <cellStyle name="Normal 14 6 12" xfId="9344"/>
    <cellStyle name="Normal 14 6 13" xfId="9345"/>
    <cellStyle name="Normal 14 6 2" xfId="9346"/>
    <cellStyle name="Normal 14 6 3" xfId="9347"/>
    <cellStyle name="Normal 14 6 4" xfId="9348"/>
    <cellStyle name="Normal 14 6 5" xfId="9349"/>
    <cellStyle name="Normal 14 6 6" xfId="9350"/>
    <cellStyle name="Normal 14 6 7" xfId="9351"/>
    <cellStyle name="Normal 14 6 8" xfId="9352"/>
    <cellStyle name="Normal 14 6 9" xfId="9353"/>
    <cellStyle name="Normal 14 60" xfId="9354"/>
    <cellStyle name="Normal 14 60 10" xfId="9355"/>
    <cellStyle name="Normal 14 60 11" xfId="9356"/>
    <cellStyle name="Normal 14 60 12" xfId="9357"/>
    <cellStyle name="Normal 14 60 13" xfId="9358"/>
    <cellStyle name="Normal 14 60 2" xfId="9359"/>
    <cellStyle name="Normal 14 60 3" xfId="9360"/>
    <cellStyle name="Normal 14 60 4" xfId="9361"/>
    <cellStyle name="Normal 14 60 5" xfId="9362"/>
    <cellStyle name="Normal 14 60 6" xfId="9363"/>
    <cellStyle name="Normal 14 60 7" xfId="9364"/>
    <cellStyle name="Normal 14 60 8" xfId="9365"/>
    <cellStyle name="Normal 14 60 9" xfId="9366"/>
    <cellStyle name="Normal 14 61" xfId="9367"/>
    <cellStyle name="Normal 14 61 10" xfId="9368"/>
    <cellStyle name="Normal 14 61 11" xfId="9369"/>
    <cellStyle name="Normal 14 61 12" xfId="9370"/>
    <cellStyle name="Normal 14 61 13" xfId="9371"/>
    <cellStyle name="Normal 14 61 2" xfId="9372"/>
    <cellStyle name="Normal 14 61 3" xfId="9373"/>
    <cellStyle name="Normal 14 61 4" xfId="9374"/>
    <cellStyle name="Normal 14 61 5" xfId="9375"/>
    <cellStyle name="Normal 14 61 6" xfId="9376"/>
    <cellStyle name="Normal 14 61 7" xfId="9377"/>
    <cellStyle name="Normal 14 61 8" xfId="9378"/>
    <cellStyle name="Normal 14 61 9" xfId="9379"/>
    <cellStyle name="Normal 14 62" xfId="9380"/>
    <cellStyle name="Normal 14 62 10" xfId="9381"/>
    <cellStyle name="Normal 14 62 11" xfId="9382"/>
    <cellStyle name="Normal 14 62 12" xfId="9383"/>
    <cellStyle name="Normal 14 62 13" xfId="9384"/>
    <cellStyle name="Normal 14 62 2" xfId="9385"/>
    <cellStyle name="Normal 14 62 3" xfId="9386"/>
    <cellStyle name="Normal 14 62 4" xfId="9387"/>
    <cellStyle name="Normal 14 62 5" xfId="9388"/>
    <cellStyle name="Normal 14 62 6" xfId="9389"/>
    <cellStyle name="Normal 14 62 7" xfId="9390"/>
    <cellStyle name="Normal 14 62 8" xfId="9391"/>
    <cellStyle name="Normal 14 62 9" xfId="9392"/>
    <cellStyle name="Normal 14 63" xfId="9393"/>
    <cellStyle name="Normal 14 63 10" xfId="9394"/>
    <cellStyle name="Normal 14 63 11" xfId="9395"/>
    <cellStyle name="Normal 14 63 12" xfId="9396"/>
    <cellStyle name="Normal 14 63 13" xfId="9397"/>
    <cellStyle name="Normal 14 63 2" xfId="9398"/>
    <cellStyle name="Normal 14 63 3" xfId="9399"/>
    <cellStyle name="Normal 14 63 4" xfId="9400"/>
    <cellStyle name="Normal 14 63 5" xfId="9401"/>
    <cellStyle name="Normal 14 63 6" xfId="9402"/>
    <cellStyle name="Normal 14 63 7" xfId="9403"/>
    <cellStyle name="Normal 14 63 8" xfId="9404"/>
    <cellStyle name="Normal 14 63 9" xfId="9405"/>
    <cellStyle name="Normal 14 64" xfId="9406"/>
    <cellStyle name="Normal 14 64 10" xfId="9407"/>
    <cellStyle name="Normal 14 64 11" xfId="9408"/>
    <cellStyle name="Normal 14 64 12" xfId="9409"/>
    <cellStyle name="Normal 14 64 13" xfId="9410"/>
    <cellStyle name="Normal 14 64 2" xfId="9411"/>
    <cellStyle name="Normal 14 64 3" xfId="9412"/>
    <cellStyle name="Normal 14 64 4" xfId="9413"/>
    <cellStyle name="Normal 14 64 5" xfId="9414"/>
    <cellStyle name="Normal 14 64 6" xfId="9415"/>
    <cellStyle name="Normal 14 64 7" xfId="9416"/>
    <cellStyle name="Normal 14 64 8" xfId="9417"/>
    <cellStyle name="Normal 14 64 9" xfId="9418"/>
    <cellStyle name="Normal 14 65" xfId="9419"/>
    <cellStyle name="Normal 14 65 10" xfId="9420"/>
    <cellStyle name="Normal 14 65 11" xfId="9421"/>
    <cellStyle name="Normal 14 65 12" xfId="9422"/>
    <cellStyle name="Normal 14 65 13" xfId="9423"/>
    <cellStyle name="Normal 14 65 2" xfId="9424"/>
    <cellStyle name="Normal 14 65 3" xfId="9425"/>
    <cellStyle name="Normal 14 65 4" xfId="9426"/>
    <cellStyle name="Normal 14 65 5" xfId="9427"/>
    <cellStyle name="Normal 14 65 6" xfId="9428"/>
    <cellStyle name="Normal 14 65 7" xfId="9429"/>
    <cellStyle name="Normal 14 65 8" xfId="9430"/>
    <cellStyle name="Normal 14 65 9" xfId="9431"/>
    <cellStyle name="Normal 14 66" xfId="9432"/>
    <cellStyle name="Normal 14 66 10" xfId="9433"/>
    <cellStyle name="Normal 14 66 11" xfId="9434"/>
    <cellStyle name="Normal 14 66 12" xfId="9435"/>
    <cellStyle name="Normal 14 66 13" xfId="9436"/>
    <cellStyle name="Normal 14 66 2" xfId="9437"/>
    <cellStyle name="Normal 14 66 3" xfId="9438"/>
    <cellStyle name="Normal 14 66 4" xfId="9439"/>
    <cellStyle name="Normal 14 66 5" xfId="9440"/>
    <cellStyle name="Normal 14 66 6" xfId="9441"/>
    <cellStyle name="Normal 14 66 7" xfId="9442"/>
    <cellStyle name="Normal 14 66 8" xfId="9443"/>
    <cellStyle name="Normal 14 66 9" xfId="9444"/>
    <cellStyle name="Normal 14 67" xfId="9445"/>
    <cellStyle name="Normal 14 67 10" xfId="9446"/>
    <cellStyle name="Normal 14 67 11" xfId="9447"/>
    <cellStyle name="Normal 14 67 12" xfId="9448"/>
    <cellStyle name="Normal 14 67 13" xfId="9449"/>
    <cellStyle name="Normal 14 67 2" xfId="9450"/>
    <cellStyle name="Normal 14 67 3" xfId="9451"/>
    <cellStyle name="Normal 14 67 4" xfId="9452"/>
    <cellStyle name="Normal 14 67 5" xfId="9453"/>
    <cellStyle name="Normal 14 67 6" xfId="9454"/>
    <cellStyle name="Normal 14 67 7" xfId="9455"/>
    <cellStyle name="Normal 14 67 8" xfId="9456"/>
    <cellStyle name="Normal 14 67 9" xfId="9457"/>
    <cellStyle name="Normal 14 68" xfId="9458"/>
    <cellStyle name="Normal 14 68 10" xfId="9459"/>
    <cellStyle name="Normal 14 68 11" xfId="9460"/>
    <cellStyle name="Normal 14 68 12" xfId="9461"/>
    <cellStyle name="Normal 14 68 13" xfId="9462"/>
    <cellStyle name="Normal 14 68 2" xfId="9463"/>
    <cellStyle name="Normal 14 68 3" xfId="9464"/>
    <cellStyle name="Normal 14 68 4" xfId="9465"/>
    <cellStyle name="Normal 14 68 5" xfId="9466"/>
    <cellStyle name="Normal 14 68 6" xfId="9467"/>
    <cellStyle name="Normal 14 68 7" xfId="9468"/>
    <cellStyle name="Normal 14 68 8" xfId="9469"/>
    <cellStyle name="Normal 14 68 9" xfId="9470"/>
    <cellStyle name="Normal 14 69" xfId="9471"/>
    <cellStyle name="Normal 14 69 10" xfId="9472"/>
    <cellStyle name="Normal 14 69 11" xfId="9473"/>
    <cellStyle name="Normal 14 69 12" xfId="9474"/>
    <cellStyle name="Normal 14 69 13" xfId="9475"/>
    <cellStyle name="Normal 14 69 2" xfId="9476"/>
    <cellStyle name="Normal 14 69 3" xfId="9477"/>
    <cellStyle name="Normal 14 69 4" xfId="9478"/>
    <cellStyle name="Normal 14 69 5" xfId="9479"/>
    <cellStyle name="Normal 14 69 6" xfId="9480"/>
    <cellStyle name="Normal 14 69 7" xfId="9481"/>
    <cellStyle name="Normal 14 69 8" xfId="9482"/>
    <cellStyle name="Normal 14 69 9" xfId="9483"/>
    <cellStyle name="Normal 14 7" xfId="9484"/>
    <cellStyle name="Normal 14 7 10" xfId="9485"/>
    <cellStyle name="Normal 14 7 11" xfId="9486"/>
    <cellStyle name="Normal 14 7 12" xfId="9487"/>
    <cellStyle name="Normal 14 7 13" xfId="9488"/>
    <cellStyle name="Normal 14 7 2" xfId="9489"/>
    <cellStyle name="Normal 14 7 3" xfId="9490"/>
    <cellStyle name="Normal 14 7 4" xfId="9491"/>
    <cellStyle name="Normal 14 7 5" xfId="9492"/>
    <cellStyle name="Normal 14 7 6" xfId="9493"/>
    <cellStyle name="Normal 14 7 7" xfId="9494"/>
    <cellStyle name="Normal 14 7 8" xfId="9495"/>
    <cellStyle name="Normal 14 7 9" xfId="9496"/>
    <cellStyle name="Normal 14 70" xfId="9497"/>
    <cellStyle name="Normal 14 70 10" xfId="9498"/>
    <cellStyle name="Normal 14 70 11" xfId="9499"/>
    <cellStyle name="Normal 14 70 12" xfId="9500"/>
    <cellStyle name="Normal 14 70 13" xfId="9501"/>
    <cellStyle name="Normal 14 70 2" xfId="9502"/>
    <cellStyle name="Normal 14 70 3" xfId="9503"/>
    <cellStyle name="Normal 14 70 4" xfId="9504"/>
    <cellStyle name="Normal 14 70 5" xfId="9505"/>
    <cellStyle name="Normal 14 70 6" xfId="9506"/>
    <cellStyle name="Normal 14 70 7" xfId="9507"/>
    <cellStyle name="Normal 14 70 8" xfId="9508"/>
    <cellStyle name="Normal 14 70 9" xfId="9509"/>
    <cellStyle name="Normal 14 71" xfId="9510"/>
    <cellStyle name="Normal 14 71 10" xfId="9511"/>
    <cellStyle name="Normal 14 71 11" xfId="9512"/>
    <cellStyle name="Normal 14 71 12" xfId="9513"/>
    <cellStyle name="Normal 14 71 13" xfId="9514"/>
    <cellStyle name="Normal 14 71 2" xfId="9515"/>
    <cellStyle name="Normal 14 71 3" xfId="9516"/>
    <cellStyle name="Normal 14 71 4" xfId="9517"/>
    <cellStyle name="Normal 14 71 5" xfId="9518"/>
    <cellStyle name="Normal 14 71 6" xfId="9519"/>
    <cellStyle name="Normal 14 71 7" xfId="9520"/>
    <cellStyle name="Normal 14 71 8" xfId="9521"/>
    <cellStyle name="Normal 14 71 9" xfId="9522"/>
    <cellStyle name="Normal 14 72" xfId="9523"/>
    <cellStyle name="Normal 14 73" xfId="9524"/>
    <cellStyle name="Normal 14 74" xfId="9525"/>
    <cellStyle name="Normal 14 75" xfId="9526"/>
    <cellStyle name="Normal 14 76" xfId="9527"/>
    <cellStyle name="Normal 14 77" xfId="9528"/>
    <cellStyle name="Normal 14 78" xfId="9529"/>
    <cellStyle name="Normal 14 79" xfId="9530"/>
    <cellStyle name="Normal 14 8" xfId="9531"/>
    <cellStyle name="Normal 14 8 10" xfId="9532"/>
    <cellStyle name="Normal 14 8 11" xfId="9533"/>
    <cellStyle name="Normal 14 8 12" xfId="9534"/>
    <cellStyle name="Normal 14 8 13" xfId="9535"/>
    <cellStyle name="Normal 14 8 2" xfId="9536"/>
    <cellStyle name="Normal 14 8 3" xfId="9537"/>
    <cellStyle name="Normal 14 8 4" xfId="9538"/>
    <cellStyle name="Normal 14 8 5" xfId="9539"/>
    <cellStyle name="Normal 14 8 6" xfId="9540"/>
    <cellStyle name="Normal 14 8 7" xfId="9541"/>
    <cellStyle name="Normal 14 8 8" xfId="9542"/>
    <cellStyle name="Normal 14 8 9" xfId="9543"/>
    <cellStyle name="Normal 14 80" xfId="9544"/>
    <cellStyle name="Normal 14 81" xfId="9545"/>
    <cellStyle name="Normal 14 82" xfId="9546"/>
    <cellStyle name="Normal 14 83" xfId="9547"/>
    <cellStyle name="Normal 14 84" xfId="9548"/>
    <cellStyle name="Normal 14 9" xfId="9549"/>
    <cellStyle name="Normal 14 9 10" xfId="9550"/>
    <cellStyle name="Normal 14 9 11" xfId="9551"/>
    <cellStyle name="Normal 14 9 12" xfId="9552"/>
    <cellStyle name="Normal 14 9 13" xfId="9553"/>
    <cellStyle name="Normal 14 9 2" xfId="9554"/>
    <cellStyle name="Normal 14 9 3" xfId="9555"/>
    <cellStyle name="Normal 14 9 4" xfId="9556"/>
    <cellStyle name="Normal 14 9 5" xfId="9557"/>
    <cellStyle name="Normal 14 9 6" xfId="9558"/>
    <cellStyle name="Normal 14 9 7" xfId="9559"/>
    <cellStyle name="Normal 14 9 8" xfId="9560"/>
    <cellStyle name="Normal 14 9 9" xfId="9561"/>
    <cellStyle name="Normal 15" xfId="9562"/>
    <cellStyle name="Normal 15 10" xfId="9563"/>
    <cellStyle name="Normal 15 11" xfId="9564"/>
    <cellStyle name="Normal 15 12" xfId="9565"/>
    <cellStyle name="Normal 15 13" xfId="9566"/>
    <cellStyle name="Normal 15 14" xfId="9567"/>
    <cellStyle name="Normal 15 15" xfId="9568"/>
    <cellStyle name="Normal 15 16" xfId="9569"/>
    <cellStyle name="Normal 15 17" xfId="9570"/>
    <cellStyle name="Normal 15 18" xfId="9571"/>
    <cellStyle name="Normal 15 19" xfId="9572"/>
    <cellStyle name="Normal 15 2" xfId="9573"/>
    <cellStyle name="Normal 15 2 10" xfId="9574"/>
    <cellStyle name="Normal 15 2 11" xfId="9575"/>
    <cellStyle name="Normal 15 2 12" xfId="9576"/>
    <cellStyle name="Normal 15 2 13" xfId="9577"/>
    <cellStyle name="Normal 15 2 14" xfId="9578"/>
    <cellStyle name="Normal 15 2 15" xfId="9579"/>
    <cellStyle name="Normal 15 2 16" xfId="9580"/>
    <cellStyle name="Normal 15 2 17" xfId="9581"/>
    <cellStyle name="Normal 15 2 18" xfId="9582"/>
    <cellStyle name="Normal 15 2 19" xfId="9583"/>
    <cellStyle name="Normal 15 2 2" xfId="9584"/>
    <cellStyle name="Normal 15 2 2 10" xfId="9585"/>
    <cellStyle name="Normal 15 2 2 11" xfId="9586"/>
    <cellStyle name="Normal 15 2 2 12" xfId="9587"/>
    <cellStyle name="Normal 15 2 2 13" xfId="9588"/>
    <cellStyle name="Normal 15 2 2 14" xfId="9589"/>
    <cellStyle name="Normal 15 2 2 15" xfId="9590"/>
    <cellStyle name="Normal 15 2 2 16" xfId="9591"/>
    <cellStyle name="Normal 15 2 2 17" xfId="9592"/>
    <cellStyle name="Normal 15 2 2 18" xfId="9593"/>
    <cellStyle name="Normal 15 2 2 19" xfId="9594"/>
    <cellStyle name="Normal 15 2 2 2" xfId="9595"/>
    <cellStyle name="Normal 15 2 2 2 10" xfId="9596"/>
    <cellStyle name="Normal 15 2 2 2 11" xfId="9597"/>
    <cellStyle name="Normal 15 2 2 2 12" xfId="9598"/>
    <cellStyle name="Normal 15 2 2 2 13" xfId="9599"/>
    <cellStyle name="Normal 15 2 2 2 14" xfId="9600"/>
    <cellStyle name="Normal 15 2 2 2 15" xfId="9601"/>
    <cellStyle name="Normal 15 2 2 2 16" xfId="9602"/>
    <cellStyle name="Normal 15 2 2 2 17" xfId="9603"/>
    <cellStyle name="Normal 15 2 2 2 18" xfId="9604"/>
    <cellStyle name="Normal 15 2 2 2 19" xfId="9605"/>
    <cellStyle name="Normal 15 2 2 2 2" xfId="9606"/>
    <cellStyle name="Normal 15 2 2 2 20" xfId="9607"/>
    <cellStyle name="Normal 15 2 2 2 21" xfId="9608"/>
    <cellStyle name="Normal 15 2 2 2 22" xfId="9609"/>
    <cellStyle name="Normal 15 2 2 2 23" xfId="9610"/>
    <cellStyle name="Normal 15 2 2 2 24" xfId="9611"/>
    <cellStyle name="Normal 15 2 2 2 25" xfId="9612"/>
    <cellStyle name="Normal 15 2 2 2 26" xfId="9613"/>
    <cellStyle name="Normal 15 2 2 2 27" xfId="9614"/>
    <cellStyle name="Normal 15 2 2 2 28" xfId="9615"/>
    <cellStyle name="Normal 15 2 2 2 29" xfId="9616"/>
    <cellStyle name="Normal 15 2 2 2 3" xfId="9617"/>
    <cellStyle name="Normal 15 2 2 2 30" xfId="9618"/>
    <cellStyle name="Normal 15 2 2 2 31" xfId="9619"/>
    <cellStyle name="Normal 15 2 2 2 32" xfId="9620"/>
    <cellStyle name="Normal 15 2 2 2 33" xfId="9621"/>
    <cellStyle name="Normal 15 2 2 2 34" xfId="9622"/>
    <cellStyle name="Normal 15 2 2 2 35" xfId="9623"/>
    <cellStyle name="Normal 15 2 2 2 36" xfId="9624"/>
    <cellStyle name="Normal 15 2 2 2 37" xfId="9625"/>
    <cellStyle name="Normal 15 2 2 2 38" xfId="9626"/>
    <cellStyle name="Normal 15 2 2 2 39" xfId="9627"/>
    <cellStyle name="Normal 15 2 2 2 4" xfId="9628"/>
    <cellStyle name="Normal 15 2 2 2 40" xfId="9629"/>
    <cellStyle name="Normal 15 2 2 2 41" xfId="9630"/>
    <cellStyle name="Normal 15 2 2 2 42" xfId="9631"/>
    <cellStyle name="Normal 15 2 2 2 43" xfId="9632"/>
    <cellStyle name="Normal 15 2 2 2 44" xfId="9633"/>
    <cellStyle name="Normal 15 2 2 2 45" xfId="9634"/>
    <cellStyle name="Normal 15 2 2 2 46" xfId="9635"/>
    <cellStyle name="Normal 15 2 2 2 47" xfId="9636"/>
    <cellStyle name="Normal 15 2 2 2 48" xfId="9637"/>
    <cellStyle name="Normal 15 2 2 2 49" xfId="9638"/>
    <cellStyle name="Normal 15 2 2 2 5" xfId="9639"/>
    <cellStyle name="Normal 15 2 2 2 50" xfId="9640"/>
    <cellStyle name="Normal 15 2 2 2 51" xfId="9641"/>
    <cellStyle name="Normal 15 2 2 2 52" xfId="9642"/>
    <cellStyle name="Normal 15 2 2 2 53" xfId="9643"/>
    <cellStyle name="Normal 15 2 2 2 54" xfId="9644"/>
    <cellStyle name="Normal 15 2 2 2 55" xfId="9645"/>
    <cellStyle name="Normal 15 2 2 2 56" xfId="9646"/>
    <cellStyle name="Normal 15 2 2 2 57" xfId="9647"/>
    <cellStyle name="Normal 15 2 2 2 58" xfId="9648"/>
    <cellStyle name="Normal 15 2 2 2 59" xfId="9649"/>
    <cellStyle name="Normal 15 2 2 2 6" xfId="9650"/>
    <cellStyle name="Normal 15 2 2 2 60" xfId="9651"/>
    <cellStyle name="Normal 15 2 2 2 61" xfId="9652"/>
    <cellStyle name="Normal 15 2 2 2 62" xfId="9653"/>
    <cellStyle name="Normal 15 2 2 2 63" xfId="9654"/>
    <cellStyle name="Normal 15 2 2 2 64" xfId="9655"/>
    <cellStyle name="Normal 15 2 2 2 65" xfId="9656"/>
    <cellStyle name="Normal 15 2 2 2 66" xfId="9657"/>
    <cellStyle name="Normal 15 2 2 2 67" xfId="9658"/>
    <cellStyle name="Normal 15 2 2 2 68" xfId="9659"/>
    <cellStyle name="Normal 15 2 2 2 69" xfId="9660"/>
    <cellStyle name="Normal 15 2 2 2 7" xfId="9661"/>
    <cellStyle name="Normal 15 2 2 2 70" xfId="9662"/>
    <cellStyle name="Normal 15 2 2 2 71" xfId="9663"/>
    <cellStyle name="Normal 15 2 2 2 72" xfId="9664"/>
    <cellStyle name="Normal 15 2 2 2 73" xfId="9665"/>
    <cellStyle name="Normal 15 2 2 2 74" xfId="9666"/>
    <cellStyle name="Normal 15 2 2 2 75" xfId="9667"/>
    <cellStyle name="Normal 15 2 2 2 76" xfId="9668"/>
    <cellStyle name="Normal 15 2 2 2 77" xfId="9669"/>
    <cellStyle name="Normal 15 2 2 2 78" xfId="9670"/>
    <cellStyle name="Normal 15 2 2 2 79" xfId="9671"/>
    <cellStyle name="Normal 15 2 2 2 8" xfId="9672"/>
    <cellStyle name="Normal 15 2 2 2 80" xfId="9673"/>
    <cellStyle name="Normal 15 2 2 2 81" xfId="9674"/>
    <cellStyle name="Normal 15 2 2 2 82" xfId="9675"/>
    <cellStyle name="Normal 15 2 2 2 83" xfId="9676"/>
    <cellStyle name="Normal 15 2 2 2 9" xfId="9677"/>
    <cellStyle name="Normal 15 2 2 20" xfId="9678"/>
    <cellStyle name="Normal 15 2 2 21" xfId="9679"/>
    <cellStyle name="Normal 15 2 2 22" xfId="9680"/>
    <cellStyle name="Normal 15 2 2 23" xfId="9681"/>
    <cellStyle name="Normal 15 2 2 24" xfId="9682"/>
    <cellStyle name="Normal 15 2 2 25" xfId="9683"/>
    <cellStyle name="Normal 15 2 2 26" xfId="9684"/>
    <cellStyle name="Normal 15 2 2 27" xfId="9685"/>
    <cellStyle name="Normal 15 2 2 28" xfId="9686"/>
    <cellStyle name="Normal 15 2 2 29" xfId="9687"/>
    <cellStyle name="Normal 15 2 2 3" xfId="9688"/>
    <cellStyle name="Normal 15 2 2 30" xfId="9689"/>
    <cellStyle name="Normal 15 2 2 31" xfId="9690"/>
    <cellStyle name="Normal 15 2 2 32" xfId="9691"/>
    <cellStyle name="Normal 15 2 2 33" xfId="9692"/>
    <cellStyle name="Normal 15 2 2 34" xfId="9693"/>
    <cellStyle name="Normal 15 2 2 35" xfId="9694"/>
    <cellStyle name="Normal 15 2 2 36" xfId="9695"/>
    <cellStyle name="Normal 15 2 2 37" xfId="9696"/>
    <cellStyle name="Normal 15 2 2 38" xfId="9697"/>
    <cellStyle name="Normal 15 2 2 39" xfId="9698"/>
    <cellStyle name="Normal 15 2 2 4" xfId="9699"/>
    <cellStyle name="Normal 15 2 2 40" xfId="9700"/>
    <cellStyle name="Normal 15 2 2 41" xfId="9701"/>
    <cellStyle name="Normal 15 2 2 42" xfId="9702"/>
    <cellStyle name="Normal 15 2 2 43" xfId="9703"/>
    <cellStyle name="Normal 15 2 2 44" xfId="9704"/>
    <cellStyle name="Normal 15 2 2 45" xfId="9705"/>
    <cellStyle name="Normal 15 2 2 46" xfId="9706"/>
    <cellStyle name="Normal 15 2 2 47" xfId="9707"/>
    <cellStyle name="Normal 15 2 2 48" xfId="9708"/>
    <cellStyle name="Normal 15 2 2 49" xfId="9709"/>
    <cellStyle name="Normal 15 2 2 5" xfId="9710"/>
    <cellStyle name="Normal 15 2 2 50" xfId="9711"/>
    <cellStyle name="Normal 15 2 2 51" xfId="9712"/>
    <cellStyle name="Normal 15 2 2 52" xfId="9713"/>
    <cellStyle name="Normal 15 2 2 53" xfId="9714"/>
    <cellStyle name="Normal 15 2 2 54" xfId="9715"/>
    <cellStyle name="Normal 15 2 2 55" xfId="9716"/>
    <cellStyle name="Normal 15 2 2 56" xfId="9717"/>
    <cellStyle name="Normal 15 2 2 57" xfId="9718"/>
    <cellStyle name="Normal 15 2 2 58" xfId="9719"/>
    <cellStyle name="Normal 15 2 2 59" xfId="9720"/>
    <cellStyle name="Normal 15 2 2 6" xfId="9721"/>
    <cellStyle name="Normal 15 2 2 60" xfId="9722"/>
    <cellStyle name="Normal 15 2 2 61" xfId="9723"/>
    <cellStyle name="Normal 15 2 2 62" xfId="9724"/>
    <cellStyle name="Normal 15 2 2 63" xfId="9725"/>
    <cellStyle name="Normal 15 2 2 64" xfId="9726"/>
    <cellStyle name="Normal 15 2 2 65" xfId="9727"/>
    <cellStyle name="Normal 15 2 2 66" xfId="9728"/>
    <cellStyle name="Normal 15 2 2 67" xfId="9729"/>
    <cellStyle name="Normal 15 2 2 68" xfId="9730"/>
    <cellStyle name="Normal 15 2 2 69" xfId="9731"/>
    <cellStyle name="Normal 15 2 2 7" xfId="9732"/>
    <cellStyle name="Normal 15 2 2 70" xfId="9733"/>
    <cellStyle name="Normal 15 2 2 71" xfId="9734"/>
    <cellStyle name="Normal 15 2 2 72" xfId="9735"/>
    <cellStyle name="Normal 15 2 2 73" xfId="9736"/>
    <cellStyle name="Normal 15 2 2 74" xfId="9737"/>
    <cellStyle name="Normal 15 2 2 75" xfId="9738"/>
    <cellStyle name="Normal 15 2 2 76" xfId="9739"/>
    <cellStyle name="Normal 15 2 2 77" xfId="9740"/>
    <cellStyle name="Normal 15 2 2 78" xfId="9741"/>
    <cellStyle name="Normal 15 2 2 79" xfId="9742"/>
    <cellStyle name="Normal 15 2 2 8" xfId="9743"/>
    <cellStyle name="Normal 15 2 2 80" xfId="9744"/>
    <cellStyle name="Normal 15 2 2 81" xfId="9745"/>
    <cellStyle name="Normal 15 2 2 82" xfId="9746"/>
    <cellStyle name="Normal 15 2 2 83" xfId="9747"/>
    <cellStyle name="Normal 15 2 2 84" xfId="9748"/>
    <cellStyle name="Normal 15 2 2 9" xfId="9749"/>
    <cellStyle name="Normal 15 2 2_Cultura y Tiempo libre 2011 base 2012 PGM - EMV  2013" xfId="9750"/>
    <cellStyle name="Normal 15 2 20" xfId="9751"/>
    <cellStyle name="Normal 15 2 21" xfId="9752"/>
    <cellStyle name="Normal 15 2 22" xfId="9753"/>
    <cellStyle name="Normal 15 2 23" xfId="9754"/>
    <cellStyle name="Normal 15 2 24" xfId="9755"/>
    <cellStyle name="Normal 15 2 25" xfId="9756"/>
    <cellStyle name="Normal 15 2 26" xfId="9757"/>
    <cellStyle name="Normal 15 2 27" xfId="9758"/>
    <cellStyle name="Normal 15 2 28" xfId="9759"/>
    <cellStyle name="Normal 15 2 29" xfId="9760"/>
    <cellStyle name="Normal 15 2 3" xfId="9761"/>
    <cellStyle name="Normal 15 2 3 10" xfId="9762"/>
    <cellStyle name="Normal 15 2 3 11" xfId="9763"/>
    <cellStyle name="Normal 15 2 3 12" xfId="9764"/>
    <cellStyle name="Normal 15 2 3 13" xfId="9765"/>
    <cellStyle name="Normal 15 2 3 14" xfId="9766"/>
    <cellStyle name="Normal 15 2 3 15" xfId="9767"/>
    <cellStyle name="Normal 15 2 3 16" xfId="9768"/>
    <cellStyle name="Normal 15 2 3 17" xfId="9769"/>
    <cellStyle name="Normal 15 2 3 18" xfId="9770"/>
    <cellStyle name="Normal 15 2 3 19" xfId="9771"/>
    <cellStyle name="Normal 15 2 3 2" xfId="9772"/>
    <cellStyle name="Normal 15 2 3 2 10" xfId="9773"/>
    <cellStyle name="Normal 15 2 3 2 11" xfId="9774"/>
    <cellStyle name="Normal 15 2 3 2 12" xfId="9775"/>
    <cellStyle name="Normal 15 2 3 2 13" xfId="9776"/>
    <cellStyle name="Normal 15 2 3 2 14" xfId="9777"/>
    <cellStyle name="Normal 15 2 3 2 15" xfId="9778"/>
    <cellStyle name="Normal 15 2 3 2 16" xfId="9779"/>
    <cellStyle name="Normal 15 2 3 2 17" xfId="9780"/>
    <cellStyle name="Normal 15 2 3 2 18" xfId="9781"/>
    <cellStyle name="Normal 15 2 3 2 19" xfId="9782"/>
    <cellStyle name="Normal 15 2 3 2 2" xfId="9783"/>
    <cellStyle name="Normal 15 2 3 2 20" xfId="9784"/>
    <cellStyle name="Normal 15 2 3 2 21" xfId="9785"/>
    <cellStyle name="Normal 15 2 3 2 22" xfId="9786"/>
    <cellStyle name="Normal 15 2 3 2 23" xfId="9787"/>
    <cellStyle name="Normal 15 2 3 2 24" xfId="9788"/>
    <cellStyle name="Normal 15 2 3 2 25" xfId="9789"/>
    <cellStyle name="Normal 15 2 3 2 26" xfId="9790"/>
    <cellStyle name="Normal 15 2 3 2 27" xfId="9791"/>
    <cellStyle name="Normal 15 2 3 2 28" xfId="9792"/>
    <cellStyle name="Normal 15 2 3 2 29" xfId="9793"/>
    <cellStyle name="Normal 15 2 3 2 3" xfId="9794"/>
    <cellStyle name="Normal 15 2 3 2 30" xfId="9795"/>
    <cellStyle name="Normal 15 2 3 2 31" xfId="9796"/>
    <cellStyle name="Normal 15 2 3 2 32" xfId="9797"/>
    <cellStyle name="Normal 15 2 3 2 33" xfId="9798"/>
    <cellStyle name="Normal 15 2 3 2 34" xfId="9799"/>
    <cellStyle name="Normal 15 2 3 2 35" xfId="9800"/>
    <cellStyle name="Normal 15 2 3 2 36" xfId="9801"/>
    <cellStyle name="Normal 15 2 3 2 37" xfId="9802"/>
    <cellStyle name="Normal 15 2 3 2 38" xfId="9803"/>
    <cellStyle name="Normal 15 2 3 2 39" xfId="9804"/>
    <cellStyle name="Normal 15 2 3 2 4" xfId="9805"/>
    <cellStyle name="Normal 15 2 3 2 40" xfId="9806"/>
    <cellStyle name="Normal 15 2 3 2 41" xfId="9807"/>
    <cellStyle name="Normal 15 2 3 2 42" xfId="9808"/>
    <cellStyle name="Normal 15 2 3 2 43" xfId="9809"/>
    <cellStyle name="Normal 15 2 3 2 44" xfId="9810"/>
    <cellStyle name="Normal 15 2 3 2 45" xfId="9811"/>
    <cellStyle name="Normal 15 2 3 2 46" xfId="9812"/>
    <cellStyle name="Normal 15 2 3 2 47" xfId="9813"/>
    <cellStyle name="Normal 15 2 3 2 48" xfId="9814"/>
    <cellStyle name="Normal 15 2 3 2 49" xfId="9815"/>
    <cellStyle name="Normal 15 2 3 2 5" xfId="9816"/>
    <cellStyle name="Normal 15 2 3 2 50" xfId="9817"/>
    <cellStyle name="Normal 15 2 3 2 51" xfId="9818"/>
    <cellStyle name="Normal 15 2 3 2 52" xfId="9819"/>
    <cellStyle name="Normal 15 2 3 2 53" xfId="9820"/>
    <cellStyle name="Normal 15 2 3 2 54" xfId="9821"/>
    <cellStyle name="Normal 15 2 3 2 55" xfId="9822"/>
    <cellStyle name="Normal 15 2 3 2 56" xfId="9823"/>
    <cellStyle name="Normal 15 2 3 2 57" xfId="9824"/>
    <cellStyle name="Normal 15 2 3 2 58" xfId="9825"/>
    <cellStyle name="Normal 15 2 3 2 59" xfId="9826"/>
    <cellStyle name="Normal 15 2 3 2 6" xfId="9827"/>
    <cellStyle name="Normal 15 2 3 2 60" xfId="9828"/>
    <cellStyle name="Normal 15 2 3 2 61" xfId="9829"/>
    <cellStyle name="Normal 15 2 3 2 62" xfId="9830"/>
    <cellStyle name="Normal 15 2 3 2 63" xfId="9831"/>
    <cellStyle name="Normal 15 2 3 2 64" xfId="9832"/>
    <cellStyle name="Normal 15 2 3 2 65" xfId="9833"/>
    <cellStyle name="Normal 15 2 3 2 66" xfId="9834"/>
    <cellStyle name="Normal 15 2 3 2 67" xfId="9835"/>
    <cellStyle name="Normal 15 2 3 2 68" xfId="9836"/>
    <cellStyle name="Normal 15 2 3 2 69" xfId="9837"/>
    <cellStyle name="Normal 15 2 3 2 7" xfId="9838"/>
    <cellStyle name="Normal 15 2 3 2 70" xfId="9839"/>
    <cellStyle name="Normal 15 2 3 2 71" xfId="9840"/>
    <cellStyle name="Normal 15 2 3 2 72" xfId="9841"/>
    <cellStyle name="Normal 15 2 3 2 73" xfId="9842"/>
    <cellStyle name="Normal 15 2 3 2 74" xfId="9843"/>
    <cellStyle name="Normal 15 2 3 2 75" xfId="9844"/>
    <cellStyle name="Normal 15 2 3 2 76" xfId="9845"/>
    <cellStyle name="Normal 15 2 3 2 77" xfId="9846"/>
    <cellStyle name="Normal 15 2 3 2 78" xfId="9847"/>
    <cellStyle name="Normal 15 2 3 2 79" xfId="9848"/>
    <cellStyle name="Normal 15 2 3 2 8" xfId="9849"/>
    <cellStyle name="Normal 15 2 3 2 80" xfId="9850"/>
    <cellStyle name="Normal 15 2 3 2 81" xfId="9851"/>
    <cellStyle name="Normal 15 2 3 2 82" xfId="9852"/>
    <cellStyle name="Normal 15 2 3 2 83" xfId="9853"/>
    <cellStyle name="Normal 15 2 3 2 9" xfId="9854"/>
    <cellStyle name="Normal 15 2 3 20" xfId="9855"/>
    <cellStyle name="Normal 15 2 3 21" xfId="9856"/>
    <cellStyle name="Normal 15 2 3 22" xfId="9857"/>
    <cellStyle name="Normal 15 2 3 23" xfId="9858"/>
    <cellStyle name="Normal 15 2 3 24" xfId="9859"/>
    <cellStyle name="Normal 15 2 3 25" xfId="9860"/>
    <cellStyle name="Normal 15 2 3 26" xfId="9861"/>
    <cellStyle name="Normal 15 2 3 27" xfId="9862"/>
    <cellStyle name="Normal 15 2 3 28" xfId="9863"/>
    <cellStyle name="Normal 15 2 3 29" xfId="9864"/>
    <cellStyle name="Normal 15 2 3 3" xfId="9865"/>
    <cellStyle name="Normal 15 2 3 3 10" xfId="9866"/>
    <cellStyle name="Normal 15 2 3 3 11" xfId="9867"/>
    <cellStyle name="Normal 15 2 3 3 12" xfId="9868"/>
    <cellStyle name="Normal 15 2 3 3 13" xfId="9869"/>
    <cellStyle name="Normal 15 2 3 3 14" xfId="9870"/>
    <cellStyle name="Normal 15 2 3 3 15" xfId="9871"/>
    <cellStyle name="Normal 15 2 3 3 16" xfId="9872"/>
    <cellStyle name="Normal 15 2 3 3 17" xfId="9873"/>
    <cellStyle name="Normal 15 2 3 3 18" xfId="9874"/>
    <cellStyle name="Normal 15 2 3 3 19" xfId="9875"/>
    <cellStyle name="Normal 15 2 3 3 2" xfId="9876"/>
    <cellStyle name="Normal 15 2 3 3 2 10" xfId="9877"/>
    <cellStyle name="Normal 15 2 3 3 2 11" xfId="9878"/>
    <cellStyle name="Normal 15 2 3 3 2 12" xfId="9879"/>
    <cellStyle name="Normal 15 2 3 3 2 13" xfId="9880"/>
    <cellStyle name="Normal 15 2 3 3 2 14" xfId="9881"/>
    <cellStyle name="Normal 15 2 3 3 2 15" xfId="9882"/>
    <cellStyle name="Normal 15 2 3 3 2 16" xfId="9883"/>
    <cellStyle name="Normal 15 2 3 3 2 17" xfId="9884"/>
    <cellStyle name="Normal 15 2 3 3 2 18" xfId="9885"/>
    <cellStyle name="Normal 15 2 3 3 2 19" xfId="9886"/>
    <cellStyle name="Normal 15 2 3 3 2 2" xfId="9887"/>
    <cellStyle name="Normal 15 2 3 3 2 20" xfId="9888"/>
    <cellStyle name="Normal 15 2 3 3 2 21" xfId="9889"/>
    <cellStyle name="Normal 15 2 3 3 2 22" xfId="9890"/>
    <cellStyle name="Normal 15 2 3 3 2 23" xfId="9891"/>
    <cellStyle name="Normal 15 2 3 3 2 24" xfId="9892"/>
    <cellStyle name="Normal 15 2 3 3 2 25" xfId="9893"/>
    <cellStyle name="Normal 15 2 3 3 2 26" xfId="9894"/>
    <cellStyle name="Normal 15 2 3 3 2 27" xfId="9895"/>
    <cellStyle name="Normal 15 2 3 3 2 28" xfId="9896"/>
    <cellStyle name="Normal 15 2 3 3 2 29" xfId="9897"/>
    <cellStyle name="Normal 15 2 3 3 2 3" xfId="9898"/>
    <cellStyle name="Normal 15 2 3 3 2 30" xfId="9899"/>
    <cellStyle name="Normal 15 2 3 3 2 31" xfId="9900"/>
    <cellStyle name="Normal 15 2 3 3 2 32" xfId="9901"/>
    <cellStyle name="Normal 15 2 3 3 2 33" xfId="9902"/>
    <cellStyle name="Normal 15 2 3 3 2 34" xfId="9903"/>
    <cellStyle name="Normal 15 2 3 3 2 35" xfId="9904"/>
    <cellStyle name="Normal 15 2 3 3 2 36" xfId="9905"/>
    <cellStyle name="Normal 15 2 3 3 2 37" xfId="9906"/>
    <cellStyle name="Normal 15 2 3 3 2 38" xfId="9907"/>
    <cellStyle name="Normal 15 2 3 3 2 39" xfId="9908"/>
    <cellStyle name="Normal 15 2 3 3 2 4" xfId="9909"/>
    <cellStyle name="Normal 15 2 3 3 2 40" xfId="9910"/>
    <cellStyle name="Normal 15 2 3 3 2 41" xfId="9911"/>
    <cellStyle name="Normal 15 2 3 3 2 42" xfId="9912"/>
    <cellStyle name="Normal 15 2 3 3 2 43" xfId="9913"/>
    <cellStyle name="Normal 15 2 3 3 2 44" xfId="9914"/>
    <cellStyle name="Normal 15 2 3 3 2 45" xfId="9915"/>
    <cellStyle name="Normal 15 2 3 3 2 46" xfId="9916"/>
    <cellStyle name="Normal 15 2 3 3 2 47" xfId="9917"/>
    <cellStyle name="Normal 15 2 3 3 2 48" xfId="9918"/>
    <cellStyle name="Normal 15 2 3 3 2 49" xfId="9919"/>
    <cellStyle name="Normal 15 2 3 3 2 5" xfId="9920"/>
    <cellStyle name="Normal 15 2 3 3 2 50" xfId="9921"/>
    <cellStyle name="Normal 15 2 3 3 2 51" xfId="9922"/>
    <cellStyle name="Normal 15 2 3 3 2 52" xfId="9923"/>
    <cellStyle name="Normal 15 2 3 3 2 53" xfId="9924"/>
    <cellStyle name="Normal 15 2 3 3 2 54" xfId="9925"/>
    <cellStyle name="Normal 15 2 3 3 2 55" xfId="9926"/>
    <cellStyle name="Normal 15 2 3 3 2 56" xfId="9927"/>
    <cellStyle name="Normal 15 2 3 3 2 57" xfId="9928"/>
    <cellStyle name="Normal 15 2 3 3 2 58" xfId="9929"/>
    <cellStyle name="Normal 15 2 3 3 2 59" xfId="9930"/>
    <cellStyle name="Normal 15 2 3 3 2 6" xfId="9931"/>
    <cellStyle name="Normal 15 2 3 3 2 60" xfId="9932"/>
    <cellStyle name="Normal 15 2 3 3 2 61" xfId="9933"/>
    <cellStyle name="Normal 15 2 3 3 2 62" xfId="9934"/>
    <cellStyle name="Normal 15 2 3 3 2 63" xfId="9935"/>
    <cellStyle name="Normal 15 2 3 3 2 64" xfId="9936"/>
    <cellStyle name="Normal 15 2 3 3 2 65" xfId="9937"/>
    <cellStyle name="Normal 15 2 3 3 2 66" xfId="9938"/>
    <cellStyle name="Normal 15 2 3 3 2 67" xfId="9939"/>
    <cellStyle name="Normal 15 2 3 3 2 68" xfId="9940"/>
    <cellStyle name="Normal 15 2 3 3 2 69" xfId="9941"/>
    <cellStyle name="Normal 15 2 3 3 2 7" xfId="9942"/>
    <cellStyle name="Normal 15 2 3 3 2 70" xfId="9943"/>
    <cellStyle name="Normal 15 2 3 3 2 71" xfId="9944"/>
    <cellStyle name="Normal 15 2 3 3 2 72" xfId="9945"/>
    <cellStyle name="Normal 15 2 3 3 2 73" xfId="9946"/>
    <cellStyle name="Normal 15 2 3 3 2 74" xfId="9947"/>
    <cellStyle name="Normal 15 2 3 3 2 75" xfId="9948"/>
    <cellStyle name="Normal 15 2 3 3 2 76" xfId="9949"/>
    <cellStyle name="Normal 15 2 3 3 2 77" xfId="9950"/>
    <cellStyle name="Normal 15 2 3 3 2 78" xfId="9951"/>
    <cellStyle name="Normal 15 2 3 3 2 79" xfId="9952"/>
    <cellStyle name="Normal 15 2 3 3 2 8" xfId="9953"/>
    <cellStyle name="Normal 15 2 3 3 2 80" xfId="9954"/>
    <cellStyle name="Normal 15 2 3 3 2 81" xfId="9955"/>
    <cellStyle name="Normal 15 2 3 3 2 82" xfId="9956"/>
    <cellStyle name="Normal 15 2 3 3 2 83" xfId="9957"/>
    <cellStyle name="Normal 15 2 3 3 2 9" xfId="9958"/>
    <cellStyle name="Normal 15 2 3 3 20" xfId="9959"/>
    <cellStyle name="Normal 15 2 3 3 21" xfId="9960"/>
    <cellStyle name="Normal 15 2 3 3 22" xfId="9961"/>
    <cellStyle name="Normal 15 2 3 3 23" xfId="9962"/>
    <cellStyle name="Normal 15 2 3 3 24" xfId="9963"/>
    <cellStyle name="Normal 15 2 3 3 25" xfId="9964"/>
    <cellStyle name="Normal 15 2 3 3 26" xfId="9965"/>
    <cellStyle name="Normal 15 2 3 3 27" xfId="9966"/>
    <cellStyle name="Normal 15 2 3 3 28" xfId="9967"/>
    <cellStyle name="Normal 15 2 3 3 29" xfId="9968"/>
    <cellStyle name="Normal 15 2 3 3 3" xfId="9969"/>
    <cellStyle name="Normal 15 2 3 3 30" xfId="9970"/>
    <cellStyle name="Normal 15 2 3 3 31" xfId="9971"/>
    <cellStyle name="Normal 15 2 3 3 32" xfId="9972"/>
    <cellStyle name="Normal 15 2 3 3 33" xfId="9973"/>
    <cellStyle name="Normal 15 2 3 3 34" xfId="9974"/>
    <cellStyle name="Normal 15 2 3 3 35" xfId="9975"/>
    <cellStyle name="Normal 15 2 3 3 36" xfId="9976"/>
    <cellStyle name="Normal 15 2 3 3 37" xfId="9977"/>
    <cellStyle name="Normal 15 2 3 3 38" xfId="9978"/>
    <cellStyle name="Normal 15 2 3 3 39" xfId="9979"/>
    <cellStyle name="Normal 15 2 3 3 4" xfId="9980"/>
    <cellStyle name="Normal 15 2 3 3 40" xfId="9981"/>
    <cellStyle name="Normal 15 2 3 3 41" xfId="9982"/>
    <cellStyle name="Normal 15 2 3 3 42" xfId="9983"/>
    <cellStyle name="Normal 15 2 3 3 43" xfId="9984"/>
    <cellStyle name="Normal 15 2 3 3 44" xfId="9985"/>
    <cellStyle name="Normal 15 2 3 3 45" xfId="9986"/>
    <cellStyle name="Normal 15 2 3 3 46" xfId="9987"/>
    <cellStyle name="Normal 15 2 3 3 47" xfId="9988"/>
    <cellStyle name="Normal 15 2 3 3 48" xfId="9989"/>
    <cellStyle name="Normal 15 2 3 3 49" xfId="9990"/>
    <cellStyle name="Normal 15 2 3 3 5" xfId="9991"/>
    <cellStyle name="Normal 15 2 3 3 50" xfId="9992"/>
    <cellStyle name="Normal 15 2 3 3 51" xfId="9993"/>
    <cellStyle name="Normal 15 2 3 3 52" xfId="9994"/>
    <cellStyle name="Normal 15 2 3 3 53" xfId="9995"/>
    <cellStyle name="Normal 15 2 3 3 54" xfId="9996"/>
    <cellStyle name="Normal 15 2 3 3 55" xfId="9997"/>
    <cellStyle name="Normal 15 2 3 3 56" xfId="9998"/>
    <cellStyle name="Normal 15 2 3 3 57" xfId="9999"/>
    <cellStyle name="Normal 15 2 3 3 58" xfId="10000"/>
    <cellStyle name="Normal 15 2 3 3 59" xfId="10001"/>
    <cellStyle name="Normal 15 2 3 3 6" xfId="10002"/>
    <cellStyle name="Normal 15 2 3 3 60" xfId="10003"/>
    <cellStyle name="Normal 15 2 3 3 61" xfId="10004"/>
    <cellStyle name="Normal 15 2 3 3 62" xfId="10005"/>
    <cellStyle name="Normal 15 2 3 3 63" xfId="10006"/>
    <cellStyle name="Normal 15 2 3 3 64" xfId="10007"/>
    <cellStyle name="Normal 15 2 3 3 65" xfId="10008"/>
    <cellStyle name="Normal 15 2 3 3 66" xfId="10009"/>
    <cellStyle name="Normal 15 2 3 3 67" xfId="10010"/>
    <cellStyle name="Normal 15 2 3 3 68" xfId="10011"/>
    <cellStyle name="Normal 15 2 3 3 69" xfId="10012"/>
    <cellStyle name="Normal 15 2 3 3 7" xfId="10013"/>
    <cellStyle name="Normal 15 2 3 3 70" xfId="10014"/>
    <cellStyle name="Normal 15 2 3 3 71" xfId="10015"/>
    <cellStyle name="Normal 15 2 3 3 72" xfId="10016"/>
    <cellStyle name="Normal 15 2 3 3 73" xfId="10017"/>
    <cellStyle name="Normal 15 2 3 3 74" xfId="10018"/>
    <cellStyle name="Normal 15 2 3 3 75" xfId="10019"/>
    <cellStyle name="Normal 15 2 3 3 76" xfId="10020"/>
    <cellStyle name="Normal 15 2 3 3 77" xfId="10021"/>
    <cellStyle name="Normal 15 2 3 3 78" xfId="10022"/>
    <cellStyle name="Normal 15 2 3 3 79" xfId="10023"/>
    <cellStyle name="Normal 15 2 3 3 8" xfId="10024"/>
    <cellStyle name="Normal 15 2 3 3 80" xfId="10025"/>
    <cellStyle name="Normal 15 2 3 3 81" xfId="10026"/>
    <cellStyle name="Normal 15 2 3 3 82" xfId="10027"/>
    <cellStyle name="Normal 15 2 3 3 83" xfId="10028"/>
    <cellStyle name="Normal 15 2 3 3 84" xfId="10029"/>
    <cellStyle name="Normal 15 2 3 3 9" xfId="10030"/>
    <cellStyle name="Normal 15 2 3 3_Cultura y Tiempo libre 2011 base 2012 PGM - EMV  2013" xfId="10031"/>
    <cellStyle name="Normal 15 2 3 30" xfId="10032"/>
    <cellStyle name="Normal 15 2 3 31" xfId="10033"/>
    <cellStyle name="Normal 15 2 3 32" xfId="10034"/>
    <cellStyle name="Normal 15 2 3 33" xfId="10035"/>
    <cellStyle name="Normal 15 2 3 34" xfId="10036"/>
    <cellStyle name="Normal 15 2 3 35" xfId="10037"/>
    <cellStyle name="Normal 15 2 3 36" xfId="10038"/>
    <cellStyle name="Normal 15 2 3 37" xfId="10039"/>
    <cellStyle name="Normal 15 2 3 38" xfId="10040"/>
    <cellStyle name="Normal 15 2 3 39" xfId="10041"/>
    <cellStyle name="Normal 15 2 3 4" xfId="10042"/>
    <cellStyle name="Normal 15 2 3 40" xfId="10043"/>
    <cellStyle name="Normal 15 2 3 41" xfId="10044"/>
    <cellStyle name="Normal 15 2 3 42" xfId="10045"/>
    <cellStyle name="Normal 15 2 3 43" xfId="10046"/>
    <cellStyle name="Normal 15 2 3 44" xfId="10047"/>
    <cellStyle name="Normal 15 2 3 45" xfId="10048"/>
    <cellStyle name="Normal 15 2 3 46" xfId="10049"/>
    <cellStyle name="Normal 15 2 3 47" xfId="10050"/>
    <cellStyle name="Normal 15 2 3 48" xfId="10051"/>
    <cellStyle name="Normal 15 2 3 49" xfId="10052"/>
    <cellStyle name="Normal 15 2 3 5" xfId="10053"/>
    <cellStyle name="Normal 15 2 3 50" xfId="10054"/>
    <cellStyle name="Normal 15 2 3 51" xfId="10055"/>
    <cellStyle name="Normal 15 2 3 52" xfId="10056"/>
    <cellStyle name="Normal 15 2 3 53" xfId="10057"/>
    <cellStyle name="Normal 15 2 3 54" xfId="10058"/>
    <cellStyle name="Normal 15 2 3 55" xfId="10059"/>
    <cellStyle name="Normal 15 2 3 56" xfId="10060"/>
    <cellStyle name="Normal 15 2 3 57" xfId="10061"/>
    <cellStyle name="Normal 15 2 3 58" xfId="10062"/>
    <cellStyle name="Normal 15 2 3 59" xfId="10063"/>
    <cellStyle name="Normal 15 2 3 6" xfId="10064"/>
    <cellStyle name="Normal 15 2 3 60" xfId="10065"/>
    <cellStyle name="Normal 15 2 3 61" xfId="10066"/>
    <cellStyle name="Normal 15 2 3 62" xfId="10067"/>
    <cellStyle name="Normal 15 2 3 63" xfId="10068"/>
    <cellStyle name="Normal 15 2 3 64" xfId="10069"/>
    <cellStyle name="Normal 15 2 3 65" xfId="10070"/>
    <cellStyle name="Normal 15 2 3 66" xfId="10071"/>
    <cellStyle name="Normal 15 2 3 67" xfId="10072"/>
    <cellStyle name="Normal 15 2 3 68" xfId="10073"/>
    <cellStyle name="Normal 15 2 3 69" xfId="10074"/>
    <cellStyle name="Normal 15 2 3 7" xfId="10075"/>
    <cellStyle name="Normal 15 2 3 70" xfId="10076"/>
    <cellStyle name="Normal 15 2 3 71" xfId="10077"/>
    <cellStyle name="Normal 15 2 3 72" xfId="10078"/>
    <cellStyle name="Normal 15 2 3 73" xfId="10079"/>
    <cellStyle name="Normal 15 2 3 74" xfId="10080"/>
    <cellStyle name="Normal 15 2 3 75" xfId="10081"/>
    <cellStyle name="Normal 15 2 3 76" xfId="10082"/>
    <cellStyle name="Normal 15 2 3 77" xfId="10083"/>
    <cellStyle name="Normal 15 2 3 78" xfId="10084"/>
    <cellStyle name="Normal 15 2 3 79" xfId="10085"/>
    <cellStyle name="Normal 15 2 3 8" xfId="10086"/>
    <cellStyle name="Normal 15 2 3 80" xfId="10087"/>
    <cellStyle name="Normal 15 2 3 81" xfId="10088"/>
    <cellStyle name="Normal 15 2 3 82" xfId="10089"/>
    <cellStyle name="Normal 15 2 3 83" xfId="10090"/>
    <cellStyle name="Normal 15 2 3 84" xfId="10091"/>
    <cellStyle name="Normal 15 2 3 85" xfId="10092"/>
    <cellStyle name="Normal 15 2 3 9" xfId="10093"/>
    <cellStyle name="Normal 15 2 3_Cultura y Tiempo libre 2011 base 2012 PGM - EMV  2013" xfId="10094"/>
    <cellStyle name="Normal 15 2 30" xfId="10095"/>
    <cellStyle name="Normal 15 2 31" xfId="10096"/>
    <cellStyle name="Normal 15 2 32" xfId="10097"/>
    <cellStyle name="Normal 15 2 33" xfId="10098"/>
    <cellStyle name="Normal 15 2 34" xfId="10099"/>
    <cellStyle name="Normal 15 2 35" xfId="10100"/>
    <cellStyle name="Normal 15 2 36" xfId="10101"/>
    <cellStyle name="Normal 15 2 37" xfId="10102"/>
    <cellStyle name="Normal 15 2 38" xfId="10103"/>
    <cellStyle name="Normal 15 2 39" xfId="10104"/>
    <cellStyle name="Normal 15 2 4" xfId="10105"/>
    <cellStyle name="Normal 15 2 40" xfId="10106"/>
    <cellStyle name="Normal 15 2 41" xfId="10107"/>
    <cellStyle name="Normal 15 2 42" xfId="10108"/>
    <cellStyle name="Normal 15 2 43" xfId="10109"/>
    <cellStyle name="Normal 15 2 44" xfId="10110"/>
    <cellStyle name="Normal 15 2 45" xfId="10111"/>
    <cellStyle name="Normal 15 2 46" xfId="10112"/>
    <cellStyle name="Normal 15 2 47" xfId="10113"/>
    <cellStyle name="Normal 15 2 48" xfId="10114"/>
    <cellStyle name="Normal 15 2 49" xfId="10115"/>
    <cellStyle name="Normal 15 2 5" xfId="10116"/>
    <cellStyle name="Normal 15 2 50" xfId="10117"/>
    <cellStyle name="Normal 15 2 51" xfId="10118"/>
    <cellStyle name="Normal 15 2 52" xfId="10119"/>
    <cellStyle name="Normal 15 2 53" xfId="10120"/>
    <cellStyle name="Normal 15 2 54" xfId="10121"/>
    <cellStyle name="Normal 15 2 55" xfId="10122"/>
    <cellStyle name="Normal 15 2 56" xfId="10123"/>
    <cellStyle name="Normal 15 2 57" xfId="10124"/>
    <cellStyle name="Normal 15 2 58" xfId="10125"/>
    <cellStyle name="Normal 15 2 59" xfId="10126"/>
    <cellStyle name="Normal 15 2 6" xfId="10127"/>
    <cellStyle name="Normal 15 2 60" xfId="10128"/>
    <cellStyle name="Normal 15 2 61" xfId="10129"/>
    <cellStyle name="Normal 15 2 62" xfId="10130"/>
    <cellStyle name="Normal 15 2 63" xfId="10131"/>
    <cellStyle name="Normal 15 2 64" xfId="10132"/>
    <cellStyle name="Normal 15 2 65" xfId="10133"/>
    <cellStyle name="Normal 15 2 66" xfId="10134"/>
    <cellStyle name="Normal 15 2 67" xfId="10135"/>
    <cellStyle name="Normal 15 2 68" xfId="10136"/>
    <cellStyle name="Normal 15 2 69" xfId="10137"/>
    <cellStyle name="Normal 15 2 7" xfId="10138"/>
    <cellStyle name="Normal 15 2 70" xfId="10139"/>
    <cellStyle name="Normal 15 2 71" xfId="10140"/>
    <cellStyle name="Normal 15 2 72" xfId="10141"/>
    <cellStyle name="Normal 15 2 73" xfId="10142"/>
    <cellStyle name="Normal 15 2 74" xfId="10143"/>
    <cellStyle name="Normal 15 2 75" xfId="10144"/>
    <cellStyle name="Normal 15 2 76" xfId="10145"/>
    <cellStyle name="Normal 15 2 77" xfId="10146"/>
    <cellStyle name="Normal 15 2 78" xfId="10147"/>
    <cellStyle name="Normal 15 2 79" xfId="10148"/>
    <cellStyle name="Normal 15 2 8" xfId="10149"/>
    <cellStyle name="Normal 15 2 80" xfId="10150"/>
    <cellStyle name="Normal 15 2 81" xfId="10151"/>
    <cellStyle name="Normal 15 2 82" xfId="10152"/>
    <cellStyle name="Normal 15 2 83" xfId="10153"/>
    <cellStyle name="Normal 15 2 84" xfId="10154"/>
    <cellStyle name="Normal 15 2 85" xfId="10155"/>
    <cellStyle name="Normal 15 2 9" xfId="10156"/>
    <cellStyle name="Normal 15 2_Cultura y Tiempo libre 2011 base 2012 PGM - EMV  2013" xfId="10157"/>
    <cellStyle name="Normal 15 20" xfId="10158"/>
    <cellStyle name="Normal 15 21" xfId="10159"/>
    <cellStyle name="Normal 15 22" xfId="10160"/>
    <cellStyle name="Normal 15 23" xfId="10161"/>
    <cellStyle name="Normal 15 24" xfId="10162"/>
    <cellStyle name="Normal 15 25" xfId="10163"/>
    <cellStyle name="Normal 15 26" xfId="10164"/>
    <cellStyle name="Normal 15 27" xfId="10165"/>
    <cellStyle name="Normal 15 28" xfId="10166"/>
    <cellStyle name="Normal 15 29" xfId="10167"/>
    <cellStyle name="Normal 15 3" xfId="10168"/>
    <cellStyle name="Normal 15 30" xfId="10169"/>
    <cellStyle name="Normal 15 31" xfId="10170"/>
    <cellStyle name="Normal 15 32" xfId="10171"/>
    <cellStyle name="Normal 15 33" xfId="10172"/>
    <cellStyle name="Normal 15 34" xfId="10173"/>
    <cellStyle name="Normal 15 35" xfId="10174"/>
    <cellStyle name="Normal 15 36" xfId="10175"/>
    <cellStyle name="Normal 15 37" xfId="10176"/>
    <cellStyle name="Normal 15 38" xfId="10177"/>
    <cellStyle name="Normal 15 39" xfId="10178"/>
    <cellStyle name="Normal 15 4" xfId="10179"/>
    <cellStyle name="Normal 15 40" xfId="10180"/>
    <cellStyle name="Normal 15 41" xfId="10181"/>
    <cellStyle name="Normal 15 42" xfId="10182"/>
    <cellStyle name="Normal 15 43" xfId="10183"/>
    <cellStyle name="Normal 15 44" xfId="10184"/>
    <cellStyle name="Normal 15 45" xfId="10185"/>
    <cellStyle name="Normal 15 46" xfId="10186"/>
    <cellStyle name="Normal 15 47" xfId="10187"/>
    <cellStyle name="Normal 15 48" xfId="10188"/>
    <cellStyle name="Normal 15 49" xfId="10189"/>
    <cellStyle name="Normal 15 5" xfId="10190"/>
    <cellStyle name="Normal 15 50" xfId="10191"/>
    <cellStyle name="Normal 15 51" xfId="10192"/>
    <cellStyle name="Normal 15 52" xfId="10193"/>
    <cellStyle name="Normal 15 53" xfId="10194"/>
    <cellStyle name="Normal 15 54" xfId="10195"/>
    <cellStyle name="Normal 15 55" xfId="10196"/>
    <cellStyle name="Normal 15 56" xfId="10197"/>
    <cellStyle name="Normal 15 57" xfId="10198"/>
    <cellStyle name="Normal 15 58" xfId="10199"/>
    <cellStyle name="Normal 15 59" xfId="10200"/>
    <cellStyle name="Normal 15 6" xfId="10201"/>
    <cellStyle name="Normal 15 60" xfId="10202"/>
    <cellStyle name="Normal 15 61" xfId="10203"/>
    <cellStyle name="Normal 15 62" xfId="10204"/>
    <cellStyle name="Normal 15 63" xfId="10205"/>
    <cellStyle name="Normal 15 64" xfId="10206"/>
    <cellStyle name="Normal 15 65" xfId="10207"/>
    <cellStyle name="Normal 15 66" xfId="10208"/>
    <cellStyle name="Normal 15 67" xfId="10209"/>
    <cellStyle name="Normal 15 68" xfId="10210"/>
    <cellStyle name="Normal 15 69" xfId="10211"/>
    <cellStyle name="Normal 15 7" xfId="10212"/>
    <cellStyle name="Normal 15 70" xfId="10213"/>
    <cellStyle name="Normal 15 71" xfId="10214"/>
    <cellStyle name="Normal 15 72" xfId="10215"/>
    <cellStyle name="Normal 15 73" xfId="10216"/>
    <cellStyle name="Normal 15 74" xfId="10217"/>
    <cellStyle name="Normal 15 75" xfId="10218"/>
    <cellStyle name="Normal 15 76" xfId="10219"/>
    <cellStyle name="Normal 15 77" xfId="10220"/>
    <cellStyle name="Normal 15 78" xfId="10221"/>
    <cellStyle name="Normal 15 79" xfId="10222"/>
    <cellStyle name="Normal 15 8" xfId="10223"/>
    <cellStyle name="Normal 15 80" xfId="10224"/>
    <cellStyle name="Normal 15 81" xfId="10225"/>
    <cellStyle name="Normal 15 82" xfId="10226"/>
    <cellStyle name="Normal 15 83" xfId="10227"/>
    <cellStyle name="Normal 15 84" xfId="10228"/>
    <cellStyle name="Normal 15 9" xfId="10229"/>
    <cellStyle name="Normal 15_Cultura y Tiempo libre 2011 base 2012 PGM - EMV  2013" xfId="10230"/>
    <cellStyle name="Normal 16" xfId="10231"/>
    <cellStyle name="Normal 16 10" xfId="10232"/>
    <cellStyle name="Normal 16 11" xfId="10233"/>
    <cellStyle name="Normal 16 12" xfId="10234"/>
    <cellStyle name="Normal 16 13" xfId="10235"/>
    <cellStyle name="Normal 16 14" xfId="10236"/>
    <cellStyle name="Normal 16 15" xfId="10237"/>
    <cellStyle name="Normal 16 16" xfId="10238"/>
    <cellStyle name="Normal 16 17" xfId="10239"/>
    <cellStyle name="Normal 16 18" xfId="10240"/>
    <cellStyle name="Normal 16 19" xfId="10241"/>
    <cellStyle name="Normal 16 2" xfId="10242"/>
    <cellStyle name="Normal 16 2 10" xfId="10243"/>
    <cellStyle name="Normal 16 2 11" xfId="10244"/>
    <cellStyle name="Normal 16 2 12" xfId="10245"/>
    <cellStyle name="Normal 16 2 13" xfId="10246"/>
    <cellStyle name="Normal 16 2 14" xfId="10247"/>
    <cellStyle name="Normal 16 2 15" xfId="10248"/>
    <cellStyle name="Normal 16 2 16" xfId="10249"/>
    <cellStyle name="Normal 16 2 17" xfId="10250"/>
    <cellStyle name="Normal 16 2 18" xfId="10251"/>
    <cellStyle name="Normal 16 2 19" xfId="10252"/>
    <cellStyle name="Normal 16 2 2" xfId="10253"/>
    <cellStyle name="Normal 16 2 2 10" xfId="10254"/>
    <cellStyle name="Normal 16 2 2 11" xfId="10255"/>
    <cellStyle name="Normal 16 2 2 12" xfId="10256"/>
    <cellStyle name="Normal 16 2 2 13" xfId="10257"/>
    <cellStyle name="Normal 16 2 2 14" xfId="10258"/>
    <cellStyle name="Normal 16 2 2 15" xfId="10259"/>
    <cellStyle name="Normal 16 2 2 16" xfId="10260"/>
    <cellStyle name="Normal 16 2 2 17" xfId="10261"/>
    <cellStyle name="Normal 16 2 2 18" xfId="10262"/>
    <cellStyle name="Normal 16 2 2 19" xfId="10263"/>
    <cellStyle name="Normal 16 2 2 2" xfId="10264"/>
    <cellStyle name="Normal 16 2 2 2 10" xfId="10265"/>
    <cellStyle name="Normal 16 2 2 2 11" xfId="10266"/>
    <cellStyle name="Normal 16 2 2 2 12" xfId="10267"/>
    <cellStyle name="Normal 16 2 2 2 13" xfId="10268"/>
    <cellStyle name="Normal 16 2 2 2 14" xfId="10269"/>
    <cellStyle name="Normal 16 2 2 2 15" xfId="10270"/>
    <cellStyle name="Normal 16 2 2 2 16" xfId="10271"/>
    <cellStyle name="Normal 16 2 2 2 17" xfId="10272"/>
    <cellStyle name="Normal 16 2 2 2 18" xfId="10273"/>
    <cellStyle name="Normal 16 2 2 2 19" xfId="10274"/>
    <cellStyle name="Normal 16 2 2 2 2" xfId="10275"/>
    <cellStyle name="Normal 16 2 2 2 20" xfId="10276"/>
    <cellStyle name="Normal 16 2 2 2 21" xfId="10277"/>
    <cellStyle name="Normal 16 2 2 2 22" xfId="10278"/>
    <cellStyle name="Normal 16 2 2 2 23" xfId="10279"/>
    <cellStyle name="Normal 16 2 2 2 24" xfId="10280"/>
    <cellStyle name="Normal 16 2 2 2 25" xfId="10281"/>
    <cellStyle name="Normal 16 2 2 2 26" xfId="10282"/>
    <cellStyle name="Normal 16 2 2 2 27" xfId="10283"/>
    <cellStyle name="Normal 16 2 2 2 28" xfId="10284"/>
    <cellStyle name="Normal 16 2 2 2 29" xfId="10285"/>
    <cellStyle name="Normal 16 2 2 2 3" xfId="10286"/>
    <cellStyle name="Normal 16 2 2 2 30" xfId="10287"/>
    <cellStyle name="Normal 16 2 2 2 31" xfId="10288"/>
    <cellStyle name="Normal 16 2 2 2 32" xfId="10289"/>
    <cellStyle name="Normal 16 2 2 2 33" xfId="10290"/>
    <cellStyle name="Normal 16 2 2 2 34" xfId="10291"/>
    <cellStyle name="Normal 16 2 2 2 35" xfId="10292"/>
    <cellStyle name="Normal 16 2 2 2 36" xfId="10293"/>
    <cellStyle name="Normal 16 2 2 2 37" xfId="10294"/>
    <cellStyle name="Normal 16 2 2 2 38" xfId="10295"/>
    <cellStyle name="Normal 16 2 2 2 39" xfId="10296"/>
    <cellStyle name="Normal 16 2 2 2 4" xfId="10297"/>
    <cellStyle name="Normal 16 2 2 2 40" xfId="10298"/>
    <cellStyle name="Normal 16 2 2 2 41" xfId="10299"/>
    <cellStyle name="Normal 16 2 2 2 42" xfId="10300"/>
    <cellStyle name="Normal 16 2 2 2 43" xfId="10301"/>
    <cellStyle name="Normal 16 2 2 2 44" xfId="10302"/>
    <cellStyle name="Normal 16 2 2 2 45" xfId="10303"/>
    <cellStyle name="Normal 16 2 2 2 46" xfId="10304"/>
    <cellStyle name="Normal 16 2 2 2 47" xfId="10305"/>
    <cellStyle name="Normal 16 2 2 2 48" xfId="10306"/>
    <cellStyle name="Normal 16 2 2 2 49" xfId="10307"/>
    <cellStyle name="Normal 16 2 2 2 5" xfId="10308"/>
    <cellStyle name="Normal 16 2 2 2 50" xfId="10309"/>
    <cellStyle name="Normal 16 2 2 2 51" xfId="10310"/>
    <cellStyle name="Normal 16 2 2 2 52" xfId="10311"/>
    <cellStyle name="Normal 16 2 2 2 53" xfId="10312"/>
    <cellStyle name="Normal 16 2 2 2 54" xfId="10313"/>
    <cellStyle name="Normal 16 2 2 2 55" xfId="10314"/>
    <cellStyle name="Normal 16 2 2 2 56" xfId="10315"/>
    <cellStyle name="Normal 16 2 2 2 57" xfId="10316"/>
    <cellStyle name="Normal 16 2 2 2 58" xfId="10317"/>
    <cellStyle name="Normal 16 2 2 2 59" xfId="10318"/>
    <cellStyle name="Normal 16 2 2 2 6" xfId="10319"/>
    <cellStyle name="Normal 16 2 2 2 60" xfId="10320"/>
    <cellStyle name="Normal 16 2 2 2 61" xfId="10321"/>
    <cellStyle name="Normal 16 2 2 2 62" xfId="10322"/>
    <cellStyle name="Normal 16 2 2 2 63" xfId="10323"/>
    <cellStyle name="Normal 16 2 2 2 64" xfId="10324"/>
    <cellStyle name="Normal 16 2 2 2 65" xfId="10325"/>
    <cellStyle name="Normal 16 2 2 2 66" xfId="10326"/>
    <cellStyle name="Normal 16 2 2 2 67" xfId="10327"/>
    <cellStyle name="Normal 16 2 2 2 68" xfId="10328"/>
    <cellStyle name="Normal 16 2 2 2 69" xfId="10329"/>
    <cellStyle name="Normal 16 2 2 2 7" xfId="10330"/>
    <cellStyle name="Normal 16 2 2 2 70" xfId="10331"/>
    <cellStyle name="Normal 16 2 2 2 71" xfId="10332"/>
    <cellStyle name="Normal 16 2 2 2 72" xfId="10333"/>
    <cellStyle name="Normal 16 2 2 2 73" xfId="10334"/>
    <cellStyle name="Normal 16 2 2 2 74" xfId="10335"/>
    <cellStyle name="Normal 16 2 2 2 75" xfId="10336"/>
    <cellStyle name="Normal 16 2 2 2 76" xfId="10337"/>
    <cellStyle name="Normal 16 2 2 2 77" xfId="10338"/>
    <cellStyle name="Normal 16 2 2 2 78" xfId="10339"/>
    <cellStyle name="Normal 16 2 2 2 79" xfId="10340"/>
    <cellStyle name="Normal 16 2 2 2 8" xfId="10341"/>
    <cellStyle name="Normal 16 2 2 2 80" xfId="10342"/>
    <cellStyle name="Normal 16 2 2 2 81" xfId="10343"/>
    <cellStyle name="Normal 16 2 2 2 82" xfId="10344"/>
    <cellStyle name="Normal 16 2 2 2 83" xfId="10345"/>
    <cellStyle name="Normal 16 2 2 2 9" xfId="10346"/>
    <cellStyle name="Normal 16 2 2 20" xfId="10347"/>
    <cellStyle name="Normal 16 2 2 21" xfId="10348"/>
    <cellStyle name="Normal 16 2 2 22" xfId="10349"/>
    <cellStyle name="Normal 16 2 2 23" xfId="10350"/>
    <cellStyle name="Normal 16 2 2 24" xfId="10351"/>
    <cellStyle name="Normal 16 2 2 25" xfId="10352"/>
    <cellStyle name="Normal 16 2 2 26" xfId="10353"/>
    <cellStyle name="Normal 16 2 2 27" xfId="10354"/>
    <cellStyle name="Normal 16 2 2 28" xfId="10355"/>
    <cellStyle name="Normal 16 2 2 29" xfId="10356"/>
    <cellStyle name="Normal 16 2 2 3" xfId="10357"/>
    <cellStyle name="Normal 16 2 2 3 10" xfId="10358"/>
    <cellStyle name="Normal 16 2 2 3 11" xfId="10359"/>
    <cellStyle name="Normal 16 2 2 3 12" xfId="10360"/>
    <cellStyle name="Normal 16 2 2 3 13" xfId="10361"/>
    <cellStyle name="Normal 16 2 2 3 14" xfId="10362"/>
    <cellStyle name="Normal 16 2 2 3 15" xfId="10363"/>
    <cellStyle name="Normal 16 2 2 3 16" xfId="10364"/>
    <cellStyle name="Normal 16 2 2 3 17" xfId="10365"/>
    <cellStyle name="Normal 16 2 2 3 18" xfId="10366"/>
    <cellStyle name="Normal 16 2 2 3 19" xfId="10367"/>
    <cellStyle name="Normal 16 2 2 3 2" xfId="10368"/>
    <cellStyle name="Normal 16 2 2 3 2 10" xfId="10369"/>
    <cellStyle name="Normal 16 2 2 3 2 11" xfId="10370"/>
    <cellStyle name="Normal 16 2 2 3 2 12" xfId="10371"/>
    <cellStyle name="Normal 16 2 2 3 2 13" xfId="10372"/>
    <cellStyle name="Normal 16 2 2 3 2 14" xfId="10373"/>
    <cellStyle name="Normal 16 2 2 3 2 15" xfId="10374"/>
    <cellStyle name="Normal 16 2 2 3 2 16" xfId="10375"/>
    <cellStyle name="Normal 16 2 2 3 2 17" xfId="10376"/>
    <cellStyle name="Normal 16 2 2 3 2 18" xfId="10377"/>
    <cellStyle name="Normal 16 2 2 3 2 19" xfId="10378"/>
    <cellStyle name="Normal 16 2 2 3 2 2" xfId="10379"/>
    <cellStyle name="Normal 16 2 2 3 2 20" xfId="10380"/>
    <cellStyle name="Normal 16 2 2 3 2 21" xfId="10381"/>
    <cellStyle name="Normal 16 2 2 3 2 22" xfId="10382"/>
    <cellStyle name="Normal 16 2 2 3 2 23" xfId="10383"/>
    <cellStyle name="Normal 16 2 2 3 2 24" xfId="10384"/>
    <cellStyle name="Normal 16 2 2 3 2 25" xfId="10385"/>
    <cellStyle name="Normal 16 2 2 3 2 26" xfId="10386"/>
    <cellStyle name="Normal 16 2 2 3 2 27" xfId="10387"/>
    <cellStyle name="Normal 16 2 2 3 2 28" xfId="10388"/>
    <cellStyle name="Normal 16 2 2 3 2 29" xfId="10389"/>
    <cellStyle name="Normal 16 2 2 3 2 3" xfId="10390"/>
    <cellStyle name="Normal 16 2 2 3 2 30" xfId="10391"/>
    <cellStyle name="Normal 16 2 2 3 2 31" xfId="10392"/>
    <cellStyle name="Normal 16 2 2 3 2 32" xfId="10393"/>
    <cellStyle name="Normal 16 2 2 3 2 33" xfId="10394"/>
    <cellStyle name="Normal 16 2 2 3 2 34" xfId="10395"/>
    <cellStyle name="Normal 16 2 2 3 2 35" xfId="10396"/>
    <cellStyle name="Normal 16 2 2 3 2 36" xfId="10397"/>
    <cellStyle name="Normal 16 2 2 3 2 37" xfId="10398"/>
    <cellStyle name="Normal 16 2 2 3 2 38" xfId="10399"/>
    <cellStyle name="Normal 16 2 2 3 2 39" xfId="10400"/>
    <cellStyle name="Normal 16 2 2 3 2 4" xfId="10401"/>
    <cellStyle name="Normal 16 2 2 3 2 40" xfId="10402"/>
    <cellStyle name="Normal 16 2 2 3 2 41" xfId="10403"/>
    <cellStyle name="Normal 16 2 2 3 2 42" xfId="10404"/>
    <cellStyle name="Normal 16 2 2 3 2 43" xfId="10405"/>
    <cellStyle name="Normal 16 2 2 3 2 44" xfId="10406"/>
    <cellStyle name="Normal 16 2 2 3 2 45" xfId="10407"/>
    <cellStyle name="Normal 16 2 2 3 2 46" xfId="10408"/>
    <cellStyle name="Normal 16 2 2 3 2 47" xfId="10409"/>
    <cellStyle name="Normal 16 2 2 3 2 48" xfId="10410"/>
    <cellStyle name="Normal 16 2 2 3 2 49" xfId="10411"/>
    <cellStyle name="Normal 16 2 2 3 2 5" xfId="10412"/>
    <cellStyle name="Normal 16 2 2 3 2 50" xfId="10413"/>
    <cellStyle name="Normal 16 2 2 3 2 51" xfId="10414"/>
    <cellStyle name="Normal 16 2 2 3 2 52" xfId="10415"/>
    <cellStyle name="Normal 16 2 2 3 2 53" xfId="10416"/>
    <cellStyle name="Normal 16 2 2 3 2 54" xfId="10417"/>
    <cellStyle name="Normal 16 2 2 3 2 55" xfId="10418"/>
    <cellStyle name="Normal 16 2 2 3 2 56" xfId="10419"/>
    <cellStyle name="Normal 16 2 2 3 2 57" xfId="10420"/>
    <cellStyle name="Normal 16 2 2 3 2 58" xfId="10421"/>
    <cellStyle name="Normal 16 2 2 3 2 59" xfId="10422"/>
    <cellStyle name="Normal 16 2 2 3 2 6" xfId="10423"/>
    <cellStyle name="Normal 16 2 2 3 2 60" xfId="10424"/>
    <cellStyle name="Normal 16 2 2 3 2 61" xfId="10425"/>
    <cellStyle name="Normal 16 2 2 3 2 62" xfId="10426"/>
    <cellStyle name="Normal 16 2 2 3 2 63" xfId="10427"/>
    <cellStyle name="Normal 16 2 2 3 2 64" xfId="10428"/>
    <cellStyle name="Normal 16 2 2 3 2 65" xfId="10429"/>
    <cellStyle name="Normal 16 2 2 3 2 66" xfId="10430"/>
    <cellStyle name="Normal 16 2 2 3 2 67" xfId="10431"/>
    <cellStyle name="Normal 16 2 2 3 2 68" xfId="10432"/>
    <cellStyle name="Normal 16 2 2 3 2 69" xfId="10433"/>
    <cellStyle name="Normal 16 2 2 3 2 7" xfId="10434"/>
    <cellStyle name="Normal 16 2 2 3 2 70" xfId="10435"/>
    <cellStyle name="Normal 16 2 2 3 2 71" xfId="10436"/>
    <cellStyle name="Normal 16 2 2 3 2 72" xfId="10437"/>
    <cellStyle name="Normal 16 2 2 3 2 73" xfId="10438"/>
    <cellStyle name="Normal 16 2 2 3 2 74" xfId="10439"/>
    <cellStyle name="Normal 16 2 2 3 2 75" xfId="10440"/>
    <cellStyle name="Normal 16 2 2 3 2 76" xfId="10441"/>
    <cellStyle name="Normal 16 2 2 3 2 77" xfId="10442"/>
    <cellStyle name="Normal 16 2 2 3 2 78" xfId="10443"/>
    <cellStyle name="Normal 16 2 2 3 2 79" xfId="10444"/>
    <cellStyle name="Normal 16 2 2 3 2 8" xfId="10445"/>
    <cellStyle name="Normal 16 2 2 3 2 80" xfId="10446"/>
    <cellStyle name="Normal 16 2 2 3 2 81" xfId="10447"/>
    <cellStyle name="Normal 16 2 2 3 2 82" xfId="10448"/>
    <cellStyle name="Normal 16 2 2 3 2 83" xfId="10449"/>
    <cellStyle name="Normal 16 2 2 3 2 9" xfId="10450"/>
    <cellStyle name="Normal 16 2 2 3 20" xfId="10451"/>
    <cellStyle name="Normal 16 2 2 3 21" xfId="10452"/>
    <cellStyle name="Normal 16 2 2 3 22" xfId="10453"/>
    <cellStyle name="Normal 16 2 2 3 23" xfId="10454"/>
    <cellStyle name="Normal 16 2 2 3 24" xfId="10455"/>
    <cellStyle name="Normal 16 2 2 3 25" xfId="10456"/>
    <cellStyle name="Normal 16 2 2 3 26" xfId="10457"/>
    <cellStyle name="Normal 16 2 2 3 27" xfId="10458"/>
    <cellStyle name="Normal 16 2 2 3 28" xfId="10459"/>
    <cellStyle name="Normal 16 2 2 3 29" xfId="10460"/>
    <cellStyle name="Normal 16 2 2 3 3" xfId="10461"/>
    <cellStyle name="Normal 16 2 2 3 30" xfId="10462"/>
    <cellStyle name="Normal 16 2 2 3 31" xfId="10463"/>
    <cellStyle name="Normal 16 2 2 3 32" xfId="10464"/>
    <cellStyle name="Normal 16 2 2 3 33" xfId="10465"/>
    <cellStyle name="Normal 16 2 2 3 34" xfId="10466"/>
    <cellStyle name="Normal 16 2 2 3 35" xfId="10467"/>
    <cellStyle name="Normal 16 2 2 3 36" xfId="10468"/>
    <cellStyle name="Normal 16 2 2 3 37" xfId="10469"/>
    <cellStyle name="Normal 16 2 2 3 38" xfId="10470"/>
    <cellStyle name="Normal 16 2 2 3 39" xfId="10471"/>
    <cellStyle name="Normal 16 2 2 3 4" xfId="10472"/>
    <cellStyle name="Normal 16 2 2 3 40" xfId="10473"/>
    <cellStyle name="Normal 16 2 2 3 41" xfId="10474"/>
    <cellStyle name="Normal 16 2 2 3 42" xfId="10475"/>
    <cellStyle name="Normal 16 2 2 3 43" xfId="10476"/>
    <cellStyle name="Normal 16 2 2 3 44" xfId="10477"/>
    <cellStyle name="Normal 16 2 2 3 45" xfId="10478"/>
    <cellStyle name="Normal 16 2 2 3 46" xfId="10479"/>
    <cellStyle name="Normal 16 2 2 3 47" xfId="10480"/>
    <cellStyle name="Normal 16 2 2 3 48" xfId="10481"/>
    <cellStyle name="Normal 16 2 2 3 49" xfId="10482"/>
    <cellStyle name="Normal 16 2 2 3 5" xfId="10483"/>
    <cellStyle name="Normal 16 2 2 3 50" xfId="10484"/>
    <cellStyle name="Normal 16 2 2 3 51" xfId="10485"/>
    <cellStyle name="Normal 16 2 2 3 52" xfId="10486"/>
    <cellStyle name="Normal 16 2 2 3 53" xfId="10487"/>
    <cellStyle name="Normal 16 2 2 3 54" xfId="10488"/>
    <cellStyle name="Normal 16 2 2 3 55" xfId="10489"/>
    <cellStyle name="Normal 16 2 2 3 56" xfId="10490"/>
    <cellStyle name="Normal 16 2 2 3 57" xfId="10491"/>
    <cellStyle name="Normal 16 2 2 3 58" xfId="10492"/>
    <cellStyle name="Normal 16 2 2 3 59" xfId="10493"/>
    <cellStyle name="Normal 16 2 2 3 6" xfId="10494"/>
    <cellStyle name="Normal 16 2 2 3 60" xfId="10495"/>
    <cellStyle name="Normal 16 2 2 3 61" xfId="10496"/>
    <cellStyle name="Normal 16 2 2 3 62" xfId="10497"/>
    <cellStyle name="Normal 16 2 2 3 63" xfId="10498"/>
    <cellStyle name="Normal 16 2 2 3 64" xfId="10499"/>
    <cellStyle name="Normal 16 2 2 3 65" xfId="10500"/>
    <cellStyle name="Normal 16 2 2 3 66" xfId="10501"/>
    <cellStyle name="Normal 16 2 2 3 67" xfId="10502"/>
    <cellStyle name="Normal 16 2 2 3 68" xfId="10503"/>
    <cellStyle name="Normal 16 2 2 3 69" xfId="10504"/>
    <cellStyle name="Normal 16 2 2 3 7" xfId="10505"/>
    <cellStyle name="Normal 16 2 2 3 70" xfId="10506"/>
    <cellStyle name="Normal 16 2 2 3 71" xfId="10507"/>
    <cellStyle name="Normal 16 2 2 3 72" xfId="10508"/>
    <cellStyle name="Normal 16 2 2 3 73" xfId="10509"/>
    <cellStyle name="Normal 16 2 2 3 74" xfId="10510"/>
    <cellStyle name="Normal 16 2 2 3 75" xfId="10511"/>
    <cellStyle name="Normal 16 2 2 3 76" xfId="10512"/>
    <cellStyle name="Normal 16 2 2 3 77" xfId="10513"/>
    <cellStyle name="Normal 16 2 2 3 78" xfId="10514"/>
    <cellStyle name="Normal 16 2 2 3 79" xfId="10515"/>
    <cellStyle name="Normal 16 2 2 3 8" xfId="10516"/>
    <cellStyle name="Normal 16 2 2 3 80" xfId="10517"/>
    <cellStyle name="Normal 16 2 2 3 81" xfId="10518"/>
    <cellStyle name="Normal 16 2 2 3 82" xfId="10519"/>
    <cellStyle name="Normal 16 2 2 3 83" xfId="10520"/>
    <cellStyle name="Normal 16 2 2 3 84" xfId="10521"/>
    <cellStyle name="Normal 16 2 2 3 9" xfId="10522"/>
    <cellStyle name="Normal 16 2 2 3_Cultura y Tiempo libre 2011 base 2012 PGM - EMV  2013" xfId="10523"/>
    <cellStyle name="Normal 16 2 2 30" xfId="10524"/>
    <cellStyle name="Normal 16 2 2 31" xfId="10525"/>
    <cellStyle name="Normal 16 2 2 32" xfId="10526"/>
    <cellStyle name="Normal 16 2 2 33" xfId="10527"/>
    <cellStyle name="Normal 16 2 2 34" xfId="10528"/>
    <cellStyle name="Normal 16 2 2 35" xfId="10529"/>
    <cellStyle name="Normal 16 2 2 36" xfId="10530"/>
    <cellStyle name="Normal 16 2 2 37" xfId="10531"/>
    <cellStyle name="Normal 16 2 2 38" xfId="10532"/>
    <cellStyle name="Normal 16 2 2 39" xfId="10533"/>
    <cellStyle name="Normal 16 2 2 4" xfId="10534"/>
    <cellStyle name="Normal 16 2 2 40" xfId="10535"/>
    <cellStyle name="Normal 16 2 2 41" xfId="10536"/>
    <cellStyle name="Normal 16 2 2 42" xfId="10537"/>
    <cellStyle name="Normal 16 2 2 43" xfId="10538"/>
    <cellStyle name="Normal 16 2 2 44" xfId="10539"/>
    <cellStyle name="Normal 16 2 2 45" xfId="10540"/>
    <cellStyle name="Normal 16 2 2 46" xfId="10541"/>
    <cellStyle name="Normal 16 2 2 47" xfId="10542"/>
    <cellStyle name="Normal 16 2 2 48" xfId="10543"/>
    <cellStyle name="Normal 16 2 2 49" xfId="10544"/>
    <cellStyle name="Normal 16 2 2 5" xfId="10545"/>
    <cellStyle name="Normal 16 2 2 50" xfId="10546"/>
    <cellStyle name="Normal 16 2 2 51" xfId="10547"/>
    <cellStyle name="Normal 16 2 2 52" xfId="10548"/>
    <cellStyle name="Normal 16 2 2 53" xfId="10549"/>
    <cellStyle name="Normal 16 2 2 54" xfId="10550"/>
    <cellStyle name="Normal 16 2 2 55" xfId="10551"/>
    <cellStyle name="Normal 16 2 2 56" xfId="10552"/>
    <cellStyle name="Normal 16 2 2 57" xfId="10553"/>
    <cellStyle name="Normal 16 2 2 58" xfId="10554"/>
    <cellStyle name="Normal 16 2 2 59" xfId="10555"/>
    <cellStyle name="Normal 16 2 2 6" xfId="10556"/>
    <cellStyle name="Normal 16 2 2 60" xfId="10557"/>
    <cellStyle name="Normal 16 2 2 61" xfId="10558"/>
    <cellStyle name="Normal 16 2 2 62" xfId="10559"/>
    <cellStyle name="Normal 16 2 2 63" xfId="10560"/>
    <cellStyle name="Normal 16 2 2 64" xfId="10561"/>
    <cellStyle name="Normal 16 2 2 65" xfId="10562"/>
    <cellStyle name="Normal 16 2 2 66" xfId="10563"/>
    <cellStyle name="Normal 16 2 2 67" xfId="10564"/>
    <cellStyle name="Normal 16 2 2 68" xfId="10565"/>
    <cellStyle name="Normal 16 2 2 69" xfId="10566"/>
    <cellStyle name="Normal 16 2 2 7" xfId="10567"/>
    <cellStyle name="Normal 16 2 2 70" xfId="10568"/>
    <cellStyle name="Normal 16 2 2 71" xfId="10569"/>
    <cellStyle name="Normal 16 2 2 72" xfId="10570"/>
    <cellStyle name="Normal 16 2 2 73" xfId="10571"/>
    <cellStyle name="Normal 16 2 2 74" xfId="10572"/>
    <cellStyle name="Normal 16 2 2 75" xfId="10573"/>
    <cellStyle name="Normal 16 2 2 76" xfId="10574"/>
    <cellStyle name="Normal 16 2 2 77" xfId="10575"/>
    <cellStyle name="Normal 16 2 2 78" xfId="10576"/>
    <cellStyle name="Normal 16 2 2 79" xfId="10577"/>
    <cellStyle name="Normal 16 2 2 8" xfId="10578"/>
    <cellStyle name="Normal 16 2 2 80" xfId="10579"/>
    <cellStyle name="Normal 16 2 2 81" xfId="10580"/>
    <cellStyle name="Normal 16 2 2 82" xfId="10581"/>
    <cellStyle name="Normal 16 2 2 83" xfId="10582"/>
    <cellStyle name="Normal 16 2 2 84" xfId="10583"/>
    <cellStyle name="Normal 16 2 2 85" xfId="10584"/>
    <cellStyle name="Normal 16 2 2 9" xfId="10585"/>
    <cellStyle name="Normal 16 2 2_Cultura y Tiempo libre 2011 base 2012 PGM - EMV  2013" xfId="10586"/>
    <cellStyle name="Normal 16 2 20" xfId="10587"/>
    <cellStyle name="Normal 16 2 21" xfId="10588"/>
    <cellStyle name="Normal 16 2 22" xfId="10589"/>
    <cellStyle name="Normal 16 2 23" xfId="10590"/>
    <cellStyle name="Normal 16 2 24" xfId="10591"/>
    <cellStyle name="Normal 16 2 25" xfId="10592"/>
    <cellStyle name="Normal 16 2 26" xfId="10593"/>
    <cellStyle name="Normal 16 2 27" xfId="10594"/>
    <cellStyle name="Normal 16 2 28" xfId="10595"/>
    <cellStyle name="Normal 16 2 29" xfId="10596"/>
    <cellStyle name="Normal 16 2 3" xfId="10597"/>
    <cellStyle name="Normal 16 2 3 10" xfId="10598"/>
    <cellStyle name="Normal 16 2 3 11" xfId="10599"/>
    <cellStyle name="Normal 16 2 3 12" xfId="10600"/>
    <cellStyle name="Normal 16 2 3 13" xfId="10601"/>
    <cellStyle name="Normal 16 2 3 14" xfId="10602"/>
    <cellStyle name="Normal 16 2 3 15" xfId="10603"/>
    <cellStyle name="Normal 16 2 3 16" xfId="10604"/>
    <cellStyle name="Normal 16 2 3 17" xfId="10605"/>
    <cellStyle name="Normal 16 2 3 18" xfId="10606"/>
    <cellStyle name="Normal 16 2 3 19" xfId="10607"/>
    <cellStyle name="Normal 16 2 3 2" xfId="10608"/>
    <cellStyle name="Normal 16 2 3 20" xfId="10609"/>
    <cellStyle name="Normal 16 2 3 21" xfId="10610"/>
    <cellStyle name="Normal 16 2 3 22" xfId="10611"/>
    <cellStyle name="Normal 16 2 3 23" xfId="10612"/>
    <cellStyle name="Normal 16 2 3 24" xfId="10613"/>
    <cellStyle name="Normal 16 2 3 25" xfId="10614"/>
    <cellStyle name="Normal 16 2 3 26" xfId="10615"/>
    <cellStyle name="Normal 16 2 3 27" xfId="10616"/>
    <cellStyle name="Normal 16 2 3 28" xfId="10617"/>
    <cellStyle name="Normal 16 2 3 29" xfId="10618"/>
    <cellStyle name="Normal 16 2 3 3" xfId="10619"/>
    <cellStyle name="Normal 16 2 3 30" xfId="10620"/>
    <cellStyle name="Normal 16 2 3 31" xfId="10621"/>
    <cellStyle name="Normal 16 2 3 32" xfId="10622"/>
    <cellStyle name="Normal 16 2 3 33" xfId="10623"/>
    <cellStyle name="Normal 16 2 3 34" xfId="10624"/>
    <cellStyle name="Normal 16 2 3 35" xfId="10625"/>
    <cellStyle name="Normal 16 2 3 36" xfId="10626"/>
    <cellStyle name="Normal 16 2 3 37" xfId="10627"/>
    <cellStyle name="Normal 16 2 3 38" xfId="10628"/>
    <cellStyle name="Normal 16 2 3 39" xfId="10629"/>
    <cellStyle name="Normal 16 2 3 4" xfId="10630"/>
    <cellStyle name="Normal 16 2 3 40" xfId="10631"/>
    <cellStyle name="Normal 16 2 3 41" xfId="10632"/>
    <cellStyle name="Normal 16 2 3 42" xfId="10633"/>
    <cellStyle name="Normal 16 2 3 43" xfId="10634"/>
    <cellStyle name="Normal 16 2 3 44" xfId="10635"/>
    <cellStyle name="Normal 16 2 3 45" xfId="10636"/>
    <cellStyle name="Normal 16 2 3 46" xfId="10637"/>
    <cellStyle name="Normal 16 2 3 47" xfId="10638"/>
    <cellStyle name="Normal 16 2 3 48" xfId="10639"/>
    <cellStyle name="Normal 16 2 3 49" xfId="10640"/>
    <cellStyle name="Normal 16 2 3 5" xfId="10641"/>
    <cellStyle name="Normal 16 2 3 50" xfId="10642"/>
    <cellStyle name="Normal 16 2 3 51" xfId="10643"/>
    <cellStyle name="Normal 16 2 3 52" xfId="10644"/>
    <cellStyle name="Normal 16 2 3 53" xfId="10645"/>
    <cellStyle name="Normal 16 2 3 54" xfId="10646"/>
    <cellStyle name="Normal 16 2 3 55" xfId="10647"/>
    <cellStyle name="Normal 16 2 3 56" xfId="10648"/>
    <cellStyle name="Normal 16 2 3 57" xfId="10649"/>
    <cellStyle name="Normal 16 2 3 58" xfId="10650"/>
    <cellStyle name="Normal 16 2 3 59" xfId="10651"/>
    <cellStyle name="Normal 16 2 3 6" xfId="10652"/>
    <cellStyle name="Normal 16 2 3 60" xfId="10653"/>
    <cellStyle name="Normal 16 2 3 61" xfId="10654"/>
    <cellStyle name="Normal 16 2 3 62" xfId="10655"/>
    <cellStyle name="Normal 16 2 3 63" xfId="10656"/>
    <cellStyle name="Normal 16 2 3 64" xfId="10657"/>
    <cellStyle name="Normal 16 2 3 65" xfId="10658"/>
    <cellStyle name="Normal 16 2 3 66" xfId="10659"/>
    <cellStyle name="Normal 16 2 3 67" xfId="10660"/>
    <cellStyle name="Normal 16 2 3 68" xfId="10661"/>
    <cellStyle name="Normal 16 2 3 69" xfId="10662"/>
    <cellStyle name="Normal 16 2 3 7" xfId="10663"/>
    <cellStyle name="Normal 16 2 3 70" xfId="10664"/>
    <cellStyle name="Normal 16 2 3 71" xfId="10665"/>
    <cellStyle name="Normal 16 2 3 72" xfId="10666"/>
    <cellStyle name="Normal 16 2 3 73" xfId="10667"/>
    <cellStyle name="Normal 16 2 3 74" xfId="10668"/>
    <cellStyle name="Normal 16 2 3 75" xfId="10669"/>
    <cellStyle name="Normal 16 2 3 76" xfId="10670"/>
    <cellStyle name="Normal 16 2 3 77" xfId="10671"/>
    <cellStyle name="Normal 16 2 3 78" xfId="10672"/>
    <cellStyle name="Normal 16 2 3 79" xfId="10673"/>
    <cellStyle name="Normal 16 2 3 8" xfId="10674"/>
    <cellStyle name="Normal 16 2 3 80" xfId="10675"/>
    <cellStyle name="Normal 16 2 3 81" xfId="10676"/>
    <cellStyle name="Normal 16 2 3 82" xfId="10677"/>
    <cellStyle name="Normal 16 2 3 83" xfId="10678"/>
    <cellStyle name="Normal 16 2 3 9" xfId="10679"/>
    <cellStyle name="Normal 16 2 30" xfId="10680"/>
    <cellStyle name="Normal 16 2 31" xfId="10681"/>
    <cellStyle name="Normal 16 2 32" xfId="10682"/>
    <cellStyle name="Normal 16 2 33" xfId="10683"/>
    <cellStyle name="Normal 16 2 34" xfId="10684"/>
    <cellStyle name="Normal 16 2 35" xfId="10685"/>
    <cellStyle name="Normal 16 2 36" xfId="10686"/>
    <cellStyle name="Normal 16 2 37" xfId="10687"/>
    <cellStyle name="Normal 16 2 38" xfId="10688"/>
    <cellStyle name="Normal 16 2 39" xfId="10689"/>
    <cellStyle name="Normal 16 2 4" xfId="10690"/>
    <cellStyle name="Normal 16 2 40" xfId="10691"/>
    <cellStyle name="Normal 16 2 41" xfId="10692"/>
    <cellStyle name="Normal 16 2 42" xfId="10693"/>
    <cellStyle name="Normal 16 2 43" xfId="10694"/>
    <cellStyle name="Normal 16 2 44" xfId="10695"/>
    <cellStyle name="Normal 16 2 45" xfId="10696"/>
    <cellStyle name="Normal 16 2 46" xfId="10697"/>
    <cellStyle name="Normal 16 2 47" xfId="10698"/>
    <cellStyle name="Normal 16 2 48" xfId="10699"/>
    <cellStyle name="Normal 16 2 49" xfId="10700"/>
    <cellStyle name="Normal 16 2 5" xfId="10701"/>
    <cellStyle name="Normal 16 2 50" xfId="10702"/>
    <cellStyle name="Normal 16 2 51" xfId="10703"/>
    <cellStyle name="Normal 16 2 52" xfId="10704"/>
    <cellStyle name="Normal 16 2 53" xfId="10705"/>
    <cellStyle name="Normal 16 2 54" xfId="10706"/>
    <cellStyle name="Normal 16 2 55" xfId="10707"/>
    <cellStyle name="Normal 16 2 56" xfId="10708"/>
    <cellStyle name="Normal 16 2 57" xfId="10709"/>
    <cellStyle name="Normal 16 2 58" xfId="10710"/>
    <cellStyle name="Normal 16 2 59" xfId="10711"/>
    <cellStyle name="Normal 16 2 6" xfId="10712"/>
    <cellStyle name="Normal 16 2 60" xfId="10713"/>
    <cellStyle name="Normal 16 2 61" xfId="10714"/>
    <cellStyle name="Normal 16 2 62" xfId="10715"/>
    <cellStyle name="Normal 16 2 63" xfId="10716"/>
    <cellStyle name="Normal 16 2 64" xfId="10717"/>
    <cellStyle name="Normal 16 2 65" xfId="10718"/>
    <cellStyle name="Normal 16 2 66" xfId="10719"/>
    <cellStyle name="Normal 16 2 67" xfId="10720"/>
    <cellStyle name="Normal 16 2 68" xfId="10721"/>
    <cellStyle name="Normal 16 2 69" xfId="10722"/>
    <cellStyle name="Normal 16 2 7" xfId="10723"/>
    <cellStyle name="Normal 16 2 70" xfId="10724"/>
    <cellStyle name="Normal 16 2 71" xfId="10725"/>
    <cellStyle name="Normal 16 2 72" xfId="10726"/>
    <cellStyle name="Normal 16 2 73" xfId="10727"/>
    <cellStyle name="Normal 16 2 74" xfId="10728"/>
    <cellStyle name="Normal 16 2 75" xfId="10729"/>
    <cellStyle name="Normal 16 2 76" xfId="10730"/>
    <cellStyle name="Normal 16 2 77" xfId="10731"/>
    <cellStyle name="Normal 16 2 78" xfId="10732"/>
    <cellStyle name="Normal 16 2 79" xfId="10733"/>
    <cellStyle name="Normal 16 2 8" xfId="10734"/>
    <cellStyle name="Normal 16 2 80" xfId="10735"/>
    <cellStyle name="Normal 16 2 81" xfId="10736"/>
    <cellStyle name="Normal 16 2 82" xfId="10737"/>
    <cellStyle name="Normal 16 2 83" xfId="10738"/>
    <cellStyle name="Normal 16 2 84" xfId="10739"/>
    <cellStyle name="Normal 16 2 85" xfId="10740"/>
    <cellStyle name="Normal 16 2 9" xfId="10741"/>
    <cellStyle name="Normal 16 2_Cultura y Tiempo libre 2011 base 2012 PGM - EMV  2013" xfId="10742"/>
    <cellStyle name="Normal 16 20" xfId="10743"/>
    <cellStyle name="Normal 16 21" xfId="10744"/>
    <cellStyle name="Normal 16 22" xfId="10745"/>
    <cellStyle name="Normal 16 23" xfId="10746"/>
    <cellStyle name="Normal 16 24" xfId="10747"/>
    <cellStyle name="Normal 16 25" xfId="10748"/>
    <cellStyle name="Normal 16 26" xfId="10749"/>
    <cellStyle name="Normal 16 27" xfId="10750"/>
    <cellStyle name="Normal 16 28" xfId="10751"/>
    <cellStyle name="Normal 16 29" xfId="10752"/>
    <cellStyle name="Normal 16 3" xfId="10753"/>
    <cellStyle name="Normal 16 30" xfId="10754"/>
    <cellStyle name="Normal 16 31" xfId="10755"/>
    <cellStyle name="Normal 16 32" xfId="10756"/>
    <cellStyle name="Normal 16 33" xfId="10757"/>
    <cellStyle name="Normal 16 34" xfId="10758"/>
    <cellStyle name="Normal 16 35" xfId="10759"/>
    <cellStyle name="Normal 16 36" xfId="10760"/>
    <cellStyle name="Normal 16 37" xfId="10761"/>
    <cellStyle name="Normal 16 38" xfId="10762"/>
    <cellStyle name="Normal 16 39" xfId="10763"/>
    <cellStyle name="Normal 16 4" xfId="10764"/>
    <cellStyle name="Normal 16 40" xfId="10765"/>
    <cellStyle name="Normal 16 41" xfId="10766"/>
    <cellStyle name="Normal 16 42" xfId="10767"/>
    <cellStyle name="Normal 16 43" xfId="10768"/>
    <cellStyle name="Normal 16 44" xfId="10769"/>
    <cellStyle name="Normal 16 45" xfId="10770"/>
    <cellStyle name="Normal 16 46" xfId="10771"/>
    <cellStyle name="Normal 16 47" xfId="10772"/>
    <cellStyle name="Normal 16 48" xfId="10773"/>
    <cellStyle name="Normal 16 49" xfId="10774"/>
    <cellStyle name="Normal 16 5" xfId="10775"/>
    <cellStyle name="Normal 16 50" xfId="10776"/>
    <cellStyle name="Normal 16 51" xfId="10777"/>
    <cellStyle name="Normal 16 52" xfId="10778"/>
    <cellStyle name="Normal 16 53" xfId="10779"/>
    <cellStyle name="Normal 16 54" xfId="10780"/>
    <cellStyle name="Normal 16 55" xfId="10781"/>
    <cellStyle name="Normal 16 56" xfId="10782"/>
    <cellStyle name="Normal 16 57" xfId="10783"/>
    <cellStyle name="Normal 16 58" xfId="10784"/>
    <cellStyle name="Normal 16 59" xfId="10785"/>
    <cellStyle name="Normal 16 6" xfId="10786"/>
    <cellStyle name="Normal 16 60" xfId="10787"/>
    <cellStyle name="Normal 16 61" xfId="10788"/>
    <cellStyle name="Normal 16 62" xfId="10789"/>
    <cellStyle name="Normal 16 63" xfId="10790"/>
    <cellStyle name="Normal 16 64" xfId="10791"/>
    <cellStyle name="Normal 16 65" xfId="10792"/>
    <cellStyle name="Normal 16 66" xfId="10793"/>
    <cellStyle name="Normal 16 67" xfId="10794"/>
    <cellStyle name="Normal 16 68" xfId="10795"/>
    <cellStyle name="Normal 16 69" xfId="10796"/>
    <cellStyle name="Normal 16 7" xfId="10797"/>
    <cellStyle name="Normal 16 70" xfId="10798"/>
    <cellStyle name="Normal 16 71" xfId="10799"/>
    <cellStyle name="Normal 16 72" xfId="10800"/>
    <cellStyle name="Normal 16 73" xfId="10801"/>
    <cellStyle name="Normal 16 74" xfId="10802"/>
    <cellStyle name="Normal 16 75" xfId="10803"/>
    <cellStyle name="Normal 16 76" xfId="10804"/>
    <cellStyle name="Normal 16 77" xfId="10805"/>
    <cellStyle name="Normal 16 78" xfId="10806"/>
    <cellStyle name="Normal 16 79" xfId="10807"/>
    <cellStyle name="Normal 16 8" xfId="10808"/>
    <cellStyle name="Normal 16 80" xfId="10809"/>
    <cellStyle name="Normal 16 81" xfId="10810"/>
    <cellStyle name="Normal 16 82" xfId="10811"/>
    <cellStyle name="Normal 16 83" xfId="10812"/>
    <cellStyle name="Normal 16 84" xfId="10813"/>
    <cellStyle name="Normal 16 9" xfId="10814"/>
    <cellStyle name="Normal 16_Cultura y Tiempo libre 2011 base 2012 PGM - EMV  2013" xfId="10815"/>
    <cellStyle name="Normal 17" xfId="10816"/>
    <cellStyle name="Normal 18" xfId="10817"/>
    <cellStyle name="Normal 18 10" xfId="10818"/>
    <cellStyle name="Normal 18 10 10" xfId="10819"/>
    <cellStyle name="Normal 18 10 11" xfId="10820"/>
    <cellStyle name="Normal 18 10 12" xfId="10821"/>
    <cellStyle name="Normal 18 10 13" xfId="10822"/>
    <cellStyle name="Normal 18 10 2" xfId="10823"/>
    <cellStyle name="Normal 18 10 3" xfId="10824"/>
    <cellStyle name="Normal 18 10 4" xfId="10825"/>
    <cellStyle name="Normal 18 10 5" xfId="10826"/>
    <cellStyle name="Normal 18 10 6" xfId="10827"/>
    <cellStyle name="Normal 18 10 7" xfId="10828"/>
    <cellStyle name="Normal 18 10 8" xfId="10829"/>
    <cellStyle name="Normal 18 10 9" xfId="10830"/>
    <cellStyle name="Normal 18 11" xfId="10831"/>
    <cellStyle name="Normal 18 11 10" xfId="10832"/>
    <cellStyle name="Normal 18 11 11" xfId="10833"/>
    <cellStyle name="Normal 18 11 12" xfId="10834"/>
    <cellStyle name="Normal 18 11 13" xfId="10835"/>
    <cellStyle name="Normal 18 11 2" xfId="10836"/>
    <cellStyle name="Normal 18 11 3" xfId="10837"/>
    <cellStyle name="Normal 18 11 4" xfId="10838"/>
    <cellStyle name="Normal 18 11 5" xfId="10839"/>
    <cellStyle name="Normal 18 11 6" xfId="10840"/>
    <cellStyle name="Normal 18 11 7" xfId="10841"/>
    <cellStyle name="Normal 18 11 8" xfId="10842"/>
    <cellStyle name="Normal 18 11 9" xfId="10843"/>
    <cellStyle name="Normal 18 12" xfId="10844"/>
    <cellStyle name="Normal 18 12 10" xfId="10845"/>
    <cellStyle name="Normal 18 12 11" xfId="10846"/>
    <cellStyle name="Normal 18 12 12" xfId="10847"/>
    <cellStyle name="Normal 18 12 13" xfId="10848"/>
    <cellStyle name="Normal 18 12 2" xfId="10849"/>
    <cellStyle name="Normal 18 12 3" xfId="10850"/>
    <cellStyle name="Normal 18 12 4" xfId="10851"/>
    <cellStyle name="Normal 18 12 5" xfId="10852"/>
    <cellStyle name="Normal 18 12 6" xfId="10853"/>
    <cellStyle name="Normal 18 12 7" xfId="10854"/>
    <cellStyle name="Normal 18 12 8" xfId="10855"/>
    <cellStyle name="Normal 18 12 9" xfId="10856"/>
    <cellStyle name="Normal 18 13" xfId="10857"/>
    <cellStyle name="Normal 18 13 10" xfId="10858"/>
    <cellStyle name="Normal 18 13 11" xfId="10859"/>
    <cellStyle name="Normal 18 13 12" xfId="10860"/>
    <cellStyle name="Normal 18 13 13" xfId="10861"/>
    <cellStyle name="Normal 18 13 2" xfId="10862"/>
    <cellStyle name="Normal 18 13 3" xfId="10863"/>
    <cellStyle name="Normal 18 13 4" xfId="10864"/>
    <cellStyle name="Normal 18 13 5" xfId="10865"/>
    <cellStyle name="Normal 18 13 6" xfId="10866"/>
    <cellStyle name="Normal 18 13 7" xfId="10867"/>
    <cellStyle name="Normal 18 13 8" xfId="10868"/>
    <cellStyle name="Normal 18 13 9" xfId="10869"/>
    <cellStyle name="Normal 18 14" xfId="10870"/>
    <cellStyle name="Normal 18 14 10" xfId="10871"/>
    <cellStyle name="Normal 18 14 11" xfId="10872"/>
    <cellStyle name="Normal 18 14 12" xfId="10873"/>
    <cellStyle name="Normal 18 14 13" xfId="10874"/>
    <cellStyle name="Normal 18 14 2" xfId="10875"/>
    <cellStyle name="Normal 18 14 3" xfId="10876"/>
    <cellStyle name="Normal 18 14 4" xfId="10877"/>
    <cellStyle name="Normal 18 14 5" xfId="10878"/>
    <cellStyle name="Normal 18 14 6" xfId="10879"/>
    <cellStyle name="Normal 18 14 7" xfId="10880"/>
    <cellStyle name="Normal 18 14 8" xfId="10881"/>
    <cellStyle name="Normal 18 14 9" xfId="10882"/>
    <cellStyle name="Normal 18 15" xfId="10883"/>
    <cellStyle name="Normal 18 15 10" xfId="10884"/>
    <cellStyle name="Normal 18 15 11" xfId="10885"/>
    <cellStyle name="Normal 18 15 12" xfId="10886"/>
    <cellStyle name="Normal 18 15 13" xfId="10887"/>
    <cellStyle name="Normal 18 15 2" xfId="10888"/>
    <cellStyle name="Normal 18 15 3" xfId="10889"/>
    <cellStyle name="Normal 18 15 4" xfId="10890"/>
    <cellStyle name="Normal 18 15 5" xfId="10891"/>
    <cellStyle name="Normal 18 15 6" xfId="10892"/>
    <cellStyle name="Normal 18 15 7" xfId="10893"/>
    <cellStyle name="Normal 18 15 8" xfId="10894"/>
    <cellStyle name="Normal 18 15 9" xfId="10895"/>
    <cellStyle name="Normal 18 16" xfId="10896"/>
    <cellStyle name="Normal 18 16 10" xfId="10897"/>
    <cellStyle name="Normal 18 16 11" xfId="10898"/>
    <cellStyle name="Normal 18 16 12" xfId="10899"/>
    <cellStyle name="Normal 18 16 13" xfId="10900"/>
    <cellStyle name="Normal 18 16 2" xfId="10901"/>
    <cellStyle name="Normal 18 16 3" xfId="10902"/>
    <cellStyle name="Normal 18 16 4" xfId="10903"/>
    <cellStyle name="Normal 18 16 5" xfId="10904"/>
    <cellStyle name="Normal 18 16 6" xfId="10905"/>
    <cellStyle name="Normal 18 16 7" xfId="10906"/>
    <cellStyle name="Normal 18 16 8" xfId="10907"/>
    <cellStyle name="Normal 18 16 9" xfId="10908"/>
    <cellStyle name="Normal 18 17" xfId="10909"/>
    <cellStyle name="Normal 18 17 10" xfId="10910"/>
    <cellStyle name="Normal 18 17 11" xfId="10911"/>
    <cellStyle name="Normal 18 17 12" xfId="10912"/>
    <cellStyle name="Normal 18 17 13" xfId="10913"/>
    <cellStyle name="Normal 18 17 2" xfId="10914"/>
    <cellStyle name="Normal 18 17 3" xfId="10915"/>
    <cellStyle name="Normal 18 17 4" xfId="10916"/>
    <cellStyle name="Normal 18 17 5" xfId="10917"/>
    <cellStyle name="Normal 18 17 6" xfId="10918"/>
    <cellStyle name="Normal 18 17 7" xfId="10919"/>
    <cellStyle name="Normal 18 17 8" xfId="10920"/>
    <cellStyle name="Normal 18 17 9" xfId="10921"/>
    <cellStyle name="Normal 18 18" xfId="10922"/>
    <cellStyle name="Normal 18 18 10" xfId="10923"/>
    <cellStyle name="Normal 18 18 11" xfId="10924"/>
    <cellStyle name="Normal 18 18 12" xfId="10925"/>
    <cellStyle name="Normal 18 18 13" xfId="10926"/>
    <cellStyle name="Normal 18 18 2" xfId="10927"/>
    <cellStyle name="Normal 18 18 3" xfId="10928"/>
    <cellStyle name="Normal 18 18 4" xfId="10929"/>
    <cellStyle name="Normal 18 18 5" xfId="10930"/>
    <cellStyle name="Normal 18 18 6" xfId="10931"/>
    <cellStyle name="Normal 18 18 7" xfId="10932"/>
    <cellStyle name="Normal 18 18 8" xfId="10933"/>
    <cellStyle name="Normal 18 18 9" xfId="10934"/>
    <cellStyle name="Normal 18 19" xfId="10935"/>
    <cellStyle name="Normal 18 19 10" xfId="10936"/>
    <cellStyle name="Normal 18 19 11" xfId="10937"/>
    <cellStyle name="Normal 18 19 12" xfId="10938"/>
    <cellStyle name="Normal 18 19 13" xfId="10939"/>
    <cellStyle name="Normal 18 19 2" xfId="10940"/>
    <cellStyle name="Normal 18 19 3" xfId="10941"/>
    <cellStyle name="Normal 18 19 4" xfId="10942"/>
    <cellStyle name="Normal 18 19 5" xfId="10943"/>
    <cellStyle name="Normal 18 19 6" xfId="10944"/>
    <cellStyle name="Normal 18 19 7" xfId="10945"/>
    <cellStyle name="Normal 18 19 8" xfId="10946"/>
    <cellStyle name="Normal 18 19 9" xfId="10947"/>
    <cellStyle name="Normal 18 2" xfId="10948"/>
    <cellStyle name="Normal 18 2 10" xfId="10949"/>
    <cellStyle name="Normal 18 2 11" xfId="10950"/>
    <cellStyle name="Normal 18 2 12" xfId="10951"/>
    <cellStyle name="Normal 18 2 13" xfId="10952"/>
    <cellStyle name="Normal 18 2 2" xfId="10953"/>
    <cellStyle name="Normal 18 2 3" xfId="10954"/>
    <cellStyle name="Normal 18 2 4" xfId="10955"/>
    <cellStyle name="Normal 18 2 5" xfId="10956"/>
    <cellStyle name="Normal 18 2 6" xfId="10957"/>
    <cellStyle name="Normal 18 2 7" xfId="10958"/>
    <cellStyle name="Normal 18 2 8" xfId="10959"/>
    <cellStyle name="Normal 18 2 9" xfId="10960"/>
    <cellStyle name="Normal 18 20" xfId="10961"/>
    <cellStyle name="Normal 18 20 10" xfId="10962"/>
    <cellStyle name="Normal 18 20 11" xfId="10963"/>
    <cellStyle name="Normal 18 20 12" xfId="10964"/>
    <cellStyle name="Normal 18 20 13" xfId="10965"/>
    <cellStyle name="Normal 18 20 2" xfId="10966"/>
    <cellStyle name="Normal 18 20 3" xfId="10967"/>
    <cellStyle name="Normal 18 20 4" xfId="10968"/>
    <cellStyle name="Normal 18 20 5" xfId="10969"/>
    <cellStyle name="Normal 18 20 6" xfId="10970"/>
    <cellStyle name="Normal 18 20 7" xfId="10971"/>
    <cellStyle name="Normal 18 20 8" xfId="10972"/>
    <cellStyle name="Normal 18 20 9" xfId="10973"/>
    <cellStyle name="Normal 18 21" xfId="10974"/>
    <cellStyle name="Normal 18 21 10" xfId="10975"/>
    <cellStyle name="Normal 18 21 11" xfId="10976"/>
    <cellStyle name="Normal 18 21 12" xfId="10977"/>
    <cellStyle name="Normal 18 21 13" xfId="10978"/>
    <cellStyle name="Normal 18 21 2" xfId="10979"/>
    <cellStyle name="Normal 18 21 3" xfId="10980"/>
    <cellStyle name="Normal 18 21 4" xfId="10981"/>
    <cellStyle name="Normal 18 21 5" xfId="10982"/>
    <cellStyle name="Normal 18 21 6" xfId="10983"/>
    <cellStyle name="Normal 18 21 7" xfId="10984"/>
    <cellStyle name="Normal 18 21 8" xfId="10985"/>
    <cellStyle name="Normal 18 21 9" xfId="10986"/>
    <cellStyle name="Normal 18 22" xfId="10987"/>
    <cellStyle name="Normal 18 22 10" xfId="10988"/>
    <cellStyle name="Normal 18 22 11" xfId="10989"/>
    <cellStyle name="Normal 18 22 12" xfId="10990"/>
    <cellStyle name="Normal 18 22 13" xfId="10991"/>
    <cellStyle name="Normal 18 22 2" xfId="10992"/>
    <cellStyle name="Normal 18 22 3" xfId="10993"/>
    <cellStyle name="Normal 18 22 4" xfId="10994"/>
    <cellStyle name="Normal 18 22 5" xfId="10995"/>
    <cellStyle name="Normal 18 22 6" xfId="10996"/>
    <cellStyle name="Normal 18 22 7" xfId="10997"/>
    <cellStyle name="Normal 18 22 8" xfId="10998"/>
    <cellStyle name="Normal 18 22 9" xfId="10999"/>
    <cellStyle name="Normal 18 23" xfId="11000"/>
    <cellStyle name="Normal 18 23 10" xfId="11001"/>
    <cellStyle name="Normal 18 23 11" xfId="11002"/>
    <cellStyle name="Normal 18 23 12" xfId="11003"/>
    <cellStyle name="Normal 18 23 13" xfId="11004"/>
    <cellStyle name="Normal 18 23 2" xfId="11005"/>
    <cellStyle name="Normal 18 23 3" xfId="11006"/>
    <cellStyle name="Normal 18 23 4" xfId="11007"/>
    <cellStyle name="Normal 18 23 5" xfId="11008"/>
    <cellStyle name="Normal 18 23 6" xfId="11009"/>
    <cellStyle name="Normal 18 23 7" xfId="11010"/>
    <cellStyle name="Normal 18 23 8" xfId="11011"/>
    <cellStyle name="Normal 18 23 9" xfId="11012"/>
    <cellStyle name="Normal 18 24" xfId="11013"/>
    <cellStyle name="Normal 18 24 10" xfId="11014"/>
    <cellStyle name="Normal 18 24 11" xfId="11015"/>
    <cellStyle name="Normal 18 24 12" xfId="11016"/>
    <cellStyle name="Normal 18 24 13" xfId="11017"/>
    <cellStyle name="Normal 18 24 2" xfId="11018"/>
    <cellStyle name="Normal 18 24 3" xfId="11019"/>
    <cellStyle name="Normal 18 24 4" xfId="11020"/>
    <cellStyle name="Normal 18 24 5" xfId="11021"/>
    <cellStyle name="Normal 18 24 6" xfId="11022"/>
    <cellStyle name="Normal 18 24 7" xfId="11023"/>
    <cellStyle name="Normal 18 24 8" xfId="11024"/>
    <cellStyle name="Normal 18 24 9" xfId="11025"/>
    <cellStyle name="Normal 18 25" xfId="11026"/>
    <cellStyle name="Normal 18 25 10" xfId="11027"/>
    <cellStyle name="Normal 18 25 11" xfId="11028"/>
    <cellStyle name="Normal 18 25 12" xfId="11029"/>
    <cellStyle name="Normal 18 25 13" xfId="11030"/>
    <cellStyle name="Normal 18 25 2" xfId="11031"/>
    <cellStyle name="Normal 18 25 3" xfId="11032"/>
    <cellStyle name="Normal 18 25 4" xfId="11033"/>
    <cellStyle name="Normal 18 25 5" xfId="11034"/>
    <cellStyle name="Normal 18 25 6" xfId="11035"/>
    <cellStyle name="Normal 18 25 7" xfId="11036"/>
    <cellStyle name="Normal 18 25 8" xfId="11037"/>
    <cellStyle name="Normal 18 25 9" xfId="11038"/>
    <cellStyle name="Normal 18 26" xfId="11039"/>
    <cellStyle name="Normal 18 26 10" xfId="11040"/>
    <cellStyle name="Normal 18 26 11" xfId="11041"/>
    <cellStyle name="Normal 18 26 12" xfId="11042"/>
    <cellStyle name="Normal 18 26 13" xfId="11043"/>
    <cellStyle name="Normal 18 26 2" xfId="11044"/>
    <cellStyle name="Normal 18 26 3" xfId="11045"/>
    <cellStyle name="Normal 18 26 4" xfId="11046"/>
    <cellStyle name="Normal 18 26 5" xfId="11047"/>
    <cellStyle name="Normal 18 26 6" xfId="11048"/>
    <cellStyle name="Normal 18 26 7" xfId="11049"/>
    <cellStyle name="Normal 18 26 8" xfId="11050"/>
    <cellStyle name="Normal 18 26 9" xfId="11051"/>
    <cellStyle name="Normal 18 27" xfId="11052"/>
    <cellStyle name="Normal 18 27 10" xfId="11053"/>
    <cellStyle name="Normal 18 27 11" xfId="11054"/>
    <cellStyle name="Normal 18 27 12" xfId="11055"/>
    <cellStyle name="Normal 18 27 13" xfId="11056"/>
    <cellStyle name="Normal 18 27 2" xfId="11057"/>
    <cellStyle name="Normal 18 27 3" xfId="11058"/>
    <cellStyle name="Normal 18 27 4" xfId="11059"/>
    <cellStyle name="Normal 18 27 5" xfId="11060"/>
    <cellStyle name="Normal 18 27 6" xfId="11061"/>
    <cellStyle name="Normal 18 27 7" xfId="11062"/>
    <cellStyle name="Normal 18 27 8" xfId="11063"/>
    <cellStyle name="Normal 18 27 9" xfId="11064"/>
    <cellStyle name="Normal 18 28" xfId="11065"/>
    <cellStyle name="Normal 18 28 10" xfId="11066"/>
    <cellStyle name="Normal 18 28 11" xfId="11067"/>
    <cellStyle name="Normal 18 28 12" xfId="11068"/>
    <cellStyle name="Normal 18 28 13" xfId="11069"/>
    <cellStyle name="Normal 18 28 2" xfId="11070"/>
    <cellStyle name="Normal 18 28 3" xfId="11071"/>
    <cellStyle name="Normal 18 28 4" xfId="11072"/>
    <cellStyle name="Normal 18 28 5" xfId="11073"/>
    <cellStyle name="Normal 18 28 6" xfId="11074"/>
    <cellStyle name="Normal 18 28 7" xfId="11075"/>
    <cellStyle name="Normal 18 28 8" xfId="11076"/>
    <cellStyle name="Normal 18 28 9" xfId="11077"/>
    <cellStyle name="Normal 18 29" xfId="11078"/>
    <cellStyle name="Normal 18 29 10" xfId="11079"/>
    <cellStyle name="Normal 18 29 11" xfId="11080"/>
    <cellStyle name="Normal 18 29 12" xfId="11081"/>
    <cellStyle name="Normal 18 29 13" xfId="11082"/>
    <cellStyle name="Normal 18 29 2" xfId="11083"/>
    <cellStyle name="Normal 18 29 3" xfId="11084"/>
    <cellStyle name="Normal 18 29 4" xfId="11085"/>
    <cellStyle name="Normal 18 29 5" xfId="11086"/>
    <cellStyle name="Normal 18 29 6" xfId="11087"/>
    <cellStyle name="Normal 18 29 7" xfId="11088"/>
    <cellStyle name="Normal 18 29 8" xfId="11089"/>
    <cellStyle name="Normal 18 29 9" xfId="11090"/>
    <cellStyle name="Normal 18 3" xfId="11091"/>
    <cellStyle name="Normal 18 3 10" xfId="11092"/>
    <cellStyle name="Normal 18 3 11" xfId="11093"/>
    <cellStyle name="Normal 18 3 12" xfId="11094"/>
    <cellStyle name="Normal 18 3 13" xfId="11095"/>
    <cellStyle name="Normal 18 3 2" xfId="11096"/>
    <cellStyle name="Normal 18 3 3" xfId="11097"/>
    <cellStyle name="Normal 18 3 4" xfId="11098"/>
    <cellStyle name="Normal 18 3 5" xfId="11099"/>
    <cellStyle name="Normal 18 3 6" xfId="11100"/>
    <cellStyle name="Normal 18 3 7" xfId="11101"/>
    <cellStyle name="Normal 18 3 8" xfId="11102"/>
    <cellStyle name="Normal 18 3 9" xfId="11103"/>
    <cellStyle name="Normal 18 30" xfId="11104"/>
    <cellStyle name="Normal 18 30 10" xfId="11105"/>
    <cellStyle name="Normal 18 30 11" xfId="11106"/>
    <cellStyle name="Normal 18 30 12" xfId="11107"/>
    <cellStyle name="Normal 18 30 13" xfId="11108"/>
    <cellStyle name="Normal 18 30 2" xfId="11109"/>
    <cellStyle name="Normal 18 30 3" xfId="11110"/>
    <cellStyle name="Normal 18 30 4" xfId="11111"/>
    <cellStyle name="Normal 18 30 5" xfId="11112"/>
    <cellStyle name="Normal 18 30 6" xfId="11113"/>
    <cellStyle name="Normal 18 30 7" xfId="11114"/>
    <cellStyle name="Normal 18 30 8" xfId="11115"/>
    <cellStyle name="Normal 18 30 9" xfId="11116"/>
    <cellStyle name="Normal 18 31" xfId="11117"/>
    <cellStyle name="Normal 18 31 10" xfId="11118"/>
    <cellStyle name="Normal 18 31 11" xfId="11119"/>
    <cellStyle name="Normal 18 31 12" xfId="11120"/>
    <cellStyle name="Normal 18 31 13" xfId="11121"/>
    <cellStyle name="Normal 18 31 2" xfId="11122"/>
    <cellStyle name="Normal 18 31 3" xfId="11123"/>
    <cellStyle name="Normal 18 31 4" xfId="11124"/>
    <cellStyle name="Normal 18 31 5" xfId="11125"/>
    <cellStyle name="Normal 18 31 6" xfId="11126"/>
    <cellStyle name="Normal 18 31 7" xfId="11127"/>
    <cellStyle name="Normal 18 31 8" xfId="11128"/>
    <cellStyle name="Normal 18 31 9" xfId="11129"/>
    <cellStyle name="Normal 18 32" xfId="11130"/>
    <cellStyle name="Normal 18 32 10" xfId="11131"/>
    <cellStyle name="Normal 18 32 11" xfId="11132"/>
    <cellStyle name="Normal 18 32 12" xfId="11133"/>
    <cellStyle name="Normal 18 32 13" xfId="11134"/>
    <cellStyle name="Normal 18 32 2" xfId="11135"/>
    <cellStyle name="Normal 18 32 3" xfId="11136"/>
    <cellStyle name="Normal 18 32 4" xfId="11137"/>
    <cellStyle name="Normal 18 32 5" xfId="11138"/>
    <cellStyle name="Normal 18 32 6" xfId="11139"/>
    <cellStyle name="Normal 18 32 7" xfId="11140"/>
    <cellStyle name="Normal 18 32 8" xfId="11141"/>
    <cellStyle name="Normal 18 32 9" xfId="11142"/>
    <cellStyle name="Normal 18 33" xfId="11143"/>
    <cellStyle name="Normal 18 33 10" xfId="11144"/>
    <cellStyle name="Normal 18 33 11" xfId="11145"/>
    <cellStyle name="Normal 18 33 12" xfId="11146"/>
    <cellStyle name="Normal 18 33 13" xfId="11147"/>
    <cellStyle name="Normal 18 33 2" xfId="11148"/>
    <cellStyle name="Normal 18 33 3" xfId="11149"/>
    <cellStyle name="Normal 18 33 4" xfId="11150"/>
    <cellStyle name="Normal 18 33 5" xfId="11151"/>
    <cellStyle name="Normal 18 33 6" xfId="11152"/>
    <cellStyle name="Normal 18 33 7" xfId="11153"/>
    <cellStyle name="Normal 18 33 8" xfId="11154"/>
    <cellStyle name="Normal 18 33 9" xfId="11155"/>
    <cellStyle name="Normal 18 34" xfId="11156"/>
    <cellStyle name="Normal 18 34 10" xfId="11157"/>
    <cellStyle name="Normal 18 34 11" xfId="11158"/>
    <cellStyle name="Normal 18 34 12" xfId="11159"/>
    <cellStyle name="Normal 18 34 13" xfId="11160"/>
    <cellStyle name="Normal 18 34 2" xfId="11161"/>
    <cellStyle name="Normal 18 34 3" xfId="11162"/>
    <cellStyle name="Normal 18 34 4" xfId="11163"/>
    <cellStyle name="Normal 18 34 5" xfId="11164"/>
    <cellStyle name="Normal 18 34 6" xfId="11165"/>
    <cellStyle name="Normal 18 34 7" xfId="11166"/>
    <cellStyle name="Normal 18 34 8" xfId="11167"/>
    <cellStyle name="Normal 18 34 9" xfId="11168"/>
    <cellStyle name="Normal 18 35" xfId="11169"/>
    <cellStyle name="Normal 18 35 10" xfId="11170"/>
    <cellStyle name="Normal 18 35 11" xfId="11171"/>
    <cellStyle name="Normal 18 35 12" xfId="11172"/>
    <cellStyle name="Normal 18 35 13" xfId="11173"/>
    <cellStyle name="Normal 18 35 2" xfId="11174"/>
    <cellStyle name="Normal 18 35 3" xfId="11175"/>
    <cellStyle name="Normal 18 35 4" xfId="11176"/>
    <cellStyle name="Normal 18 35 5" xfId="11177"/>
    <cellStyle name="Normal 18 35 6" xfId="11178"/>
    <cellStyle name="Normal 18 35 7" xfId="11179"/>
    <cellStyle name="Normal 18 35 8" xfId="11180"/>
    <cellStyle name="Normal 18 35 9" xfId="11181"/>
    <cellStyle name="Normal 18 36" xfId="11182"/>
    <cellStyle name="Normal 18 36 10" xfId="11183"/>
    <cellStyle name="Normal 18 36 11" xfId="11184"/>
    <cellStyle name="Normal 18 36 12" xfId="11185"/>
    <cellStyle name="Normal 18 36 13" xfId="11186"/>
    <cellStyle name="Normal 18 36 2" xfId="11187"/>
    <cellStyle name="Normal 18 36 3" xfId="11188"/>
    <cellStyle name="Normal 18 36 4" xfId="11189"/>
    <cellStyle name="Normal 18 36 5" xfId="11190"/>
    <cellStyle name="Normal 18 36 6" xfId="11191"/>
    <cellStyle name="Normal 18 36 7" xfId="11192"/>
    <cellStyle name="Normal 18 36 8" xfId="11193"/>
    <cellStyle name="Normal 18 36 9" xfId="11194"/>
    <cellStyle name="Normal 18 37" xfId="11195"/>
    <cellStyle name="Normal 18 37 10" xfId="11196"/>
    <cellStyle name="Normal 18 37 11" xfId="11197"/>
    <cellStyle name="Normal 18 37 12" xfId="11198"/>
    <cellStyle name="Normal 18 37 13" xfId="11199"/>
    <cellStyle name="Normal 18 37 2" xfId="11200"/>
    <cellStyle name="Normal 18 37 3" xfId="11201"/>
    <cellStyle name="Normal 18 37 4" xfId="11202"/>
    <cellStyle name="Normal 18 37 5" xfId="11203"/>
    <cellStyle name="Normal 18 37 6" xfId="11204"/>
    <cellStyle name="Normal 18 37 7" xfId="11205"/>
    <cellStyle name="Normal 18 37 8" xfId="11206"/>
    <cellStyle name="Normal 18 37 9" xfId="11207"/>
    <cellStyle name="Normal 18 38" xfId="11208"/>
    <cellStyle name="Normal 18 38 10" xfId="11209"/>
    <cellStyle name="Normal 18 38 11" xfId="11210"/>
    <cellStyle name="Normal 18 38 12" xfId="11211"/>
    <cellStyle name="Normal 18 38 13" xfId="11212"/>
    <cellStyle name="Normal 18 38 2" xfId="11213"/>
    <cellStyle name="Normal 18 38 3" xfId="11214"/>
    <cellStyle name="Normal 18 38 4" xfId="11215"/>
    <cellStyle name="Normal 18 38 5" xfId="11216"/>
    <cellStyle name="Normal 18 38 6" xfId="11217"/>
    <cellStyle name="Normal 18 38 7" xfId="11218"/>
    <cellStyle name="Normal 18 38 8" xfId="11219"/>
    <cellStyle name="Normal 18 38 9" xfId="11220"/>
    <cellStyle name="Normal 18 39" xfId="11221"/>
    <cellStyle name="Normal 18 39 10" xfId="11222"/>
    <cellStyle name="Normal 18 39 11" xfId="11223"/>
    <cellStyle name="Normal 18 39 12" xfId="11224"/>
    <cellStyle name="Normal 18 39 13" xfId="11225"/>
    <cellStyle name="Normal 18 39 2" xfId="11226"/>
    <cellStyle name="Normal 18 39 3" xfId="11227"/>
    <cellStyle name="Normal 18 39 4" xfId="11228"/>
    <cellStyle name="Normal 18 39 5" xfId="11229"/>
    <cellStyle name="Normal 18 39 6" xfId="11230"/>
    <cellStyle name="Normal 18 39 7" xfId="11231"/>
    <cellStyle name="Normal 18 39 8" xfId="11232"/>
    <cellStyle name="Normal 18 39 9" xfId="11233"/>
    <cellStyle name="Normal 18 4" xfId="11234"/>
    <cellStyle name="Normal 18 4 10" xfId="11235"/>
    <cellStyle name="Normal 18 4 11" xfId="11236"/>
    <cellStyle name="Normal 18 4 12" xfId="11237"/>
    <cellStyle name="Normal 18 4 13" xfId="11238"/>
    <cellStyle name="Normal 18 4 2" xfId="11239"/>
    <cellStyle name="Normal 18 4 3" xfId="11240"/>
    <cellStyle name="Normal 18 4 4" xfId="11241"/>
    <cellStyle name="Normal 18 4 5" xfId="11242"/>
    <cellStyle name="Normal 18 4 6" xfId="11243"/>
    <cellStyle name="Normal 18 4 7" xfId="11244"/>
    <cellStyle name="Normal 18 4 8" xfId="11245"/>
    <cellStyle name="Normal 18 4 9" xfId="11246"/>
    <cellStyle name="Normal 18 40" xfId="11247"/>
    <cellStyle name="Normal 18 40 10" xfId="11248"/>
    <cellStyle name="Normal 18 40 11" xfId="11249"/>
    <cellStyle name="Normal 18 40 12" xfId="11250"/>
    <cellStyle name="Normal 18 40 13" xfId="11251"/>
    <cellStyle name="Normal 18 40 2" xfId="11252"/>
    <cellStyle name="Normal 18 40 3" xfId="11253"/>
    <cellStyle name="Normal 18 40 4" xfId="11254"/>
    <cellStyle name="Normal 18 40 5" xfId="11255"/>
    <cellStyle name="Normal 18 40 6" xfId="11256"/>
    <cellStyle name="Normal 18 40 7" xfId="11257"/>
    <cellStyle name="Normal 18 40 8" xfId="11258"/>
    <cellStyle name="Normal 18 40 9" xfId="11259"/>
    <cellStyle name="Normal 18 41" xfId="11260"/>
    <cellStyle name="Normal 18 41 10" xfId="11261"/>
    <cellStyle name="Normal 18 41 11" xfId="11262"/>
    <cellStyle name="Normal 18 41 12" xfId="11263"/>
    <cellStyle name="Normal 18 41 13" xfId="11264"/>
    <cellStyle name="Normal 18 41 2" xfId="11265"/>
    <cellStyle name="Normal 18 41 3" xfId="11266"/>
    <cellStyle name="Normal 18 41 4" xfId="11267"/>
    <cellStyle name="Normal 18 41 5" xfId="11268"/>
    <cellStyle name="Normal 18 41 6" xfId="11269"/>
    <cellStyle name="Normal 18 41 7" xfId="11270"/>
    <cellStyle name="Normal 18 41 8" xfId="11271"/>
    <cellStyle name="Normal 18 41 9" xfId="11272"/>
    <cellStyle name="Normal 18 42" xfId="11273"/>
    <cellStyle name="Normal 18 42 10" xfId="11274"/>
    <cellStyle name="Normal 18 42 11" xfId="11275"/>
    <cellStyle name="Normal 18 42 12" xfId="11276"/>
    <cellStyle name="Normal 18 42 13" xfId="11277"/>
    <cellStyle name="Normal 18 42 2" xfId="11278"/>
    <cellStyle name="Normal 18 42 3" xfId="11279"/>
    <cellStyle name="Normal 18 42 4" xfId="11280"/>
    <cellStyle name="Normal 18 42 5" xfId="11281"/>
    <cellStyle name="Normal 18 42 6" xfId="11282"/>
    <cellStyle name="Normal 18 42 7" xfId="11283"/>
    <cellStyle name="Normal 18 42 8" xfId="11284"/>
    <cellStyle name="Normal 18 42 9" xfId="11285"/>
    <cellStyle name="Normal 18 43" xfId="11286"/>
    <cellStyle name="Normal 18 43 10" xfId="11287"/>
    <cellStyle name="Normal 18 43 11" xfId="11288"/>
    <cellStyle name="Normal 18 43 12" xfId="11289"/>
    <cellStyle name="Normal 18 43 13" xfId="11290"/>
    <cellStyle name="Normal 18 43 2" xfId="11291"/>
    <cellStyle name="Normal 18 43 3" xfId="11292"/>
    <cellStyle name="Normal 18 43 4" xfId="11293"/>
    <cellStyle name="Normal 18 43 5" xfId="11294"/>
    <cellStyle name="Normal 18 43 6" xfId="11295"/>
    <cellStyle name="Normal 18 43 7" xfId="11296"/>
    <cellStyle name="Normal 18 43 8" xfId="11297"/>
    <cellStyle name="Normal 18 43 9" xfId="11298"/>
    <cellStyle name="Normal 18 44" xfId="11299"/>
    <cellStyle name="Normal 18 44 10" xfId="11300"/>
    <cellStyle name="Normal 18 44 11" xfId="11301"/>
    <cellStyle name="Normal 18 44 12" xfId="11302"/>
    <cellStyle name="Normal 18 44 13" xfId="11303"/>
    <cellStyle name="Normal 18 44 2" xfId="11304"/>
    <cellStyle name="Normal 18 44 3" xfId="11305"/>
    <cellStyle name="Normal 18 44 4" xfId="11306"/>
    <cellStyle name="Normal 18 44 5" xfId="11307"/>
    <cellStyle name="Normal 18 44 6" xfId="11308"/>
    <cellStyle name="Normal 18 44 7" xfId="11309"/>
    <cellStyle name="Normal 18 44 8" xfId="11310"/>
    <cellStyle name="Normal 18 44 9" xfId="11311"/>
    <cellStyle name="Normal 18 45" xfId="11312"/>
    <cellStyle name="Normal 18 45 10" xfId="11313"/>
    <cellStyle name="Normal 18 45 11" xfId="11314"/>
    <cellStyle name="Normal 18 45 12" xfId="11315"/>
    <cellStyle name="Normal 18 45 13" xfId="11316"/>
    <cellStyle name="Normal 18 45 2" xfId="11317"/>
    <cellStyle name="Normal 18 45 3" xfId="11318"/>
    <cellStyle name="Normal 18 45 4" xfId="11319"/>
    <cellStyle name="Normal 18 45 5" xfId="11320"/>
    <cellStyle name="Normal 18 45 6" xfId="11321"/>
    <cellStyle name="Normal 18 45 7" xfId="11322"/>
    <cellStyle name="Normal 18 45 8" xfId="11323"/>
    <cellStyle name="Normal 18 45 9" xfId="11324"/>
    <cellStyle name="Normal 18 46" xfId="11325"/>
    <cellStyle name="Normal 18 46 10" xfId="11326"/>
    <cellStyle name="Normal 18 46 11" xfId="11327"/>
    <cellStyle name="Normal 18 46 12" xfId="11328"/>
    <cellStyle name="Normal 18 46 13" xfId="11329"/>
    <cellStyle name="Normal 18 46 2" xfId="11330"/>
    <cellStyle name="Normal 18 46 3" xfId="11331"/>
    <cellStyle name="Normal 18 46 4" xfId="11332"/>
    <cellStyle name="Normal 18 46 5" xfId="11333"/>
    <cellStyle name="Normal 18 46 6" xfId="11334"/>
    <cellStyle name="Normal 18 46 7" xfId="11335"/>
    <cellStyle name="Normal 18 46 8" xfId="11336"/>
    <cellStyle name="Normal 18 46 9" xfId="11337"/>
    <cellStyle name="Normal 18 47" xfId="11338"/>
    <cellStyle name="Normal 18 47 10" xfId="11339"/>
    <cellStyle name="Normal 18 47 11" xfId="11340"/>
    <cellStyle name="Normal 18 47 12" xfId="11341"/>
    <cellStyle name="Normal 18 47 13" xfId="11342"/>
    <cellStyle name="Normal 18 47 2" xfId="11343"/>
    <cellStyle name="Normal 18 47 3" xfId="11344"/>
    <cellStyle name="Normal 18 47 4" xfId="11345"/>
    <cellStyle name="Normal 18 47 5" xfId="11346"/>
    <cellStyle name="Normal 18 47 6" xfId="11347"/>
    <cellStyle name="Normal 18 47 7" xfId="11348"/>
    <cellStyle name="Normal 18 47 8" xfId="11349"/>
    <cellStyle name="Normal 18 47 9" xfId="11350"/>
    <cellStyle name="Normal 18 48" xfId="11351"/>
    <cellStyle name="Normal 18 48 10" xfId="11352"/>
    <cellStyle name="Normal 18 48 11" xfId="11353"/>
    <cellStyle name="Normal 18 48 12" xfId="11354"/>
    <cellStyle name="Normal 18 48 13" xfId="11355"/>
    <cellStyle name="Normal 18 48 2" xfId="11356"/>
    <cellStyle name="Normal 18 48 3" xfId="11357"/>
    <cellStyle name="Normal 18 48 4" xfId="11358"/>
    <cellStyle name="Normal 18 48 5" xfId="11359"/>
    <cellStyle name="Normal 18 48 6" xfId="11360"/>
    <cellStyle name="Normal 18 48 7" xfId="11361"/>
    <cellStyle name="Normal 18 48 8" xfId="11362"/>
    <cellStyle name="Normal 18 48 9" xfId="11363"/>
    <cellStyle name="Normal 18 49" xfId="11364"/>
    <cellStyle name="Normal 18 49 10" xfId="11365"/>
    <cellStyle name="Normal 18 49 11" xfId="11366"/>
    <cellStyle name="Normal 18 49 12" xfId="11367"/>
    <cellStyle name="Normal 18 49 13" xfId="11368"/>
    <cellStyle name="Normal 18 49 2" xfId="11369"/>
    <cellStyle name="Normal 18 49 3" xfId="11370"/>
    <cellStyle name="Normal 18 49 4" xfId="11371"/>
    <cellStyle name="Normal 18 49 5" xfId="11372"/>
    <cellStyle name="Normal 18 49 6" xfId="11373"/>
    <cellStyle name="Normal 18 49 7" xfId="11374"/>
    <cellStyle name="Normal 18 49 8" xfId="11375"/>
    <cellStyle name="Normal 18 49 9" xfId="11376"/>
    <cellStyle name="Normal 18 5" xfId="11377"/>
    <cellStyle name="Normal 18 5 10" xfId="11378"/>
    <cellStyle name="Normal 18 5 11" xfId="11379"/>
    <cellStyle name="Normal 18 5 12" xfId="11380"/>
    <cellStyle name="Normal 18 5 13" xfId="11381"/>
    <cellStyle name="Normal 18 5 2" xfId="11382"/>
    <cellStyle name="Normal 18 5 3" xfId="11383"/>
    <cellStyle name="Normal 18 5 4" xfId="11384"/>
    <cellStyle name="Normal 18 5 5" xfId="11385"/>
    <cellStyle name="Normal 18 5 6" xfId="11386"/>
    <cellStyle name="Normal 18 5 7" xfId="11387"/>
    <cellStyle name="Normal 18 5 8" xfId="11388"/>
    <cellStyle name="Normal 18 5 9" xfId="11389"/>
    <cellStyle name="Normal 18 50" xfId="11390"/>
    <cellStyle name="Normal 18 50 10" xfId="11391"/>
    <cellStyle name="Normal 18 50 11" xfId="11392"/>
    <cellStyle name="Normal 18 50 12" xfId="11393"/>
    <cellStyle name="Normal 18 50 13" xfId="11394"/>
    <cellStyle name="Normal 18 50 2" xfId="11395"/>
    <cellStyle name="Normal 18 50 3" xfId="11396"/>
    <cellStyle name="Normal 18 50 4" xfId="11397"/>
    <cellStyle name="Normal 18 50 5" xfId="11398"/>
    <cellStyle name="Normal 18 50 6" xfId="11399"/>
    <cellStyle name="Normal 18 50 7" xfId="11400"/>
    <cellStyle name="Normal 18 50 8" xfId="11401"/>
    <cellStyle name="Normal 18 50 9" xfId="11402"/>
    <cellStyle name="Normal 18 51" xfId="11403"/>
    <cellStyle name="Normal 18 51 10" xfId="11404"/>
    <cellStyle name="Normal 18 51 11" xfId="11405"/>
    <cellStyle name="Normal 18 51 12" xfId="11406"/>
    <cellStyle name="Normal 18 51 13" xfId="11407"/>
    <cellStyle name="Normal 18 51 2" xfId="11408"/>
    <cellStyle name="Normal 18 51 3" xfId="11409"/>
    <cellStyle name="Normal 18 51 4" xfId="11410"/>
    <cellStyle name="Normal 18 51 5" xfId="11411"/>
    <cellStyle name="Normal 18 51 6" xfId="11412"/>
    <cellStyle name="Normal 18 51 7" xfId="11413"/>
    <cellStyle name="Normal 18 51 8" xfId="11414"/>
    <cellStyle name="Normal 18 51 9" xfId="11415"/>
    <cellStyle name="Normal 18 52" xfId="11416"/>
    <cellStyle name="Normal 18 52 10" xfId="11417"/>
    <cellStyle name="Normal 18 52 11" xfId="11418"/>
    <cellStyle name="Normal 18 52 12" xfId="11419"/>
    <cellStyle name="Normal 18 52 13" xfId="11420"/>
    <cellStyle name="Normal 18 52 2" xfId="11421"/>
    <cellStyle name="Normal 18 52 3" xfId="11422"/>
    <cellStyle name="Normal 18 52 4" xfId="11423"/>
    <cellStyle name="Normal 18 52 5" xfId="11424"/>
    <cellStyle name="Normal 18 52 6" xfId="11425"/>
    <cellStyle name="Normal 18 52 7" xfId="11426"/>
    <cellStyle name="Normal 18 52 8" xfId="11427"/>
    <cellStyle name="Normal 18 52 9" xfId="11428"/>
    <cellStyle name="Normal 18 53" xfId="11429"/>
    <cellStyle name="Normal 18 53 10" xfId="11430"/>
    <cellStyle name="Normal 18 53 11" xfId="11431"/>
    <cellStyle name="Normal 18 53 12" xfId="11432"/>
    <cellStyle name="Normal 18 53 13" xfId="11433"/>
    <cellStyle name="Normal 18 53 2" xfId="11434"/>
    <cellStyle name="Normal 18 53 3" xfId="11435"/>
    <cellStyle name="Normal 18 53 4" xfId="11436"/>
    <cellStyle name="Normal 18 53 5" xfId="11437"/>
    <cellStyle name="Normal 18 53 6" xfId="11438"/>
    <cellStyle name="Normal 18 53 7" xfId="11439"/>
    <cellStyle name="Normal 18 53 8" xfId="11440"/>
    <cellStyle name="Normal 18 53 9" xfId="11441"/>
    <cellStyle name="Normal 18 54" xfId="11442"/>
    <cellStyle name="Normal 18 54 10" xfId="11443"/>
    <cellStyle name="Normal 18 54 11" xfId="11444"/>
    <cellStyle name="Normal 18 54 12" xfId="11445"/>
    <cellStyle name="Normal 18 54 13" xfId="11446"/>
    <cellStyle name="Normal 18 54 2" xfId="11447"/>
    <cellStyle name="Normal 18 54 3" xfId="11448"/>
    <cellStyle name="Normal 18 54 4" xfId="11449"/>
    <cellStyle name="Normal 18 54 5" xfId="11450"/>
    <cellStyle name="Normal 18 54 6" xfId="11451"/>
    <cellStyle name="Normal 18 54 7" xfId="11452"/>
    <cellStyle name="Normal 18 54 8" xfId="11453"/>
    <cellStyle name="Normal 18 54 9" xfId="11454"/>
    <cellStyle name="Normal 18 55" xfId="11455"/>
    <cellStyle name="Normal 18 55 10" xfId="11456"/>
    <cellStyle name="Normal 18 55 11" xfId="11457"/>
    <cellStyle name="Normal 18 55 12" xfId="11458"/>
    <cellStyle name="Normal 18 55 13" xfId="11459"/>
    <cellStyle name="Normal 18 55 2" xfId="11460"/>
    <cellStyle name="Normal 18 55 3" xfId="11461"/>
    <cellStyle name="Normal 18 55 4" xfId="11462"/>
    <cellStyle name="Normal 18 55 5" xfId="11463"/>
    <cellStyle name="Normal 18 55 6" xfId="11464"/>
    <cellStyle name="Normal 18 55 7" xfId="11465"/>
    <cellStyle name="Normal 18 55 8" xfId="11466"/>
    <cellStyle name="Normal 18 55 9" xfId="11467"/>
    <cellStyle name="Normal 18 56" xfId="11468"/>
    <cellStyle name="Normal 18 56 10" xfId="11469"/>
    <cellStyle name="Normal 18 56 11" xfId="11470"/>
    <cellStyle name="Normal 18 56 12" xfId="11471"/>
    <cellStyle name="Normal 18 56 13" xfId="11472"/>
    <cellStyle name="Normal 18 56 2" xfId="11473"/>
    <cellStyle name="Normal 18 56 3" xfId="11474"/>
    <cellStyle name="Normal 18 56 4" xfId="11475"/>
    <cellStyle name="Normal 18 56 5" xfId="11476"/>
    <cellStyle name="Normal 18 56 6" xfId="11477"/>
    <cellStyle name="Normal 18 56 7" xfId="11478"/>
    <cellStyle name="Normal 18 56 8" xfId="11479"/>
    <cellStyle name="Normal 18 56 9" xfId="11480"/>
    <cellStyle name="Normal 18 57" xfId="11481"/>
    <cellStyle name="Normal 18 57 10" xfId="11482"/>
    <cellStyle name="Normal 18 57 11" xfId="11483"/>
    <cellStyle name="Normal 18 57 12" xfId="11484"/>
    <cellStyle name="Normal 18 57 13" xfId="11485"/>
    <cellStyle name="Normal 18 57 2" xfId="11486"/>
    <cellStyle name="Normal 18 57 3" xfId="11487"/>
    <cellStyle name="Normal 18 57 4" xfId="11488"/>
    <cellStyle name="Normal 18 57 5" xfId="11489"/>
    <cellStyle name="Normal 18 57 6" xfId="11490"/>
    <cellStyle name="Normal 18 57 7" xfId="11491"/>
    <cellStyle name="Normal 18 57 8" xfId="11492"/>
    <cellStyle name="Normal 18 57 9" xfId="11493"/>
    <cellStyle name="Normal 18 58" xfId="11494"/>
    <cellStyle name="Normal 18 58 10" xfId="11495"/>
    <cellStyle name="Normal 18 58 11" xfId="11496"/>
    <cellStyle name="Normal 18 58 12" xfId="11497"/>
    <cellStyle name="Normal 18 58 13" xfId="11498"/>
    <cellStyle name="Normal 18 58 2" xfId="11499"/>
    <cellStyle name="Normal 18 58 3" xfId="11500"/>
    <cellStyle name="Normal 18 58 4" xfId="11501"/>
    <cellStyle name="Normal 18 58 5" xfId="11502"/>
    <cellStyle name="Normal 18 58 6" xfId="11503"/>
    <cellStyle name="Normal 18 58 7" xfId="11504"/>
    <cellStyle name="Normal 18 58 8" xfId="11505"/>
    <cellStyle name="Normal 18 58 9" xfId="11506"/>
    <cellStyle name="Normal 18 59" xfId="11507"/>
    <cellStyle name="Normal 18 59 10" xfId="11508"/>
    <cellStyle name="Normal 18 59 11" xfId="11509"/>
    <cellStyle name="Normal 18 59 12" xfId="11510"/>
    <cellStyle name="Normal 18 59 13" xfId="11511"/>
    <cellStyle name="Normal 18 59 2" xfId="11512"/>
    <cellStyle name="Normal 18 59 3" xfId="11513"/>
    <cellStyle name="Normal 18 59 4" xfId="11514"/>
    <cellStyle name="Normal 18 59 5" xfId="11515"/>
    <cellStyle name="Normal 18 59 6" xfId="11516"/>
    <cellStyle name="Normal 18 59 7" xfId="11517"/>
    <cellStyle name="Normal 18 59 8" xfId="11518"/>
    <cellStyle name="Normal 18 59 9" xfId="11519"/>
    <cellStyle name="Normal 18 6" xfId="11520"/>
    <cellStyle name="Normal 18 6 10" xfId="11521"/>
    <cellStyle name="Normal 18 6 11" xfId="11522"/>
    <cellStyle name="Normal 18 6 12" xfId="11523"/>
    <cellStyle name="Normal 18 6 13" xfId="11524"/>
    <cellStyle name="Normal 18 6 2" xfId="11525"/>
    <cellStyle name="Normal 18 6 3" xfId="11526"/>
    <cellStyle name="Normal 18 6 4" xfId="11527"/>
    <cellStyle name="Normal 18 6 5" xfId="11528"/>
    <cellStyle name="Normal 18 6 6" xfId="11529"/>
    <cellStyle name="Normal 18 6 7" xfId="11530"/>
    <cellStyle name="Normal 18 6 8" xfId="11531"/>
    <cellStyle name="Normal 18 6 9" xfId="11532"/>
    <cellStyle name="Normal 18 60" xfId="11533"/>
    <cellStyle name="Normal 18 60 10" xfId="11534"/>
    <cellStyle name="Normal 18 60 11" xfId="11535"/>
    <cellStyle name="Normal 18 60 12" xfId="11536"/>
    <cellStyle name="Normal 18 60 13" xfId="11537"/>
    <cellStyle name="Normal 18 60 2" xfId="11538"/>
    <cellStyle name="Normal 18 60 3" xfId="11539"/>
    <cellStyle name="Normal 18 60 4" xfId="11540"/>
    <cellStyle name="Normal 18 60 5" xfId="11541"/>
    <cellStyle name="Normal 18 60 6" xfId="11542"/>
    <cellStyle name="Normal 18 60 7" xfId="11543"/>
    <cellStyle name="Normal 18 60 8" xfId="11544"/>
    <cellStyle name="Normal 18 60 9" xfId="11545"/>
    <cellStyle name="Normal 18 61" xfId="11546"/>
    <cellStyle name="Normal 18 61 10" xfId="11547"/>
    <cellStyle name="Normal 18 61 11" xfId="11548"/>
    <cellStyle name="Normal 18 61 12" xfId="11549"/>
    <cellStyle name="Normal 18 61 13" xfId="11550"/>
    <cellStyle name="Normal 18 61 2" xfId="11551"/>
    <cellStyle name="Normal 18 61 3" xfId="11552"/>
    <cellStyle name="Normal 18 61 4" xfId="11553"/>
    <cellStyle name="Normal 18 61 5" xfId="11554"/>
    <cellStyle name="Normal 18 61 6" xfId="11555"/>
    <cellStyle name="Normal 18 61 7" xfId="11556"/>
    <cellStyle name="Normal 18 61 8" xfId="11557"/>
    <cellStyle name="Normal 18 61 9" xfId="11558"/>
    <cellStyle name="Normal 18 62" xfId="11559"/>
    <cellStyle name="Normal 18 62 10" xfId="11560"/>
    <cellStyle name="Normal 18 62 11" xfId="11561"/>
    <cellStyle name="Normal 18 62 12" xfId="11562"/>
    <cellStyle name="Normal 18 62 13" xfId="11563"/>
    <cellStyle name="Normal 18 62 2" xfId="11564"/>
    <cellStyle name="Normal 18 62 3" xfId="11565"/>
    <cellStyle name="Normal 18 62 4" xfId="11566"/>
    <cellStyle name="Normal 18 62 5" xfId="11567"/>
    <cellStyle name="Normal 18 62 6" xfId="11568"/>
    <cellStyle name="Normal 18 62 7" xfId="11569"/>
    <cellStyle name="Normal 18 62 8" xfId="11570"/>
    <cellStyle name="Normal 18 62 9" xfId="11571"/>
    <cellStyle name="Normal 18 63" xfId="11572"/>
    <cellStyle name="Normal 18 63 10" xfId="11573"/>
    <cellStyle name="Normal 18 63 11" xfId="11574"/>
    <cellStyle name="Normal 18 63 12" xfId="11575"/>
    <cellStyle name="Normal 18 63 13" xfId="11576"/>
    <cellStyle name="Normal 18 63 2" xfId="11577"/>
    <cellStyle name="Normal 18 63 3" xfId="11578"/>
    <cellStyle name="Normal 18 63 4" xfId="11579"/>
    <cellStyle name="Normal 18 63 5" xfId="11580"/>
    <cellStyle name="Normal 18 63 6" xfId="11581"/>
    <cellStyle name="Normal 18 63 7" xfId="11582"/>
    <cellStyle name="Normal 18 63 8" xfId="11583"/>
    <cellStyle name="Normal 18 63 9" xfId="11584"/>
    <cellStyle name="Normal 18 64" xfId="11585"/>
    <cellStyle name="Normal 18 64 10" xfId="11586"/>
    <cellStyle name="Normal 18 64 11" xfId="11587"/>
    <cellStyle name="Normal 18 64 12" xfId="11588"/>
    <cellStyle name="Normal 18 64 13" xfId="11589"/>
    <cellStyle name="Normal 18 64 2" xfId="11590"/>
    <cellStyle name="Normal 18 64 3" xfId="11591"/>
    <cellStyle name="Normal 18 64 4" xfId="11592"/>
    <cellStyle name="Normal 18 64 5" xfId="11593"/>
    <cellStyle name="Normal 18 64 6" xfId="11594"/>
    <cellStyle name="Normal 18 64 7" xfId="11595"/>
    <cellStyle name="Normal 18 64 8" xfId="11596"/>
    <cellStyle name="Normal 18 64 9" xfId="11597"/>
    <cellStyle name="Normal 18 65" xfId="11598"/>
    <cellStyle name="Normal 18 65 10" xfId="11599"/>
    <cellStyle name="Normal 18 65 11" xfId="11600"/>
    <cellStyle name="Normal 18 65 12" xfId="11601"/>
    <cellStyle name="Normal 18 65 13" xfId="11602"/>
    <cellStyle name="Normal 18 65 2" xfId="11603"/>
    <cellStyle name="Normal 18 65 3" xfId="11604"/>
    <cellStyle name="Normal 18 65 4" xfId="11605"/>
    <cellStyle name="Normal 18 65 5" xfId="11606"/>
    <cellStyle name="Normal 18 65 6" xfId="11607"/>
    <cellStyle name="Normal 18 65 7" xfId="11608"/>
    <cellStyle name="Normal 18 65 8" xfId="11609"/>
    <cellStyle name="Normal 18 65 9" xfId="11610"/>
    <cellStyle name="Normal 18 66" xfId="11611"/>
    <cellStyle name="Normal 18 66 10" xfId="11612"/>
    <cellStyle name="Normal 18 66 11" xfId="11613"/>
    <cellStyle name="Normal 18 66 12" xfId="11614"/>
    <cellStyle name="Normal 18 66 13" xfId="11615"/>
    <cellStyle name="Normal 18 66 2" xfId="11616"/>
    <cellStyle name="Normal 18 66 3" xfId="11617"/>
    <cellStyle name="Normal 18 66 4" xfId="11618"/>
    <cellStyle name="Normal 18 66 5" xfId="11619"/>
    <cellStyle name="Normal 18 66 6" xfId="11620"/>
    <cellStyle name="Normal 18 66 7" xfId="11621"/>
    <cellStyle name="Normal 18 66 8" xfId="11622"/>
    <cellStyle name="Normal 18 66 9" xfId="11623"/>
    <cellStyle name="Normal 18 67" xfId="11624"/>
    <cellStyle name="Normal 18 67 10" xfId="11625"/>
    <cellStyle name="Normal 18 67 11" xfId="11626"/>
    <cellStyle name="Normal 18 67 12" xfId="11627"/>
    <cellStyle name="Normal 18 67 13" xfId="11628"/>
    <cellStyle name="Normal 18 67 2" xfId="11629"/>
    <cellStyle name="Normal 18 67 3" xfId="11630"/>
    <cellStyle name="Normal 18 67 4" xfId="11631"/>
    <cellStyle name="Normal 18 67 5" xfId="11632"/>
    <cellStyle name="Normal 18 67 6" xfId="11633"/>
    <cellStyle name="Normal 18 67 7" xfId="11634"/>
    <cellStyle name="Normal 18 67 8" xfId="11635"/>
    <cellStyle name="Normal 18 67 9" xfId="11636"/>
    <cellStyle name="Normal 18 68" xfId="11637"/>
    <cellStyle name="Normal 18 68 10" xfId="11638"/>
    <cellStyle name="Normal 18 68 11" xfId="11639"/>
    <cellStyle name="Normal 18 68 12" xfId="11640"/>
    <cellStyle name="Normal 18 68 13" xfId="11641"/>
    <cellStyle name="Normal 18 68 2" xfId="11642"/>
    <cellStyle name="Normal 18 68 3" xfId="11643"/>
    <cellStyle name="Normal 18 68 4" xfId="11644"/>
    <cellStyle name="Normal 18 68 5" xfId="11645"/>
    <cellStyle name="Normal 18 68 6" xfId="11646"/>
    <cellStyle name="Normal 18 68 7" xfId="11647"/>
    <cellStyle name="Normal 18 68 8" xfId="11648"/>
    <cellStyle name="Normal 18 68 9" xfId="11649"/>
    <cellStyle name="Normal 18 69" xfId="11650"/>
    <cellStyle name="Normal 18 69 10" xfId="11651"/>
    <cellStyle name="Normal 18 69 11" xfId="11652"/>
    <cellStyle name="Normal 18 69 12" xfId="11653"/>
    <cellStyle name="Normal 18 69 13" xfId="11654"/>
    <cellStyle name="Normal 18 69 2" xfId="11655"/>
    <cellStyle name="Normal 18 69 3" xfId="11656"/>
    <cellStyle name="Normal 18 69 4" xfId="11657"/>
    <cellStyle name="Normal 18 69 5" xfId="11658"/>
    <cellStyle name="Normal 18 69 6" xfId="11659"/>
    <cellStyle name="Normal 18 69 7" xfId="11660"/>
    <cellStyle name="Normal 18 69 8" xfId="11661"/>
    <cellStyle name="Normal 18 69 9" xfId="11662"/>
    <cellStyle name="Normal 18 7" xfId="11663"/>
    <cellStyle name="Normal 18 7 10" xfId="11664"/>
    <cellStyle name="Normal 18 7 11" xfId="11665"/>
    <cellStyle name="Normal 18 7 12" xfId="11666"/>
    <cellStyle name="Normal 18 7 13" xfId="11667"/>
    <cellStyle name="Normal 18 7 2" xfId="11668"/>
    <cellStyle name="Normal 18 7 3" xfId="11669"/>
    <cellStyle name="Normal 18 7 4" xfId="11670"/>
    <cellStyle name="Normal 18 7 5" xfId="11671"/>
    <cellStyle name="Normal 18 7 6" xfId="11672"/>
    <cellStyle name="Normal 18 7 7" xfId="11673"/>
    <cellStyle name="Normal 18 7 8" xfId="11674"/>
    <cellStyle name="Normal 18 7 9" xfId="11675"/>
    <cellStyle name="Normal 18 70" xfId="11676"/>
    <cellStyle name="Normal 18 70 10" xfId="11677"/>
    <cellStyle name="Normal 18 70 11" xfId="11678"/>
    <cellStyle name="Normal 18 70 12" xfId="11679"/>
    <cellStyle name="Normal 18 70 13" xfId="11680"/>
    <cellStyle name="Normal 18 70 2" xfId="11681"/>
    <cellStyle name="Normal 18 70 3" xfId="11682"/>
    <cellStyle name="Normal 18 70 4" xfId="11683"/>
    <cellStyle name="Normal 18 70 5" xfId="11684"/>
    <cellStyle name="Normal 18 70 6" xfId="11685"/>
    <cellStyle name="Normal 18 70 7" xfId="11686"/>
    <cellStyle name="Normal 18 70 8" xfId="11687"/>
    <cellStyle name="Normal 18 70 9" xfId="11688"/>
    <cellStyle name="Normal 18 71" xfId="11689"/>
    <cellStyle name="Normal 18 71 10" xfId="11690"/>
    <cellStyle name="Normal 18 71 11" xfId="11691"/>
    <cellStyle name="Normal 18 71 12" xfId="11692"/>
    <cellStyle name="Normal 18 71 13" xfId="11693"/>
    <cellStyle name="Normal 18 71 2" xfId="11694"/>
    <cellStyle name="Normal 18 71 3" xfId="11695"/>
    <cellStyle name="Normal 18 71 4" xfId="11696"/>
    <cellStyle name="Normal 18 71 5" xfId="11697"/>
    <cellStyle name="Normal 18 71 6" xfId="11698"/>
    <cellStyle name="Normal 18 71 7" xfId="11699"/>
    <cellStyle name="Normal 18 71 8" xfId="11700"/>
    <cellStyle name="Normal 18 71 9" xfId="11701"/>
    <cellStyle name="Normal 18 72" xfId="11702"/>
    <cellStyle name="Normal 18 73" xfId="11703"/>
    <cellStyle name="Normal 18 74" xfId="11704"/>
    <cellStyle name="Normal 18 75" xfId="11705"/>
    <cellStyle name="Normal 18 76" xfId="11706"/>
    <cellStyle name="Normal 18 77" xfId="11707"/>
    <cellStyle name="Normal 18 78" xfId="11708"/>
    <cellStyle name="Normal 18 79" xfId="11709"/>
    <cellStyle name="Normal 18 8" xfId="11710"/>
    <cellStyle name="Normal 18 8 10" xfId="11711"/>
    <cellStyle name="Normal 18 8 11" xfId="11712"/>
    <cellStyle name="Normal 18 8 12" xfId="11713"/>
    <cellStyle name="Normal 18 8 13" xfId="11714"/>
    <cellStyle name="Normal 18 8 2" xfId="11715"/>
    <cellStyle name="Normal 18 8 3" xfId="11716"/>
    <cellStyle name="Normal 18 8 4" xfId="11717"/>
    <cellStyle name="Normal 18 8 5" xfId="11718"/>
    <cellStyle name="Normal 18 8 6" xfId="11719"/>
    <cellStyle name="Normal 18 8 7" xfId="11720"/>
    <cellStyle name="Normal 18 8 8" xfId="11721"/>
    <cellStyle name="Normal 18 8 9" xfId="11722"/>
    <cellStyle name="Normal 18 80" xfId="11723"/>
    <cellStyle name="Normal 18 81" xfId="11724"/>
    <cellStyle name="Normal 18 82" xfId="11725"/>
    <cellStyle name="Normal 18 83" xfId="11726"/>
    <cellStyle name="Normal 18 9" xfId="11727"/>
    <cellStyle name="Normal 18 9 10" xfId="11728"/>
    <cellStyle name="Normal 18 9 11" xfId="11729"/>
    <cellStyle name="Normal 18 9 12" xfId="11730"/>
    <cellStyle name="Normal 18 9 13" xfId="11731"/>
    <cellStyle name="Normal 18 9 2" xfId="11732"/>
    <cellStyle name="Normal 18 9 3" xfId="11733"/>
    <cellStyle name="Normal 18 9 4" xfId="11734"/>
    <cellStyle name="Normal 18 9 5" xfId="11735"/>
    <cellStyle name="Normal 18 9 6" xfId="11736"/>
    <cellStyle name="Normal 18 9 7" xfId="11737"/>
    <cellStyle name="Normal 18 9 8" xfId="11738"/>
    <cellStyle name="Normal 18 9 9" xfId="11739"/>
    <cellStyle name="Normal 19" xfId="11740"/>
    <cellStyle name="Normal 19 10" xfId="11741"/>
    <cellStyle name="Normal 19 10 10" xfId="11742"/>
    <cellStyle name="Normal 19 10 11" xfId="11743"/>
    <cellStyle name="Normal 19 10 12" xfId="11744"/>
    <cellStyle name="Normal 19 10 13" xfId="11745"/>
    <cellStyle name="Normal 19 10 2" xfId="11746"/>
    <cellStyle name="Normal 19 10 3" xfId="11747"/>
    <cellStyle name="Normal 19 10 4" xfId="11748"/>
    <cellStyle name="Normal 19 10 5" xfId="11749"/>
    <cellStyle name="Normal 19 10 6" xfId="11750"/>
    <cellStyle name="Normal 19 10 7" xfId="11751"/>
    <cellStyle name="Normal 19 10 8" xfId="11752"/>
    <cellStyle name="Normal 19 10 9" xfId="11753"/>
    <cellStyle name="Normal 19 11" xfId="11754"/>
    <cellStyle name="Normal 19 11 10" xfId="11755"/>
    <cellStyle name="Normal 19 11 11" xfId="11756"/>
    <cellStyle name="Normal 19 11 12" xfId="11757"/>
    <cellStyle name="Normal 19 11 13" xfId="11758"/>
    <cellStyle name="Normal 19 11 2" xfId="11759"/>
    <cellStyle name="Normal 19 11 3" xfId="11760"/>
    <cellStyle name="Normal 19 11 4" xfId="11761"/>
    <cellStyle name="Normal 19 11 5" xfId="11762"/>
    <cellStyle name="Normal 19 11 6" xfId="11763"/>
    <cellStyle name="Normal 19 11 7" xfId="11764"/>
    <cellStyle name="Normal 19 11 8" xfId="11765"/>
    <cellStyle name="Normal 19 11 9" xfId="11766"/>
    <cellStyle name="Normal 19 12" xfId="11767"/>
    <cellStyle name="Normal 19 12 10" xfId="11768"/>
    <cellStyle name="Normal 19 12 11" xfId="11769"/>
    <cellStyle name="Normal 19 12 12" xfId="11770"/>
    <cellStyle name="Normal 19 12 13" xfId="11771"/>
    <cellStyle name="Normal 19 12 2" xfId="11772"/>
    <cellStyle name="Normal 19 12 3" xfId="11773"/>
    <cellStyle name="Normal 19 12 4" xfId="11774"/>
    <cellStyle name="Normal 19 12 5" xfId="11775"/>
    <cellStyle name="Normal 19 12 6" xfId="11776"/>
    <cellStyle name="Normal 19 12 7" xfId="11777"/>
    <cellStyle name="Normal 19 12 8" xfId="11778"/>
    <cellStyle name="Normal 19 12 9" xfId="11779"/>
    <cellStyle name="Normal 19 13" xfId="11780"/>
    <cellStyle name="Normal 19 13 10" xfId="11781"/>
    <cellStyle name="Normal 19 13 11" xfId="11782"/>
    <cellStyle name="Normal 19 13 12" xfId="11783"/>
    <cellStyle name="Normal 19 13 13" xfId="11784"/>
    <cellStyle name="Normal 19 13 2" xfId="11785"/>
    <cellStyle name="Normal 19 13 3" xfId="11786"/>
    <cellStyle name="Normal 19 13 4" xfId="11787"/>
    <cellStyle name="Normal 19 13 5" xfId="11788"/>
    <cellStyle name="Normal 19 13 6" xfId="11789"/>
    <cellStyle name="Normal 19 13 7" xfId="11790"/>
    <cellStyle name="Normal 19 13 8" xfId="11791"/>
    <cellStyle name="Normal 19 13 9" xfId="11792"/>
    <cellStyle name="Normal 19 14" xfId="11793"/>
    <cellStyle name="Normal 19 14 10" xfId="11794"/>
    <cellStyle name="Normal 19 14 11" xfId="11795"/>
    <cellStyle name="Normal 19 14 12" xfId="11796"/>
    <cellStyle name="Normal 19 14 13" xfId="11797"/>
    <cellStyle name="Normal 19 14 2" xfId="11798"/>
    <cellStyle name="Normal 19 14 3" xfId="11799"/>
    <cellStyle name="Normal 19 14 4" xfId="11800"/>
    <cellStyle name="Normal 19 14 5" xfId="11801"/>
    <cellStyle name="Normal 19 14 6" xfId="11802"/>
    <cellStyle name="Normal 19 14 7" xfId="11803"/>
    <cellStyle name="Normal 19 14 8" xfId="11804"/>
    <cellStyle name="Normal 19 14 9" xfId="11805"/>
    <cellStyle name="Normal 19 15" xfId="11806"/>
    <cellStyle name="Normal 19 15 10" xfId="11807"/>
    <cellStyle name="Normal 19 15 11" xfId="11808"/>
    <cellStyle name="Normal 19 15 12" xfId="11809"/>
    <cellStyle name="Normal 19 15 13" xfId="11810"/>
    <cellStyle name="Normal 19 15 2" xfId="11811"/>
    <cellStyle name="Normal 19 15 3" xfId="11812"/>
    <cellStyle name="Normal 19 15 4" xfId="11813"/>
    <cellStyle name="Normal 19 15 5" xfId="11814"/>
    <cellStyle name="Normal 19 15 6" xfId="11815"/>
    <cellStyle name="Normal 19 15 7" xfId="11816"/>
    <cellStyle name="Normal 19 15 8" xfId="11817"/>
    <cellStyle name="Normal 19 15 9" xfId="11818"/>
    <cellStyle name="Normal 19 16" xfId="11819"/>
    <cellStyle name="Normal 19 16 10" xfId="11820"/>
    <cellStyle name="Normal 19 16 11" xfId="11821"/>
    <cellStyle name="Normal 19 16 12" xfId="11822"/>
    <cellStyle name="Normal 19 16 13" xfId="11823"/>
    <cellStyle name="Normal 19 16 2" xfId="11824"/>
    <cellStyle name="Normal 19 16 3" xfId="11825"/>
    <cellStyle name="Normal 19 16 4" xfId="11826"/>
    <cellStyle name="Normal 19 16 5" xfId="11827"/>
    <cellStyle name="Normal 19 16 6" xfId="11828"/>
    <cellStyle name="Normal 19 16 7" xfId="11829"/>
    <cellStyle name="Normal 19 16 8" xfId="11830"/>
    <cellStyle name="Normal 19 16 9" xfId="11831"/>
    <cellStyle name="Normal 19 17" xfId="11832"/>
    <cellStyle name="Normal 19 17 10" xfId="11833"/>
    <cellStyle name="Normal 19 17 11" xfId="11834"/>
    <cellStyle name="Normal 19 17 12" xfId="11835"/>
    <cellStyle name="Normal 19 17 13" xfId="11836"/>
    <cellStyle name="Normal 19 17 2" xfId="11837"/>
    <cellStyle name="Normal 19 17 3" xfId="11838"/>
    <cellStyle name="Normal 19 17 4" xfId="11839"/>
    <cellStyle name="Normal 19 17 5" xfId="11840"/>
    <cellStyle name="Normal 19 17 6" xfId="11841"/>
    <cellStyle name="Normal 19 17 7" xfId="11842"/>
    <cellStyle name="Normal 19 17 8" xfId="11843"/>
    <cellStyle name="Normal 19 17 9" xfId="11844"/>
    <cellStyle name="Normal 19 18" xfId="11845"/>
    <cellStyle name="Normal 19 18 10" xfId="11846"/>
    <cellStyle name="Normal 19 18 11" xfId="11847"/>
    <cellStyle name="Normal 19 18 12" xfId="11848"/>
    <cellStyle name="Normal 19 18 13" xfId="11849"/>
    <cellStyle name="Normal 19 18 2" xfId="11850"/>
    <cellStyle name="Normal 19 18 3" xfId="11851"/>
    <cellStyle name="Normal 19 18 4" xfId="11852"/>
    <cellStyle name="Normal 19 18 5" xfId="11853"/>
    <cellStyle name="Normal 19 18 6" xfId="11854"/>
    <cellStyle name="Normal 19 18 7" xfId="11855"/>
    <cellStyle name="Normal 19 18 8" xfId="11856"/>
    <cellStyle name="Normal 19 18 9" xfId="11857"/>
    <cellStyle name="Normal 19 19" xfId="11858"/>
    <cellStyle name="Normal 19 19 10" xfId="11859"/>
    <cellStyle name="Normal 19 19 11" xfId="11860"/>
    <cellStyle name="Normal 19 19 12" xfId="11861"/>
    <cellStyle name="Normal 19 19 13" xfId="11862"/>
    <cellStyle name="Normal 19 19 2" xfId="11863"/>
    <cellStyle name="Normal 19 19 3" xfId="11864"/>
    <cellStyle name="Normal 19 19 4" xfId="11865"/>
    <cellStyle name="Normal 19 19 5" xfId="11866"/>
    <cellStyle name="Normal 19 19 6" xfId="11867"/>
    <cellStyle name="Normal 19 19 7" xfId="11868"/>
    <cellStyle name="Normal 19 19 8" xfId="11869"/>
    <cellStyle name="Normal 19 19 9" xfId="11870"/>
    <cellStyle name="Normal 19 2" xfId="11871"/>
    <cellStyle name="Normal 19 2 10" xfId="11872"/>
    <cellStyle name="Normal 19 2 11" xfId="11873"/>
    <cellStyle name="Normal 19 2 12" xfId="11874"/>
    <cellStyle name="Normal 19 2 13" xfId="11875"/>
    <cellStyle name="Normal 19 2 2" xfId="11876"/>
    <cellStyle name="Normal 19 2 3" xfId="11877"/>
    <cellStyle name="Normal 19 2 4" xfId="11878"/>
    <cellStyle name="Normal 19 2 5" xfId="11879"/>
    <cellStyle name="Normal 19 2 6" xfId="11880"/>
    <cellStyle name="Normal 19 2 7" xfId="11881"/>
    <cellStyle name="Normal 19 2 8" xfId="11882"/>
    <cellStyle name="Normal 19 2 9" xfId="11883"/>
    <cellStyle name="Normal 19 20" xfId="11884"/>
    <cellStyle name="Normal 19 20 10" xfId="11885"/>
    <cellStyle name="Normal 19 20 11" xfId="11886"/>
    <cellStyle name="Normal 19 20 12" xfId="11887"/>
    <cellStyle name="Normal 19 20 13" xfId="11888"/>
    <cellStyle name="Normal 19 20 2" xfId="11889"/>
    <cellStyle name="Normal 19 20 3" xfId="11890"/>
    <cellStyle name="Normal 19 20 4" xfId="11891"/>
    <cellStyle name="Normal 19 20 5" xfId="11892"/>
    <cellStyle name="Normal 19 20 6" xfId="11893"/>
    <cellStyle name="Normal 19 20 7" xfId="11894"/>
    <cellStyle name="Normal 19 20 8" xfId="11895"/>
    <cellStyle name="Normal 19 20 9" xfId="11896"/>
    <cellStyle name="Normal 19 21" xfId="11897"/>
    <cellStyle name="Normal 19 21 10" xfId="11898"/>
    <cellStyle name="Normal 19 21 11" xfId="11899"/>
    <cellStyle name="Normal 19 21 12" xfId="11900"/>
    <cellStyle name="Normal 19 21 13" xfId="11901"/>
    <cellStyle name="Normal 19 21 2" xfId="11902"/>
    <cellStyle name="Normal 19 21 3" xfId="11903"/>
    <cellStyle name="Normal 19 21 4" xfId="11904"/>
    <cellStyle name="Normal 19 21 5" xfId="11905"/>
    <cellStyle name="Normal 19 21 6" xfId="11906"/>
    <cellStyle name="Normal 19 21 7" xfId="11907"/>
    <cellStyle name="Normal 19 21 8" xfId="11908"/>
    <cellStyle name="Normal 19 21 9" xfId="11909"/>
    <cellStyle name="Normal 19 22" xfId="11910"/>
    <cellStyle name="Normal 19 22 10" xfId="11911"/>
    <cellStyle name="Normal 19 22 11" xfId="11912"/>
    <cellStyle name="Normal 19 22 12" xfId="11913"/>
    <cellStyle name="Normal 19 22 13" xfId="11914"/>
    <cellStyle name="Normal 19 22 2" xfId="11915"/>
    <cellStyle name="Normal 19 22 3" xfId="11916"/>
    <cellStyle name="Normal 19 22 4" xfId="11917"/>
    <cellStyle name="Normal 19 22 5" xfId="11918"/>
    <cellStyle name="Normal 19 22 6" xfId="11919"/>
    <cellStyle name="Normal 19 22 7" xfId="11920"/>
    <cellStyle name="Normal 19 22 8" xfId="11921"/>
    <cellStyle name="Normal 19 22 9" xfId="11922"/>
    <cellStyle name="Normal 19 23" xfId="11923"/>
    <cellStyle name="Normal 19 23 10" xfId="11924"/>
    <cellStyle name="Normal 19 23 11" xfId="11925"/>
    <cellStyle name="Normal 19 23 12" xfId="11926"/>
    <cellStyle name="Normal 19 23 13" xfId="11927"/>
    <cellStyle name="Normal 19 23 2" xfId="11928"/>
    <cellStyle name="Normal 19 23 3" xfId="11929"/>
    <cellStyle name="Normal 19 23 4" xfId="11930"/>
    <cellStyle name="Normal 19 23 5" xfId="11931"/>
    <cellStyle name="Normal 19 23 6" xfId="11932"/>
    <cellStyle name="Normal 19 23 7" xfId="11933"/>
    <cellStyle name="Normal 19 23 8" xfId="11934"/>
    <cellStyle name="Normal 19 23 9" xfId="11935"/>
    <cellStyle name="Normal 19 24" xfId="11936"/>
    <cellStyle name="Normal 19 24 10" xfId="11937"/>
    <cellStyle name="Normal 19 24 11" xfId="11938"/>
    <cellStyle name="Normal 19 24 12" xfId="11939"/>
    <cellStyle name="Normal 19 24 13" xfId="11940"/>
    <cellStyle name="Normal 19 24 2" xfId="11941"/>
    <cellStyle name="Normal 19 24 3" xfId="11942"/>
    <cellStyle name="Normal 19 24 4" xfId="11943"/>
    <cellStyle name="Normal 19 24 5" xfId="11944"/>
    <cellStyle name="Normal 19 24 6" xfId="11945"/>
    <cellStyle name="Normal 19 24 7" xfId="11946"/>
    <cellStyle name="Normal 19 24 8" xfId="11947"/>
    <cellStyle name="Normal 19 24 9" xfId="11948"/>
    <cellStyle name="Normal 19 25" xfId="11949"/>
    <cellStyle name="Normal 19 25 10" xfId="11950"/>
    <cellStyle name="Normal 19 25 11" xfId="11951"/>
    <cellStyle name="Normal 19 25 12" xfId="11952"/>
    <cellStyle name="Normal 19 25 13" xfId="11953"/>
    <cellStyle name="Normal 19 25 2" xfId="11954"/>
    <cellStyle name="Normal 19 25 3" xfId="11955"/>
    <cellStyle name="Normal 19 25 4" xfId="11956"/>
    <cellStyle name="Normal 19 25 5" xfId="11957"/>
    <cellStyle name="Normal 19 25 6" xfId="11958"/>
    <cellStyle name="Normal 19 25 7" xfId="11959"/>
    <cellStyle name="Normal 19 25 8" xfId="11960"/>
    <cellStyle name="Normal 19 25 9" xfId="11961"/>
    <cellStyle name="Normal 19 26" xfId="11962"/>
    <cellStyle name="Normal 19 26 10" xfId="11963"/>
    <cellStyle name="Normal 19 26 11" xfId="11964"/>
    <cellStyle name="Normal 19 26 12" xfId="11965"/>
    <cellStyle name="Normal 19 26 13" xfId="11966"/>
    <cellStyle name="Normal 19 26 2" xfId="11967"/>
    <cellStyle name="Normal 19 26 3" xfId="11968"/>
    <cellStyle name="Normal 19 26 4" xfId="11969"/>
    <cellStyle name="Normal 19 26 5" xfId="11970"/>
    <cellStyle name="Normal 19 26 6" xfId="11971"/>
    <cellStyle name="Normal 19 26 7" xfId="11972"/>
    <cellStyle name="Normal 19 26 8" xfId="11973"/>
    <cellStyle name="Normal 19 26 9" xfId="11974"/>
    <cellStyle name="Normal 19 27" xfId="11975"/>
    <cellStyle name="Normal 19 27 10" xfId="11976"/>
    <cellStyle name="Normal 19 27 11" xfId="11977"/>
    <cellStyle name="Normal 19 27 12" xfId="11978"/>
    <cellStyle name="Normal 19 27 13" xfId="11979"/>
    <cellStyle name="Normal 19 27 2" xfId="11980"/>
    <cellStyle name="Normal 19 27 3" xfId="11981"/>
    <cellStyle name="Normal 19 27 4" xfId="11982"/>
    <cellStyle name="Normal 19 27 5" xfId="11983"/>
    <cellStyle name="Normal 19 27 6" xfId="11984"/>
    <cellStyle name="Normal 19 27 7" xfId="11985"/>
    <cellStyle name="Normal 19 27 8" xfId="11986"/>
    <cellStyle name="Normal 19 27 9" xfId="11987"/>
    <cellStyle name="Normal 19 28" xfId="11988"/>
    <cellStyle name="Normal 19 28 10" xfId="11989"/>
    <cellStyle name="Normal 19 28 11" xfId="11990"/>
    <cellStyle name="Normal 19 28 12" xfId="11991"/>
    <cellStyle name="Normal 19 28 13" xfId="11992"/>
    <cellStyle name="Normal 19 28 2" xfId="11993"/>
    <cellStyle name="Normal 19 28 3" xfId="11994"/>
    <cellStyle name="Normal 19 28 4" xfId="11995"/>
    <cellStyle name="Normal 19 28 5" xfId="11996"/>
    <cellStyle name="Normal 19 28 6" xfId="11997"/>
    <cellStyle name="Normal 19 28 7" xfId="11998"/>
    <cellStyle name="Normal 19 28 8" xfId="11999"/>
    <cellStyle name="Normal 19 28 9" xfId="12000"/>
    <cellStyle name="Normal 19 29" xfId="12001"/>
    <cellStyle name="Normal 19 29 10" xfId="12002"/>
    <cellStyle name="Normal 19 29 11" xfId="12003"/>
    <cellStyle name="Normal 19 29 12" xfId="12004"/>
    <cellStyle name="Normal 19 29 13" xfId="12005"/>
    <cellStyle name="Normal 19 29 2" xfId="12006"/>
    <cellStyle name="Normal 19 29 3" xfId="12007"/>
    <cellStyle name="Normal 19 29 4" xfId="12008"/>
    <cellStyle name="Normal 19 29 5" xfId="12009"/>
    <cellStyle name="Normal 19 29 6" xfId="12010"/>
    <cellStyle name="Normal 19 29 7" xfId="12011"/>
    <cellStyle name="Normal 19 29 8" xfId="12012"/>
    <cellStyle name="Normal 19 29 9" xfId="12013"/>
    <cellStyle name="Normal 19 3" xfId="12014"/>
    <cellStyle name="Normal 19 3 10" xfId="12015"/>
    <cellStyle name="Normal 19 3 11" xfId="12016"/>
    <cellStyle name="Normal 19 3 12" xfId="12017"/>
    <cellStyle name="Normal 19 3 13" xfId="12018"/>
    <cellStyle name="Normal 19 3 2" xfId="12019"/>
    <cellStyle name="Normal 19 3 3" xfId="12020"/>
    <cellStyle name="Normal 19 3 4" xfId="12021"/>
    <cellStyle name="Normal 19 3 5" xfId="12022"/>
    <cellStyle name="Normal 19 3 6" xfId="12023"/>
    <cellStyle name="Normal 19 3 7" xfId="12024"/>
    <cellStyle name="Normal 19 3 8" xfId="12025"/>
    <cellStyle name="Normal 19 3 9" xfId="12026"/>
    <cellStyle name="Normal 19 30" xfId="12027"/>
    <cellStyle name="Normal 19 30 10" xfId="12028"/>
    <cellStyle name="Normal 19 30 11" xfId="12029"/>
    <cellStyle name="Normal 19 30 12" xfId="12030"/>
    <cellStyle name="Normal 19 30 13" xfId="12031"/>
    <cellStyle name="Normal 19 30 2" xfId="12032"/>
    <cellStyle name="Normal 19 30 3" xfId="12033"/>
    <cellStyle name="Normal 19 30 4" xfId="12034"/>
    <cellStyle name="Normal 19 30 5" xfId="12035"/>
    <cellStyle name="Normal 19 30 6" xfId="12036"/>
    <cellStyle name="Normal 19 30 7" xfId="12037"/>
    <cellStyle name="Normal 19 30 8" xfId="12038"/>
    <cellStyle name="Normal 19 30 9" xfId="12039"/>
    <cellStyle name="Normal 19 31" xfId="12040"/>
    <cellStyle name="Normal 19 31 10" xfId="12041"/>
    <cellStyle name="Normal 19 31 11" xfId="12042"/>
    <cellStyle name="Normal 19 31 12" xfId="12043"/>
    <cellStyle name="Normal 19 31 13" xfId="12044"/>
    <cellStyle name="Normal 19 31 2" xfId="12045"/>
    <cellStyle name="Normal 19 31 3" xfId="12046"/>
    <cellStyle name="Normal 19 31 4" xfId="12047"/>
    <cellStyle name="Normal 19 31 5" xfId="12048"/>
    <cellStyle name="Normal 19 31 6" xfId="12049"/>
    <cellStyle name="Normal 19 31 7" xfId="12050"/>
    <cellStyle name="Normal 19 31 8" xfId="12051"/>
    <cellStyle name="Normal 19 31 9" xfId="12052"/>
    <cellStyle name="Normal 19 32" xfId="12053"/>
    <cellStyle name="Normal 19 32 10" xfId="12054"/>
    <cellStyle name="Normal 19 32 11" xfId="12055"/>
    <cellStyle name="Normal 19 32 12" xfId="12056"/>
    <cellStyle name="Normal 19 32 13" xfId="12057"/>
    <cellStyle name="Normal 19 32 2" xfId="12058"/>
    <cellStyle name="Normal 19 32 3" xfId="12059"/>
    <cellStyle name="Normal 19 32 4" xfId="12060"/>
    <cellStyle name="Normal 19 32 5" xfId="12061"/>
    <cellStyle name="Normal 19 32 6" xfId="12062"/>
    <cellStyle name="Normal 19 32 7" xfId="12063"/>
    <cellStyle name="Normal 19 32 8" xfId="12064"/>
    <cellStyle name="Normal 19 32 9" xfId="12065"/>
    <cellStyle name="Normal 19 33" xfId="12066"/>
    <cellStyle name="Normal 19 33 10" xfId="12067"/>
    <cellStyle name="Normal 19 33 11" xfId="12068"/>
    <cellStyle name="Normal 19 33 12" xfId="12069"/>
    <cellStyle name="Normal 19 33 13" xfId="12070"/>
    <cellStyle name="Normal 19 33 2" xfId="12071"/>
    <cellStyle name="Normal 19 33 3" xfId="12072"/>
    <cellStyle name="Normal 19 33 4" xfId="12073"/>
    <cellStyle name="Normal 19 33 5" xfId="12074"/>
    <cellStyle name="Normal 19 33 6" xfId="12075"/>
    <cellStyle name="Normal 19 33 7" xfId="12076"/>
    <cellStyle name="Normal 19 33 8" xfId="12077"/>
    <cellStyle name="Normal 19 33 9" xfId="12078"/>
    <cellStyle name="Normal 19 34" xfId="12079"/>
    <cellStyle name="Normal 19 34 10" xfId="12080"/>
    <cellStyle name="Normal 19 34 11" xfId="12081"/>
    <cellStyle name="Normal 19 34 12" xfId="12082"/>
    <cellStyle name="Normal 19 34 13" xfId="12083"/>
    <cellStyle name="Normal 19 34 2" xfId="12084"/>
    <cellStyle name="Normal 19 34 3" xfId="12085"/>
    <cellStyle name="Normal 19 34 4" xfId="12086"/>
    <cellStyle name="Normal 19 34 5" xfId="12087"/>
    <cellStyle name="Normal 19 34 6" xfId="12088"/>
    <cellStyle name="Normal 19 34 7" xfId="12089"/>
    <cellStyle name="Normal 19 34 8" xfId="12090"/>
    <cellStyle name="Normal 19 34 9" xfId="12091"/>
    <cellStyle name="Normal 19 35" xfId="12092"/>
    <cellStyle name="Normal 19 35 10" xfId="12093"/>
    <cellStyle name="Normal 19 35 11" xfId="12094"/>
    <cellStyle name="Normal 19 35 12" xfId="12095"/>
    <cellStyle name="Normal 19 35 13" xfId="12096"/>
    <cellStyle name="Normal 19 35 2" xfId="12097"/>
    <cellStyle name="Normal 19 35 3" xfId="12098"/>
    <cellStyle name="Normal 19 35 4" xfId="12099"/>
    <cellStyle name="Normal 19 35 5" xfId="12100"/>
    <cellStyle name="Normal 19 35 6" xfId="12101"/>
    <cellStyle name="Normal 19 35 7" xfId="12102"/>
    <cellStyle name="Normal 19 35 8" xfId="12103"/>
    <cellStyle name="Normal 19 35 9" xfId="12104"/>
    <cellStyle name="Normal 19 36" xfId="12105"/>
    <cellStyle name="Normal 19 36 10" xfId="12106"/>
    <cellStyle name="Normal 19 36 11" xfId="12107"/>
    <cellStyle name="Normal 19 36 12" xfId="12108"/>
    <cellStyle name="Normal 19 36 13" xfId="12109"/>
    <cellStyle name="Normal 19 36 2" xfId="12110"/>
    <cellStyle name="Normal 19 36 3" xfId="12111"/>
    <cellStyle name="Normal 19 36 4" xfId="12112"/>
    <cellStyle name="Normal 19 36 5" xfId="12113"/>
    <cellStyle name="Normal 19 36 6" xfId="12114"/>
    <cellStyle name="Normal 19 36 7" xfId="12115"/>
    <cellStyle name="Normal 19 36 8" xfId="12116"/>
    <cellStyle name="Normal 19 36 9" xfId="12117"/>
    <cellStyle name="Normal 19 37" xfId="12118"/>
    <cellStyle name="Normal 19 37 10" xfId="12119"/>
    <cellStyle name="Normal 19 37 11" xfId="12120"/>
    <cellStyle name="Normal 19 37 12" xfId="12121"/>
    <cellStyle name="Normal 19 37 13" xfId="12122"/>
    <cellStyle name="Normal 19 37 2" xfId="12123"/>
    <cellStyle name="Normal 19 37 3" xfId="12124"/>
    <cellStyle name="Normal 19 37 4" xfId="12125"/>
    <cellStyle name="Normal 19 37 5" xfId="12126"/>
    <cellStyle name="Normal 19 37 6" xfId="12127"/>
    <cellStyle name="Normal 19 37 7" xfId="12128"/>
    <cellStyle name="Normal 19 37 8" xfId="12129"/>
    <cellStyle name="Normal 19 37 9" xfId="12130"/>
    <cellStyle name="Normal 19 38" xfId="12131"/>
    <cellStyle name="Normal 19 38 10" xfId="12132"/>
    <cellStyle name="Normal 19 38 11" xfId="12133"/>
    <cellStyle name="Normal 19 38 12" xfId="12134"/>
    <cellStyle name="Normal 19 38 13" xfId="12135"/>
    <cellStyle name="Normal 19 38 2" xfId="12136"/>
    <cellStyle name="Normal 19 38 3" xfId="12137"/>
    <cellStyle name="Normal 19 38 4" xfId="12138"/>
    <cellStyle name="Normal 19 38 5" xfId="12139"/>
    <cellStyle name="Normal 19 38 6" xfId="12140"/>
    <cellStyle name="Normal 19 38 7" xfId="12141"/>
    <cellStyle name="Normal 19 38 8" xfId="12142"/>
    <cellStyle name="Normal 19 38 9" xfId="12143"/>
    <cellStyle name="Normal 19 39" xfId="12144"/>
    <cellStyle name="Normal 19 39 10" xfId="12145"/>
    <cellStyle name="Normal 19 39 11" xfId="12146"/>
    <cellStyle name="Normal 19 39 12" xfId="12147"/>
    <cellStyle name="Normal 19 39 13" xfId="12148"/>
    <cellStyle name="Normal 19 39 2" xfId="12149"/>
    <cellStyle name="Normal 19 39 3" xfId="12150"/>
    <cellStyle name="Normal 19 39 4" xfId="12151"/>
    <cellStyle name="Normal 19 39 5" xfId="12152"/>
    <cellStyle name="Normal 19 39 6" xfId="12153"/>
    <cellStyle name="Normal 19 39 7" xfId="12154"/>
    <cellStyle name="Normal 19 39 8" xfId="12155"/>
    <cellStyle name="Normal 19 39 9" xfId="12156"/>
    <cellStyle name="Normal 19 4" xfId="12157"/>
    <cellStyle name="Normal 19 4 10" xfId="12158"/>
    <cellStyle name="Normal 19 4 11" xfId="12159"/>
    <cellStyle name="Normal 19 4 12" xfId="12160"/>
    <cellStyle name="Normal 19 4 13" xfId="12161"/>
    <cellStyle name="Normal 19 4 2" xfId="12162"/>
    <cellStyle name="Normal 19 4 3" xfId="12163"/>
    <cellStyle name="Normal 19 4 4" xfId="12164"/>
    <cellStyle name="Normal 19 4 5" xfId="12165"/>
    <cellStyle name="Normal 19 4 6" xfId="12166"/>
    <cellStyle name="Normal 19 4 7" xfId="12167"/>
    <cellStyle name="Normal 19 4 8" xfId="12168"/>
    <cellStyle name="Normal 19 4 9" xfId="12169"/>
    <cellStyle name="Normal 19 40" xfId="12170"/>
    <cellStyle name="Normal 19 40 10" xfId="12171"/>
    <cellStyle name="Normal 19 40 11" xfId="12172"/>
    <cellStyle name="Normal 19 40 12" xfId="12173"/>
    <cellStyle name="Normal 19 40 13" xfId="12174"/>
    <cellStyle name="Normal 19 40 2" xfId="12175"/>
    <cellStyle name="Normal 19 40 3" xfId="12176"/>
    <cellStyle name="Normal 19 40 4" xfId="12177"/>
    <cellStyle name="Normal 19 40 5" xfId="12178"/>
    <cellStyle name="Normal 19 40 6" xfId="12179"/>
    <cellStyle name="Normal 19 40 7" xfId="12180"/>
    <cellStyle name="Normal 19 40 8" xfId="12181"/>
    <cellStyle name="Normal 19 40 9" xfId="12182"/>
    <cellStyle name="Normal 19 41" xfId="12183"/>
    <cellStyle name="Normal 19 41 10" xfId="12184"/>
    <cellStyle name="Normal 19 41 11" xfId="12185"/>
    <cellStyle name="Normal 19 41 12" xfId="12186"/>
    <cellStyle name="Normal 19 41 13" xfId="12187"/>
    <cellStyle name="Normal 19 41 2" xfId="12188"/>
    <cellStyle name="Normal 19 41 3" xfId="12189"/>
    <cellStyle name="Normal 19 41 4" xfId="12190"/>
    <cellStyle name="Normal 19 41 5" xfId="12191"/>
    <cellStyle name="Normal 19 41 6" xfId="12192"/>
    <cellStyle name="Normal 19 41 7" xfId="12193"/>
    <cellStyle name="Normal 19 41 8" xfId="12194"/>
    <cellStyle name="Normal 19 41 9" xfId="12195"/>
    <cellStyle name="Normal 19 42" xfId="12196"/>
    <cellStyle name="Normal 19 42 10" xfId="12197"/>
    <cellStyle name="Normal 19 42 11" xfId="12198"/>
    <cellStyle name="Normal 19 42 12" xfId="12199"/>
    <cellStyle name="Normal 19 42 13" xfId="12200"/>
    <cellStyle name="Normal 19 42 2" xfId="12201"/>
    <cellStyle name="Normal 19 42 3" xfId="12202"/>
    <cellStyle name="Normal 19 42 4" xfId="12203"/>
    <cellStyle name="Normal 19 42 5" xfId="12204"/>
    <cellStyle name="Normal 19 42 6" xfId="12205"/>
    <cellStyle name="Normal 19 42 7" xfId="12206"/>
    <cellStyle name="Normal 19 42 8" xfId="12207"/>
    <cellStyle name="Normal 19 42 9" xfId="12208"/>
    <cellStyle name="Normal 19 43" xfId="12209"/>
    <cellStyle name="Normal 19 43 10" xfId="12210"/>
    <cellStyle name="Normal 19 43 11" xfId="12211"/>
    <cellStyle name="Normal 19 43 12" xfId="12212"/>
    <cellStyle name="Normal 19 43 13" xfId="12213"/>
    <cellStyle name="Normal 19 43 2" xfId="12214"/>
    <cellStyle name="Normal 19 43 3" xfId="12215"/>
    <cellStyle name="Normal 19 43 4" xfId="12216"/>
    <cellStyle name="Normal 19 43 5" xfId="12217"/>
    <cellStyle name="Normal 19 43 6" xfId="12218"/>
    <cellStyle name="Normal 19 43 7" xfId="12219"/>
    <cellStyle name="Normal 19 43 8" xfId="12220"/>
    <cellStyle name="Normal 19 43 9" xfId="12221"/>
    <cellStyle name="Normal 19 44" xfId="12222"/>
    <cellStyle name="Normal 19 44 10" xfId="12223"/>
    <cellStyle name="Normal 19 44 11" xfId="12224"/>
    <cellStyle name="Normal 19 44 12" xfId="12225"/>
    <cellStyle name="Normal 19 44 13" xfId="12226"/>
    <cellStyle name="Normal 19 44 2" xfId="12227"/>
    <cellStyle name="Normal 19 44 3" xfId="12228"/>
    <cellStyle name="Normal 19 44 4" xfId="12229"/>
    <cellStyle name="Normal 19 44 5" xfId="12230"/>
    <cellStyle name="Normal 19 44 6" xfId="12231"/>
    <cellStyle name="Normal 19 44 7" xfId="12232"/>
    <cellStyle name="Normal 19 44 8" xfId="12233"/>
    <cellStyle name="Normal 19 44 9" xfId="12234"/>
    <cellStyle name="Normal 19 45" xfId="12235"/>
    <cellStyle name="Normal 19 45 10" xfId="12236"/>
    <cellStyle name="Normal 19 45 11" xfId="12237"/>
    <cellStyle name="Normal 19 45 12" xfId="12238"/>
    <cellStyle name="Normal 19 45 13" xfId="12239"/>
    <cellStyle name="Normal 19 45 2" xfId="12240"/>
    <cellStyle name="Normal 19 45 3" xfId="12241"/>
    <cellStyle name="Normal 19 45 4" xfId="12242"/>
    <cellStyle name="Normal 19 45 5" xfId="12243"/>
    <cellStyle name="Normal 19 45 6" xfId="12244"/>
    <cellStyle name="Normal 19 45 7" xfId="12245"/>
    <cellStyle name="Normal 19 45 8" xfId="12246"/>
    <cellStyle name="Normal 19 45 9" xfId="12247"/>
    <cellStyle name="Normal 19 46" xfId="12248"/>
    <cellStyle name="Normal 19 46 10" xfId="12249"/>
    <cellStyle name="Normal 19 46 11" xfId="12250"/>
    <cellStyle name="Normal 19 46 12" xfId="12251"/>
    <cellStyle name="Normal 19 46 13" xfId="12252"/>
    <cellStyle name="Normal 19 46 2" xfId="12253"/>
    <cellStyle name="Normal 19 46 3" xfId="12254"/>
    <cellStyle name="Normal 19 46 4" xfId="12255"/>
    <cellStyle name="Normal 19 46 5" xfId="12256"/>
    <cellStyle name="Normal 19 46 6" xfId="12257"/>
    <cellStyle name="Normal 19 46 7" xfId="12258"/>
    <cellStyle name="Normal 19 46 8" xfId="12259"/>
    <cellStyle name="Normal 19 46 9" xfId="12260"/>
    <cellStyle name="Normal 19 47" xfId="12261"/>
    <cellStyle name="Normal 19 47 10" xfId="12262"/>
    <cellStyle name="Normal 19 47 11" xfId="12263"/>
    <cellStyle name="Normal 19 47 12" xfId="12264"/>
    <cellStyle name="Normal 19 47 13" xfId="12265"/>
    <cellStyle name="Normal 19 47 2" xfId="12266"/>
    <cellStyle name="Normal 19 47 3" xfId="12267"/>
    <cellStyle name="Normal 19 47 4" xfId="12268"/>
    <cellStyle name="Normal 19 47 5" xfId="12269"/>
    <cellStyle name="Normal 19 47 6" xfId="12270"/>
    <cellStyle name="Normal 19 47 7" xfId="12271"/>
    <cellStyle name="Normal 19 47 8" xfId="12272"/>
    <cellStyle name="Normal 19 47 9" xfId="12273"/>
    <cellStyle name="Normal 19 48" xfId="12274"/>
    <cellStyle name="Normal 19 48 10" xfId="12275"/>
    <cellStyle name="Normal 19 48 11" xfId="12276"/>
    <cellStyle name="Normal 19 48 12" xfId="12277"/>
    <cellStyle name="Normal 19 48 13" xfId="12278"/>
    <cellStyle name="Normal 19 48 2" xfId="12279"/>
    <cellStyle name="Normal 19 48 3" xfId="12280"/>
    <cellStyle name="Normal 19 48 4" xfId="12281"/>
    <cellStyle name="Normal 19 48 5" xfId="12282"/>
    <cellStyle name="Normal 19 48 6" xfId="12283"/>
    <cellStyle name="Normal 19 48 7" xfId="12284"/>
    <cellStyle name="Normal 19 48 8" xfId="12285"/>
    <cellStyle name="Normal 19 48 9" xfId="12286"/>
    <cellStyle name="Normal 19 49" xfId="12287"/>
    <cellStyle name="Normal 19 49 10" xfId="12288"/>
    <cellStyle name="Normal 19 49 11" xfId="12289"/>
    <cellStyle name="Normal 19 49 12" xfId="12290"/>
    <cellStyle name="Normal 19 49 13" xfId="12291"/>
    <cellStyle name="Normal 19 49 2" xfId="12292"/>
    <cellStyle name="Normal 19 49 3" xfId="12293"/>
    <cellStyle name="Normal 19 49 4" xfId="12294"/>
    <cellStyle name="Normal 19 49 5" xfId="12295"/>
    <cellStyle name="Normal 19 49 6" xfId="12296"/>
    <cellStyle name="Normal 19 49 7" xfId="12297"/>
    <cellStyle name="Normal 19 49 8" xfId="12298"/>
    <cellStyle name="Normal 19 49 9" xfId="12299"/>
    <cellStyle name="Normal 19 5" xfId="12300"/>
    <cellStyle name="Normal 19 5 10" xfId="12301"/>
    <cellStyle name="Normal 19 5 11" xfId="12302"/>
    <cellStyle name="Normal 19 5 12" xfId="12303"/>
    <cellStyle name="Normal 19 5 13" xfId="12304"/>
    <cellStyle name="Normal 19 5 2" xfId="12305"/>
    <cellStyle name="Normal 19 5 3" xfId="12306"/>
    <cellStyle name="Normal 19 5 4" xfId="12307"/>
    <cellStyle name="Normal 19 5 5" xfId="12308"/>
    <cellStyle name="Normal 19 5 6" xfId="12309"/>
    <cellStyle name="Normal 19 5 7" xfId="12310"/>
    <cellStyle name="Normal 19 5 8" xfId="12311"/>
    <cellStyle name="Normal 19 5 9" xfId="12312"/>
    <cellStyle name="Normal 19 50" xfId="12313"/>
    <cellStyle name="Normal 19 50 10" xfId="12314"/>
    <cellStyle name="Normal 19 50 11" xfId="12315"/>
    <cellStyle name="Normal 19 50 12" xfId="12316"/>
    <cellStyle name="Normal 19 50 13" xfId="12317"/>
    <cellStyle name="Normal 19 50 2" xfId="12318"/>
    <cellStyle name="Normal 19 50 3" xfId="12319"/>
    <cellStyle name="Normal 19 50 4" xfId="12320"/>
    <cellStyle name="Normal 19 50 5" xfId="12321"/>
    <cellStyle name="Normal 19 50 6" xfId="12322"/>
    <cellStyle name="Normal 19 50 7" xfId="12323"/>
    <cellStyle name="Normal 19 50 8" xfId="12324"/>
    <cellStyle name="Normal 19 50 9" xfId="12325"/>
    <cellStyle name="Normal 19 51" xfId="12326"/>
    <cellStyle name="Normal 19 51 10" xfId="12327"/>
    <cellStyle name="Normal 19 51 11" xfId="12328"/>
    <cellStyle name="Normal 19 51 12" xfId="12329"/>
    <cellStyle name="Normal 19 51 13" xfId="12330"/>
    <cellStyle name="Normal 19 51 2" xfId="12331"/>
    <cellStyle name="Normal 19 51 3" xfId="12332"/>
    <cellStyle name="Normal 19 51 4" xfId="12333"/>
    <cellStyle name="Normal 19 51 5" xfId="12334"/>
    <cellStyle name="Normal 19 51 6" xfId="12335"/>
    <cellStyle name="Normal 19 51 7" xfId="12336"/>
    <cellStyle name="Normal 19 51 8" xfId="12337"/>
    <cellStyle name="Normal 19 51 9" xfId="12338"/>
    <cellStyle name="Normal 19 52" xfId="12339"/>
    <cellStyle name="Normal 19 52 10" xfId="12340"/>
    <cellStyle name="Normal 19 52 11" xfId="12341"/>
    <cellStyle name="Normal 19 52 12" xfId="12342"/>
    <cellStyle name="Normal 19 52 13" xfId="12343"/>
    <cellStyle name="Normal 19 52 2" xfId="12344"/>
    <cellStyle name="Normal 19 52 3" xfId="12345"/>
    <cellStyle name="Normal 19 52 4" xfId="12346"/>
    <cellStyle name="Normal 19 52 5" xfId="12347"/>
    <cellStyle name="Normal 19 52 6" xfId="12348"/>
    <cellStyle name="Normal 19 52 7" xfId="12349"/>
    <cellStyle name="Normal 19 52 8" xfId="12350"/>
    <cellStyle name="Normal 19 52 9" xfId="12351"/>
    <cellStyle name="Normal 19 53" xfId="12352"/>
    <cellStyle name="Normal 19 53 10" xfId="12353"/>
    <cellStyle name="Normal 19 53 11" xfId="12354"/>
    <cellStyle name="Normal 19 53 12" xfId="12355"/>
    <cellStyle name="Normal 19 53 13" xfId="12356"/>
    <cellStyle name="Normal 19 53 2" xfId="12357"/>
    <cellStyle name="Normal 19 53 3" xfId="12358"/>
    <cellStyle name="Normal 19 53 4" xfId="12359"/>
    <cellStyle name="Normal 19 53 5" xfId="12360"/>
    <cellStyle name="Normal 19 53 6" xfId="12361"/>
    <cellStyle name="Normal 19 53 7" xfId="12362"/>
    <cellStyle name="Normal 19 53 8" xfId="12363"/>
    <cellStyle name="Normal 19 53 9" xfId="12364"/>
    <cellStyle name="Normal 19 54" xfId="12365"/>
    <cellStyle name="Normal 19 54 10" xfId="12366"/>
    <cellStyle name="Normal 19 54 11" xfId="12367"/>
    <cellStyle name="Normal 19 54 12" xfId="12368"/>
    <cellStyle name="Normal 19 54 13" xfId="12369"/>
    <cellStyle name="Normal 19 54 2" xfId="12370"/>
    <cellStyle name="Normal 19 54 3" xfId="12371"/>
    <cellStyle name="Normal 19 54 4" xfId="12372"/>
    <cellStyle name="Normal 19 54 5" xfId="12373"/>
    <cellStyle name="Normal 19 54 6" xfId="12374"/>
    <cellStyle name="Normal 19 54 7" xfId="12375"/>
    <cellStyle name="Normal 19 54 8" xfId="12376"/>
    <cellStyle name="Normal 19 54 9" xfId="12377"/>
    <cellStyle name="Normal 19 55" xfId="12378"/>
    <cellStyle name="Normal 19 55 10" xfId="12379"/>
    <cellStyle name="Normal 19 55 11" xfId="12380"/>
    <cellStyle name="Normal 19 55 12" xfId="12381"/>
    <cellStyle name="Normal 19 55 13" xfId="12382"/>
    <cellStyle name="Normal 19 55 2" xfId="12383"/>
    <cellStyle name="Normal 19 55 3" xfId="12384"/>
    <cellStyle name="Normal 19 55 4" xfId="12385"/>
    <cellStyle name="Normal 19 55 5" xfId="12386"/>
    <cellStyle name="Normal 19 55 6" xfId="12387"/>
    <cellStyle name="Normal 19 55 7" xfId="12388"/>
    <cellStyle name="Normal 19 55 8" xfId="12389"/>
    <cellStyle name="Normal 19 55 9" xfId="12390"/>
    <cellStyle name="Normal 19 56" xfId="12391"/>
    <cellStyle name="Normal 19 56 10" xfId="12392"/>
    <cellStyle name="Normal 19 56 11" xfId="12393"/>
    <cellStyle name="Normal 19 56 12" xfId="12394"/>
    <cellStyle name="Normal 19 56 13" xfId="12395"/>
    <cellStyle name="Normal 19 56 2" xfId="12396"/>
    <cellStyle name="Normal 19 56 3" xfId="12397"/>
    <cellStyle name="Normal 19 56 4" xfId="12398"/>
    <cellStyle name="Normal 19 56 5" xfId="12399"/>
    <cellStyle name="Normal 19 56 6" xfId="12400"/>
    <cellStyle name="Normal 19 56 7" xfId="12401"/>
    <cellStyle name="Normal 19 56 8" xfId="12402"/>
    <cellStyle name="Normal 19 56 9" xfId="12403"/>
    <cellStyle name="Normal 19 57" xfId="12404"/>
    <cellStyle name="Normal 19 57 10" xfId="12405"/>
    <cellStyle name="Normal 19 57 11" xfId="12406"/>
    <cellStyle name="Normal 19 57 12" xfId="12407"/>
    <cellStyle name="Normal 19 57 13" xfId="12408"/>
    <cellStyle name="Normal 19 57 2" xfId="12409"/>
    <cellStyle name="Normal 19 57 3" xfId="12410"/>
    <cellStyle name="Normal 19 57 4" xfId="12411"/>
    <cellStyle name="Normal 19 57 5" xfId="12412"/>
    <cellStyle name="Normal 19 57 6" xfId="12413"/>
    <cellStyle name="Normal 19 57 7" xfId="12414"/>
    <cellStyle name="Normal 19 57 8" xfId="12415"/>
    <cellStyle name="Normal 19 57 9" xfId="12416"/>
    <cellStyle name="Normal 19 58" xfId="12417"/>
    <cellStyle name="Normal 19 58 10" xfId="12418"/>
    <cellStyle name="Normal 19 58 11" xfId="12419"/>
    <cellStyle name="Normal 19 58 12" xfId="12420"/>
    <cellStyle name="Normal 19 58 13" xfId="12421"/>
    <cellStyle name="Normal 19 58 2" xfId="12422"/>
    <cellStyle name="Normal 19 58 3" xfId="12423"/>
    <cellStyle name="Normal 19 58 4" xfId="12424"/>
    <cellStyle name="Normal 19 58 5" xfId="12425"/>
    <cellStyle name="Normal 19 58 6" xfId="12426"/>
    <cellStyle name="Normal 19 58 7" xfId="12427"/>
    <cellStyle name="Normal 19 58 8" xfId="12428"/>
    <cellStyle name="Normal 19 58 9" xfId="12429"/>
    <cellStyle name="Normal 19 59" xfId="12430"/>
    <cellStyle name="Normal 19 59 10" xfId="12431"/>
    <cellStyle name="Normal 19 59 11" xfId="12432"/>
    <cellStyle name="Normal 19 59 12" xfId="12433"/>
    <cellStyle name="Normal 19 59 13" xfId="12434"/>
    <cellStyle name="Normal 19 59 2" xfId="12435"/>
    <cellStyle name="Normal 19 59 3" xfId="12436"/>
    <cellStyle name="Normal 19 59 4" xfId="12437"/>
    <cellStyle name="Normal 19 59 5" xfId="12438"/>
    <cellStyle name="Normal 19 59 6" xfId="12439"/>
    <cellStyle name="Normal 19 59 7" xfId="12440"/>
    <cellStyle name="Normal 19 59 8" xfId="12441"/>
    <cellStyle name="Normal 19 59 9" xfId="12442"/>
    <cellStyle name="Normal 19 6" xfId="12443"/>
    <cellStyle name="Normal 19 6 10" xfId="12444"/>
    <cellStyle name="Normal 19 6 11" xfId="12445"/>
    <cellStyle name="Normal 19 6 12" xfId="12446"/>
    <cellStyle name="Normal 19 6 13" xfId="12447"/>
    <cellStyle name="Normal 19 6 2" xfId="12448"/>
    <cellStyle name="Normal 19 6 3" xfId="12449"/>
    <cellStyle name="Normal 19 6 4" xfId="12450"/>
    <cellStyle name="Normal 19 6 5" xfId="12451"/>
    <cellStyle name="Normal 19 6 6" xfId="12452"/>
    <cellStyle name="Normal 19 6 7" xfId="12453"/>
    <cellStyle name="Normal 19 6 8" xfId="12454"/>
    <cellStyle name="Normal 19 6 9" xfId="12455"/>
    <cellStyle name="Normal 19 60" xfId="12456"/>
    <cellStyle name="Normal 19 60 10" xfId="12457"/>
    <cellStyle name="Normal 19 60 11" xfId="12458"/>
    <cellStyle name="Normal 19 60 12" xfId="12459"/>
    <cellStyle name="Normal 19 60 13" xfId="12460"/>
    <cellStyle name="Normal 19 60 2" xfId="12461"/>
    <cellStyle name="Normal 19 60 3" xfId="12462"/>
    <cellStyle name="Normal 19 60 4" xfId="12463"/>
    <cellStyle name="Normal 19 60 5" xfId="12464"/>
    <cellStyle name="Normal 19 60 6" xfId="12465"/>
    <cellStyle name="Normal 19 60 7" xfId="12466"/>
    <cellStyle name="Normal 19 60 8" xfId="12467"/>
    <cellStyle name="Normal 19 60 9" xfId="12468"/>
    <cellStyle name="Normal 19 61" xfId="12469"/>
    <cellStyle name="Normal 19 61 10" xfId="12470"/>
    <cellStyle name="Normal 19 61 11" xfId="12471"/>
    <cellStyle name="Normal 19 61 12" xfId="12472"/>
    <cellStyle name="Normal 19 61 13" xfId="12473"/>
    <cellStyle name="Normal 19 61 2" xfId="12474"/>
    <cellStyle name="Normal 19 61 3" xfId="12475"/>
    <cellStyle name="Normal 19 61 4" xfId="12476"/>
    <cellStyle name="Normal 19 61 5" xfId="12477"/>
    <cellStyle name="Normal 19 61 6" xfId="12478"/>
    <cellStyle name="Normal 19 61 7" xfId="12479"/>
    <cellStyle name="Normal 19 61 8" xfId="12480"/>
    <cellStyle name="Normal 19 61 9" xfId="12481"/>
    <cellStyle name="Normal 19 62" xfId="12482"/>
    <cellStyle name="Normal 19 62 10" xfId="12483"/>
    <cellStyle name="Normal 19 62 11" xfId="12484"/>
    <cellStyle name="Normal 19 62 12" xfId="12485"/>
    <cellStyle name="Normal 19 62 13" xfId="12486"/>
    <cellStyle name="Normal 19 62 2" xfId="12487"/>
    <cellStyle name="Normal 19 62 3" xfId="12488"/>
    <cellStyle name="Normal 19 62 4" xfId="12489"/>
    <cellStyle name="Normal 19 62 5" xfId="12490"/>
    <cellStyle name="Normal 19 62 6" xfId="12491"/>
    <cellStyle name="Normal 19 62 7" xfId="12492"/>
    <cellStyle name="Normal 19 62 8" xfId="12493"/>
    <cellStyle name="Normal 19 62 9" xfId="12494"/>
    <cellStyle name="Normal 19 63" xfId="12495"/>
    <cellStyle name="Normal 19 63 10" xfId="12496"/>
    <cellStyle name="Normal 19 63 11" xfId="12497"/>
    <cellStyle name="Normal 19 63 12" xfId="12498"/>
    <cellStyle name="Normal 19 63 13" xfId="12499"/>
    <cellStyle name="Normal 19 63 2" xfId="12500"/>
    <cellStyle name="Normal 19 63 3" xfId="12501"/>
    <cellStyle name="Normal 19 63 4" xfId="12502"/>
    <cellStyle name="Normal 19 63 5" xfId="12503"/>
    <cellStyle name="Normal 19 63 6" xfId="12504"/>
    <cellStyle name="Normal 19 63 7" xfId="12505"/>
    <cellStyle name="Normal 19 63 8" xfId="12506"/>
    <cellStyle name="Normal 19 63 9" xfId="12507"/>
    <cellStyle name="Normal 19 64" xfId="12508"/>
    <cellStyle name="Normal 19 64 10" xfId="12509"/>
    <cellStyle name="Normal 19 64 11" xfId="12510"/>
    <cellStyle name="Normal 19 64 12" xfId="12511"/>
    <cellStyle name="Normal 19 64 13" xfId="12512"/>
    <cellStyle name="Normal 19 64 2" xfId="12513"/>
    <cellStyle name="Normal 19 64 3" xfId="12514"/>
    <cellStyle name="Normal 19 64 4" xfId="12515"/>
    <cellStyle name="Normal 19 64 5" xfId="12516"/>
    <cellStyle name="Normal 19 64 6" xfId="12517"/>
    <cellStyle name="Normal 19 64 7" xfId="12518"/>
    <cellStyle name="Normal 19 64 8" xfId="12519"/>
    <cellStyle name="Normal 19 64 9" xfId="12520"/>
    <cellStyle name="Normal 19 65" xfId="12521"/>
    <cellStyle name="Normal 19 65 10" xfId="12522"/>
    <cellStyle name="Normal 19 65 11" xfId="12523"/>
    <cellStyle name="Normal 19 65 12" xfId="12524"/>
    <cellStyle name="Normal 19 65 13" xfId="12525"/>
    <cellStyle name="Normal 19 65 2" xfId="12526"/>
    <cellStyle name="Normal 19 65 3" xfId="12527"/>
    <cellStyle name="Normal 19 65 4" xfId="12528"/>
    <cellStyle name="Normal 19 65 5" xfId="12529"/>
    <cellStyle name="Normal 19 65 6" xfId="12530"/>
    <cellStyle name="Normal 19 65 7" xfId="12531"/>
    <cellStyle name="Normal 19 65 8" xfId="12532"/>
    <cellStyle name="Normal 19 65 9" xfId="12533"/>
    <cellStyle name="Normal 19 66" xfId="12534"/>
    <cellStyle name="Normal 19 66 10" xfId="12535"/>
    <cellStyle name="Normal 19 66 11" xfId="12536"/>
    <cellStyle name="Normal 19 66 12" xfId="12537"/>
    <cellStyle name="Normal 19 66 13" xfId="12538"/>
    <cellStyle name="Normal 19 66 2" xfId="12539"/>
    <cellStyle name="Normal 19 66 3" xfId="12540"/>
    <cellStyle name="Normal 19 66 4" xfId="12541"/>
    <cellStyle name="Normal 19 66 5" xfId="12542"/>
    <cellStyle name="Normal 19 66 6" xfId="12543"/>
    <cellStyle name="Normal 19 66 7" xfId="12544"/>
    <cellStyle name="Normal 19 66 8" xfId="12545"/>
    <cellStyle name="Normal 19 66 9" xfId="12546"/>
    <cellStyle name="Normal 19 67" xfId="12547"/>
    <cellStyle name="Normal 19 67 10" xfId="12548"/>
    <cellStyle name="Normal 19 67 11" xfId="12549"/>
    <cellStyle name="Normal 19 67 12" xfId="12550"/>
    <cellStyle name="Normal 19 67 13" xfId="12551"/>
    <cellStyle name="Normal 19 67 2" xfId="12552"/>
    <cellStyle name="Normal 19 67 3" xfId="12553"/>
    <cellStyle name="Normal 19 67 4" xfId="12554"/>
    <cellStyle name="Normal 19 67 5" xfId="12555"/>
    <cellStyle name="Normal 19 67 6" xfId="12556"/>
    <cellStyle name="Normal 19 67 7" xfId="12557"/>
    <cellStyle name="Normal 19 67 8" xfId="12558"/>
    <cellStyle name="Normal 19 67 9" xfId="12559"/>
    <cellStyle name="Normal 19 68" xfId="12560"/>
    <cellStyle name="Normal 19 68 10" xfId="12561"/>
    <cellStyle name="Normal 19 68 11" xfId="12562"/>
    <cellStyle name="Normal 19 68 12" xfId="12563"/>
    <cellStyle name="Normal 19 68 13" xfId="12564"/>
    <cellStyle name="Normal 19 68 2" xfId="12565"/>
    <cellStyle name="Normal 19 68 3" xfId="12566"/>
    <cellStyle name="Normal 19 68 4" xfId="12567"/>
    <cellStyle name="Normal 19 68 5" xfId="12568"/>
    <cellStyle name="Normal 19 68 6" xfId="12569"/>
    <cellStyle name="Normal 19 68 7" xfId="12570"/>
    <cellStyle name="Normal 19 68 8" xfId="12571"/>
    <cellStyle name="Normal 19 68 9" xfId="12572"/>
    <cellStyle name="Normal 19 69" xfId="12573"/>
    <cellStyle name="Normal 19 69 10" xfId="12574"/>
    <cellStyle name="Normal 19 69 11" xfId="12575"/>
    <cellStyle name="Normal 19 69 12" xfId="12576"/>
    <cellStyle name="Normal 19 69 13" xfId="12577"/>
    <cellStyle name="Normal 19 69 2" xfId="12578"/>
    <cellStyle name="Normal 19 69 3" xfId="12579"/>
    <cellStyle name="Normal 19 69 4" xfId="12580"/>
    <cellStyle name="Normal 19 69 5" xfId="12581"/>
    <cellStyle name="Normal 19 69 6" xfId="12582"/>
    <cellStyle name="Normal 19 69 7" xfId="12583"/>
    <cellStyle name="Normal 19 69 8" xfId="12584"/>
    <cellStyle name="Normal 19 69 9" xfId="12585"/>
    <cellStyle name="Normal 19 7" xfId="12586"/>
    <cellStyle name="Normal 19 7 10" xfId="12587"/>
    <cellStyle name="Normal 19 7 11" xfId="12588"/>
    <cellStyle name="Normal 19 7 12" xfId="12589"/>
    <cellStyle name="Normal 19 7 13" xfId="12590"/>
    <cellStyle name="Normal 19 7 2" xfId="12591"/>
    <cellStyle name="Normal 19 7 3" xfId="12592"/>
    <cellStyle name="Normal 19 7 4" xfId="12593"/>
    <cellStyle name="Normal 19 7 5" xfId="12594"/>
    <cellStyle name="Normal 19 7 6" xfId="12595"/>
    <cellStyle name="Normal 19 7 7" xfId="12596"/>
    <cellStyle name="Normal 19 7 8" xfId="12597"/>
    <cellStyle name="Normal 19 7 9" xfId="12598"/>
    <cellStyle name="Normal 19 70" xfId="12599"/>
    <cellStyle name="Normal 19 70 10" xfId="12600"/>
    <cellStyle name="Normal 19 70 11" xfId="12601"/>
    <cellStyle name="Normal 19 70 12" xfId="12602"/>
    <cellStyle name="Normal 19 70 13" xfId="12603"/>
    <cellStyle name="Normal 19 70 2" xfId="12604"/>
    <cellStyle name="Normal 19 70 3" xfId="12605"/>
    <cellStyle name="Normal 19 70 4" xfId="12606"/>
    <cellStyle name="Normal 19 70 5" xfId="12607"/>
    <cellStyle name="Normal 19 70 6" xfId="12608"/>
    <cellStyle name="Normal 19 70 7" xfId="12609"/>
    <cellStyle name="Normal 19 70 8" xfId="12610"/>
    <cellStyle name="Normal 19 70 9" xfId="12611"/>
    <cellStyle name="Normal 19 71" xfId="12612"/>
    <cellStyle name="Normal 19 71 10" xfId="12613"/>
    <cellStyle name="Normal 19 71 11" xfId="12614"/>
    <cellStyle name="Normal 19 71 12" xfId="12615"/>
    <cellStyle name="Normal 19 71 13" xfId="12616"/>
    <cellStyle name="Normal 19 71 2" xfId="12617"/>
    <cellStyle name="Normal 19 71 3" xfId="12618"/>
    <cellStyle name="Normal 19 71 4" xfId="12619"/>
    <cellStyle name="Normal 19 71 5" xfId="12620"/>
    <cellStyle name="Normal 19 71 6" xfId="12621"/>
    <cellStyle name="Normal 19 71 7" xfId="12622"/>
    <cellStyle name="Normal 19 71 8" xfId="12623"/>
    <cellStyle name="Normal 19 71 9" xfId="12624"/>
    <cellStyle name="Normal 19 72" xfId="12625"/>
    <cellStyle name="Normal 19 73" xfId="12626"/>
    <cellStyle name="Normal 19 74" xfId="12627"/>
    <cellStyle name="Normal 19 75" xfId="12628"/>
    <cellStyle name="Normal 19 76" xfId="12629"/>
    <cellStyle name="Normal 19 77" xfId="12630"/>
    <cellStyle name="Normal 19 78" xfId="12631"/>
    <cellStyle name="Normal 19 79" xfId="12632"/>
    <cellStyle name="Normal 19 8" xfId="12633"/>
    <cellStyle name="Normal 19 8 10" xfId="12634"/>
    <cellStyle name="Normal 19 8 11" xfId="12635"/>
    <cellStyle name="Normal 19 8 12" xfId="12636"/>
    <cellStyle name="Normal 19 8 13" xfId="12637"/>
    <cellStyle name="Normal 19 8 2" xfId="12638"/>
    <cellStyle name="Normal 19 8 3" xfId="12639"/>
    <cellStyle name="Normal 19 8 4" xfId="12640"/>
    <cellStyle name="Normal 19 8 5" xfId="12641"/>
    <cellStyle name="Normal 19 8 6" xfId="12642"/>
    <cellStyle name="Normal 19 8 7" xfId="12643"/>
    <cellStyle name="Normal 19 8 8" xfId="12644"/>
    <cellStyle name="Normal 19 8 9" xfId="12645"/>
    <cellStyle name="Normal 19 80" xfId="12646"/>
    <cellStyle name="Normal 19 81" xfId="12647"/>
    <cellStyle name="Normal 19 82" xfId="12648"/>
    <cellStyle name="Normal 19 83" xfId="12649"/>
    <cellStyle name="Normal 19 9" xfId="12650"/>
    <cellStyle name="Normal 19 9 10" xfId="12651"/>
    <cellStyle name="Normal 19 9 11" xfId="12652"/>
    <cellStyle name="Normal 19 9 12" xfId="12653"/>
    <cellStyle name="Normal 19 9 13" xfId="12654"/>
    <cellStyle name="Normal 19 9 2" xfId="12655"/>
    <cellStyle name="Normal 19 9 3" xfId="12656"/>
    <cellStyle name="Normal 19 9 4" xfId="12657"/>
    <cellStyle name="Normal 19 9 5" xfId="12658"/>
    <cellStyle name="Normal 19 9 6" xfId="12659"/>
    <cellStyle name="Normal 19 9 7" xfId="12660"/>
    <cellStyle name="Normal 19 9 8" xfId="12661"/>
    <cellStyle name="Normal 19 9 9" xfId="12662"/>
    <cellStyle name="Normal 2" xfId="4"/>
    <cellStyle name="Normal 2 10" xfId="12663"/>
    <cellStyle name="Normal 2 10 10" xfId="12664"/>
    <cellStyle name="Normal 2 10 11" xfId="12665"/>
    <cellStyle name="Normal 2 10 12" xfId="12666"/>
    <cellStyle name="Normal 2 10 13" xfId="12667"/>
    <cellStyle name="Normal 2 10 14" xfId="12668"/>
    <cellStyle name="Normal 2 10 15" xfId="12669"/>
    <cellStyle name="Normal 2 10 16" xfId="12670"/>
    <cellStyle name="Normal 2 10 17" xfId="12671"/>
    <cellStyle name="Normal 2 10 18" xfId="12672"/>
    <cellStyle name="Normal 2 10 19" xfId="12673"/>
    <cellStyle name="Normal 2 10 2" xfId="12674"/>
    <cellStyle name="Normal 2 10 20" xfId="12675"/>
    <cellStyle name="Normal 2 10 21" xfId="12676"/>
    <cellStyle name="Normal 2 10 22" xfId="12677"/>
    <cellStyle name="Normal 2 10 23" xfId="12678"/>
    <cellStyle name="Normal 2 10 24" xfId="12679"/>
    <cellStyle name="Normal 2 10 25" xfId="12680"/>
    <cellStyle name="Normal 2 10 26" xfId="12681"/>
    <cellStyle name="Normal 2 10 27" xfId="12682"/>
    <cellStyle name="Normal 2 10 28" xfId="12683"/>
    <cellStyle name="Normal 2 10 29" xfId="12684"/>
    <cellStyle name="Normal 2 10 3" xfId="12685"/>
    <cellStyle name="Normal 2 10 30" xfId="12686"/>
    <cellStyle name="Normal 2 10 31" xfId="12687"/>
    <cellStyle name="Normal 2 10 32" xfId="12688"/>
    <cellStyle name="Normal 2 10 33" xfId="12689"/>
    <cellStyle name="Normal 2 10 34" xfId="12690"/>
    <cellStyle name="Normal 2 10 35" xfId="12691"/>
    <cellStyle name="Normal 2 10 36" xfId="12692"/>
    <cellStyle name="Normal 2 10 37" xfId="12693"/>
    <cellStyle name="Normal 2 10 38" xfId="12694"/>
    <cellStyle name="Normal 2 10 39" xfId="12695"/>
    <cellStyle name="Normal 2 10 4" xfId="12696"/>
    <cellStyle name="Normal 2 10 40" xfId="12697"/>
    <cellStyle name="Normal 2 10 41" xfId="12698"/>
    <cellStyle name="Normal 2 10 42" xfId="12699"/>
    <cellStyle name="Normal 2 10 43" xfId="12700"/>
    <cellStyle name="Normal 2 10 44" xfId="12701"/>
    <cellStyle name="Normal 2 10 45" xfId="12702"/>
    <cellStyle name="Normal 2 10 46" xfId="12703"/>
    <cellStyle name="Normal 2 10 47" xfId="12704"/>
    <cellStyle name="Normal 2 10 48" xfId="12705"/>
    <cellStyle name="Normal 2 10 49" xfId="12706"/>
    <cellStyle name="Normal 2 10 5" xfId="12707"/>
    <cellStyle name="Normal 2 10 50" xfId="12708"/>
    <cellStyle name="Normal 2 10 51" xfId="12709"/>
    <cellStyle name="Normal 2 10 52" xfId="12710"/>
    <cellStyle name="Normal 2 10 53" xfId="12711"/>
    <cellStyle name="Normal 2 10 54" xfId="12712"/>
    <cellStyle name="Normal 2 10 55" xfId="12713"/>
    <cellStyle name="Normal 2 10 56" xfId="12714"/>
    <cellStyle name="Normal 2 10 57" xfId="12715"/>
    <cellStyle name="Normal 2 10 58" xfId="12716"/>
    <cellStyle name="Normal 2 10 59" xfId="12717"/>
    <cellStyle name="Normal 2 10 6" xfId="12718"/>
    <cellStyle name="Normal 2 10 60" xfId="12719"/>
    <cellStyle name="Normal 2 10 61" xfId="12720"/>
    <cellStyle name="Normal 2 10 62" xfId="12721"/>
    <cellStyle name="Normal 2 10 63" xfId="12722"/>
    <cellStyle name="Normal 2 10 64" xfId="12723"/>
    <cellStyle name="Normal 2 10 65" xfId="12724"/>
    <cellStyle name="Normal 2 10 66" xfId="12725"/>
    <cellStyle name="Normal 2 10 67" xfId="12726"/>
    <cellStyle name="Normal 2 10 68" xfId="12727"/>
    <cellStyle name="Normal 2 10 69" xfId="12728"/>
    <cellStyle name="Normal 2 10 7" xfId="12729"/>
    <cellStyle name="Normal 2 10 70" xfId="12730"/>
    <cellStyle name="Normal 2 10 71" xfId="12731"/>
    <cellStyle name="Normal 2 10 72" xfId="12732"/>
    <cellStyle name="Normal 2 10 73" xfId="12733"/>
    <cellStyle name="Normal 2 10 74" xfId="12734"/>
    <cellStyle name="Normal 2 10 75" xfId="12735"/>
    <cellStyle name="Normal 2 10 76" xfId="12736"/>
    <cellStyle name="Normal 2 10 77" xfId="12737"/>
    <cellStyle name="Normal 2 10 78" xfId="12738"/>
    <cellStyle name="Normal 2 10 79" xfId="12739"/>
    <cellStyle name="Normal 2 10 8" xfId="12740"/>
    <cellStyle name="Normal 2 10 80" xfId="12741"/>
    <cellStyle name="Normal 2 10 81" xfId="12742"/>
    <cellStyle name="Normal 2 10 82" xfId="12743"/>
    <cellStyle name="Normal 2 10 83" xfId="12744"/>
    <cellStyle name="Normal 2 10 9" xfId="12745"/>
    <cellStyle name="Normal 2 11" xfId="12746"/>
    <cellStyle name="Normal 2 11 10" xfId="12747"/>
    <cellStyle name="Normal 2 11 11" xfId="12748"/>
    <cellStyle name="Normal 2 11 12" xfId="12749"/>
    <cellStyle name="Normal 2 11 13" xfId="12750"/>
    <cellStyle name="Normal 2 11 14" xfId="12751"/>
    <cellStyle name="Normal 2 11 15" xfId="12752"/>
    <cellStyle name="Normal 2 11 16" xfId="12753"/>
    <cellStyle name="Normal 2 11 17" xfId="12754"/>
    <cellStyle name="Normal 2 11 18" xfId="12755"/>
    <cellStyle name="Normal 2 11 19" xfId="12756"/>
    <cellStyle name="Normal 2 11 2" xfId="12757"/>
    <cellStyle name="Normal 2 11 20" xfId="12758"/>
    <cellStyle name="Normal 2 11 21" xfId="12759"/>
    <cellStyle name="Normal 2 11 22" xfId="12760"/>
    <cellStyle name="Normal 2 11 23" xfId="12761"/>
    <cellStyle name="Normal 2 11 24" xfId="12762"/>
    <cellStyle name="Normal 2 11 25" xfId="12763"/>
    <cellStyle name="Normal 2 11 26" xfId="12764"/>
    <cellStyle name="Normal 2 11 27" xfId="12765"/>
    <cellStyle name="Normal 2 11 28" xfId="12766"/>
    <cellStyle name="Normal 2 11 29" xfId="12767"/>
    <cellStyle name="Normal 2 11 3" xfId="12768"/>
    <cellStyle name="Normal 2 11 30" xfId="12769"/>
    <cellStyle name="Normal 2 11 31" xfId="12770"/>
    <cellStyle name="Normal 2 11 32" xfId="12771"/>
    <cellStyle name="Normal 2 11 33" xfId="12772"/>
    <cellStyle name="Normal 2 11 34" xfId="12773"/>
    <cellStyle name="Normal 2 11 35" xfId="12774"/>
    <cellStyle name="Normal 2 11 36" xfId="12775"/>
    <cellStyle name="Normal 2 11 37" xfId="12776"/>
    <cellStyle name="Normal 2 11 38" xfId="12777"/>
    <cellStyle name="Normal 2 11 39" xfId="12778"/>
    <cellStyle name="Normal 2 11 4" xfId="12779"/>
    <cellStyle name="Normal 2 11 40" xfId="12780"/>
    <cellStyle name="Normal 2 11 41" xfId="12781"/>
    <cellStyle name="Normal 2 11 42" xfId="12782"/>
    <cellStyle name="Normal 2 11 43" xfId="12783"/>
    <cellStyle name="Normal 2 11 44" xfId="12784"/>
    <cellStyle name="Normal 2 11 45" xfId="12785"/>
    <cellStyle name="Normal 2 11 46" xfId="12786"/>
    <cellStyle name="Normal 2 11 47" xfId="12787"/>
    <cellStyle name="Normal 2 11 48" xfId="12788"/>
    <cellStyle name="Normal 2 11 49" xfId="12789"/>
    <cellStyle name="Normal 2 11 5" xfId="12790"/>
    <cellStyle name="Normal 2 11 50" xfId="12791"/>
    <cellStyle name="Normal 2 11 51" xfId="12792"/>
    <cellStyle name="Normal 2 11 52" xfId="12793"/>
    <cellStyle name="Normal 2 11 53" xfId="12794"/>
    <cellStyle name="Normal 2 11 54" xfId="12795"/>
    <cellStyle name="Normal 2 11 55" xfId="12796"/>
    <cellStyle name="Normal 2 11 56" xfId="12797"/>
    <cellStyle name="Normal 2 11 57" xfId="12798"/>
    <cellStyle name="Normal 2 11 58" xfId="12799"/>
    <cellStyle name="Normal 2 11 59" xfId="12800"/>
    <cellStyle name="Normal 2 11 6" xfId="12801"/>
    <cellStyle name="Normal 2 11 60" xfId="12802"/>
    <cellStyle name="Normal 2 11 61" xfId="12803"/>
    <cellStyle name="Normal 2 11 62" xfId="12804"/>
    <cellStyle name="Normal 2 11 63" xfId="12805"/>
    <cellStyle name="Normal 2 11 64" xfId="12806"/>
    <cellStyle name="Normal 2 11 65" xfId="12807"/>
    <cellStyle name="Normal 2 11 66" xfId="12808"/>
    <cellStyle name="Normal 2 11 67" xfId="12809"/>
    <cellStyle name="Normal 2 11 68" xfId="12810"/>
    <cellStyle name="Normal 2 11 69" xfId="12811"/>
    <cellStyle name="Normal 2 11 7" xfId="12812"/>
    <cellStyle name="Normal 2 11 70" xfId="12813"/>
    <cellStyle name="Normal 2 11 71" xfId="12814"/>
    <cellStyle name="Normal 2 11 72" xfId="12815"/>
    <cellStyle name="Normal 2 11 73" xfId="12816"/>
    <cellStyle name="Normal 2 11 74" xfId="12817"/>
    <cellStyle name="Normal 2 11 75" xfId="12818"/>
    <cellStyle name="Normal 2 11 76" xfId="12819"/>
    <cellStyle name="Normal 2 11 77" xfId="12820"/>
    <cellStyle name="Normal 2 11 78" xfId="12821"/>
    <cellStyle name="Normal 2 11 79" xfId="12822"/>
    <cellStyle name="Normal 2 11 8" xfId="12823"/>
    <cellStyle name="Normal 2 11 80" xfId="12824"/>
    <cellStyle name="Normal 2 11 81" xfId="12825"/>
    <cellStyle name="Normal 2 11 82" xfId="12826"/>
    <cellStyle name="Normal 2 11 83" xfId="12827"/>
    <cellStyle name="Normal 2 11 9" xfId="12828"/>
    <cellStyle name="Normal 2 12" xfId="6"/>
    <cellStyle name="Normal 2 12 10" xfId="12829"/>
    <cellStyle name="Normal 2 12 11" xfId="12830"/>
    <cellStyle name="Normal 2 12 12" xfId="12831"/>
    <cellStyle name="Normal 2 12 13" xfId="12832"/>
    <cellStyle name="Normal 2 12 14" xfId="12833"/>
    <cellStyle name="Normal 2 12 15" xfId="12834"/>
    <cellStyle name="Normal 2 12 16" xfId="12835"/>
    <cellStyle name="Normal 2 12 17" xfId="12836"/>
    <cellStyle name="Normal 2 12 18" xfId="12837"/>
    <cellStyle name="Normal 2 12 19" xfId="12838"/>
    <cellStyle name="Normal 2 12 2" xfId="12839"/>
    <cellStyle name="Normal 2 12 20" xfId="12840"/>
    <cellStyle name="Normal 2 12 21" xfId="12841"/>
    <cellStyle name="Normal 2 12 22" xfId="12842"/>
    <cellStyle name="Normal 2 12 23" xfId="12843"/>
    <cellStyle name="Normal 2 12 24" xfId="12844"/>
    <cellStyle name="Normal 2 12 25" xfId="12845"/>
    <cellStyle name="Normal 2 12 26" xfId="12846"/>
    <cellStyle name="Normal 2 12 27" xfId="12847"/>
    <cellStyle name="Normal 2 12 28" xfId="12848"/>
    <cellStyle name="Normal 2 12 29" xfId="12849"/>
    <cellStyle name="Normal 2 12 3" xfId="12850"/>
    <cellStyle name="Normal 2 12 30" xfId="12851"/>
    <cellStyle name="Normal 2 12 31" xfId="12852"/>
    <cellStyle name="Normal 2 12 32" xfId="12853"/>
    <cellStyle name="Normal 2 12 33" xfId="12854"/>
    <cellStyle name="Normal 2 12 34" xfId="12855"/>
    <cellStyle name="Normal 2 12 35" xfId="12856"/>
    <cellStyle name="Normal 2 12 36" xfId="12857"/>
    <cellStyle name="Normal 2 12 37" xfId="12858"/>
    <cellStyle name="Normal 2 12 38" xfId="12859"/>
    <cellStyle name="Normal 2 12 39" xfId="12860"/>
    <cellStyle name="Normal 2 12 4" xfId="12861"/>
    <cellStyle name="Normal 2 12 40" xfId="12862"/>
    <cellStyle name="Normal 2 12 41" xfId="12863"/>
    <cellStyle name="Normal 2 12 42" xfId="12864"/>
    <cellStyle name="Normal 2 12 43" xfId="12865"/>
    <cellStyle name="Normal 2 12 44" xfId="12866"/>
    <cellStyle name="Normal 2 12 45" xfId="12867"/>
    <cellStyle name="Normal 2 12 46" xfId="12868"/>
    <cellStyle name="Normal 2 12 47" xfId="12869"/>
    <cellStyle name="Normal 2 12 48" xfId="12870"/>
    <cellStyle name="Normal 2 12 49" xfId="12871"/>
    <cellStyle name="Normal 2 12 5" xfId="12872"/>
    <cellStyle name="Normal 2 12 50" xfId="12873"/>
    <cellStyle name="Normal 2 12 51" xfId="12874"/>
    <cellStyle name="Normal 2 12 52" xfId="12875"/>
    <cellStyle name="Normal 2 12 53" xfId="12876"/>
    <cellStyle name="Normal 2 12 54" xfId="12877"/>
    <cellStyle name="Normal 2 12 55" xfId="12878"/>
    <cellStyle name="Normal 2 12 56" xfId="12879"/>
    <cellStyle name="Normal 2 12 57" xfId="12880"/>
    <cellStyle name="Normal 2 12 58" xfId="12881"/>
    <cellStyle name="Normal 2 12 59" xfId="12882"/>
    <cellStyle name="Normal 2 12 6" xfId="12883"/>
    <cellStyle name="Normal 2 12 60" xfId="12884"/>
    <cellStyle name="Normal 2 12 61" xfId="12885"/>
    <cellStyle name="Normal 2 12 62" xfId="12886"/>
    <cellStyle name="Normal 2 12 63" xfId="12887"/>
    <cellStyle name="Normal 2 12 64" xfId="12888"/>
    <cellStyle name="Normal 2 12 65" xfId="12889"/>
    <cellStyle name="Normal 2 12 66" xfId="12890"/>
    <cellStyle name="Normal 2 12 67" xfId="12891"/>
    <cellStyle name="Normal 2 12 68" xfId="12892"/>
    <cellStyle name="Normal 2 12 69" xfId="12893"/>
    <cellStyle name="Normal 2 12 7" xfId="12894"/>
    <cellStyle name="Normal 2 12 70" xfId="12895"/>
    <cellStyle name="Normal 2 12 71" xfId="12896"/>
    <cellStyle name="Normal 2 12 72" xfId="12897"/>
    <cellStyle name="Normal 2 12 73" xfId="12898"/>
    <cellStyle name="Normal 2 12 74" xfId="12899"/>
    <cellStyle name="Normal 2 12 75" xfId="12900"/>
    <cellStyle name="Normal 2 12 76" xfId="12901"/>
    <cellStyle name="Normal 2 12 77" xfId="12902"/>
    <cellStyle name="Normal 2 12 78" xfId="12903"/>
    <cellStyle name="Normal 2 12 79" xfId="12904"/>
    <cellStyle name="Normal 2 12 8" xfId="12905"/>
    <cellStyle name="Normal 2 12 80" xfId="12906"/>
    <cellStyle name="Normal 2 12 81" xfId="12907"/>
    <cellStyle name="Normal 2 12 82" xfId="12908"/>
    <cellStyle name="Normal 2 12 83" xfId="12909"/>
    <cellStyle name="Normal 2 12 9" xfId="12910"/>
    <cellStyle name="Normal 2 13" xfId="12911"/>
    <cellStyle name="Normal 2 13 10" xfId="12912"/>
    <cellStyle name="Normal 2 13 11" xfId="12913"/>
    <cellStyle name="Normal 2 13 12" xfId="12914"/>
    <cellStyle name="Normal 2 13 13" xfId="12915"/>
    <cellStyle name="Normal 2 13 14" xfId="12916"/>
    <cellStyle name="Normal 2 13 15" xfId="12917"/>
    <cellStyle name="Normal 2 13 16" xfId="12918"/>
    <cellStyle name="Normal 2 13 17" xfId="12919"/>
    <cellStyle name="Normal 2 13 18" xfId="12920"/>
    <cellStyle name="Normal 2 13 19" xfId="12921"/>
    <cellStyle name="Normal 2 13 2" xfId="12922"/>
    <cellStyle name="Normal 2 13 20" xfId="12923"/>
    <cellStyle name="Normal 2 13 21" xfId="12924"/>
    <cellStyle name="Normal 2 13 22" xfId="12925"/>
    <cellStyle name="Normal 2 13 23" xfId="12926"/>
    <cellStyle name="Normal 2 13 24" xfId="12927"/>
    <cellStyle name="Normal 2 13 25" xfId="12928"/>
    <cellStyle name="Normal 2 13 26" xfId="12929"/>
    <cellStyle name="Normal 2 13 27" xfId="12930"/>
    <cellStyle name="Normal 2 13 28" xfId="12931"/>
    <cellStyle name="Normal 2 13 29" xfId="12932"/>
    <cellStyle name="Normal 2 13 3" xfId="12933"/>
    <cellStyle name="Normal 2 13 30" xfId="12934"/>
    <cellStyle name="Normal 2 13 31" xfId="12935"/>
    <cellStyle name="Normal 2 13 32" xfId="12936"/>
    <cellStyle name="Normal 2 13 33" xfId="12937"/>
    <cellStyle name="Normal 2 13 34" xfId="12938"/>
    <cellStyle name="Normal 2 13 35" xfId="12939"/>
    <cellStyle name="Normal 2 13 36" xfId="12940"/>
    <cellStyle name="Normal 2 13 37" xfId="12941"/>
    <cellStyle name="Normal 2 13 38" xfId="12942"/>
    <cellStyle name="Normal 2 13 39" xfId="12943"/>
    <cellStyle name="Normal 2 13 4" xfId="12944"/>
    <cellStyle name="Normal 2 13 40" xfId="12945"/>
    <cellStyle name="Normal 2 13 41" xfId="12946"/>
    <cellStyle name="Normal 2 13 42" xfId="12947"/>
    <cellStyle name="Normal 2 13 43" xfId="12948"/>
    <cellStyle name="Normal 2 13 44" xfId="12949"/>
    <cellStyle name="Normal 2 13 45" xfId="12950"/>
    <cellStyle name="Normal 2 13 46" xfId="12951"/>
    <cellStyle name="Normal 2 13 47" xfId="12952"/>
    <cellStyle name="Normal 2 13 48" xfId="12953"/>
    <cellStyle name="Normal 2 13 49" xfId="12954"/>
    <cellStyle name="Normal 2 13 5" xfId="12955"/>
    <cellStyle name="Normal 2 13 50" xfId="12956"/>
    <cellStyle name="Normal 2 13 51" xfId="12957"/>
    <cellStyle name="Normal 2 13 52" xfId="12958"/>
    <cellStyle name="Normal 2 13 53" xfId="12959"/>
    <cellStyle name="Normal 2 13 54" xfId="12960"/>
    <cellStyle name="Normal 2 13 55" xfId="12961"/>
    <cellStyle name="Normal 2 13 56" xfId="12962"/>
    <cellStyle name="Normal 2 13 57" xfId="12963"/>
    <cellStyle name="Normal 2 13 58" xfId="12964"/>
    <cellStyle name="Normal 2 13 59" xfId="12965"/>
    <cellStyle name="Normal 2 13 6" xfId="12966"/>
    <cellStyle name="Normal 2 13 60" xfId="12967"/>
    <cellStyle name="Normal 2 13 61" xfId="12968"/>
    <cellStyle name="Normal 2 13 62" xfId="12969"/>
    <cellStyle name="Normal 2 13 63" xfId="12970"/>
    <cellStyle name="Normal 2 13 64" xfId="12971"/>
    <cellStyle name="Normal 2 13 65" xfId="12972"/>
    <cellStyle name="Normal 2 13 66" xfId="12973"/>
    <cellStyle name="Normal 2 13 67" xfId="12974"/>
    <cellStyle name="Normal 2 13 68" xfId="12975"/>
    <cellStyle name="Normal 2 13 69" xfId="12976"/>
    <cellStyle name="Normal 2 13 7" xfId="12977"/>
    <cellStyle name="Normal 2 13 70" xfId="12978"/>
    <cellStyle name="Normal 2 13 71" xfId="12979"/>
    <cellStyle name="Normal 2 13 72" xfId="12980"/>
    <cellStyle name="Normal 2 13 73" xfId="12981"/>
    <cellStyle name="Normal 2 13 74" xfId="12982"/>
    <cellStyle name="Normal 2 13 75" xfId="12983"/>
    <cellStyle name="Normal 2 13 76" xfId="12984"/>
    <cellStyle name="Normal 2 13 77" xfId="12985"/>
    <cellStyle name="Normal 2 13 78" xfId="12986"/>
    <cellStyle name="Normal 2 13 79" xfId="12987"/>
    <cellStyle name="Normal 2 13 8" xfId="12988"/>
    <cellStyle name="Normal 2 13 80" xfId="12989"/>
    <cellStyle name="Normal 2 13 81" xfId="12990"/>
    <cellStyle name="Normal 2 13 82" xfId="12991"/>
    <cellStyle name="Normal 2 13 83" xfId="12992"/>
    <cellStyle name="Normal 2 13 9" xfId="12993"/>
    <cellStyle name="Normal 2 14" xfId="12994"/>
    <cellStyle name="Normal 2 14 10" xfId="12995"/>
    <cellStyle name="Normal 2 14 11" xfId="12996"/>
    <cellStyle name="Normal 2 14 12" xfId="12997"/>
    <cellStyle name="Normal 2 14 13" xfId="12998"/>
    <cellStyle name="Normal 2 14 14" xfId="12999"/>
    <cellStyle name="Normal 2 14 15" xfId="13000"/>
    <cellStyle name="Normal 2 14 16" xfId="13001"/>
    <cellStyle name="Normal 2 14 17" xfId="13002"/>
    <cellStyle name="Normal 2 14 18" xfId="13003"/>
    <cellStyle name="Normal 2 14 19" xfId="13004"/>
    <cellStyle name="Normal 2 14 2" xfId="13005"/>
    <cellStyle name="Normal 2 14 20" xfId="13006"/>
    <cellStyle name="Normal 2 14 21" xfId="13007"/>
    <cellStyle name="Normal 2 14 22" xfId="13008"/>
    <cellStyle name="Normal 2 14 23" xfId="13009"/>
    <cellStyle name="Normal 2 14 24" xfId="13010"/>
    <cellStyle name="Normal 2 14 25" xfId="13011"/>
    <cellStyle name="Normal 2 14 26" xfId="13012"/>
    <cellStyle name="Normal 2 14 27" xfId="13013"/>
    <cellStyle name="Normal 2 14 28" xfId="13014"/>
    <cellStyle name="Normal 2 14 29" xfId="13015"/>
    <cellStyle name="Normal 2 14 3" xfId="13016"/>
    <cellStyle name="Normal 2 14 30" xfId="13017"/>
    <cellStyle name="Normal 2 14 31" xfId="13018"/>
    <cellStyle name="Normal 2 14 32" xfId="13019"/>
    <cellStyle name="Normal 2 14 33" xfId="13020"/>
    <cellStyle name="Normal 2 14 34" xfId="13021"/>
    <cellStyle name="Normal 2 14 35" xfId="13022"/>
    <cellStyle name="Normal 2 14 36" xfId="13023"/>
    <cellStyle name="Normal 2 14 37" xfId="13024"/>
    <cellStyle name="Normal 2 14 38" xfId="13025"/>
    <cellStyle name="Normal 2 14 39" xfId="13026"/>
    <cellStyle name="Normal 2 14 4" xfId="13027"/>
    <cellStyle name="Normal 2 14 40" xfId="13028"/>
    <cellStyle name="Normal 2 14 41" xfId="13029"/>
    <cellStyle name="Normal 2 14 42" xfId="13030"/>
    <cellStyle name="Normal 2 14 43" xfId="13031"/>
    <cellStyle name="Normal 2 14 44" xfId="13032"/>
    <cellStyle name="Normal 2 14 45" xfId="13033"/>
    <cellStyle name="Normal 2 14 46" xfId="13034"/>
    <cellStyle name="Normal 2 14 47" xfId="13035"/>
    <cellStyle name="Normal 2 14 48" xfId="13036"/>
    <cellStyle name="Normal 2 14 49" xfId="13037"/>
    <cellStyle name="Normal 2 14 5" xfId="13038"/>
    <cellStyle name="Normal 2 14 50" xfId="13039"/>
    <cellStyle name="Normal 2 14 51" xfId="13040"/>
    <cellStyle name="Normal 2 14 52" xfId="13041"/>
    <cellStyle name="Normal 2 14 53" xfId="13042"/>
    <cellStyle name="Normal 2 14 54" xfId="13043"/>
    <cellStyle name="Normal 2 14 55" xfId="13044"/>
    <cellStyle name="Normal 2 14 56" xfId="13045"/>
    <cellStyle name="Normal 2 14 57" xfId="13046"/>
    <cellStyle name="Normal 2 14 58" xfId="13047"/>
    <cellStyle name="Normal 2 14 59" xfId="13048"/>
    <cellStyle name="Normal 2 14 6" xfId="13049"/>
    <cellStyle name="Normal 2 14 60" xfId="13050"/>
    <cellStyle name="Normal 2 14 61" xfId="13051"/>
    <cellStyle name="Normal 2 14 62" xfId="13052"/>
    <cellStyle name="Normal 2 14 63" xfId="13053"/>
    <cellStyle name="Normal 2 14 64" xfId="13054"/>
    <cellStyle name="Normal 2 14 65" xfId="13055"/>
    <cellStyle name="Normal 2 14 66" xfId="13056"/>
    <cellStyle name="Normal 2 14 67" xfId="13057"/>
    <cellStyle name="Normal 2 14 68" xfId="13058"/>
    <cellStyle name="Normal 2 14 69" xfId="13059"/>
    <cellStyle name="Normal 2 14 7" xfId="13060"/>
    <cellStyle name="Normal 2 14 70" xfId="13061"/>
    <cellStyle name="Normal 2 14 71" xfId="13062"/>
    <cellStyle name="Normal 2 14 72" xfId="13063"/>
    <cellStyle name="Normal 2 14 73" xfId="13064"/>
    <cellStyle name="Normal 2 14 74" xfId="13065"/>
    <cellStyle name="Normal 2 14 75" xfId="13066"/>
    <cellStyle name="Normal 2 14 76" xfId="13067"/>
    <cellStyle name="Normal 2 14 77" xfId="13068"/>
    <cellStyle name="Normal 2 14 78" xfId="13069"/>
    <cellStyle name="Normal 2 14 79" xfId="13070"/>
    <cellStyle name="Normal 2 14 8" xfId="13071"/>
    <cellStyle name="Normal 2 14 80" xfId="13072"/>
    <cellStyle name="Normal 2 14 81" xfId="13073"/>
    <cellStyle name="Normal 2 14 82" xfId="13074"/>
    <cellStyle name="Normal 2 14 83" xfId="13075"/>
    <cellStyle name="Normal 2 14 9" xfId="13076"/>
    <cellStyle name="Normal 2 15" xfId="13077"/>
    <cellStyle name="Normal 2 15 10" xfId="13078"/>
    <cellStyle name="Normal 2 15 11" xfId="13079"/>
    <cellStyle name="Normal 2 15 12" xfId="13080"/>
    <cellStyle name="Normal 2 15 13" xfId="13081"/>
    <cellStyle name="Normal 2 15 14" xfId="13082"/>
    <cellStyle name="Normal 2 15 15" xfId="13083"/>
    <cellStyle name="Normal 2 15 16" xfId="13084"/>
    <cellStyle name="Normal 2 15 17" xfId="13085"/>
    <cellStyle name="Normal 2 15 18" xfId="13086"/>
    <cellStyle name="Normal 2 15 19" xfId="13087"/>
    <cellStyle name="Normal 2 15 2" xfId="13088"/>
    <cellStyle name="Normal 2 15 20" xfId="13089"/>
    <cellStyle name="Normal 2 15 21" xfId="13090"/>
    <cellStyle name="Normal 2 15 22" xfId="13091"/>
    <cellStyle name="Normal 2 15 23" xfId="13092"/>
    <cellStyle name="Normal 2 15 24" xfId="13093"/>
    <cellStyle name="Normal 2 15 25" xfId="13094"/>
    <cellStyle name="Normal 2 15 26" xfId="13095"/>
    <cellStyle name="Normal 2 15 27" xfId="13096"/>
    <cellStyle name="Normal 2 15 28" xfId="13097"/>
    <cellStyle name="Normal 2 15 29" xfId="13098"/>
    <cellStyle name="Normal 2 15 3" xfId="13099"/>
    <cellStyle name="Normal 2 15 30" xfId="13100"/>
    <cellStyle name="Normal 2 15 31" xfId="13101"/>
    <cellStyle name="Normal 2 15 32" xfId="13102"/>
    <cellStyle name="Normal 2 15 33" xfId="13103"/>
    <cellStyle name="Normal 2 15 34" xfId="13104"/>
    <cellStyle name="Normal 2 15 35" xfId="13105"/>
    <cellStyle name="Normal 2 15 36" xfId="13106"/>
    <cellStyle name="Normal 2 15 37" xfId="13107"/>
    <cellStyle name="Normal 2 15 38" xfId="13108"/>
    <cellStyle name="Normal 2 15 39" xfId="13109"/>
    <cellStyle name="Normal 2 15 4" xfId="13110"/>
    <cellStyle name="Normal 2 15 40" xfId="13111"/>
    <cellStyle name="Normal 2 15 41" xfId="13112"/>
    <cellStyle name="Normal 2 15 42" xfId="13113"/>
    <cellStyle name="Normal 2 15 43" xfId="13114"/>
    <cellStyle name="Normal 2 15 44" xfId="13115"/>
    <cellStyle name="Normal 2 15 45" xfId="13116"/>
    <cellStyle name="Normal 2 15 46" xfId="13117"/>
    <cellStyle name="Normal 2 15 47" xfId="13118"/>
    <cellStyle name="Normal 2 15 48" xfId="13119"/>
    <cellStyle name="Normal 2 15 49" xfId="13120"/>
    <cellStyle name="Normal 2 15 5" xfId="13121"/>
    <cellStyle name="Normal 2 15 50" xfId="13122"/>
    <cellStyle name="Normal 2 15 51" xfId="13123"/>
    <cellStyle name="Normal 2 15 52" xfId="13124"/>
    <cellStyle name="Normal 2 15 53" xfId="13125"/>
    <cellStyle name="Normal 2 15 54" xfId="13126"/>
    <cellStyle name="Normal 2 15 55" xfId="13127"/>
    <cellStyle name="Normal 2 15 56" xfId="13128"/>
    <cellStyle name="Normal 2 15 57" xfId="13129"/>
    <cellStyle name="Normal 2 15 58" xfId="13130"/>
    <cellStyle name="Normal 2 15 59" xfId="13131"/>
    <cellStyle name="Normal 2 15 6" xfId="13132"/>
    <cellStyle name="Normal 2 15 60" xfId="13133"/>
    <cellStyle name="Normal 2 15 61" xfId="13134"/>
    <cellStyle name="Normal 2 15 62" xfId="13135"/>
    <cellStyle name="Normal 2 15 63" xfId="13136"/>
    <cellStyle name="Normal 2 15 64" xfId="13137"/>
    <cellStyle name="Normal 2 15 65" xfId="13138"/>
    <cellStyle name="Normal 2 15 66" xfId="13139"/>
    <cellStyle name="Normal 2 15 67" xfId="13140"/>
    <cellStyle name="Normal 2 15 68" xfId="13141"/>
    <cellStyle name="Normal 2 15 69" xfId="13142"/>
    <cellStyle name="Normal 2 15 7" xfId="13143"/>
    <cellStyle name="Normal 2 15 70" xfId="13144"/>
    <cellStyle name="Normal 2 15 71" xfId="13145"/>
    <cellStyle name="Normal 2 15 72" xfId="13146"/>
    <cellStyle name="Normal 2 15 73" xfId="13147"/>
    <cellStyle name="Normal 2 15 74" xfId="13148"/>
    <cellStyle name="Normal 2 15 75" xfId="13149"/>
    <cellStyle name="Normal 2 15 76" xfId="13150"/>
    <cellStyle name="Normal 2 15 77" xfId="13151"/>
    <cellStyle name="Normal 2 15 78" xfId="13152"/>
    <cellStyle name="Normal 2 15 79" xfId="13153"/>
    <cellStyle name="Normal 2 15 8" xfId="13154"/>
    <cellStyle name="Normal 2 15 80" xfId="13155"/>
    <cellStyle name="Normal 2 15 81" xfId="13156"/>
    <cellStyle name="Normal 2 15 82" xfId="13157"/>
    <cellStyle name="Normal 2 15 83" xfId="13158"/>
    <cellStyle name="Normal 2 15 9" xfId="13159"/>
    <cellStyle name="Normal 2 16" xfId="13160"/>
    <cellStyle name="Normal 2 16 10" xfId="13161"/>
    <cellStyle name="Normal 2 16 11" xfId="13162"/>
    <cellStyle name="Normal 2 16 12" xfId="13163"/>
    <cellStyle name="Normal 2 16 13" xfId="13164"/>
    <cellStyle name="Normal 2 16 14" xfId="13165"/>
    <cellStyle name="Normal 2 16 15" xfId="13166"/>
    <cellStyle name="Normal 2 16 16" xfId="13167"/>
    <cellStyle name="Normal 2 16 17" xfId="13168"/>
    <cellStyle name="Normal 2 16 18" xfId="13169"/>
    <cellStyle name="Normal 2 16 19" xfId="13170"/>
    <cellStyle name="Normal 2 16 2" xfId="13171"/>
    <cellStyle name="Normal 2 16 20" xfId="13172"/>
    <cellStyle name="Normal 2 16 21" xfId="13173"/>
    <cellStyle name="Normal 2 16 22" xfId="13174"/>
    <cellStyle name="Normal 2 16 23" xfId="13175"/>
    <cellStyle name="Normal 2 16 24" xfId="13176"/>
    <cellStyle name="Normal 2 16 25" xfId="13177"/>
    <cellStyle name="Normal 2 16 26" xfId="13178"/>
    <cellStyle name="Normal 2 16 27" xfId="13179"/>
    <cellStyle name="Normal 2 16 28" xfId="13180"/>
    <cellStyle name="Normal 2 16 29" xfId="13181"/>
    <cellStyle name="Normal 2 16 3" xfId="13182"/>
    <cellStyle name="Normal 2 16 30" xfId="13183"/>
    <cellStyle name="Normal 2 16 31" xfId="13184"/>
    <cellStyle name="Normal 2 16 32" xfId="13185"/>
    <cellStyle name="Normal 2 16 33" xfId="13186"/>
    <cellStyle name="Normal 2 16 34" xfId="13187"/>
    <cellStyle name="Normal 2 16 35" xfId="13188"/>
    <cellStyle name="Normal 2 16 36" xfId="13189"/>
    <cellStyle name="Normal 2 16 37" xfId="13190"/>
    <cellStyle name="Normal 2 16 38" xfId="13191"/>
    <cellStyle name="Normal 2 16 39" xfId="13192"/>
    <cellStyle name="Normal 2 16 4" xfId="13193"/>
    <cellStyle name="Normal 2 16 40" xfId="13194"/>
    <cellStyle name="Normal 2 16 41" xfId="13195"/>
    <cellStyle name="Normal 2 16 42" xfId="13196"/>
    <cellStyle name="Normal 2 16 43" xfId="13197"/>
    <cellStyle name="Normal 2 16 44" xfId="13198"/>
    <cellStyle name="Normal 2 16 45" xfId="13199"/>
    <cellStyle name="Normal 2 16 46" xfId="13200"/>
    <cellStyle name="Normal 2 16 47" xfId="13201"/>
    <cellStyle name="Normal 2 16 48" xfId="13202"/>
    <cellStyle name="Normal 2 16 49" xfId="13203"/>
    <cellStyle name="Normal 2 16 5" xfId="13204"/>
    <cellStyle name="Normal 2 16 50" xfId="13205"/>
    <cellStyle name="Normal 2 16 51" xfId="13206"/>
    <cellStyle name="Normal 2 16 52" xfId="13207"/>
    <cellStyle name="Normal 2 16 53" xfId="13208"/>
    <cellStyle name="Normal 2 16 54" xfId="13209"/>
    <cellStyle name="Normal 2 16 55" xfId="13210"/>
    <cellStyle name="Normal 2 16 56" xfId="13211"/>
    <cellStyle name="Normal 2 16 57" xfId="13212"/>
    <cellStyle name="Normal 2 16 58" xfId="13213"/>
    <cellStyle name="Normal 2 16 59" xfId="13214"/>
    <cellStyle name="Normal 2 16 6" xfId="13215"/>
    <cellStyle name="Normal 2 16 60" xfId="13216"/>
    <cellStyle name="Normal 2 16 61" xfId="13217"/>
    <cellStyle name="Normal 2 16 62" xfId="13218"/>
    <cellStyle name="Normal 2 16 63" xfId="13219"/>
    <cellStyle name="Normal 2 16 64" xfId="13220"/>
    <cellStyle name="Normal 2 16 65" xfId="13221"/>
    <cellStyle name="Normal 2 16 66" xfId="13222"/>
    <cellStyle name="Normal 2 16 67" xfId="13223"/>
    <cellStyle name="Normal 2 16 68" xfId="13224"/>
    <cellStyle name="Normal 2 16 69" xfId="13225"/>
    <cellStyle name="Normal 2 16 7" xfId="13226"/>
    <cellStyle name="Normal 2 16 70" xfId="13227"/>
    <cellStyle name="Normal 2 16 71" xfId="13228"/>
    <cellStyle name="Normal 2 16 72" xfId="13229"/>
    <cellStyle name="Normal 2 16 73" xfId="13230"/>
    <cellStyle name="Normal 2 16 74" xfId="13231"/>
    <cellStyle name="Normal 2 16 75" xfId="13232"/>
    <cellStyle name="Normal 2 16 76" xfId="13233"/>
    <cellStyle name="Normal 2 16 77" xfId="13234"/>
    <cellStyle name="Normal 2 16 78" xfId="13235"/>
    <cellStyle name="Normal 2 16 79" xfId="13236"/>
    <cellStyle name="Normal 2 16 8" xfId="13237"/>
    <cellStyle name="Normal 2 16 80" xfId="13238"/>
    <cellStyle name="Normal 2 16 81" xfId="13239"/>
    <cellStyle name="Normal 2 16 82" xfId="13240"/>
    <cellStyle name="Normal 2 16 83" xfId="13241"/>
    <cellStyle name="Normal 2 16 9" xfId="13242"/>
    <cellStyle name="Normal 2 17" xfId="13243"/>
    <cellStyle name="Normal 2 17 10" xfId="13244"/>
    <cellStyle name="Normal 2 17 11" xfId="13245"/>
    <cellStyle name="Normal 2 17 12" xfId="13246"/>
    <cellStyle name="Normal 2 17 13" xfId="13247"/>
    <cellStyle name="Normal 2 17 14" xfId="13248"/>
    <cellStyle name="Normal 2 17 15" xfId="13249"/>
    <cellStyle name="Normal 2 17 16" xfId="13250"/>
    <cellStyle name="Normal 2 17 17" xfId="13251"/>
    <cellStyle name="Normal 2 17 18" xfId="13252"/>
    <cellStyle name="Normal 2 17 19" xfId="13253"/>
    <cellStyle name="Normal 2 17 2" xfId="13254"/>
    <cellStyle name="Normal 2 17 20" xfId="13255"/>
    <cellStyle name="Normal 2 17 21" xfId="13256"/>
    <cellStyle name="Normal 2 17 22" xfId="13257"/>
    <cellStyle name="Normal 2 17 23" xfId="13258"/>
    <cellStyle name="Normal 2 17 24" xfId="13259"/>
    <cellStyle name="Normal 2 17 25" xfId="13260"/>
    <cellStyle name="Normal 2 17 26" xfId="13261"/>
    <cellStyle name="Normal 2 17 27" xfId="13262"/>
    <cellStyle name="Normal 2 17 28" xfId="13263"/>
    <cellStyle name="Normal 2 17 29" xfId="13264"/>
    <cellStyle name="Normal 2 17 3" xfId="13265"/>
    <cellStyle name="Normal 2 17 30" xfId="13266"/>
    <cellStyle name="Normal 2 17 31" xfId="13267"/>
    <cellStyle name="Normal 2 17 32" xfId="13268"/>
    <cellStyle name="Normal 2 17 33" xfId="13269"/>
    <cellStyle name="Normal 2 17 34" xfId="13270"/>
    <cellStyle name="Normal 2 17 35" xfId="13271"/>
    <cellStyle name="Normal 2 17 36" xfId="13272"/>
    <cellStyle name="Normal 2 17 37" xfId="13273"/>
    <cellStyle name="Normal 2 17 38" xfId="13274"/>
    <cellStyle name="Normal 2 17 39" xfId="13275"/>
    <cellStyle name="Normal 2 17 4" xfId="13276"/>
    <cellStyle name="Normal 2 17 40" xfId="13277"/>
    <cellStyle name="Normal 2 17 41" xfId="13278"/>
    <cellStyle name="Normal 2 17 42" xfId="13279"/>
    <cellStyle name="Normal 2 17 43" xfId="13280"/>
    <cellStyle name="Normal 2 17 44" xfId="13281"/>
    <cellStyle name="Normal 2 17 45" xfId="13282"/>
    <cellStyle name="Normal 2 17 46" xfId="13283"/>
    <cellStyle name="Normal 2 17 47" xfId="13284"/>
    <cellStyle name="Normal 2 17 48" xfId="13285"/>
    <cellStyle name="Normal 2 17 49" xfId="13286"/>
    <cellStyle name="Normal 2 17 5" xfId="13287"/>
    <cellStyle name="Normal 2 17 50" xfId="13288"/>
    <cellStyle name="Normal 2 17 51" xfId="13289"/>
    <cellStyle name="Normal 2 17 52" xfId="13290"/>
    <cellStyle name="Normal 2 17 53" xfId="13291"/>
    <cellStyle name="Normal 2 17 54" xfId="13292"/>
    <cellStyle name="Normal 2 17 55" xfId="13293"/>
    <cellStyle name="Normal 2 17 56" xfId="13294"/>
    <cellStyle name="Normal 2 17 57" xfId="13295"/>
    <cellStyle name="Normal 2 17 58" xfId="13296"/>
    <cellStyle name="Normal 2 17 59" xfId="13297"/>
    <cellStyle name="Normal 2 17 6" xfId="13298"/>
    <cellStyle name="Normal 2 17 60" xfId="13299"/>
    <cellStyle name="Normal 2 17 61" xfId="13300"/>
    <cellStyle name="Normal 2 17 62" xfId="13301"/>
    <cellStyle name="Normal 2 17 63" xfId="13302"/>
    <cellStyle name="Normal 2 17 64" xfId="13303"/>
    <cellStyle name="Normal 2 17 65" xfId="13304"/>
    <cellStyle name="Normal 2 17 66" xfId="13305"/>
    <cellStyle name="Normal 2 17 67" xfId="13306"/>
    <cellStyle name="Normal 2 17 68" xfId="13307"/>
    <cellStyle name="Normal 2 17 69" xfId="13308"/>
    <cellStyle name="Normal 2 17 7" xfId="13309"/>
    <cellStyle name="Normal 2 17 70" xfId="13310"/>
    <cellStyle name="Normal 2 17 71" xfId="13311"/>
    <cellStyle name="Normal 2 17 72" xfId="13312"/>
    <cellStyle name="Normal 2 17 73" xfId="13313"/>
    <cellStyle name="Normal 2 17 74" xfId="13314"/>
    <cellStyle name="Normal 2 17 75" xfId="13315"/>
    <cellStyle name="Normal 2 17 76" xfId="13316"/>
    <cellStyle name="Normal 2 17 77" xfId="13317"/>
    <cellStyle name="Normal 2 17 78" xfId="13318"/>
    <cellStyle name="Normal 2 17 79" xfId="13319"/>
    <cellStyle name="Normal 2 17 8" xfId="13320"/>
    <cellStyle name="Normal 2 17 80" xfId="13321"/>
    <cellStyle name="Normal 2 17 81" xfId="13322"/>
    <cellStyle name="Normal 2 17 82" xfId="13323"/>
    <cellStyle name="Normal 2 17 83" xfId="13324"/>
    <cellStyle name="Normal 2 17 9" xfId="13325"/>
    <cellStyle name="Normal 2 18" xfId="5"/>
    <cellStyle name="Normal 2 18 10" xfId="13326"/>
    <cellStyle name="Normal 2 18 11" xfId="13327"/>
    <cellStyle name="Normal 2 18 12" xfId="13328"/>
    <cellStyle name="Normal 2 18 13" xfId="13329"/>
    <cellStyle name="Normal 2 18 14" xfId="13330"/>
    <cellStyle name="Normal 2 18 15" xfId="13331"/>
    <cellStyle name="Normal 2 18 16" xfId="13332"/>
    <cellStyle name="Normal 2 18 17" xfId="13333"/>
    <cellStyle name="Normal 2 18 18" xfId="13334"/>
    <cellStyle name="Normal 2 18 19" xfId="13335"/>
    <cellStyle name="Normal 2 18 2" xfId="13336"/>
    <cellStyle name="Normal 2 18 20" xfId="13337"/>
    <cellStyle name="Normal 2 18 21" xfId="13338"/>
    <cellStyle name="Normal 2 18 22" xfId="13339"/>
    <cellStyle name="Normal 2 18 23" xfId="13340"/>
    <cellStyle name="Normal 2 18 24" xfId="13341"/>
    <cellStyle name="Normal 2 18 25" xfId="13342"/>
    <cellStyle name="Normal 2 18 26" xfId="13343"/>
    <cellStyle name="Normal 2 18 27" xfId="13344"/>
    <cellStyle name="Normal 2 18 28" xfId="13345"/>
    <cellStyle name="Normal 2 18 29" xfId="13346"/>
    <cellStyle name="Normal 2 18 3" xfId="13347"/>
    <cellStyle name="Normal 2 18 30" xfId="13348"/>
    <cellStyle name="Normal 2 18 31" xfId="13349"/>
    <cellStyle name="Normal 2 18 32" xfId="13350"/>
    <cellStyle name="Normal 2 18 33" xfId="13351"/>
    <cellStyle name="Normal 2 18 34" xfId="13352"/>
    <cellStyle name="Normal 2 18 35" xfId="13353"/>
    <cellStyle name="Normal 2 18 36" xfId="13354"/>
    <cellStyle name="Normal 2 18 37" xfId="13355"/>
    <cellStyle name="Normal 2 18 38" xfId="13356"/>
    <cellStyle name="Normal 2 18 39" xfId="13357"/>
    <cellStyle name="Normal 2 18 4" xfId="13358"/>
    <cellStyle name="Normal 2 18 40" xfId="13359"/>
    <cellStyle name="Normal 2 18 41" xfId="13360"/>
    <cellStyle name="Normal 2 18 42" xfId="13361"/>
    <cellStyle name="Normal 2 18 43" xfId="13362"/>
    <cellStyle name="Normal 2 18 44" xfId="13363"/>
    <cellStyle name="Normal 2 18 45" xfId="13364"/>
    <cellStyle name="Normal 2 18 46" xfId="13365"/>
    <cellStyle name="Normal 2 18 47" xfId="13366"/>
    <cellStyle name="Normal 2 18 48" xfId="13367"/>
    <cellStyle name="Normal 2 18 49" xfId="13368"/>
    <cellStyle name="Normal 2 18 5" xfId="13369"/>
    <cellStyle name="Normal 2 18 50" xfId="13370"/>
    <cellStyle name="Normal 2 18 51" xfId="13371"/>
    <cellStyle name="Normal 2 18 52" xfId="13372"/>
    <cellStyle name="Normal 2 18 53" xfId="13373"/>
    <cellStyle name="Normal 2 18 54" xfId="13374"/>
    <cellStyle name="Normal 2 18 55" xfId="13375"/>
    <cellStyle name="Normal 2 18 56" xfId="13376"/>
    <cellStyle name="Normal 2 18 57" xfId="13377"/>
    <cellStyle name="Normal 2 18 58" xfId="13378"/>
    <cellStyle name="Normal 2 18 59" xfId="13379"/>
    <cellStyle name="Normal 2 18 6" xfId="13380"/>
    <cellStyle name="Normal 2 18 60" xfId="13381"/>
    <cellStyle name="Normal 2 18 61" xfId="13382"/>
    <cellStyle name="Normal 2 18 62" xfId="13383"/>
    <cellStyle name="Normal 2 18 63" xfId="13384"/>
    <cellStyle name="Normal 2 18 64" xfId="13385"/>
    <cellStyle name="Normal 2 18 65" xfId="13386"/>
    <cellStyle name="Normal 2 18 66" xfId="13387"/>
    <cellStyle name="Normal 2 18 67" xfId="13388"/>
    <cellStyle name="Normal 2 18 68" xfId="13389"/>
    <cellStyle name="Normal 2 18 69" xfId="13390"/>
    <cellStyle name="Normal 2 18 7" xfId="13391"/>
    <cellStyle name="Normal 2 18 70" xfId="13392"/>
    <cellStyle name="Normal 2 18 71" xfId="13393"/>
    <cellStyle name="Normal 2 18 72" xfId="13394"/>
    <cellStyle name="Normal 2 18 73" xfId="13395"/>
    <cellStyle name="Normal 2 18 74" xfId="13396"/>
    <cellStyle name="Normal 2 18 75" xfId="13397"/>
    <cellStyle name="Normal 2 18 76" xfId="13398"/>
    <cellStyle name="Normal 2 18 77" xfId="13399"/>
    <cellStyle name="Normal 2 18 78" xfId="13400"/>
    <cellStyle name="Normal 2 18 79" xfId="13401"/>
    <cellStyle name="Normal 2 18 8" xfId="13402"/>
    <cellStyle name="Normal 2 18 80" xfId="13403"/>
    <cellStyle name="Normal 2 18 81" xfId="13404"/>
    <cellStyle name="Normal 2 18 82" xfId="13405"/>
    <cellStyle name="Normal 2 18 83" xfId="13406"/>
    <cellStyle name="Normal 2 18 9" xfId="13407"/>
    <cellStyle name="Normal 2 19" xfId="13408"/>
    <cellStyle name="Normal 2 19 10" xfId="13409"/>
    <cellStyle name="Normal 2 19 11" xfId="13410"/>
    <cellStyle name="Normal 2 19 12" xfId="13411"/>
    <cellStyle name="Normal 2 19 13" xfId="13412"/>
    <cellStyle name="Normal 2 19 2" xfId="13413"/>
    <cellStyle name="Normal 2 19 3" xfId="13414"/>
    <cellStyle name="Normal 2 19 4" xfId="13415"/>
    <cellStyle name="Normal 2 19 5" xfId="13416"/>
    <cellStyle name="Normal 2 19 6" xfId="13417"/>
    <cellStyle name="Normal 2 19 7" xfId="13418"/>
    <cellStyle name="Normal 2 19 8" xfId="13419"/>
    <cellStyle name="Normal 2 19 9" xfId="13420"/>
    <cellStyle name="Normal 2 2" xfId="13421"/>
    <cellStyle name="Normal 2 2 10" xfId="13422"/>
    <cellStyle name="Normal 2 2 11" xfId="13423"/>
    <cellStyle name="Normal 2 2 12" xfId="13424"/>
    <cellStyle name="Normal 2 2 13" xfId="13425"/>
    <cellStyle name="Normal 2 2 14" xfId="13426"/>
    <cellStyle name="Normal 2 2 15" xfId="13427"/>
    <cellStyle name="Normal 2 2 16" xfId="13428"/>
    <cellStyle name="Normal 2 2 17" xfId="13429"/>
    <cellStyle name="Normal 2 2 18" xfId="13430"/>
    <cellStyle name="Normal 2 2 19" xfId="13431"/>
    <cellStyle name="Normal 2 2 2" xfId="13432"/>
    <cellStyle name="Normal 2 2 2 10" xfId="13433"/>
    <cellStyle name="Normal 2 2 2 11" xfId="13434"/>
    <cellStyle name="Normal 2 2 2 12" xfId="13435"/>
    <cellStyle name="Normal 2 2 2 13" xfId="13436"/>
    <cellStyle name="Normal 2 2 2 14" xfId="13437"/>
    <cellStyle name="Normal 2 2 2 15" xfId="13438"/>
    <cellStyle name="Normal 2 2 2 16" xfId="13439"/>
    <cellStyle name="Normal 2 2 2 17" xfId="13440"/>
    <cellStyle name="Normal 2 2 2 18" xfId="13441"/>
    <cellStyle name="Normal 2 2 2 19" xfId="13442"/>
    <cellStyle name="Normal 2 2 2 2" xfId="13443"/>
    <cellStyle name="Normal 2 2 2 2 10" xfId="13444"/>
    <cellStyle name="Normal 2 2 2 2 11" xfId="13445"/>
    <cellStyle name="Normal 2 2 2 2 12" xfId="13446"/>
    <cellStyle name="Normal 2 2 2 2 13" xfId="13447"/>
    <cellStyle name="Normal 2 2 2 2 14" xfId="13448"/>
    <cellStyle name="Normal 2 2 2 2 15" xfId="13449"/>
    <cellStyle name="Normal 2 2 2 2 16" xfId="13450"/>
    <cellStyle name="Normal 2 2 2 2 17" xfId="13451"/>
    <cellStyle name="Normal 2 2 2 2 18" xfId="13452"/>
    <cellStyle name="Normal 2 2 2 2 19" xfId="13453"/>
    <cellStyle name="Normal 2 2 2 2 2" xfId="13454"/>
    <cellStyle name="Normal 2 2 2 2 20" xfId="13455"/>
    <cellStyle name="Normal 2 2 2 2 21" xfId="13456"/>
    <cellStyle name="Normal 2 2 2 2 22" xfId="13457"/>
    <cellStyle name="Normal 2 2 2 2 23" xfId="13458"/>
    <cellStyle name="Normal 2 2 2 2 24" xfId="13459"/>
    <cellStyle name="Normal 2 2 2 2 25" xfId="13460"/>
    <cellStyle name="Normal 2 2 2 2 26" xfId="13461"/>
    <cellStyle name="Normal 2 2 2 2 27" xfId="13462"/>
    <cellStyle name="Normal 2 2 2 2 28" xfId="13463"/>
    <cellStyle name="Normal 2 2 2 2 29" xfId="13464"/>
    <cellStyle name="Normal 2 2 2 2 3" xfId="13465"/>
    <cellStyle name="Normal 2 2 2 2 30" xfId="13466"/>
    <cellStyle name="Normal 2 2 2 2 31" xfId="13467"/>
    <cellStyle name="Normal 2 2 2 2 32" xfId="13468"/>
    <cellStyle name="Normal 2 2 2 2 33" xfId="13469"/>
    <cellStyle name="Normal 2 2 2 2 34" xfId="13470"/>
    <cellStyle name="Normal 2 2 2 2 35" xfId="13471"/>
    <cellStyle name="Normal 2 2 2 2 36" xfId="13472"/>
    <cellStyle name="Normal 2 2 2 2 37" xfId="13473"/>
    <cellStyle name="Normal 2 2 2 2 38" xfId="13474"/>
    <cellStyle name="Normal 2 2 2 2 39" xfId="13475"/>
    <cellStyle name="Normal 2 2 2 2 4" xfId="13476"/>
    <cellStyle name="Normal 2 2 2 2 40" xfId="13477"/>
    <cellStyle name="Normal 2 2 2 2 41" xfId="13478"/>
    <cellStyle name="Normal 2 2 2 2 42" xfId="13479"/>
    <cellStyle name="Normal 2 2 2 2 43" xfId="13480"/>
    <cellStyle name="Normal 2 2 2 2 44" xfId="13481"/>
    <cellStyle name="Normal 2 2 2 2 45" xfId="13482"/>
    <cellStyle name="Normal 2 2 2 2 46" xfId="13483"/>
    <cellStyle name="Normal 2 2 2 2 47" xfId="13484"/>
    <cellStyle name="Normal 2 2 2 2 48" xfId="13485"/>
    <cellStyle name="Normal 2 2 2 2 49" xfId="13486"/>
    <cellStyle name="Normal 2 2 2 2 5" xfId="13487"/>
    <cellStyle name="Normal 2 2 2 2 50" xfId="13488"/>
    <cellStyle name="Normal 2 2 2 2 51" xfId="13489"/>
    <cellStyle name="Normal 2 2 2 2 52" xfId="13490"/>
    <cellStyle name="Normal 2 2 2 2 53" xfId="13491"/>
    <cellStyle name="Normal 2 2 2 2 54" xfId="13492"/>
    <cellStyle name="Normal 2 2 2 2 55" xfId="13493"/>
    <cellStyle name="Normal 2 2 2 2 56" xfId="13494"/>
    <cellStyle name="Normal 2 2 2 2 57" xfId="13495"/>
    <cellStyle name="Normal 2 2 2 2 58" xfId="13496"/>
    <cellStyle name="Normal 2 2 2 2 59" xfId="13497"/>
    <cellStyle name="Normal 2 2 2 2 6" xfId="13498"/>
    <cellStyle name="Normal 2 2 2 2 60" xfId="13499"/>
    <cellStyle name="Normal 2 2 2 2 61" xfId="13500"/>
    <cellStyle name="Normal 2 2 2 2 62" xfId="13501"/>
    <cellStyle name="Normal 2 2 2 2 63" xfId="13502"/>
    <cellStyle name="Normal 2 2 2 2 64" xfId="13503"/>
    <cellStyle name="Normal 2 2 2 2 65" xfId="13504"/>
    <cellStyle name="Normal 2 2 2 2 66" xfId="13505"/>
    <cellStyle name="Normal 2 2 2 2 67" xfId="13506"/>
    <cellStyle name="Normal 2 2 2 2 68" xfId="13507"/>
    <cellStyle name="Normal 2 2 2 2 69" xfId="13508"/>
    <cellStyle name="Normal 2 2 2 2 7" xfId="13509"/>
    <cellStyle name="Normal 2 2 2 2 70" xfId="13510"/>
    <cellStyle name="Normal 2 2 2 2 71" xfId="13511"/>
    <cellStyle name="Normal 2 2 2 2 72" xfId="13512"/>
    <cellStyle name="Normal 2 2 2 2 73" xfId="13513"/>
    <cellStyle name="Normal 2 2 2 2 74" xfId="13514"/>
    <cellStyle name="Normal 2 2 2 2 75" xfId="13515"/>
    <cellStyle name="Normal 2 2 2 2 76" xfId="13516"/>
    <cellStyle name="Normal 2 2 2 2 77" xfId="13517"/>
    <cellStyle name="Normal 2 2 2 2 78" xfId="13518"/>
    <cellStyle name="Normal 2 2 2 2 79" xfId="13519"/>
    <cellStyle name="Normal 2 2 2 2 8" xfId="13520"/>
    <cellStyle name="Normal 2 2 2 2 80" xfId="13521"/>
    <cellStyle name="Normal 2 2 2 2 81" xfId="13522"/>
    <cellStyle name="Normal 2 2 2 2 82" xfId="13523"/>
    <cellStyle name="Normal 2 2 2 2 83" xfId="13524"/>
    <cellStyle name="Normal 2 2 2 2 9" xfId="13525"/>
    <cellStyle name="Normal 2 2 2 20" xfId="13526"/>
    <cellStyle name="Normal 2 2 2 21" xfId="13527"/>
    <cellStyle name="Normal 2 2 2 22" xfId="13528"/>
    <cellStyle name="Normal 2 2 2 23" xfId="13529"/>
    <cellStyle name="Normal 2 2 2 24" xfId="13530"/>
    <cellStyle name="Normal 2 2 2 25" xfId="13531"/>
    <cellStyle name="Normal 2 2 2 26" xfId="13532"/>
    <cellStyle name="Normal 2 2 2 27" xfId="13533"/>
    <cellStyle name="Normal 2 2 2 28" xfId="13534"/>
    <cellStyle name="Normal 2 2 2 29" xfId="13535"/>
    <cellStyle name="Normal 2 2 2 3" xfId="13536"/>
    <cellStyle name="Normal 2 2 2 30" xfId="13537"/>
    <cellStyle name="Normal 2 2 2 31" xfId="13538"/>
    <cellStyle name="Normal 2 2 2 32" xfId="13539"/>
    <cellStyle name="Normal 2 2 2 33" xfId="13540"/>
    <cellStyle name="Normal 2 2 2 34" xfId="13541"/>
    <cellStyle name="Normal 2 2 2 35" xfId="13542"/>
    <cellStyle name="Normal 2 2 2 36" xfId="13543"/>
    <cellStyle name="Normal 2 2 2 37" xfId="13544"/>
    <cellStyle name="Normal 2 2 2 38" xfId="13545"/>
    <cellStyle name="Normal 2 2 2 39" xfId="13546"/>
    <cellStyle name="Normal 2 2 2 4" xfId="13547"/>
    <cellStyle name="Normal 2 2 2 40" xfId="13548"/>
    <cellStyle name="Normal 2 2 2 41" xfId="13549"/>
    <cellStyle name="Normal 2 2 2 42" xfId="13550"/>
    <cellStyle name="Normal 2 2 2 43" xfId="13551"/>
    <cellStyle name="Normal 2 2 2 44" xfId="13552"/>
    <cellStyle name="Normal 2 2 2 45" xfId="13553"/>
    <cellStyle name="Normal 2 2 2 46" xfId="13554"/>
    <cellStyle name="Normal 2 2 2 47" xfId="13555"/>
    <cellStyle name="Normal 2 2 2 48" xfId="13556"/>
    <cellStyle name="Normal 2 2 2 49" xfId="13557"/>
    <cellStyle name="Normal 2 2 2 5" xfId="13558"/>
    <cellStyle name="Normal 2 2 2 50" xfId="13559"/>
    <cellStyle name="Normal 2 2 2 51" xfId="13560"/>
    <cellStyle name="Normal 2 2 2 52" xfId="13561"/>
    <cellStyle name="Normal 2 2 2 53" xfId="13562"/>
    <cellStyle name="Normal 2 2 2 54" xfId="13563"/>
    <cellStyle name="Normal 2 2 2 55" xfId="13564"/>
    <cellStyle name="Normal 2 2 2 56" xfId="13565"/>
    <cellStyle name="Normal 2 2 2 57" xfId="13566"/>
    <cellStyle name="Normal 2 2 2 58" xfId="13567"/>
    <cellStyle name="Normal 2 2 2 59" xfId="13568"/>
    <cellStyle name="Normal 2 2 2 6" xfId="13569"/>
    <cellStyle name="Normal 2 2 2 60" xfId="13570"/>
    <cellStyle name="Normal 2 2 2 61" xfId="13571"/>
    <cellStyle name="Normal 2 2 2 62" xfId="13572"/>
    <cellStyle name="Normal 2 2 2 63" xfId="13573"/>
    <cellStyle name="Normal 2 2 2 64" xfId="13574"/>
    <cellStyle name="Normal 2 2 2 65" xfId="13575"/>
    <cellStyle name="Normal 2 2 2 66" xfId="13576"/>
    <cellStyle name="Normal 2 2 2 67" xfId="13577"/>
    <cellStyle name="Normal 2 2 2 68" xfId="13578"/>
    <cellStyle name="Normal 2 2 2 69" xfId="13579"/>
    <cellStyle name="Normal 2 2 2 7" xfId="13580"/>
    <cellStyle name="Normal 2 2 2 70" xfId="13581"/>
    <cellStyle name="Normal 2 2 2 71" xfId="13582"/>
    <cellStyle name="Normal 2 2 2 72" xfId="13583"/>
    <cellStyle name="Normal 2 2 2 73" xfId="13584"/>
    <cellStyle name="Normal 2 2 2 74" xfId="13585"/>
    <cellStyle name="Normal 2 2 2 75" xfId="13586"/>
    <cellStyle name="Normal 2 2 2 76" xfId="13587"/>
    <cellStyle name="Normal 2 2 2 77" xfId="13588"/>
    <cellStyle name="Normal 2 2 2 78" xfId="13589"/>
    <cellStyle name="Normal 2 2 2 79" xfId="13590"/>
    <cellStyle name="Normal 2 2 2 8" xfId="13591"/>
    <cellStyle name="Normal 2 2 2 80" xfId="13592"/>
    <cellStyle name="Normal 2 2 2 81" xfId="13593"/>
    <cellStyle name="Normal 2 2 2 82" xfId="13594"/>
    <cellStyle name="Normal 2 2 2 83" xfId="13595"/>
    <cellStyle name="Normal 2 2 2 84" xfId="13596"/>
    <cellStyle name="Normal 2 2 2 9" xfId="13597"/>
    <cellStyle name="Normal 2 2 2_Cultura y Tiempo libre 2011 base 2012 PGM - EMV  2013" xfId="13598"/>
    <cellStyle name="Normal 2 2 20" xfId="13599"/>
    <cellStyle name="Normal 2 2 21" xfId="13600"/>
    <cellStyle name="Normal 2 2 22" xfId="13601"/>
    <cellStyle name="Normal 2 2 23" xfId="13602"/>
    <cellStyle name="Normal 2 2 24" xfId="13603"/>
    <cellStyle name="Normal 2 2 25" xfId="13604"/>
    <cellStyle name="Normal 2 2 26" xfId="13605"/>
    <cellStyle name="Normal 2 2 27" xfId="13606"/>
    <cellStyle name="Normal 2 2 28" xfId="13607"/>
    <cellStyle name="Normal 2 2 29" xfId="13608"/>
    <cellStyle name="Normal 2 2 3" xfId="13609"/>
    <cellStyle name="Normal 2 2 3 10" xfId="13610"/>
    <cellStyle name="Normal 2 2 3 11" xfId="13611"/>
    <cellStyle name="Normal 2 2 3 12" xfId="13612"/>
    <cellStyle name="Normal 2 2 3 13" xfId="13613"/>
    <cellStyle name="Normal 2 2 3 14" xfId="13614"/>
    <cellStyle name="Normal 2 2 3 15" xfId="13615"/>
    <cellStyle name="Normal 2 2 3 16" xfId="13616"/>
    <cellStyle name="Normal 2 2 3 17" xfId="13617"/>
    <cellStyle name="Normal 2 2 3 18" xfId="13618"/>
    <cellStyle name="Normal 2 2 3 19" xfId="13619"/>
    <cellStyle name="Normal 2 2 3 2" xfId="13620"/>
    <cellStyle name="Normal 2 2 3 2 10" xfId="13621"/>
    <cellStyle name="Normal 2 2 3 2 11" xfId="13622"/>
    <cellStyle name="Normal 2 2 3 2 12" xfId="13623"/>
    <cellStyle name="Normal 2 2 3 2 13" xfId="13624"/>
    <cellStyle name="Normal 2 2 3 2 14" xfId="13625"/>
    <cellStyle name="Normal 2 2 3 2 15" xfId="13626"/>
    <cellStyle name="Normal 2 2 3 2 16" xfId="13627"/>
    <cellStyle name="Normal 2 2 3 2 17" xfId="13628"/>
    <cellStyle name="Normal 2 2 3 2 18" xfId="13629"/>
    <cellStyle name="Normal 2 2 3 2 19" xfId="13630"/>
    <cellStyle name="Normal 2 2 3 2 2" xfId="13631"/>
    <cellStyle name="Normal 2 2 3 2 20" xfId="13632"/>
    <cellStyle name="Normal 2 2 3 2 21" xfId="13633"/>
    <cellStyle name="Normal 2 2 3 2 22" xfId="13634"/>
    <cellStyle name="Normal 2 2 3 2 23" xfId="13635"/>
    <cellStyle name="Normal 2 2 3 2 24" xfId="13636"/>
    <cellStyle name="Normal 2 2 3 2 25" xfId="13637"/>
    <cellStyle name="Normal 2 2 3 2 26" xfId="13638"/>
    <cellStyle name="Normal 2 2 3 2 27" xfId="13639"/>
    <cellStyle name="Normal 2 2 3 2 28" xfId="13640"/>
    <cellStyle name="Normal 2 2 3 2 29" xfId="13641"/>
    <cellStyle name="Normal 2 2 3 2 3" xfId="13642"/>
    <cellStyle name="Normal 2 2 3 2 30" xfId="13643"/>
    <cellStyle name="Normal 2 2 3 2 31" xfId="13644"/>
    <cellStyle name="Normal 2 2 3 2 32" xfId="13645"/>
    <cellStyle name="Normal 2 2 3 2 33" xfId="13646"/>
    <cellStyle name="Normal 2 2 3 2 34" xfId="13647"/>
    <cellStyle name="Normal 2 2 3 2 35" xfId="13648"/>
    <cellStyle name="Normal 2 2 3 2 36" xfId="13649"/>
    <cellStyle name="Normal 2 2 3 2 37" xfId="13650"/>
    <cellStyle name="Normal 2 2 3 2 38" xfId="13651"/>
    <cellStyle name="Normal 2 2 3 2 39" xfId="13652"/>
    <cellStyle name="Normal 2 2 3 2 4" xfId="13653"/>
    <cellStyle name="Normal 2 2 3 2 40" xfId="13654"/>
    <cellStyle name="Normal 2 2 3 2 41" xfId="13655"/>
    <cellStyle name="Normal 2 2 3 2 42" xfId="13656"/>
    <cellStyle name="Normal 2 2 3 2 43" xfId="13657"/>
    <cellStyle name="Normal 2 2 3 2 44" xfId="13658"/>
    <cellStyle name="Normal 2 2 3 2 45" xfId="13659"/>
    <cellStyle name="Normal 2 2 3 2 46" xfId="13660"/>
    <cellStyle name="Normal 2 2 3 2 47" xfId="13661"/>
    <cellStyle name="Normal 2 2 3 2 48" xfId="13662"/>
    <cellStyle name="Normal 2 2 3 2 49" xfId="13663"/>
    <cellStyle name="Normal 2 2 3 2 5" xfId="13664"/>
    <cellStyle name="Normal 2 2 3 2 50" xfId="13665"/>
    <cellStyle name="Normal 2 2 3 2 51" xfId="13666"/>
    <cellStyle name="Normal 2 2 3 2 52" xfId="13667"/>
    <cellStyle name="Normal 2 2 3 2 53" xfId="13668"/>
    <cellStyle name="Normal 2 2 3 2 54" xfId="13669"/>
    <cellStyle name="Normal 2 2 3 2 55" xfId="13670"/>
    <cellStyle name="Normal 2 2 3 2 56" xfId="13671"/>
    <cellStyle name="Normal 2 2 3 2 57" xfId="13672"/>
    <cellStyle name="Normal 2 2 3 2 58" xfId="13673"/>
    <cellStyle name="Normal 2 2 3 2 59" xfId="13674"/>
    <cellStyle name="Normal 2 2 3 2 6" xfId="13675"/>
    <cellStyle name="Normal 2 2 3 2 60" xfId="13676"/>
    <cellStyle name="Normal 2 2 3 2 61" xfId="13677"/>
    <cellStyle name="Normal 2 2 3 2 62" xfId="13678"/>
    <cellStyle name="Normal 2 2 3 2 63" xfId="13679"/>
    <cellStyle name="Normal 2 2 3 2 64" xfId="13680"/>
    <cellStyle name="Normal 2 2 3 2 65" xfId="13681"/>
    <cellStyle name="Normal 2 2 3 2 66" xfId="13682"/>
    <cellStyle name="Normal 2 2 3 2 67" xfId="13683"/>
    <cellStyle name="Normal 2 2 3 2 68" xfId="13684"/>
    <cellStyle name="Normal 2 2 3 2 69" xfId="13685"/>
    <cellStyle name="Normal 2 2 3 2 7" xfId="13686"/>
    <cellStyle name="Normal 2 2 3 2 70" xfId="13687"/>
    <cellStyle name="Normal 2 2 3 2 71" xfId="13688"/>
    <cellStyle name="Normal 2 2 3 2 72" xfId="13689"/>
    <cellStyle name="Normal 2 2 3 2 73" xfId="13690"/>
    <cellStyle name="Normal 2 2 3 2 74" xfId="13691"/>
    <cellStyle name="Normal 2 2 3 2 75" xfId="13692"/>
    <cellStyle name="Normal 2 2 3 2 76" xfId="13693"/>
    <cellStyle name="Normal 2 2 3 2 77" xfId="13694"/>
    <cellStyle name="Normal 2 2 3 2 78" xfId="13695"/>
    <cellStyle name="Normal 2 2 3 2 79" xfId="13696"/>
    <cellStyle name="Normal 2 2 3 2 8" xfId="13697"/>
    <cellStyle name="Normal 2 2 3 2 80" xfId="13698"/>
    <cellStyle name="Normal 2 2 3 2 81" xfId="13699"/>
    <cellStyle name="Normal 2 2 3 2 82" xfId="13700"/>
    <cellStyle name="Normal 2 2 3 2 83" xfId="13701"/>
    <cellStyle name="Normal 2 2 3 2 9" xfId="13702"/>
    <cellStyle name="Normal 2 2 3 20" xfId="13703"/>
    <cellStyle name="Normal 2 2 3 21" xfId="13704"/>
    <cellStyle name="Normal 2 2 3 22" xfId="13705"/>
    <cellStyle name="Normal 2 2 3 23" xfId="13706"/>
    <cellStyle name="Normal 2 2 3 24" xfId="13707"/>
    <cellStyle name="Normal 2 2 3 25" xfId="13708"/>
    <cellStyle name="Normal 2 2 3 26" xfId="13709"/>
    <cellStyle name="Normal 2 2 3 27" xfId="13710"/>
    <cellStyle name="Normal 2 2 3 28" xfId="13711"/>
    <cellStyle name="Normal 2 2 3 29" xfId="13712"/>
    <cellStyle name="Normal 2 2 3 3" xfId="13713"/>
    <cellStyle name="Normal 2 2 3 30" xfId="13714"/>
    <cellStyle name="Normal 2 2 3 31" xfId="13715"/>
    <cellStyle name="Normal 2 2 3 32" xfId="13716"/>
    <cellStyle name="Normal 2 2 3 33" xfId="13717"/>
    <cellStyle name="Normal 2 2 3 34" xfId="13718"/>
    <cellStyle name="Normal 2 2 3 35" xfId="13719"/>
    <cellStyle name="Normal 2 2 3 36" xfId="13720"/>
    <cellStyle name="Normal 2 2 3 37" xfId="13721"/>
    <cellStyle name="Normal 2 2 3 38" xfId="13722"/>
    <cellStyle name="Normal 2 2 3 39" xfId="13723"/>
    <cellStyle name="Normal 2 2 3 4" xfId="13724"/>
    <cellStyle name="Normal 2 2 3 40" xfId="13725"/>
    <cellStyle name="Normal 2 2 3 41" xfId="13726"/>
    <cellStyle name="Normal 2 2 3 42" xfId="13727"/>
    <cellStyle name="Normal 2 2 3 43" xfId="13728"/>
    <cellStyle name="Normal 2 2 3 44" xfId="13729"/>
    <cellStyle name="Normal 2 2 3 45" xfId="13730"/>
    <cellStyle name="Normal 2 2 3 46" xfId="13731"/>
    <cellStyle name="Normal 2 2 3 47" xfId="13732"/>
    <cellStyle name="Normal 2 2 3 48" xfId="13733"/>
    <cellStyle name="Normal 2 2 3 49" xfId="13734"/>
    <cellStyle name="Normal 2 2 3 5" xfId="13735"/>
    <cellStyle name="Normal 2 2 3 50" xfId="13736"/>
    <cellStyle name="Normal 2 2 3 51" xfId="13737"/>
    <cellStyle name="Normal 2 2 3 52" xfId="13738"/>
    <cellStyle name="Normal 2 2 3 53" xfId="13739"/>
    <cellStyle name="Normal 2 2 3 54" xfId="13740"/>
    <cellStyle name="Normal 2 2 3 55" xfId="13741"/>
    <cellStyle name="Normal 2 2 3 56" xfId="13742"/>
    <cellStyle name="Normal 2 2 3 57" xfId="13743"/>
    <cellStyle name="Normal 2 2 3 58" xfId="13744"/>
    <cellStyle name="Normal 2 2 3 59" xfId="13745"/>
    <cellStyle name="Normal 2 2 3 6" xfId="13746"/>
    <cellStyle name="Normal 2 2 3 60" xfId="13747"/>
    <cellStyle name="Normal 2 2 3 61" xfId="13748"/>
    <cellStyle name="Normal 2 2 3 62" xfId="13749"/>
    <cellStyle name="Normal 2 2 3 63" xfId="13750"/>
    <cellStyle name="Normal 2 2 3 64" xfId="13751"/>
    <cellStyle name="Normal 2 2 3 65" xfId="13752"/>
    <cellStyle name="Normal 2 2 3 66" xfId="13753"/>
    <cellStyle name="Normal 2 2 3 67" xfId="13754"/>
    <cellStyle name="Normal 2 2 3 68" xfId="13755"/>
    <cellStyle name="Normal 2 2 3 69" xfId="13756"/>
    <cellStyle name="Normal 2 2 3 7" xfId="13757"/>
    <cellStyle name="Normal 2 2 3 70" xfId="13758"/>
    <cellStyle name="Normal 2 2 3 71" xfId="13759"/>
    <cellStyle name="Normal 2 2 3 72" xfId="13760"/>
    <cellStyle name="Normal 2 2 3 73" xfId="13761"/>
    <cellStyle name="Normal 2 2 3 74" xfId="13762"/>
    <cellStyle name="Normal 2 2 3 75" xfId="13763"/>
    <cellStyle name="Normal 2 2 3 76" xfId="13764"/>
    <cellStyle name="Normal 2 2 3 77" xfId="13765"/>
    <cellStyle name="Normal 2 2 3 78" xfId="13766"/>
    <cellStyle name="Normal 2 2 3 79" xfId="13767"/>
    <cellStyle name="Normal 2 2 3 8" xfId="13768"/>
    <cellStyle name="Normal 2 2 3 80" xfId="13769"/>
    <cellStyle name="Normal 2 2 3 81" xfId="13770"/>
    <cellStyle name="Normal 2 2 3 82" xfId="13771"/>
    <cellStyle name="Normal 2 2 3 83" xfId="13772"/>
    <cellStyle name="Normal 2 2 3 84" xfId="13773"/>
    <cellStyle name="Normal 2 2 3 9" xfId="13774"/>
    <cellStyle name="Normal 2 2 3_Cultura y Tiempo libre 2011 base 2012 PGM - EMV  2013" xfId="13775"/>
    <cellStyle name="Normal 2 2 30" xfId="13776"/>
    <cellStyle name="Normal 2 2 31" xfId="13777"/>
    <cellStyle name="Normal 2 2 32" xfId="13778"/>
    <cellStyle name="Normal 2 2 33" xfId="13779"/>
    <cellStyle name="Normal 2 2 34" xfId="13780"/>
    <cellStyle name="Normal 2 2 35" xfId="13781"/>
    <cellStyle name="Normal 2 2 36" xfId="13782"/>
    <cellStyle name="Normal 2 2 37" xfId="13783"/>
    <cellStyle name="Normal 2 2 38" xfId="13784"/>
    <cellStyle name="Normal 2 2 39" xfId="13785"/>
    <cellStyle name="Normal 2 2 4" xfId="13786"/>
    <cellStyle name="Normal 2 2 4 10" xfId="13787"/>
    <cellStyle name="Normal 2 2 4 11" xfId="13788"/>
    <cellStyle name="Normal 2 2 4 12" xfId="13789"/>
    <cellStyle name="Normal 2 2 4 13" xfId="13790"/>
    <cellStyle name="Normal 2 2 4 14" xfId="13791"/>
    <cellStyle name="Normal 2 2 4 15" xfId="13792"/>
    <cellStyle name="Normal 2 2 4 16" xfId="13793"/>
    <cellStyle name="Normal 2 2 4 17" xfId="13794"/>
    <cellStyle name="Normal 2 2 4 18" xfId="13795"/>
    <cellStyle name="Normal 2 2 4 19" xfId="13796"/>
    <cellStyle name="Normal 2 2 4 2" xfId="13797"/>
    <cellStyle name="Normal 2 2 4 20" xfId="13798"/>
    <cellStyle name="Normal 2 2 4 21" xfId="13799"/>
    <cellStyle name="Normal 2 2 4 22" xfId="13800"/>
    <cellStyle name="Normal 2 2 4 23" xfId="13801"/>
    <cellStyle name="Normal 2 2 4 24" xfId="13802"/>
    <cellStyle name="Normal 2 2 4 25" xfId="13803"/>
    <cellStyle name="Normal 2 2 4 26" xfId="13804"/>
    <cellStyle name="Normal 2 2 4 27" xfId="13805"/>
    <cellStyle name="Normal 2 2 4 28" xfId="13806"/>
    <cellStyle name="Normal 2 2 4 29" xfId="13807"/>
    <cellStyle name="Normal 2 2 4 3" xfId="13808"/>
    <cellStyle name="Normal 2 2 4 30" xfId="13809"/>
    <cellStyle name="Normal 2 2 4 31" xfId="13810"/>
    <cellStyle name="Normal 2 2 4 32" xfId="13811"/>
    <cellStyle name="Normal 2 2 4 33" xfId="13812"/>
    <cellStyle name="Normal 2 2 4 34" xfId="13813"/>
    <cellStyle name="Normal 2 2 4 35" xfId="13814"/>
    <cellStyle name="Normal 2 2 4 36" xfId="13815"/>
    <cellStyle name="Normal 2 2 4 37" xfId="13816"/>
    <cellStyle name="Normal 2 2 4 38" xfId="13817"/>
    <cellStyle name="Normal 2 2 4 39" xfId="13818"/>
    <cellStyle name="Normal 2 2 4 4" xfId="13819"/>
    <cellStyle name="Normal 2 2 4 40" xfId="13820"/>
    <cellStyle name="Normal 2 2 4 41" xfId="13821"/>
    <cellStyle name="Normal 2 2 4 42" xfId="13822"/>
    <cellStyle name="Normal 2 2 4 43" xfId="13823"/>
    <cellStyle name="Normal 2 2 4 44" xfId="13824"/>
    <cellStyle name="Normal 2 2 4 45" xfId="13825"/>
    <cellStyle name="Normal 2 2 4 46" xfId="13826"/>
    <cellStyle name="Normal 2 2 4 47" xfId="13827"/>
    <cellStyle name="Normal 2 2 4 48" xfId="13828"/>
    <cellStyle name="Normal 2 2 4 49" xfId="13829"/>
    <cellStyle name="Normal 2 2 4 5" xfId="13830"/>
    <cellStyle name="Normal 2 2 4 50" xfId="13831"/>
    <cellStyle name="Normal 2 2 4 51" xfId="13832"/>
    <cellStyle name="Normal 2 2 4 52" xfId="13833"/>
    <cellStyle name="Normal 2 2 4 53" xfId="13834"/>
    <cellStyle name="Normal 2 2 4 54" xfId="13835"/>
    <cellStyle name="Normal 2 2 4 55" xfId="13836"/>
    <cellStyle name="Normal 2 2 4 56" xfId="13837"/>
    <cellStyle name="Normal 2 2 4 57" xfId="13838"/>
    <cellStyle name="Normal 2 2 4 58" xfId="13839"/>
    <cellStyle name="Normal 2 2 4 59" xfId="13840"/>
    <cellStyle name="Normal 2 2 4 6" xfId="13841"/>
    <cellStyle name="Normal 2 2 4 60" xfId="13842"/>
    <cellStyle name="Normal 2 2 4 61" xfId="13843"/>
    <cellStyle name="Normal 2 2 4 62" xfId="13844"/>
    <cellStyle name="Normal 2 2 4 63" xfId="13845"/>
    <cellStyle name="Normal 2 2 4 64" xfId="13846"/>
    <cellStyle name="Normal 2 2 4 65" xfId="13847"/>
    <cellStyle name="Normal 2 2 4 66" xfId="13848"/>
    <cellStyle name="Normal 2 2 4 67" xfId="13849"/>
    <cellStyle name="Normal 2 2 4 68" xfId="13850"/>
    <cellStyle name="Normal 2 2 4 69" xfId="13851"/>
    <cellStyle name="Normal 2 2 4 7" xfId="13852"/>
    <cellStyle name="Normal 2 2 4 70" xfId="13853"/>
    <cellStyle name="Normal 2 2 4 71" xfId="13854"/>
    <cellStyle name="Normal 2 2 4 72" xfId="13855"/>
    <cellStyle name="Normal 2 2 4 73" xfId="13856"/>
    <cellStyle name="Normal 2 2 4 74" xfId="13857"/>
    <cellStyle name="Normal 2 2 4 75" xfId="13858"/>
    <cellStyle name="Normal 2 2 4 76" xfId="13859"/>
    <cellStyle name="Normal 2 2 4 77" xfId="13860"/>
    <cellStyle name="Normal 2 2 4 78" xfId="13861"/>
    <cellStyle name="Normal 2 2 4 79" xfId="13862"/>
    <cellStyle name="Normal 2 2 4 8" xfId="13863"/>
    <cellStyle name="Normal 2 2 4 80" xfId="13864"/>
    <cellStyle name="Normal 2 2 4 81" xfId="13865"/>
    <cellStyle name="Normal 2 2 4 82" xfId="13866"/>
    <cellStyle name="Normal 2 2 4 83" xfId="13867"/>
    <cellStyle name="Normal 2 2 4 9" xfId="13868"/>
    <cellStyle name="Normal 2 2 40" xfId="13869"/>
    <cellStyle name="Normal 2 2 41" xfId="13870"/>
    <cellStyle name="Normal 2 2 42" xfId="13871"/>
    <cellStyle name="Normal 2 2 43" xfId="13872"/>
    <cellStyle name="Normal 2 2 44" xfId="13873"/>
    <cellStyle name="Normal 2 2 45" xfId="13874"/>
    <cellStyle name="Normal 2 2 46" xfId="13875"/>
    <cellStyle name="Normal 2 2 47" xfId="13876"/>
    <cellStyle name="Normal 2 2 48" xfId="13877"/>
    <cellStyle name="Normal 2 2 49" xfId="13878"/>
    <cellStyle name="Normal 2 2 5" xfId="13879"/>
    <cellStyle name="Normal 2 2 5 10" xfId="13880"/>
    <cellStyle name="Normal 2 2 5 11" xfId="13881"/>
    <cellStyle name="Normal 2 2 5 12" xfId="13882"/>
    <cellStyle name="Normal 2 2 5 13" xfId="13883"/>
    <cellStyle name="Normal 2 2 5 14" xfId="13884"/>
    <cellStyle name="Normal 2 2 5 15" xfId="13885"/>
    <cellStyle name="Normal 2 2 5 16" xfId="13886"/>
    <cellStyle name="Normal 2 2 5 17" xfId="13887"/>
    <cellStyle name="Normal 2 2 5 18" xfId="13888"/>
    <cellStyle name="Normal 2 2 5 19" xfId="13889"/>
    <cellStyle name="Normal 2 2 5 2" xfId="13890"/>
    <cellStyle name="Normal 2 2 5 20" xfId="13891"/>
    <cellStyle name="Normal 2 2 5 21" xfId="13892"/>
    <cellStyle name="Normal 2 2 5 22" xfId="13893"/>
    <cellStyle name="Normal 2 2 5 23" xfId="13894"/>
    <cellStyle name="Normal 2 2 5 24" xfId="13895"/>
    <cellStyle name="Normal 2 2 5 25" xfId="13896"/>
    <cellStyle name="Normal 2 2 5 26" xfId="13897"/>
    <cellStyle name="Normal 2 2 5 27" xfId="13898"/>
    <cellStyle name="Normal 2 2 5 28" xfId="13899"/>
    <cellStyle name="Normal 2 2 5 29" xfId="13900"/>
    <cellStyle name="Normal 2 2 5 3" xfId="13901"/>
    <cellStyle name="Normal 2 2 5 30" xfId="13902"/>
    <cellStyle name="Normal 2 2 5 31" xfId="13903"/>
    <cellStyle name="Normal 2 2 5 32" xfId="13904"/>
    <cellStyle name="Normal 2 2 5 33" xfId="13905"/>
    <cellStyle name="Normal 2 2 5 34" xfId="13906"/>
    <cellStyle name="Normal 2 2 5 35" xfId="13907"/>
    <cellStyle name="Normal 2 2 5 36" xfId="13908"/>
    <cellStyle name="Normal 2 2 5 37" xfId="13909"/>
    <cellStyle name="Normal 2 2 5 38" xfId="13910"/>
    <cellStyle name="Normal 2 2 5 39" xfId="13911"/>
    <cellStyle name="Normal 2 2 5 4" xfId="13912"/>
    <cellStyle name="Normal 2 2 5 40" xfId="13913"/>
    <cellStyle name="Normal 2 2 5 41" xfId="13914"/>
    <cellStyle name="Normal 2 2 5 42" xfId="13915"/>
    <cellStyle name="Normal 2 2 5 43" xfId="13916"/>
    <cellStyle name="Normal 2 2 5 44" xfId="13917"/>
    <cellStyle name="Normal 2 2 5 45" xfId="13918"/>
    <cellStyle name="Normal 2 2 5 46" xfId="13919"/>
    <cellStyle name="Normal 2 2 5 47" xfId="13920"/>
    <cellStyle name="Normal 2 2 5 48" xfId="13921"/>
    <cellStyle name="Normal 2 2 5 49" xfId="13922"/>
    <cellStyle name="Normal 2 2 5 5" xfId="13923"/>
    <cellStyle name="Normal 2 2 5 50" xfId="13924"/>
    <cellStyle name="Normal 2 2 5 51" xfId="13925"/>
    <cellStyle name="Normal 2 2 5 52" xfId="13926"/>
    <cellStyle name="Normal 2 2 5 53" xfId="13927"/>
    <cellStyle name="Normal 2 2 5 54" xfId="13928"/>
    <cellStyle name="Normal 2 2 5 55" xfId="13929"/>
    <cellStyle name="Normal 2 2 5 56" xfId="13930"/>
    <cellStyle name="Normal 2 2 5 57" xfId="13931"/>
    <cellStyle name="Normal 2 2 5 58" xfId="13932"/>
    <cellStyle name="Normal 2 2 5 59" xfId="13933"/>
    <cellStyle name="Normal 2 2 5 6" xfId="13934"/>
    <cellStyle name="Normal 2 2 5 60" xfId="13935"/>
    <cellStyle name="Normal 2 2 5 61" xfId="13936"/>
    <cellStyle name="Normal 2 2 5 62" xfId="13937"/>
    <cellStyle name="Normal 2 2 5 63" xfId="13938"/>
    <cellStyle name="Normal 2 2 5 64" xfId="13939"/>
    <cellStyle name="Normal 2 2 5 65" xfId="13940"/>
    <cellStyle name="Normal 2 2 5 66" xfId="13941"/>
    <cellStyle name="Normal 2 2 5 67" xfId="13942"/>
    <cellStyle name="Normal 2 2 5 68" xfId="13943"/>
    <cellStyle name="Normal 2 2 5 69" xfId="13944"/>
    <cellStyle name="Normal 2 2 5 7" xfId="13945"/>
    <cellStyle name="Normal 2 2 5 70" xfId="13946"/>
    <cellStyle name="Normal 2 2 5 71" xfId="13947"/>
    <cellStyle name="Normal 2 2 5 72" xfId="13948"/>
    <cellStyle name="Normal 2 2 5 73" xfId="13949"/>
    <cellStyle name="Normal 2 2 5 74" xfId="13950"/>
    <cellStyle name="Normal 2 2 5 75" xfId="13951"/>
    <cellStyle name="Normal 2 2 5 76" xfId="13952"/>
    <cellStyle name="Normal 2 2 5 77" xfId="13953"/>
    <cellStyle name="Normal 2 2 5 78" xfId="13954"/>
    <cellStyle name="Normal 2 2 5 79" xfId="13955"/>
    <cellStyle name="Normal 2 2 5 8" xfId="13956"/>
    <cellStyle name="Normal 2 2 5 80" xfId="13957"/>
    <cellStyle name="Normal 2 2 5 81" xfId="13958"/>
    <cellStyle name="Normal 2 2 5 82" xfId="13959"/>
    <cellStyle name="Normal 2 2 5 83" xfId="13960"/>
    <cellStyle name="Normal 2 2 5 9" xfId="13961"/>
    <cellStyle name="Normal 2 2 50" xfId="13962"/>
    <cellStyle name="Normal 2 2 51" xfId="13963"/>
    <cellStyle name="Normal 2 2 52" xfId="13964"/>
    <cellStyle name="Normal 2 2 53" xfId="13965"/>
    <cellStyle name="Normal 2 2 54" xfId="13966"/>
    <cellStyle name="Normal 2 2 55" xfId="13967"/>
    <cellStyle name="Normal 2 2 56" xfId="13968"/>
    <cellStyle name="Normal 2 2 57" xfId="13969"/>
    <cellStyle name="Normal 2 2 58" xfId="13970"/>
    <cellStyle name="Normal 2 2 59" xfId="13971"/>
    <cellStyle name="Normal 2 2 6" xfId="13972"/>
    <cellStyle name="Normal 2 2 6 10" xfId="13973"/>
    <cellStyle name="Normal 2 2 6 11" xfId="13974"/>
    <cellStyle name="Normal 2 2 6 12" xfId="13975"/>
    <cellStyle name="Normal 2 2 6 13" xfId="13976"/>
    <cellStyle name="Normal 2 2 6 14" xfId="13977"/>
    <cellStyle name="Normal 2 2 6 15" xfId="13978"/>
    <cellStyle name="Normal 2 2 6 16" xfId="13979"/>
    <cellStyle name="Normal 2 2 6 17" xfId="13980"/>
    <cellStyle name="Normal 2 2 6 18" xfId="13981"/>
    <cellStyle name="Normal 2 2 6 19" xfId="13982"/>
    <cellStyle name="Normal 2 2 6 2" xfId="13983"/>
    <cellStyle name="Normal 2 2 6 20" xfId="13984"/>
    <cellStyle name="Normal 2 2 6 21" xfId="13985"/>
    <cellStyle name="Normal 2 2 6 22" xfId="13986"/>
    <cellStyle name="Normal 2 2 6 23" xfId="13987"/>
    <cellStyle name="Normal 2 2 6 24" xfId="13988"/>
    <cellStyle name="Normal 2 2 6 25" xfId="13989"/>
    <cellStyle name="Normal 2 2 6 26" xfId="13990"/>
    <cellStyle name="Normal 2 2 6 27" xfId="13991"/>
    <cellStyle name="Normal 2 2 6 28" xfId="13992"/>
    <cellStyle name="Normal 2 2 6 29" xfId="13993"/>
    <cellStyle name="Normal 2 2 6 3" xfId="13994"/>
    <cellStyle name="Normal 2 2 6 30" xfId="13995"/>
    <cellStyle name="Normal 2 2 6 31" xfId="13996"/>
    <cellStyle name="Normal 2 2 6 32" xfId="13997"/>
    <cellStyle name="Normal 2 2 6 33" xfId="13998"/>
    <cellStyle name="Normal 2 2 6 34" xfId="13999"/>
    <cellStyle name="Normal 2 2 6 35" xfId="14000"/>
    <cellStyle name="Normal 2 2 6 36" xfId="14001"/>
    <cellStyle name="Normal 2 2 6 37" xfId="14002"/>
    <cellStyle name="Normal 2 2 6 38" xfId="14003"/>
    <cellStyle name="Normal 2 2 6 39" xfId="14004"/>
    <cellStyle name="Normal 2 2 6 4" xfId="14005"/>
    <cellStyle name="Normal 2 2 6 40" xfId="14006"/>
    <cellStyle name="Normal 2 2 6 41" xfId="14007"/>
    <cellStyle name="Normal 2 2 6 42" xfId="14008"/>
    <cellStyle name="Normal 2 2 6 43" xfId="14009"/>
    <cellStyle name="Normal 2 2 6 44" xfId="14010"/>
    <cellStyle name="Normal 2 2 6 45" xfId="14011"/>
    <cellStyle name="Normal 2 2 6 46" xfId="14012"/>
    <cellStyle name="Normal 2 2 6 47" xfId="14013"/>
    <cellStyle name="Normal 2 2 6 48" xfId="14014"/>
    <cellStyle name="Normal 2 2 6 49" xfId="14015"/>
    <cellStyle name="Normal 2 2 6 5" xfId="14016"/>
    <cellStyle name="Normal 2 2 6 50" xfId="14017"/>
    <cellStyle name="Normal 2 2 6 51" xfId="14018"/>
    <cellStyle name="Normal 2 2 6 52" xfId="14019"/>
    <cellStyle name="Normal 2 2 6 53" xfId="14020"/>
    <cellStyle name="Normal 2 2 6 54" xfId="14021"/>
    <cellStyle name="Normal 2 2 6 55" xfId="14022"/>
    <cellStyle name="Normal 2 2 6 56" xfId="14023"/>
    <cellStyle name="Normal 2 2 6 57" xfId="14024"/>
    <cellStyle name="Normal 2 2 6 58" xfId="14025"/>
    <cellStyle name="Normal 2 2 6 59" xfId="14026"/>
    <cellStyle name="Normal 2 2 6 6" xfId="14027"/>
    <cellStyle name="Normal 2 2 6 60" xfId="14028"/>
    <cellStyle name="Normal 2 2 6 61" xfId="14029"/>
    <cellStyle name="Normal 2 2 6 62" xfId="14030"/>
    <cellStyle name="Normal 2 2 6 63" xfId="14031"/>
    <cellStyle name="Normal 2 2 6 64" xfId="14032"/>
    <cellStyle name="Normal 2 2 6 65" xfId="14033"/>
    <cellStyle name="Normal 2 2 6 66" xfId="14034"/>
    <cellStyle name="Normal 2 2 6 67" xfId="14035"/>
    <cellStyle name="Normal 2 2 6 68" xfId="14036"/>
    <cellStyle name="Normal 2 2 6 69" xfId="14037"/>
    <cellStyle name="Normal 2 2 6 7" xfId="14038"/>
    <cellStyle name="Normal 2 2 6 70" xfId="14039"/>
    <cellStyle name="Normal 2 2 6 71" xfId="14040"/>
    <cellStyle name="Normal 2 2 6 8" xfId="14041"/>
    <cellStyle name="Normal 2 2 6 9" xfId="14042"/>
    <cellStyle name="Normal 2 2 60" xfId="14043"/>
    <cellStyle name="Normal 2 2 61" xfId="14044"/>
    <cellStyle name="Normal 2 2 62" xfId="14045"/>
    <cellStyle name="Normal 2 2 63" xfId="14046"/>
    <cellStyle name="Normal 2 2 64" xfId="14047"/>
    <cellStyle name="Normal 2 2 65" xfId="14048"/>
    <cellStyle name="Normal 2 2 66" xfId="14049"/>
    <cellStyle name="Normal 2 2 67" xfId="14050"/>
    <cellStyle name="Normal 2 2 68" xfId="14051"/>
    <cellStyle name="Normal 2 2 69" xfId="14052"/>
    <cellStyle name="Normal 2 2 7" xfId="14053"/>
    <cellStyle name="Normal 2 2 70" xfId="14054"/>
    <cellStyle name="Normal 2 2 71" xfId="14055"/>
    <cellStyle name="Normal 2 2 72" xfId="14056"/>
    <cellStyle name="Normal 2 2 73" xfId="14057"/>
    <cellStyle name="Normal 2 2 74" xfId="14058"/>
    <cellStyle name="Normal 2 2 75" xfId="14059"/>
    <cellStyle name="Normal 2 2 76" xfId="14060"/>
    <cellStyle name="Normal 2 2 77" xfId="14061"/>
    <cellStyle name="Normal 2 2 78" xfId="14062"/>
    <cellStyle name="Normal 2 2 79" xfId="14063"/>
    <cellStyle name="Normal 2 2 8" xfId="14064"/>
    <cellStyle name="Normal 2 2 80" xfId="14065"/>
    <cellStyle name="Normal 2 2 81" xfId="14066"/>
    <cellStyle name="Normal 2 2 82" xfId="14067"/>
    <cellStyle name="Normal 2 2 83" xfId="14068"/>
    <cellStyle name="Normal 2 2 84" xfId="14069"/>
    <cellStyle name="Normal 2 2 85" xfId="14070"/>
    <cellStyle name="Normal 2 2 86" xfId="14071"/>
    <cellStyle name="Normal 2 2 87" xfId="14072"/>
    <cellStyle name="Normal 2 2 9" xfId="14073"/>
    <cellStyle name="Normal 2 2_Cultura y Tiempo libre 2011 base 2012 PGM - EMV  2013" xfId="14074"/>
    <cellStyle name="Normal 2 20" xfId="14075"/>
    <cellStyle name="Normal 2 20 10" xfId="14076"/>
    <cellStyle name="Normal 2 20 11" xfId="14077"/>
    <cellStyle name="Normal 2 20 12" xfId="14078"/>
    <cellStyle name="Normal 2 20 13" xfId="14079"/>
    <cellStyle name="Normal 2 20 2" xfId="14080"/>
    <cellStyle name="Normal 2 20 3" xfId="14081"/>
    <cellStyle name="Normal 2 20 4" xfId="14082"/>
    <cellStyle name="Normal 2 20 5" xfId="14083"/>
    <cellStyle name="Normal 2 20 6" xfId="14084"/>
    <cellStyle name="Normal 2 20 7" xfId="14085"/>
    <cellStyle name="Normal 2 20 8" xfId="14086"/>
    <cellStyle name="Normal 2 20 9" xfId="14087"/>
    <cellStyle name="Normal 2 21" xfId="14088"/>
    <cellStyle name="Normal 2 21 10" xfId="14089"/>
    <cellStyle name="Normal 2 21 11" xfId="14090"/>
    <cellStyle name="Normal 2 21 12" xfId="14091"/>
    <cellStyle name="Normal 2 21 13" xfId="14092"/>
    <cellStyle name="Normal 2 21 2" xfId="14093"/>
    <cellStyle name="Normal 2 21 3" xfId="14094"/>
    <cellStyle name="Normal 2 21 4" xfId="14095"/>
    <cellStyle name="Normal 2 21 5" xfId="14096"/>
    <cellStyle name="Normal 2 21 6" xfId="14097"/>
    <cellStyle name="Normal 2 21 7" xfId="14098"/>
    <cellStyle name="Normal 2 21 8" xfId="14099"/>
    <cellStyle name="Normal 2 21 9" xfId="14100"/>
    <cellStyle name="Normal 2 22" xfId="14101"/>
    <cellStyle name="Normal 2 22 10" xfId="14102"/>
    <cellStyle name="Normal 2 22 11" xfId="14103"/>
    <cellStyle name="Normal 2 22 12" xfId="14104"/>
    <cellStyle name="Normal 2 22 13" xfId="14105"/>
    <cellStyle name="Normal 2 22 2" xfId="14106"/>
    <cellStyle name="Normal 2 22 3" xfId="14107"/>
    <cellStyle name="Normal 2 22 4" xfId="14108"/>
    <cellStyle name="Normal 2 22 5" xfId="14109"/>
    <cellStyle name="Normal 2 22 6" xfId="14110"/>
    <cellStyle name="Normal 2 22 7" xfId="14111"/>
    <cellStyle name="Normal 2 22 8" xfId="14112"/>
    <cellStyle name="Normal 2 22 9" xfId="14113"/>
    <cellStyle name="Normal 2 23" xfId="14114"/>
    <cellStyle name="Normal 2 23 10" xfId="14115"/>
    <cellStyle name="Normal 2 23 11" xfId="14116"/>
    <cellStyle name="Normal 2 23 12" xfId="14117"/>
    <cellStyle name="Normal 2 23 13" xfId="14118"/>
    <cellStyle name="Normal 2 23 2" xfId="14119"/>
    <cellStyle name="Normal 2 23 3" xfId="14120"/>
    <cellStyle name="Normal 2 23 4" xfId="14121"/>
    <cellStyle name="Normal 2 23 5" xfId="14122"/>
    <cellStyle name="Normal 2 23 6" xfId="14123"/>
    <cellStyle name="Normal 2 23 7" xfId="14124"/>
    <cellStyle name="Normal 2 23 8" xfId="14125"/>
    <cellStyle name="Normal 2 23 9" xfId="14126"/>
    <cellStyle name="Normal 2 24" xfId="14127"/>
    <cellStyle name="Normal 2 24 10" xfId="14128"/>
    <cellStyle name="Normal 2 24 11" xfId="14129"/>
    <cellStyle name="Normal 2 24 12" xfId="14130"/>
    <cellStyle name="Normal 2 24 13" xfId="14131"/>
    <cellStyle name="Normal 2 24 2" xfId="14132"/>
    <cellStyle name="Normal 2 24 3" xfId="14133"/>
    <cellStyle name="Normal 2 24 4" xfId="14134"/>
    <cellStyle name="Normal 2 24 5" xfId="14135"/>
    <cellStyle name="Normal 2 24 6" xfId="14136"/>
    <cellStyle name="Normal 2 24 7" xfId="14137"/>
    <cellStyle name="Normal 2 24 8" xfId="14138"/>
    <cellStyle name="Normal 2 24 9" xfId="14139"/>
    <cellStyle name="Normal 2 25" xfId="14140"/>
    <cellStyle name="Normal 2 25 10" xfId="14141"/>
    <cellStyle name="Normal 2 25 11" xfId="14142"/>
    <cellStyle name="Normal 2 25 12" xfId="14143"/>
    <cellStyle name="Normal 2 25 13" xfId="14144"/>
    <cellStyle name="Normal 2 25 2" xfId="14145"/>
    <cellStyle name="Normal 2 25 3" xfId="14146"/>
    <cellStyle name="Normal 2 25 4" xfId="14147"/>
    <cellStyle name="Normal 2 25 5" xfId="14148"/>
    <cellStyle name="Normal 2 25 6" xfId="14149"/>
    <cellStyle name="Normal 2 25 7" xfId="14150"/>
    <cellStyle name="Normal 2 25 8" xfId="14151"/>
    <cellStyle name="Normal 2 25 9" xfId="14152"/>
    <cellStyle name="Normal 2 26" xfId="14153"/>
    <cellStyle name="Normal 2 26 10" xfId="14154"/>
    <cellStyle name="Normal 2 26 11" xfId="14155"/>
    <cellStyle name="Normal 2 26 12" xfId="14156"/>
    <cellStyle name="Normal 2 26 13" xfId="14157"/>
    <cellStyle name="Normal 2 26 2" xfId="14158"/>
    <cellStyle name="Normal 2 26 3" xfId="14159"/>
    <cellStyle name="Normal 2 26 4" xfId="14160"/>
    <cellStyle name="Normal 2 26 5" xfId="14161"/>
    <cellStyle name="Normal 2 26 6" xfId="14162"/>
    <cellStyle name="Normal 2 26 7" xfId="14163"/>
    <cellStyle name="Normal 2 26 8" xfId="14164"/>
    <cellStyle name="Normal 2 26 9" xfId="14165"/>
    <cellStyle name="Normal 2 27" xfId="14166"/>
    <cellStyle name="Normal 2 27 10" xfId="14167"/>
    <cellStyle name="Normal 2 27 11" xfId="14168"/>
    <cellStyle name="Normal 2 27 12" xfId="14169"/>
    <cellStyle name="Normal 2 27 13" xfId="14170"/>
    <cellStyle name="Normal 2 27 2" xfId="14171"/>
    <cellStyle name="Normal 2 27 3" xfId="14172"/>
    <cellStyle name="Normal 2 27 4" xfId="14173"/>
    <cellStyle name="Normal 2 27 5" xfId="14174"/>
    <cellStyle name="Normal 2 27 6" xfId="14175"/>
    <cellStyle name="Normal 2 27 7" xfId="14176"/>
    <cellStyle name="Normal 2 27 8" xfId="14177"/>
    <cellStyle name="Normal 2 27 9" xfId="14178"/>
    <cellStyle name="Normal 2 28" xfId="14179"/>
    <cellStyle name="Normal 2 28 10" xfId="14180"/>
    <cellStyle name="Normal 2 28 11" xfId="14181"/>
    <cellStyle name="Normal 2 28 12" xfId="14182"/>
    <cellStyle name="Normal 2 28 13" xfId="14183"/>
    <cellStyle name="Normal 2 28 2" xfId="14184"/>
    <cellStyle name="Normal 2 28 3" xfId="14185"/>
    <cellStyle name="Normal 2 28 4" xfId="14186"/>
    <cellStyle name="Normal 2 28 5" xfId="14187"/>
    <cellStyle name="Normal 2 28 6" xfId="14188"/>
    <cellStyle name="Normal 2 28 7" xfId="14189"/>
    <cellStyle name="Normal 2 28 8" xfId="14190"/>
    <cellStyle name="Normal 2 28 9" xfId="14191"/>
    <cellStyle name="Normal 2 29" xfId="14192"/>
    <cellStyle name="Normal 2 29 10" xfId="14193"/>
    <cellStyle name="Normal 2 29 11" xfId="14194"/>
    <cellStyle name="Normal 2 29 12" xfId="14195"/>
    <cellStyle name="Normal 2 29 13" xfId="14196"/>
    <cellStyle name="Normal 2 29 2" xfId="14197"/>
    <cellStyle name="Normal 2 29 3" xfId="14198"/>
    <cellStyle name="Normal 2 29 4" xfId="14199"/>
    <cellStyle name="Normal 2 29 5" xfId="14200"/>
    <cellStyle name="Normal 2 29 6" xfId="14201"/>
    <cellStyle name="Normal 2 29 7" xfId="14202"/>
    <cellStyle name="Normal 2 29 8" xfId="14203"/>
    <cellStyle name="Normal 2 29 9" xfId="14204"/>
    <cellStyle name="Normal 2 3" xfId="14205"/>
    <cellStyle name="Normal 2 3 10" xfId="14206"/>
    <cellStyle name="Normal 2 3 11" xfId="14207"/>
    <cellStyle name="Normal 2 3 12" xfId="14208"/>
    <cellStyle name="Normal 2 3 13" xfId="14209"/>
    <cellStyle name="Normal 2 3 14" xfId="14210"/>
    <cellStyle name="Normal 2 3 15" xfId="14211"/>
    <cellStyle name="Normal 2 3 16" xfId="14212"/>
    <cellStyle name="Normal 2 3 17" xfId="14213"/>
    <cellStyle name="Normal 2 3 18" xfId="14214"/>
    <cellStyle name="Normal 2 3 19" xfId="14215"/>
    <cellStyle name="Normal 2 3 2" xfId="14216"/>
    <cellStyle name="Normal 2 3 2 10" xfId="14217"/>
    <cellStyle name="Normal 2 3 2 11" xfId="14218"/>
    <cellStyle name="Normal 2 3 2 12" xfId="14219"/>
    <cellStyle name="Normal 2 3 2 13" xfId="14220"/>
    <cellStyle name="Normal 2 3 2 14" xfId="14221"/>
    <cellStyle name="Normal 2 3 2 15" xfId="14222"/>
    <cellStyle name="Normal 2 3 2 16" xfId="14223"/>
    <cellStyle name="Normal 2 3 2 17" xfId="14224"/>
    <cellStyle name="Normal 2 3 2 18" xfId="14225"/>
    <cellStyle name="Normal 2 3 2 19" xfId="14226"/>
    <cellStyle name="Normal 2 3 2 2" xfId="14227"/>
    <cellStyle name="Normal 2 3 2 20" xfId="14228"/>
    <cellStyle name="Normal 2 3 2 21" xfId="14229"/>
    <cellStyle name="Normal 2 3 2 22" xfId="14230"/>
    <cellStyle name="Normal 2 3 2 23" xfId="14231"/>
    <cellStyle name="Normal 2 3 2 24" xfId="14232"/>
    <cellStyle name="Normal 2 3 2 25" xfId="14233"/>
    <cellStyle name="Normal 2 3 2 26" xfId="14234"/>
    <cellStyle name="Normal 2 3 2 27" xfId="14235"/>
    <cellStyle name="Normal 2 3 2 28" xfId="14236"/>
    <cellStyle name="Normal 2 3 2 29" xfId="14237"/>
    <cellStyle name="Normal 2 3 2 3" xfId="14238"/>
    <cellStyle name="Normal 2 3 2 30" xfId="14239"/>
    <cellStyle name="Normal 2 3 2 31" xfId="14240"/>
    <cellStyle name="Normal 2 3 2 32" xfId="14241"/>
    <cellStyle name="Normal 2 3 2 33" xfId="14242"/>
    <cellStyle name="Normal 2 3 2 34" xfId="14243"/>
    <cellStyle name="Normal 2 3 2 35" xfId="14244"/>
    <cellStyle name="Normal 2 3 2 36" xfId="14245"/>
    <cellStyle name="Normal 2 3 2 37" xfId="14246"/>
    <cellStyle name="Normal 2 3 2 38" xfId="14247"/>
    <cellStyle name="Normal 2 3 2 39" xfId="14248"/>
    <cellStyle name="Normal 2 3 2 4" xfId="14249"/>
    <cellStyle name="Normal 2 3 2 40" xfId="14250"/>
    <cellStyle name="Normal 2 3 2 41" xfId="14251"/>
    <cellStyle name="Normal 2 3 2 42" xfId="14252"/>
    <cellStyle name="Normal 2 3 2 43" xfId="14253"/>
    <cellStyle name="Normal 2 3 2 44" xfId="14254"/>
    <cellStyle name="Normal 2 3 2 45" xfId="14255"/>
    <cellStyle name="Normal 2 3 2 46" xfId="14256"/>
    <cellStyle name="Normal 2 3 2 47" xfId="14257"/>
    <cellStyle name="Normal 2 3 2 48" xfId="14258"/>
    <cellStyle name="Normal 2 3 2 49" xfId="14259"/>
    <cellStyle name="Normal 2 3 2 5" xfId="14260"/>
    <cellStyle name="Normal 2 3 2 50" xfId="14261"/>
    <cellStyle name="Normal 2 3 2 51" xfId="14262"/>
    <cellStyle name="Normal 2 3 2 52" xfId="14263"/>
    <cellStyle name="Normal 2 3 2 53" xfId="14264"/>
    <cellStyle name="Normal 2 3 2 54" xfId="14265"/>
    <cellStyle name="Normal 2 3 2 55" xfId="14266"/>
    <cellStyle name="Normal 2 3 2 56" xfId="14267"/>
    <cellStyle name="Normal 2 3 2 57" xfId="14268"/>
    <cellStyle name="Normal 2 3 2 58" xfId="14269"/>
    <cellStyle name="Normal 2 3 2 59" xfId="14270"/>
    <cellStyle name="Normal 2 3 2 6" xfId="14271"/>
    <cellStyle name="Normal 2 3 2 60" xfId="14272"/>
    <cellStyle name="Normal 2 3 2 61" xfId="14273"/>
    <cellStyle name="Normal 2 3 2 62" xfId="14274"/>
    <cellStyle name="Normal 2 3 2 63" xfId="14275"/>
    <cellStyle name="Normal 2 3 2 64" xfId="14276"/>
    <cellStyle name="Normal 2 3 2 65" xfId="14277"/>
    <cellStyle name="Normal 2 3 2 66" xfId="14278"/>
    <cellStyle name="Normal 2 3 2 67" xfId="14279"/>
    <cellStyle name="Normal 2 3 2 68" xfId="14280"/>
    <cellStyle name="Normal 2 3 2 69" xfId="14281"/>
    <cellStyle name="Normal 2 3 2 7" xfId="14282"/>
    <cellStyle name="Normal 2 3 2 70" xfId="14283"/>
    <cellStyle name="Normal 2 3 2 71" xfId="14284"/>
    <cellStyle name="Normal 2 3 2 72" xfId="14285"/>
    <cellStyle name="Normal 2 3 2 73" xfId="14286"/>
    <cellStyle name="Normal 2 3 2 74" xfId="14287"/>
    <cellStyle name="Normal 2 3 2 75" xfId="14288"/>
    <cellStyle name="Normal 2 3 2 76" xfId="14289"/>
    <cellStyle name="Normal 2 3 2 77" xfId="14290"/>
    <cellStyle name="Normal 2 3 2 78" xfId="14291"/>
    <cellStyle name="Normal 2 3 2 79" xfId="14292"/>
    <cellStyle name="Normal 2 3 2 8" xfId="14293"/>
    <cellStyle name="Normal 2 3 2 80" xfId="14294"/>
    <cellStyle name="Normal 2 3 2 81" xfId="14295"/>
    <cellStyle name="Normal 2 3 2 82" xfId="14296"/>
    <cellStyle name="Normal 2 3 2 83" xfId="14297"/>
    <cellStyle name="Normal 2 3 2 9" xfId="14298"/>
    <cellStyle name="Normal 2 3 20" xfId="14299"/>
    <cellStyle name="Normal 2 3 21" xfId="14300"/>
    <cellStyle name="Normal 2 3 22" xfId="14301"/>
    <cellStyle name="Normal 2 3 23" xfId="14302"/>
    <cellStyle name="Normal 2 3 24" xfId="14303"/>
    <cellStyle name="Normal 2 3 25" xfId="14304"/>
    <cellStyle name="Normal 2 3 26" xfId="14305"/>
    <cellStyle name="Normal 2 3 27" xfId="14306"/>
    <cellStyle name="Normal 2 3 28" xfId="14307"/>
    <cellStyle name="Normal 2 3 29" xfId="14308"/>
    <cellStyle name="Normal 2 3 3" xfId="14309"/>
    <cellStyle name="Normal 2 3 3 10" xfId="14310"/>
    <cellStyle name="Normal 2 3 3 11" xfId="14311"/>
    <cellStyle name="Normal 2 3 3 12" xfId="14312"/>
    <cellStyle name="Normal 2 3 3 13" xfId="14313"/>
    <cellStyle name="Normal 2 3 3 14" xfId="14314"/>
    <cellStyle name="Normal 2 3 3 15" xfId="14315"/>
    <cellStyle name="Normal 2 3 3 16" xfId="14316"/>
    <cellStyle name="Normal 2 3 3 17" xfId="14317"/>
    <cellStyle name="Normal 2 3 3 18" xfId="14318"/>
    <cellStyle name="Normal 2 3 3 19" xfId="14319"/>
    <cellStyle name="Normal 2 3 3 2" xfId="14320"/>
    <cellStyle name="Normal 2 3 3 20" xfId="14321"/>
    <cellStyle name="Normal 2 3 3 21" xfId="14322"/>
    <cellStyle name="Normal 2 3 3 22" xfId="14323"/>
    <cellStyle name="Normal 2 3 3 23" xfId="14324"/>
    <cellStyle name="Normal 2 3 3 24" xfId="14325"/>
    <cellStyle name="Normal 2 3 3 25" xfId="14326"/>
    <cellStyle name="Normal 2 3 3 26" xfId="14327"/>
    <cellStyle name="Normal 2 3 3 27" xfId="14328"/>
    <cellStyle name="Normal 2 3 3 28" xfId="14329"/>
    <cellStyle name="Normal 2 3 3 29" xfId="14330"/>
    <cellStyle name="Normal 2 3 3 3" xfId="14331"/>
    <cellStyle name="Normal 2 3 3 30" xfId="14332"/>
    <cellStyle name="Normal 2 3 3 31" xfId="14333"/>
    <cellStyle name="Normal 2 3 3 32" xfId="14334"/>
    <cellStyle name="Normal 2 3 3 33" xfId="14335"/>
    <cellStyle name="Normal 2 3 3 34" xfId="14336"/>
    <cellStyle name="Normal 2 3 3 35" xfId="14337"/>
    <cellStyle name="Normal 2 3 3 36" xfId="14338"/>
    <cellStyle name="Normal 2 3 3 37" xfId="14339"/>
    <cellStyle name="Normal 2 3 3 38" xfId="14340"/>
    <cellStyle name="Normal 2 3 3 39" xfId="14341"/>
    <cellStyle name="Normal 2 3 3 4" xfId="14342"/>
    <cellStyle name="Normal 2 3 3 40" xfId="14343"/>
    <cellStyle name="Normal 2 3 3 41" xfId="14344"/>
    <cellStyle name="Normal 2 3 3 42" xfId="14345"/>
    <cellStyle name="Normal 2 3 3 43" xfId="14346"/>
    <cellStyle name="Normal 2 3 3 44" xfId="14347"/>
    <cellStyle name="Normal 2 3 3 45" xfId="14348"/>
    <cellStyle name="Normal 2 3 3 46" xfId="14349"/>
    <cellStyle name="Normal 2 3 3 47" xfId="14350"/>
    <cellStyle name="Normal 2 3 3 48" xfId="14351"/>
    <cellStyle name="Normal 2 3 3 49" xfId="14352"/>
    <cellStyle name="Normal 2 3 3 5" xfId="14353"/>
    <cellStyle name="Normal 2 3 3 50" xfId="14354"/>
    <cellStyle name="Normal 2 3 3 51" xfId="14355"/>
    <cellStyle name="Normal 2 3 3 52" xfId="14356"/>
    <cellStyle name="Normal 2 3 3 53" xfId="14357"/>
    <cellStyle name="Normal 2 3 3 54" xfId="14358"/>
    <cellStyle name="Normal 2 3 3 55" xfId="14359"/>
    <cellStyle name="Normal 2 3 3 56" xfId="14360"/>
    <cellStyle name="Normal 2 3 3 57" xfId="14361"/>
    <cellStyle name="Normal 2 3 3 58" xfId="14362"/>
    <cellStyle name="Normal 2 3 3 59" xfId="14363"/>
    <cellStyle name="Normal 2 3 3 6" xfId="14364"/>
    <cellStyle name="Normal 2 3 3 60" xfId="14365"/>
    <cellStyle name="Normal 2 3 3 61" xfId="14366"/>
    <cellStyle name="Normal 2 3 3 62" xfId="14367"/>
    <cellStyle name="Normal 2 3 3 63" xfId="14368"/>
    <cellStyle name="Normal 2 3 3 64" xfId="14369"/>
    <cellStyle name="Normal 2 3 3 65" xfId="14370"/>
    <cellStyle name="Normal 2 3 3 66" xfId="14371"/>
    <cellStyle name="Normal 2 3 3 67" xfId="14372"/>
    <cellStyle name="Normal 2 3 3 68" xfId="14373"/>
    <cellStyle name="Normal 2 3 3 69" xfId="14374"/>
    <cellStyle name="Normal 2 3 3 7" xfId="14375"/>
    <cellStyle name="Normal 2 3 3 70" xfId="14376"/>
    <cellStyle name="Normal 2 3 3 71" xfId="14377"/>
    <cellStyle name="Normal 2 3 3 72" xfId="14378"/>
    <cellStyle name="Normal 2 3 3 73" xfId="14379"/>
    <cellStyle name="Normal 2 3 3 74" xfId="14380"/>
    <cellStyle name="Normal 2 3 3 75" xfId="14381"/>
    <cellStyle name="Normal 2 3 3 76" xfId="14382"/>
    <cellStyle name="Normal 2 3 3 77" xfId="14383"/>
    <cellStyle name="Normal 2 3 3 78" xfId="14384"/>
    <cellStyle name="Normal 2 3 3 79" xfId="14385"/>
    <cellStyle name="Normal 2 3 3 8" xfId="14386"/>
    <cellStyle name="Normal 2 3 3 80" xfId="14387"/>
    <cellStyle name="Normal 2 3 3 81" xfId="14388"/>
    <cellStyle name="Normal 2 3 3 82" xfId="14389"/>
    <cellStyle name="Normal 2 3 3 83" xfId="14390"/>
    <cellStyle name="Normal 2 3 3 9" xfId="14391"/>
    <cellStyle name="Normal 2 3 30" xfId="14392"/>
    <cellStyle name="Normal 2 3 31" xfId="14393"/>
    <cellStyle name="Normal 2 3 32" xfId="14394"/>
    <cellStyle name="Normal 2 3 33" xfId="14395"/>
    <cellStyle name="Normal 2 3 34" xfId="14396"/>
    <cellStyle name="Normal 2 3 35" xfId="14397"/>
    <cellStyle name="Normal 2 3 36" xfId="14398"/>
    <cellStyle name="Normal 2 3 37" xfId="14399"/>
    <cellStyle name="Normal 2 3 38" xfId="14400"/>
    <cellStyle name="Normal 2 3 39" xfId="14401"/>
    <cellStyle name="Normal 2 3 4" xfId="14402"/>
    <cellStyle name="Normal 2 3 4 10" xfId="14403"/>
    <cellStyle name="Normal 2 3 4 11" xfId="14404"/>
    <cellStyle name="Normal 2 3 4 12" xfId="14405"/>
    <cellStyle name="Normal 2 3 4 13" xfId="14406"/>
    <cellStyle name="Normal 2 3 4 14" xfId="14407"/>
    <cellStyle name="Normal 2 3 4 15" xfId="14408"/>
    <cellStyle name="Normal 2 3 4 16" xfId="14409"/>
    <cellStyle name="Normal 2 3 4 17" xfId="14410"/>
    <cellStyle name="Normal 2 3 4 18" xfId="14411"/>
    <cellStyle name="Normal 2 3 4 19" xfId="14412"/>
    <cellStyle name="Normal 2 3 4 2" xfId="14413"/>
    <cellStyle name="Normal 2 3 4 20" xfId="14414"/>
    <cellStyle name="Normal 2 3 4 21" xfId="14415"/>
    <cellStyle name="Normal 2 3 4 22" xfId="14416"/>
    <cellStyle name="Normal 2 3 4 23" xfId="14417"/>
    <cellStyle name="Normal 2 3 4 24" xfId="14418"/>
    <cellStyle name="Normal 2 3 4 25" xfId="14419"/>
    <cellStyle name="Normal 2 3 4 26" xfId="14420"/>
    <cellStyle name="Normal 2 3 4 27" xfId="14421"/>
    <cellStyle name="Normal 2 3 4 28" xfId="14422"/>
    <cellStyle name="Normal 2 3 4 29" xfId="14423"/>
    <cellStyle name="Normal 2 3 4 3" xfId="14424"/>
    <cellStyle name="Normal 2 3 4 30" xfId="14425"/>
    <cellStyle name="Normal 2 3 4 31" xfId="14426"/>
    <cellStyle name="Normal 2 3 4 32" xfId="14427"/>
    <cellStyle name="Normal 2 3 4 33" xfId="14428"/>
    <cellStyle name="Normal 2 3 4 34" xfId="14429"/>
    <cellStyle name="Normal 2 3 4 35" xfId="14430"/>
    <cellStyle name="Normal 2 3 4 36" xfId="14431"/>
    <cellStyle name="Normal 2 3 4 37" xfId="14432"/>
    <cellStyle name="Normal 2 3 4 38" xfId="14433"/>
    <cellStyle name="Normal 2 3 4 39" xfId="14434"/>
    <cellStyle name="Normal 2 3 4 4" xfId="14435"/>
    <cellStyle name="Normal 2 3 4 40" xfId="14436"/>
    <cellStyle name="Normal 2 3 4 41" xfId="14437"/>
    <cellStyle name="Normal 2 3 4 42" xfId="14438"/>
    <cellStyle name="Normal 2 3 4 43" xfId="14439"/>
    <cellStyle name="Normal 2 3 4 44" xfId="14440"/>
    <cellStyle name="Normal 2 3 4 45" xfId="14441"/>
    <cellStyle name="Normal 2 3 4 46" xfId="14442"/>
    <cellStyle name="Normal 2 3 4 47" xfId="14443"/>
    <cellStyle name="Normal 2 3 4 48" xfId="14444"/>
    <cellStyle name="Normal 2 3 4 49" xfId="14445"/>
    <cellStyle name="Normal 2 3 4 5" xfId="14446"/>
    <cellStyle name="Normal 2 3 4 50" xfId="14447"/>
    <cellStyle name="Normal 2 3 4 51" xfId="14448"/>
    <cellStyle name="Normal 2 3 4 52" xfId="14449"/>
    <cellStyle name="Normal 2 3 4 53" xfId="14450"/>
    <cellStyle name="Normal 2 3 4 54" xfId="14451"/>
    <cellStyle name="Normal 2 3 4 55" xfId="14452"/>
    <cellStyle name="Normal 2 3 4 56" xfId="14453"/>
    <cellStyle name="Normal 2 3 4 57" xfId="14454"/>
    <cellStyle name="Normal 2 3 4 58" xfId="14455"/>
    <cellStyle name="Normal 2 3 4 59" xfId="14456"/>
    <cellStyle name="Normal 2 3 4 6" xfId="14457"/>
    <cellStyle name="Normal 2 3 4 60" xfId="14458"/>
    <cellStyle name="Normal 2 3 4 61" xfId="14459"/>
    <cellStyle name="Normal 2 3 4 62" xfId="14460"/>
    <cellStyle name="Normal 2 3 4 63" xfId="14461"/>
    <cellStyle name="Normal 2 3 4 64" xfId="14462"/>
    <cellStyle name="Normal 2 3 4 65" xfId="14463"/>
    <cellStyle name="Normal 2 3 4 66" xfId="14464"/>
    <cellStyle name="Normal 2 3 4 67" xfId="14465"/>
    <cellStyle name="Normal 2 3 4 68" xfId="14466"/>
    <cellStyle name="Normal 2 3 4 69" xfId="14467"/>
    <cellStyle name="Normal 2 3 4 7" xfId="14468"/>
    <cellStyle name="Normal 2 3 4 70" xfId="14469"/>
    <cellStyle name="Normal 2 3 4 71" xfId="14470"/>
    <cellStyle name="Normal 2 3 4 72" xfId="14471"/>
    <cellStyle name="Normal 2 3 4 73" xfId="14472"/>
    <cellStyle name="Normal 2 3 4 74" xfId="14473"/>
    <cellStyle name="Normal 2 3 4 75" xfId="14474"/>
    <cellStyle name="Normal 2 3 4 76" xfId="14475"/>
    <cellStyle name="Normal 2 3 4 77" xfId="14476"/>
    <cellStyle name="Normal 2 3 4 78" xfId="14477"/>
    <cellStyle name="Normal 2 3 4 79" xfId="14478"/>
    <cellStyle name="Normal 2 3 4 8" xfId="14479"/>
    <cellStyle name="Normal 2 3 4 80" xfId="14480"/>
    <cellStyle name="Normal 2 3 4 81" xfId="14481"/>
    <cellStyle name="Normal 2 3 4 82" xfId="14482"/>
    <cellStyle name="Normal 2 3 4 83" xfId="14483"/>
    <cellStyle name="Normal 2 3 4 9" xfId="14484"/>
    <cellStyle name="Normal 2 3 40" xfId="14485"/>
    <cellStyle name="Normal 2 3 41" xfId="14486"/>
    <cellStyle name="Normal 2 3 42" xfId="14487"/>
    <cellStyle name="Normal 2 3 43" xfId="14488"/>
    <cellStyle name="Normal 2 3 44" xfId="14489"/>
    <cellStyle name="Normal 2 3 45" xfId="14490"/>
    <cellStyle name="Normal 2 3 46" xfId="14491"/>
    <cellStyle name="Normal 2 3 47" xfId="14492"/>
    <cellStyle name="Normal 2 3 48" xfId="14493"/>
    <cellStyle name="Normal 2 3 49" xfId="14494"/>
    <cellStyle name="Normal 2 3 5" xfId="14495"/>
    <cellStyle name="Normal 2 3 5 10" xfId="14496"/>
    <cellStyle name="Normal 2 3 5 11" xfId="14497"/>
    <cellStyle name="Normal 2 3 5 12" xfId="14498"/>
    <cellStyle name="Normal 2 3 5 13" xfId="14499"/>
    <cellStyle name="Normal 2 3 5 14" xfId="14500"/>
    <cellStyle name="Normal 2 3 5 15" xfId="14501"/>
    <cellStyle name="Normal 2 3 5 16" xfId="14502"/>
    <cellStyle name="Normal 2 3 5 17" xfId="14503"/>
    <cellStyle name="Normal 2 3 5 18" xfId="14504"/>
    <cellStyle name="Normal 2 3 5 19" xfId="14505"/>
    <cellStyle name="Normal 2 3 5 2" xfId="14506"/>
    <cellStyle name="Normal 2 3 5 20" xfId="14507"/>
    <cellStyle name="Normal 2 3 5 21" xfId="14508"/>
    <cellStyle name="Normal 2 3 5 22" xfId="14509"/>
    <cellStyle name="Normal 2 3 5 23" xfId="14510"/>
    <cellStyle name="Normal 2 3 5 24" xfId="14511"/>
    <cellStyle name="Normal 2 3 5 25" xfId="14512"/>
    <cellStyle name="Normal 2 3 5 26" xfId="14513"/>
    <cellStyle name="Normal 2 3 5 27" xfId="14514"/>
    <cellStyle name="Normal 2 3 5 28" xfId="14515"/>
    <cellStyle name="Normal 2 3 5 29" xfId="14516"/>
    <cellStyle name="Normal 2 3 5 3" xfId="14517"/>
    <cellStyle name="Normal 2 3 5 30" xfId="14518"/>
    <cellStyle name="Normal 2 3 5 31" xfId="14519"/>
    <cellStyle name="Normal 2 3 5 32" xfId="14520"/>
    <cellStyle name="Normal 2 3 5 33" xfId="14521"/>
    <cellStyle name="Normal 2 3 5 34" xfId="14522"/>
    <cellStyle name="Normal 2 3 5 35" xfId="14523"/>
    <cellStyle name="Normal 2 3 5 36" xfId="14524"/>
    <cellStyle name="Normal 2 3 5 37" xfId="14525"/>
    <cellStyle name="Normal 2 3 5 38" xfId="14526"/>
    <cellStyle name="Normal 2 3 5 39" xfId="14527"/>
    <cellStyle name="Normal 2 3 5 4" xfId="14528"/>
    <cellStyle name="Normal 2 3 5 40" xfId="14529"/>
    <cellStyle name="Normal 2 3 5 41" xfId="14530"/>
    <cellStyle name="Normal 2 3 5 42" xfId="14531"/>
    <cellStyle name="Normal 2 3 5 43" xfId="14532"/>
    <cellStyle name="Normal 2 3 5 44" xfId="14533"/>
    <cellStyle name="Normal 2 3 5 45" xfId="14534"/>
    <cellStyle name="Normal 2 3 5 46" xfId="14535"/>
    <cellStyle name="Normal 2 3 5 47" xfId="14536"/>
    <cellStyle name="Normal 2 3 5 48" xfId="14537"/>
    <cellStyle name="Normal 2 3 5 49" xfId="14538"/>
    <cellStyle name="Normal 2 3 5 5" xfId="14539"/>
    <cellStyle name="Normal 2 3 5 50" xfId="14540"/>
    <cellStyle name="Normal 2 3 5 51" xfId="14541"/>
    <cellStyle name="Normal 2 3 5 52" xfId="14542"/>
    <cellStyle name="Normal 2 3 5 53" xfId="14543"/>
    <cellStyle name="Normal 2 3 5 54" xfId="14544"/>
    <cellStyle name="Normal 2 3 5 55" xfId="14545"/>
    <cellStyle name="Normal 2 3 5 56" xfId="14546"/>
    <cellStyle name="Normal 2 3 5 57" xfId="14547"/>
    <cellStyle name="Normal 2 3 5 58" xfId="14548"/>
    <cellStyle name="Normal 2 3 5 59" xfId="14549"/>
    <cellStyle name="Normal 2 3 5 6" xfId="14550"/>
    <cellStyle name="Normal 2 3 5 60" xfId="14551"/>
    <cellStyle name="Normal 2 3 5 61" xfId="14552"/>
    <cellStyle name="Normal 2 3 5 62" xfId="14553"/>
    <cellStyle name="Normal 2 3 5 63" xfId="14554"/>
    <cellStyle name="Normal 2 3 5 64" xfId="14555"/>
    <cellStyle name="Normal 2 3 5 65" xfId="14556"/>
    <cellStyle name="Normal 2 3 5 66" xfId="14557"/>
    <cellStyle name="Normal 2 3 5 67" xfId="14558"/>
    <cellStyle name="Normal 2 3 5 68" xfId="14559"/>
    <cellStyle name="Normal 2 3 5 69" xfId="14560"/>
    <cellStyle name="Normal 2 3 5 7" xfId="14561"/>
    <cellStyle name="Normal 2 3 5 70" xfId="14562"/>
    <cellStyle name="Normal 2 3 5 71" xfId="14563"/>
    <cellStyle name="Normal 2 3 5 72" xfId="14564"/>
    <cellStyle name="Normal 2 3 5 73" xfId="14565"/>
    <cellStyle name="Normal 2 3 5 74" xfId="14566"/>
    <cellStyle name="Normal 2 3 5 75" xfId="14567"/>
    <cellStyle name="Normal 2 3 5 76" xfId="14568"/>
    <cellStyle name="Normal 2 3 5 77" xfId="14569"/>
    <cellStyle name="Normal 2 3 5 78" xfId="14570"/>
    <cellStyle name="Normal 2 3 5 79" xfId="14571"/>
    <cellStyle name="Normal 2 3 5 8" xfId="14572"/>
    <cellStyle name="Normal 2 3 5 80" xfId="14573"/>
    <cellStyle name="Normal 2 3 5 81" xfId="14574"/>
    <cellStyle name="Normal 2 3 5 82" xfId="14575"/>
    <cellStyle name="Normal 2 3 5 83" xfId="14576"/>
    <cellStyle name="Normal 2 3 5 9" xfId="14577"/>
    <cellStyle name="Normal 2 3 50" xfId="14578"/>
    <cellStyle name="Normal 2 3 51" xfId="14579"/>
    <cellStyle name="Normal 2 3 52" xfId="14580"/>
    <cellStyle name="Normal 2 3 53" xfId="14581"/>
    <cellStyle name="Normal 2 3 54" xfId="14582"/>
    <cellStyle name="Normal 2 3 55" xfId="14583"/>
    <cellStyle name="Normal 2 3 56" xfId="14584"/>
    <cellStyle name="Normal 2 3 57" xfId="14585"/>
    <cellStyle name="Normal 2 3 58" xfId="14586"/>
    <cellStyle name="Normal 2 3 59" xfId="14587"/>
    <cellStyle name="Normal 2 3 6" xfId="14588"/>
    <cellStyle name="Normal 2 3 60" xfId="14589"/>
    <cellStyle name="Normal 2 3 61" xfId="14590"/>
    <cellStyle name="Normal 2 3 62" xfId="14591"/>
    <cellStyle name="Normal 2 3 63" xfId="14592"/>
    <cellStyle name="Normal 2 3 64" xfId="14593"/>
    <cellStyle name="Normal 2 3 65" xfId="14594"/>
    <cellStyle name="Normal 2 3 66" xfId="14595"/>
    <cellStyle name="Normal 2 3 67" xfId="14596"/>
    <cellStyle name="Normal 2 3 68" xfId="14597"/>
    <cellStyle name="Normal 2 3 69" xfId="14598"/>
    <cellStyle name="Normal 2 3 7" xfId="14599"/>
    <cellStyle name="Normal 2 3 70" xfId="14600"/>
    <cellStyle name="Normal 2 3 71" xfId="14601"/>
    <cellStyle name="Normal 2 3 72" xfId="14602"/>
    <cellStyle name="Normal 2 3 73" xfId="14603"/>
    <cellStyle name="Normal 2 3 74" xfId="14604"/>
    <cellStyle name="Normal 2 3 75" xfId="14605"/>
    <cellStyle name="Normal 2 3 76" xfId="14606"/>
    <cellStyle name="Normal 2 3 77" xfId="14607"/>
    <cellStyle name="Normal 2 3 78" xfId="14608"/>
    <cellStyle name="Normal 2 3 79" xfId="14609"/>
    <cellStyle name="Normal 2 3 8" xfId="14610"/>
    <cellStyle name="Normal 2 3 80" xfId="14611"/>
    <cellStyle name="Normal 2 3 81" xfId="14612"/>
    <cellStyle name="Normal 2 3 82" xfId="14613"/>
    <cellStyle name="Normal 2 3 83" xfId="14614"/>
    <cellStyle name="Normal 2 3 84" xfId="14615"/>
    <cellStyle name="Normal 2 3 85" xfId="14616"/>
    <cellStyle name="Normal 2 3 86" xfId="14617"/>
    <cellStyle name="Normal 2 3 87" xfId="14618"/>
    <cellStyle name="Normal 2 3 9" xfId="14619"/>
    <cellStyle name="Normal 2 3_Cultura y Tiempo libre 2011 base 2012 PGM - EMV  2013" xfId="14620"/>
    <cellStyle name="Normal 2 30" xfId="14621"/>
    <cellStyle name="Normal 2 30 10" xfId="14622"/>
    <cellStyle name="Normal 2 30 11" xfId="14623"/>
    <cellStyle name="Normal 2 30 12" xfId="14624"/>
    <cellStyle name="Normal 2 30 13" xfId="14625"/>
    <cellStyle name="Normal 2 30 2" xfId="14626"/>
    <cellStyle name="Normal 2 30 3" xfId="14627"/>
    <cellStyle name="Normal 2 30 4" xfId="14628"/>
    <cellStyle name="Normal 2 30 5" xfId="14629"/>
    <cellStyle name="Normal 2 30 6" xfId="14630"/>
    <cellStyle name="Normal 2 30 7" xfId="14631"/>
    <cellStyle name="Normal 2 30 8" xfId="14632"/>
    <cellStyle name="Normal 2 30 9" xfId="14633"/>
    <cellStyle name="Normal 2 31" xfId="14634"/>
    <cellStyle name="Normal 2 31 10" xfId="14635"/>
    <cellStyle name="Normal 2 31 11" xfId="14636"/>
    <cellStyle name="Normal 2 31 12" xfId="14637"/>
    <cellStyle name="Normal 2 31 13" xfId="14638"/>
    <cellStyle name="Normal 2 31 2" xfId="14639"/>
    <cellStyle name="Normal 2 31 3" xfId="14640"/>
    <cellStyle name="Normal 2 31 4" xfId="14641"/>
    <cellStyle name="Normal 2 31 5" xfId="14642"/>
    <cellStyle name="Normal 2 31 6" xfId="14643"/>
    <cellStyle name="Normal 2 31 7" xfId="14644"/>
    <cellStyle name="Normal 2 31 8" xfId="14645"/>
    <cellStyle name="Normal 2 31 9" xfId="14646"/>
    <cellStyle name="Normal 2 32" xfId="14647"/>
    <cellStyle name="Normal 2 32 10" xfId="14648"/>
    <cellStyle name="Normal 2 32 11" xfId="14649"/>
    <cellStyle name="Normal 2 32 12" xfId="14650"/>
    <cellStyle name="Normal 2 32 13" xfId="14651"/>
    <cellStyle name="Normal 2 32 2" xfId="14652"/>
    <cellStyle name="Normal 2 32 3" xfId="14653"/>
    <cellStyle name="Normal 2 32 4" xfId="14654"/>
    <cellStyle name="Normal 2 32 5" xfId="14655"/>
    <cellStyle name="Normal 2 32 6" xfId="14656"/>
    <cellStyle name="Normal 2 32 7" xfId="14657"/>
    <cellStyle name="Normal 2 32 8" xfId="14658"/>
    <cellStyle name="Normal 2 32 9" xfId="14659"/>
    <cellStyle name="Normal 2 33" xfId="14660"/>
    <cellStyle name="Normal 2 34" xfId="14661"/>
    <cellStyle name="Normal 2 35" xfId="14662"/>
    <cellStyle name="Normal 2 36" xfId="14663"/>
    <cellStyle name="Normal 2 37" xfId="14664"/>
    <cellStyle name="Normal 2 38" xfId="14665"/>
    <cellStyle name="Normal 2 39" xfId="14666"/>
    <cellStyle name="Normal 2 4" xfId="14667"/>
    <cellStyle name="Normal 2 4 10" xfId="14668"/>
    <cellStyle name="Normal 2 4 11" xfId="14669"/>
    <cellStyle name="Normal 2 4 12" xfId="14670"/>
    <cellStyle name="Normal 2 4 13" xfId="14671"/>
    <cellStyle name="Normal 2 4 14" xfId="14672"/>
    <cellStyle name="Normal 2 4 15" xfId="14673"/>
    <cellStyle name="Normal 2 4 16" xfId="14674"/>
    <cellStyle name="Normal 2 4 17" xfId="14675"/>
    <cellStyle name="Normal 2 4 18" xfId="14676"/>
    <cellStyle name="Normal 2 4 19" xfId="14677"/>
    <cellStyle name="Normal 2 4 2" xfId="14678"/>
    <cellStyle name="Normal 2 4 2 10" xfId="14679"/>
    <cellStyle name="Normal 2 4 2 11" xfId="14680"/>
    <cellStyle name="Normal 2 4 2 12" xfId="14681"/>
    <cellStyle name="Normal 2 4 2 13" xfId="14682"/>
    <cellStyle name="Normal 2 4 2 14" xfId="14683"/>
    <cellStyle name="Normal 2 4 2 15" xfId="14684"/>
    <cellStyle name="Normal 2 4 2 16" xfId="14685"/>
    <cellStyle name="Normal 2 4 2 17" xfId="14686"/>
    <cellStyle name="Normal 2 4 2 18" xfId="14687"/>
    <cellStyle name="Normal 2 4 2 19" xfId="14688"/>
    <cellStyle name="Normal 2 4 2 2" xfId="14689"/>
    <cellStyle name="Normal 2 4 2 20" xfId="14690"/>
    <cellStyle name="Normal 2 4 2 21" xfId="14691"/>
    <cellStyle name="Normal 2 4 2 22" xfId="14692"/>
    <cellStyle name="Normal 2 4 2 23" xfId="14693"/>
    <cellStyle name="Normal 2 4 2 24" xfId="14694"/>
    <cellStyle name="Normal 2 4 2 25" xfId="14695"/>
    <cellStyle name="Normal 2 4 2 26" xfId="14696"/>
    <cellStyle name="Normal 2 4 2 27" xfId="14697"/>
    <cellStyle name="Normal 2 4 2 28" xfId="14698"/>
    <cellStyle name="Normal 2 4 2 29" xfId="14699"/>
    <cellStyle name="Normal 2 4 2 3" xfId="14700"/>
    <cellStyle name="Normal 2 4 2 30" xfId="14701"/>
    <cellStyle name="Normal 2 4 2 31" xfId="14702"/>
    <cellStyle name="Normal 2 4 2 32" xfId="14703"/>
    <cellStyle name="Normal 2 4 2 33" xfId="14704"/>
    <cellStyle name="Normal 2 4 2 34" xfId="14705"/>
    <cellStyle name="Normal 2 4 2 35" xfId="14706"/>
    <cellStyle name="Normal 2 4 2 36" xfId="14707"/>
    <cellStyle name="Normal 2 4 2 37" xfId="14708"/>
    <cellStyle name="Normal 2 4 2 38" xfId="14709"/>
    <cellStyle name="Normal 2 4 2 39" xfId="14710"/>
    <cellStyle name="Normal 2 4 2 4" xfId="14711"/>
    <cellStyle name="Normal 2 4 2 40" xfId="14712"/>
    <cellStyle name="Normal 2 4 2 41" xfId="14713"/>
    <cellStyle name="Normal 2 4 2 42" xfId="14714"/>
    <cellStyle name="Normal 2 4 2 43" xfId="14715"/>
    <cellStyle name="Normal 2 4 2 44" xfId="14716"/>
    <cellStyle name="Normal 2 4 2 45" xfId="14717"/>
    <cellStyle name="Normal 2 4 2 46" xfId="14718"/>
    <cellStyle name="Normal 2 4 2 47" xfId="14719"/>
    <cellStyle name="Normal 2 4 2 48" xfId="14720"/>
    <cellStyle name="Normal 2 4 2 49" xfId="14721"/>
    <cellStyle name="Normal 2 4 2 5" xfId="14722"/>
    <cellStyle name="Normal 2 4 2 50" xfId="14723"/>
    <cellStyle name="Normal 2 4 2 51" xfId="14724"/>
    <cellStyle name="Normal 2 4 2 52" xfId="14725"/>
    <cellStyle name="Normal 2 4 2 53" xfId="14726"/>
    <cellStyle name="Normal 2 4 2 54" xfId="14727"/>
    <cellStyle name="Normal 2 4 2 55" xfId="14728"/>
    <cellStyle name="Normal 2 4 2 56" xfId="14729"/>
    <cellStyle name="Normal 2 4 2 57" xfId="14730"/>
    <cellStyle name="Normal 2 4 2 58" xfId="14731"/>
    <cellStyle name="Normal 2 4 2 59" xfId="14732"/>
    <cellStyle name="Normal 2 4 2 6" xfId="14733"/>
    <cellStyle name="Normal 2 4 2 60" xfId="14734"/>
    <cellStyle name="Normal 2 4 2 61" xfId="14735"/>
    <cellStyle name="Normal 2 4 2 62" xfId="14736"/>
    <cellStyle name="Normal 2 4 2 63" xfId="14737"/>
    <cellStyle name="Normal 2 4 2 64" xfId="14738"/>
    <cellStyle name="Normal 2 4 2 65" xfId="14739"/>
    <cellStyle name="Normal 2 4 2 66" xfId="14740"/>
    <cellStyle name="Normal 2 4 2 67" xfId="14741"/>
    <cellStyle name="Normal 2 4 2 68" xfId="14742"/>
    <cellStyle name="Normal 2 4 2 69" xfId="14743"/>
    <cellStyle name="Normal 2 4 2 7" xfId="14744"/>
    <cellStyle name="Normal 2 4 2 70" xfId="14745"/>
    <cellStyle name="Normal 2 4 2 71" xfId="14746"/>
    <cellStyle name="Normal 2 4 2 72" xfId="14747"/>
    <cellStyle name="Normal 2 4 2 73" xfId="14748"/>
    <cellStyle name="Normal 2 4 2 74" xfId="14749"/>
    <cellStyle name="Normal 2 4 2 75" xfId="14750"/>
    <cellStyle name="Normal 2 4 2 76" xfId="14751"/>
    <cellStyle name="Normal 2 4 2 77" xfId="14752"/>
    <cellStyle name="Normal 2 4 2 78" xfId="14753"/>
    <cellStyle name="Normal 2 4 2 79" xfId="14754"/>
    <cellStyle name="Normal 2 4 2 8" xfId="14755"/>
    <cellStyle name="Normal 2 4 2 80" xfId="14756"/>
    <cellStyle name="Normal 2 4 2 81" xfId="14757"/>
    <cellStyle name="Normal 2 4 2 82" xfId="14758"/>
    <cellStyle name="Normal 2 4 2 83" xfId="14759"/>
    <cellStyle name="Normal 2 4 2 9" xfId="14760"/>
    <cellStyle name="Normal 2 4 20" xfId="14761"/>
    <cellStyle name="Normal 2 4 21" xfId="14762"/>
    <cellStyle name="Normal 2 4 22" xfId="14763"/>
    <cellStyle name="Normal 2 4 23" xfId="14764"/>
    <cellStyle name="Normal 2 4 24" xfId="14765"/>
    <cellStyle name="Normal 2 4 25" xfId="14766"/>
    <cellStyle name="Normal 2 4 26" xfId="14767"/>
    <cellStyle name="Normal 2 4 27" xfId="14768"/>
    <cellStyle name="Normal 2 4 28" xfId="14769"/>
    <cellStyle name="Normal 2 4 29" xfId="14770"/>
    <cellStyle name="Normal 2 4 3" xfId="14771"/>
    <cellStyle name="Normal 2 4 30" xfId="14772"/>
    <cellStyle name="Normal 2 4 31" xfId="14773"/>
    <cellStyle name="Normal 2 4 32" xfId="14774"/>
    <cellStyle name="Normal 2 4 33" xfId="14775"/>
    <cellStyle name="Normal 2 4 34" xfId="14776"/>
    <cellStyle name="Normal 2 4 35" xfId="14777"/>
    <cellStyle name="Normal 2 4 36" xfId="14778"/>
    <cellStyle name="Normal 2 4 37" xfId="14779"/>
    <cellStyle name="Normal 2 4 38" xfId="14780"/>
    <cellStyle name="Normal 2 4 39" xfId="14781"/>
    <cellStyle name="Normal 2 4 4" xfId="14782"/>
    <cellStyle name="Normal 2 4 40" xfId="14783"/>
    <cellStyle name="Normal 2 4 41" xfId="14784"/>
    <cellStyle name="Normal 2 4 42" xfId="14785"/>
    <cellStyle name="Normal 2 4 43" xfId="14786"/>
    <cellStyle name="Normal 2 4 44" xfId="14787"/>
    <cellStyle name="Normal 2 4 45" xfId="14788"/>
    <cellStyle name="Normal 2 4 46" xfId="14789"/>
    <cellStyle name="Normal 2 4 47" xfId="14790"/>
    <cellStyle name="Normal 2 4 48" xfId="14791"/>
    <cellStyle name="Normal 2 4 49" xfId="14792"/>
    <cellStyle name="Normal 2 4 5" xfId="14793"/>
    <cellStyle name="Normal 2 4 50" xfId="14794"/>
    <cellStyle name="Normal 2 4 51" xfId="14795"/>
    <cellStyle name="Normal 2 4 52" xfId="14796"/>
    <cellStyle name="Normal 2 4 53" xfId="14797"/>
    <cellStyle name="Normal 2 4 54" xfId="14798"/>
    <cellStyle name="Normal 2 4 55" xfId="14799"/>
    <cellStyle name="Normal 2 4 56" xfId="14800"/>
    <cellStyle name="Normal 2 4 57" xfId="14801"/>
    <cellStyle name="Normal 2 4 58" xfId="14802"/>
    <cellStyle name="Normal 2 4 59" xfId="14803"/>
    <cellStyle name="Normal 2 4 6" xfId="14804"/>
    <cellStyle name="Normal 2 4 60" xfId="14805"/>
    <cellStyle name="Normal 2 4 61" xfId="14806"/>
    <cellStyle name="Normal 2 4 62" xfId="14807"/>
    <cellStyle name="Normal 2 4 63" xfId="14808"/>
    <cellStyle name="Normal 2 4 64" xfId="14809"/>
    <cellStyle name="Normal 2 4 65" xfId="14810"/>
    <cellStyle name="Normal 2 4 66" xfId="14811"/>
    <cellStyle name="Normal 2 4 67" xfId="14812"/>
    <cellStyle name="Normal 2 4 68" xfId="14813"/>
    <cellStyle name="Normal 2 4 69" xfId="14814"/>
    <cellStyle name="Normal 2 4 7" xfId="14815"/>
    <cellStyle name="Normal 2 4 70" xfId="14816"/>
    <cellStyle name="Normal 2 4 71" xfId="14817"/>
    <cellStyle name="Normal 2 4 72" xfId="14818"/>
    <cellStyle name="Normal 2 4 73" xfId="14819"/>
    <cellStyle name="Normal 2 4 74" xfId="14820"/>
    <cellStyle name="Normal 2 4 75" xfId="14821"/>
    <cellStyle name="Normal 2 4 76" xfId="14822"/>
    <cellStyle name="Normal 2 4 77" xfId="14823"/>
    <cellStyle name="Normal 2 4 78" xfId="14824"/>
    <cellStyle name="Normal 2 4 79" xfId="14825"/>
    <cellStyle name="Normal 2 4 8" xfId="14826"/>
    <cellStyle name="Normal 2 4 80" xfId="14827"/>
    <cellStyle name="Normal 2 4 81" xfId="14828"/>
    <cellStyle name="Normal 2 4 82" xfId="14829"/>
    <cellStyle name="Normal 2 4 83" xfId="14830"/>
    <cellStyle name="Normal 2 4 84" xfId="14831"/>
    <cellStyle name="Normal 2 4 9" xfId="14832"/>
    <cellStyle name="Normal 2 4_Cultura y Tiempo libre 2011 base 2012 PGM - EMV  2013" xfId="14833"/>
    <cellStyle name="Normal 2 40" xfId="14834"/>
    <cellStyle name="Normal 2 41" xfId="14835"/>
    <cellStyle name="Normal 2 42" xfId="14836"/>
    <cellStyle name="Normal 2 43" xfId="14837"/>
    <cellStyle name="Normal 2 44" xfId="14838"/>
    <cellStyle name="Normal 2 45" xfId="14839"/>
    <cellStyle name="Normal 2 46" xfId="14840"/>
    <cellStyle name="Normal 2 47" xfId="14841"/>
    <cellStyle name="Normal 2 48" xfId="14842"/>
    <cellStyle name="Normal 2 49" xfId="14843"/>
    <cellStyle name="Normal 2 5" xfId="14844"/>
    <cellStyle name="Normal 2 5 10" xfId="14845"/>
    <cellStyle name="Normal 2 5 11" xfId="14846"/>
    <cellStyle name="Normal 2 5 12" xfId="14847"/>
    <cellStyle name="Normal 2 5 13" xfId="14848"/>
    <cellStyle name="Normal 2 5 14" xfId="14849"/>
    <cellStyle name="Normal 2 5 15" xfId="14850"/>
    <cellStyle name="Normal 2 5 16" xfId="14851"/>
    <cellStyle name="Normal 2 5 17" xfId="14852"/>
    <cellStyle name="Normal 2 5 18" xfId="14853"/>
    <cellStyle name="Normal 2 5 19" xfId="14854"/>
    <cellStyle name="Normal 2 5 2" xfId="14855"/>
    <cellStyle name="Normal 2 5 2 10" xfId="14856"/>
    <cellStyle name="Normal 2 5 2 11" xfId="14857"/>
    <cellStyle name="Normal 2 5 2 12" xfId="14858"/>
    <cellStyle name="Normal 2 5 2 13" xfId="14859"/>
    <cellStyle name="Normal 2 5 2 14" xfId="14860"/>
    <cellStyle name="Normal 2 5 2 15" xfId="14861"/>
    <cellStyle name="Normal 2 5 2 16" xfId="14862"/>
    <cellStyle name="Normal 2 5 2 17" xfId="14863"/>
    <cellStyle name="Normal 2 5 2 18" xfId="14864"/>
    <cellStyle name="Normal 2 5 2 19" xfId="14865"/>
    <cellStyle name="Normal 2 5 2 2" xfId="14866"/>
    <cellStyle name="Normal 2 5 2 20" xfId="14867"/>
    <cellStyle name="Normal 2 5 2 21" xfId="14868"/>
    <cellStyle name="Normal 2 5 2 22" xfId="14869"/>
    <cellStyle name="Normal 2 5 2 23" xfId="14870"/>
    <cellStyle name="Normal 2 5 2 24" xfId="14871"/>
    <cellStyle name="Normal 2 5 2 25" xfId="14872"/>
    <cellStyle name="Normal 2 5 2 26" xfId="14873"/>
    <cellStyle name="Normal 2 5 2 27" xfId="14874"/>
    <cellStyle name="Normal 2 5 2 28" xfId="14875"/>
    <cellStyle name="Normal 2 5 2 29" xfId="14876"/>
    <cellStyle name="Normal 2 5 2 3" xfId="14877"/>
    <cellStyle name="Normal 2 5 2 30" xfId="14878"/>
    <cellStyle name="Normal 2 5 2 31" xfId="14879"/>
    <cellStyle name="Normal 2 5 2 32" xfId="14880"/>
    <cellStyle name="Normal 2 5 2 33" xfId="14881"/>
    <cellStyle name="Normal 2 5 2 34" xfId="14882"/>
    <cellStyle name="Normal 2 5 2 35" xfId="14883"/>
    <cellStyle name="Normal 2 5 2 36" xfId="14884"/>
    <cellStyle name="Normal 2 5 2 37" xfId="14885"/>
    <cellStyle name="Normal 2 5 2 38" xfId="14886"/>
    <cellStyle name="Normal 2 5 2 39" xfId="14887"/>
    <cellStyle name="Normal 2 5 2 4" xfId="14888"/>
    <cellStyle name="Normal 2 5 2 40" xfId="14889"/>
    <cellStyle name="Normal 2 5 2 41" xfId="14890"/>
    <cellStyle name="Normal 2 5 2 42" xfId="14891"/>
    <cellStyle name="Normal 2 5 2 43" xfId="14892"/>
    <cellStyle name="Normal 2 5 2 44" xfId="14893"/>
    <cellStyle name="Normal 2 5 2 45" xfId="14894"/>
    <cellStyle name="Normal 2 5 2 46" xfId="14895"/>
    <cellStyle name="Normal 2 5 2 47" xfId="14896"/>
    <cellStyle name="Normal 2 5 2 48" xfId="14897"/>
    <cellStyle name="Normal 2 5 2 49" xfId="14898"/>
    <cellStyle name="Normal 2 5 2 5" xfId="14899"/>
    <cellStyle name="Normal 2 5 2 50" xfId="14900"/>
    <cellStyle name="Normal 2 5 2 51" xfId="14901"/>
    <cellStyle name="Normal 2 5 2 52" xfId="14902"/>
    <cellStyle name="Normal 2 5 2 53" xfId="14903"/>
    <cellStyle name="Normal 2 5 2 54" xfId="14904"/>
    <cellStyle name="Normal 2 5 2 55" xfId="14905"/>
    <cellStyle name="Normal 2 5 2 56" xfId="14906"/>
    <cellStyle name="Normal 2 5 2 57" xfId="14907"/>
    <cellStyle name="Normal 2 5 2 58" xfId="14908"/>
    <cellStyle name="Normal 2 5 2 59" xfId="14909"/>
    <cellStyle name="Normal 2 5 2 6" xfId="14910"/>
    <cellStyle name="Normal 2 5 2 60" xfId="14911"/>
    <cellStyle name="Normal 2 5 2 61" xfId="14912"/>
    <cellStyle name="Normal 2 5 2 62" xfId="14913"/>
    <cellStyle name="Normal 2 5 2 63" xfId="14914"/>
    <cellStyle name="Normal 2 5 2 64" xfId="14915"/>
    <cellStyle name="Normal 2 5 2 65" xfId="14916"/>
    <cellStyle name="Normal 2 5 2 66" xfId="14917"/>
    <cellStyle name="Normal 2 5 2 67" xfId="14918"/>
    <cellStyle name="Normal 2 5 2 68" xfId="14919"/>
    <cellStyle name="Normal 2 5 2 69" xfId="14920"/>
    <cellStyle name="Normal 2 5 2 7" xfId="14921"/>
    <cellStyle name="Normal 2 5 2 70" xfId="14922"/>
    <cellStyle name="Normal 2 5 2 71" xfId="14923"/>
    <cellStyle name="Normal 2 5 2 72" xfId="14924"/>
    <cellStyle name="Normal 2 5 2 73" xfId="14925"/>
    <cellStyle name="Normal 2 5 2 74" xfId="14926"/>
    <cellStyle name="Normal 2 5 2 75" xfId="14927"/>
    <cellStyle name="Normal 2 5 2 76" xfId="14928"/>
    <cellStyle name="Normal 2 5 2 77" xfId="14929"/>
    <cellStyle name="Normal 2 5 2 78" xfId="14930"/>
    <cellStyle name="Normal 2 5 2 79" xfId="14931"/>
    <cellStyle name="Normal 2 5 2 8" xfId="14932"/>
    <cellStyle name="Normal 2 5 2 80" xfId="14933"/>
    <cellStyle name="Normal 2 5 2 81" xfId="14934"/>
    <cellStyle name="Normal 2 5 2 82" xfId="14935"/>
    <cellStyle name="Normal 2 5 2 83" xfId="14936"/>
    <cellStyle name="Normal 2 5 2 9" xfId="14937"/>
    <cellStyle name="Normal 2 5 20" xfId="14938"/>
    <cellStyle name="Normal 2 5 21" xfId="14939"/>
    <cellStyle name="Normal 2 5 22" xfId="14940"/>
    <cellStyle name="Normal 2 5 23" xfId="14941"/>
    <cellStyle name="Normal 2 5 24" xfId="14942"/>
    <cellStyle name="Normal 2 5 25" xfId="14943"/>
    <cellStyle name="Normal 2 5 26" xfId="14944"/>
    <cellStyle name="Normal 2 5 27" xfId="14945"/>
    <cellStyle name="Normal 2 5 28" xfId="14946"/>
    <cellStyle name="Normal 2 5 29" xfId="14947"/>
    <cellStyle name="Normal 2 5 3" xfId="14948"/>
    <cellStyle name="Normal 2 5 30" xfId="14949"/>
    <cellStyle name="Normal 2 5 31" xfId="14950"/>
    <cellStyle name="Normal 2 5 32" xfId="14951"/>
    <cellStyle name="Normal 2 5 33" xfId="14952"/>
    <cellStyle name="Normal 2 5 34" xfId="14953"/>
    <cellStyle name="Normal 2 5 35" xfId="14954"/>
    <cellStyle name="Normal 2 5 36" xfId="14955"/>
    <cellStyle name="Normal 2 5 37" xfId="14956"/>
    <cellStyle name="Normal 2 5 38" xfId="14957"/>
    <cellStyle name="Normal 2 5 39" xfId="14958"/>
    <cellStyle name="Normal 2 5 4" xfId="14959"/>
    <cellStyle name="Normal 2 5 40" xfId="14960"/>
    <cellStyle name="Normal 2 5 41" xfId="14961"/>
    <cellStyle name="Normal 2 5 42" xfId="14962"/>
    <cellStyle name="Normal 2 5 43" xfId="14963"/>
    <cellStyle name="Normal 2 5 44" xfId="14964"/>
    <cellStyle name="Normal 2 5 45" xfId="14965"/>
    <cellStyle name="Normal 2 5 46" xfId="14966"/>
    <cellStyle name="Normal 2 5 47" xfId="14967"/>
    <cellStyle name="Normal 2 5 48" xfId="14968"/>
    <cellStyle name="Normal 2 5 49" xfId="14969"/>
    <cellStyle name="Normal 2 5 5" xfId="14970"/>
    <cellStyle name="Normal 2 5 50" xfId="14971"/>
    <cellStyle name="Normal 2 5 51" xfId="14972"/>
    <cellStyle name="Normal 2 5 52" xfId="14973"/>
    <cellStyle name="Normal 2 5 53" xfId="14974"/>
    <cellStyle name="Normal 2 5 54" xfId="14975"/>
    <cellStyle name="Normal 2 5 55" xfId="14976"/>
    <cellStyle name="Normal 2 5 56" xfId="14977"/>
    <cellStyle name="Normal 2 5 57" xfId="14978"/>
    <cellStyle name="Normal 2 5 58" xfId="14979"/>
    <cellStyle name="Normal 2 5 59" xfId="14980"/>
    <cellStyle name="Normal 2 5 6" xfId="14981"/>
    <cellStyle name="Normal 2 5 60" xfId="14982"/>
    <cellStyle name="Normal 2 5 61" xfId="14983"/>
    <cellStyle name="Normal 2 5 62" xfId="14984"/>
    <cellStyle name="Normal 2 5 63" xfId="14985"/>
    <cellStyle name="Normal 2 5 64" xfId="14986"/>
    <cellStyle name="Normal 2 5 65" xfId="14987"/>
    <cellStyle name="Normal 2 5 66" xfId="14988"/>
    <cellStyle name="Normal 2 5 67" xfId="14989"/>
    <cellStyle name="Normal 2 5 68" xfId="14990"/>
    <cellStyle name="Normal 2 5 69" xfId="14991"/>
    <cellStyle name="Normal 2 5 7" xfId="14992"/>
    <cellStyle name="Normal 2 5 70" xfId="14993"/>
    <cellStyle name="Normal 2 5 71" xfId="14994"/>
    <cellStyle name="Normal 2 5 72" xfId="14995"/>
    <cellStyle name="Normal 2 5 73" xfId="14996"/>
    <cellStyle name="Normal 2 5 74" xfId="14997"/>
    <cellStyle name="Normal 2 5 75" xfId="14998"/>
    <cellStyle name="Normal 2 5 76" xfId="14999"/>
    <cellStyle name="Normal 2 5 77" xfId="15000"/>
    <cellStyle name="Normal 2 5 78" xfId="15001"/>
    <cellStyle name="Normal 2 5 79" xfId="15002"/>
    <cellStyle name="Normal 2 5 8" xfId="15003"/>
    <cellStyle name="Normal 2 5 80" xfId="15004"/>
    <cellStyle name="Normal 2 5 81" xfId="15005"/>
    <cellStyle name="Normal 2 5 82" xfId="15006"/>
    <cellStyle name="Normal 2 5 83" xfId="15007"/>
    <cellStyle name="Normal 2 5 84" xfId="15008"/>
    <cellStyle name="Normal 2 5 9" xfId="15009"/>
    <cellStyle name="Normal 2 5_Cultura y Tiempo libre 2011 base 2012 PGM - EMV  2013" xfId="15010"/>
    <cellStyle name="Normal 2 50" xfId="15011"/>
    <cellStyle name="Normal 2 51" xfId="15012"/>
    <cellStyle name="Normal 2 52" xfId="15013"/>
    <cellStyle name="Normal 2 53" xfId="15014"/>
    <cellStyle name="Normal 2 54" xfId="15015"/>
    <cellStyle name="Normal 2 55" xfId="15016"/>
    <cellStyle name="Normal 2 56" xfId="15017"/>
    <cellStyle name="Normal 2 57" xfId="15018"/>
    <cellStyle name="Normal 2 58" xfId="15019"/>
    <cellStyle name="Normal 2 59" xfId="15020"/>
    <cellStyle name="Normal 2 6" xfId="15021"/>
    <cellStyle name="Normal 2 6 10" xfId="15022"/>
    <cellStyle name="Normal 2 6 11" xfId="15023"/>
    <cellStyle name="Normal 2 6 12" xfId="15024"/>
    <cellStyle name="Normal 2 6 13" xfId="15025"/>
    <cellStyle name="Normal 2 6 14" xfId="15026"/>
    <cellStyle name="Normal 2 6 15" xfId="15027"/>
    <cellStyle name="Normal 2 6 16" xfId="15028"/>
    <cellStyle name="Normal 2 6 17" xfId="15029"/>
    <cellStyle name="Normal 2 6 18" xfId="15030"/>
    <cellStyle name="Normal 2 6 19" xfId="15031"/>
    <cellStyle name="Normal 2 6 2" xfId="15032"/>
    <cellStyle name="Normal 2 6 2 10" xfId="15033"/>
    <cellStyle name="Normal 2 6 2 11" xfId="15034"/>
    <cellStyle name="Normal 2 6 2 12" xfId="15035"/>
    <cellStyle name="Normal 2 6 2 13" xfId="15036"/>
    <cellStyle name="Normal 2 6 2 14" xfId="15037"/>
    <cellStyle name="Normal 2 6 2 15" xfId="15038"/>
    <cellStyle name="Normal 2 6 2 16" xfId="15039"/>
    <cellStyle name="Normal 2 6 2 17" xfId="15040"/>
    <cellStyle name="Normal 2 6 2 18" xfId="15041"/>
    <cellStyle name="Normal 2 6 2 19" xfId="15042"/>
    <cellStyle name="Normal 2 6 2 2" xfId="15043"/>
    <cellStyle name="Normal 2 6 2 20" xfId="15044"/>
    <cellStyle name="Normal 2 6 2 21" xfId="15045"/>
    <cellStyle name="Normal 2 6 2 22" xfId="15046"/>
    <cellStyle name="Normal 2 6 2 23" xfId="15047"/>
    <cellStyle name="Normal 2 6 2 24" xfId="15048"/>
    <cellStyle name="Normal 2 6 2 25" xfId="15049"/>
    <cellStyle name="Normal 2 6 2 26" xfId="15050"/>
    <cellStyle name="Normal 2 6 2 27" xfId="15051"/>
    <cellStyle name="Normal 2 6 2 28" xfId="15052"/>
    <cellStyle name="Normal 2 6 2 29" xfId="15053"/>
    <cellStyle name="Normal 2 6 2 3" xfId="15054"/>
    <cellStyle name="Normal 2 6 2 30" xfId="15055"/>
    <cellStyle name="Normal 2 6 2 31" xfId="15056"/>
    <cellStyle name="Normal 2 6 2 32" xfId="15057"/>
    <cellStyle name="Normal 2 6 2 33" xfId="15058"/>
    <cellStyle name="Normal 2 6 2 34" xfId="15059"/>
    <cellStyle name="Normal 2 6 2 35" xfId="15060"/>
    <cellStyle name="Normal 2 6 2 36" xfId="15061"/>
    <cellStyle name="Normal 2 6 2 37" xfId="15062"/>
    <cellStyle name="Normal 2 6 2 38" xfId="15063"/>
    <cellStyle name="Normal 2 6 2 39" xfId="15064"/>
    <cellStyle name="Normal 2 6 2 4" xfId="15065"/>
    <cellStyle name="Normal 2 6 2 40" xfId="15066"/>
    <cellStyle name="Normal 2 6 2 41" xfId="15067"/>
    <cellStyle name="Normal 2 6 2 42" xfId="15068"/>
    <cellStyle name="Normal 2 6 2 43" xfId="15069"/>
    <cellStyle name="Normal 2 6 2 44" xfId="15070"/>
    <cellStyle name="Normal 2 6 2 45" xfId="15071"/>
    <cellStyle name="Normal 2 6 2 46" xfId="15072"/>
    <cellStyle name="Normal 2 6 2 47" xfId="15073"/>
    <cellStyle name="Normal 2 6 2 48" xfId="15074"/>
    <cellStyle name="Normal 2 6 2 49" xfId="15075"/>
    <cellStyle name="Normal 2 6 2 5" xfId="15076"/>
    <cellStyle name="Normal 2 6 2 50" xfId="15077"/>
    <cellStyle name="Normal 2 6 2 51" xfId="15078"/>
    <cellStyle name="Normal 2 6 2 52" xfId="15079"/>
    <cellStyle name="Normal 2 6 2 53" xfId="15080"/>
    <cellStyle name="Normal 2 6 2 54" xfId="15081"/>
    <cellStyle name="Normal 2 6 2 55" xfId="15082"/>
    <cellStyle name="Normal 2 6 2 56" xfId="15083"/>
    <cellStyle name="Normal 2 6 2 57" xfId="15084"/>
    <cellStyle name="Normal 2 6 2 58" xfId="15085"/>
    <cellStyle name="Normal 2 6 2 59" xfId="15086"/>
    <cellStyle name="Normal 2 6 2 6" xfId="15087"/>
    <cellStyle name="Normal 2 6 2 60" xfId="15088"/>
    <cellStyle name="Normal 2 6 2 61" xfId="15089"/>
    <cellStyle name="Normal 2 6 2 62" xfId="15090"/>
    <cellStyle name="Normal 2 6 2 63" xfId="15091"/>
    <cellStyle name="Normal 2 6 2 64" xfId="15092"/>
    <cellStyle name="Normal 2 6 2 65" xfId="15093"/>
    <cellStyle name="Normal 2 6 2 66" xfId="15094"/>
    <cellStyle name="Normal 2 6 2 67" xfId="15095"/>
    <cellStyle name="Normal 2 6 2 68" xfId="15096"/>
    <cellStyle name="Normal 2 6 2 69" xfId="15097"/>
    <cellStyle name="Normal 2 6 2 7" xfId="15098"/>
    <cellStyle name="Normal 2 6 2 70" xfId="15099"/>
    <cellStyle name="Normal 2 6 2 71" xfId="15100"/>
    <cellStyle name="Normal 2 6 2 72" xfId="15101"/>
    <cellStyle name="Normal 2 6 2 73" xfId="15102"/>
    <cellStyle name="Normal 2 6 2 74" xfId="15103"/>
    <cellStyle name="Normal 2 6 2 75" xfId="15104"/>
    <cellStyle name="Normal 2 6 2 76" xfId="15105"/>
    <cellStyle name="Normal 2 6 2 77" xfId="15106"/>
    <cellStyle name="Normal 2 6 2 78" xfId="15107"/>
    <cellStyle name="Normal 2 6 2 79" xfId="15108"/>
    <cellStyle name="Normal 2 6 2 8" xfId="15109"/>
    <cellStyle name="Normal 2 6 2 80" xfId="15110"/>
    <cellStyle name="Normal 2 6 2 81" xfId="15111"/>
    <cellStyle name="Normal 2 6 2 82" xfId="15112"/>
    <cellStyle name="Normal 2 6 2 83" xfId="15113"/>
    <cellStyle name="Normal 2 6 2 9" xfId="15114"/>
    <cellStyle name="Normal 2 6 20" xfId="15115"/>
    <cellStyle name="Normal 2 6 21" xfId="15116"/>
    <cellStyle name="Normal 2 6 22" xfId="15117"/>
    <cellStyle name="Normal 2 6 23" xfId="15118"/>
    <cellStyle name="Normal 2 6 24" xfId="15119"/>
    <cellStyle name="Normal 2 6 25" xfId="15120"/>
    <cellStyle name="Normal 2 6 26" xfId="15121"/>
    <cellStyle name="Normal 2 6 27" xfId="15122"/>
    <cellStyle name="Normal 2 6 28" xfId="15123"/>
    <cellStyle name="Normal 2 6 29" xfId="15124"/>
    <cellStyle name="Normal 2 6 3" xfId="15125"/>
    <cellStyle name="Normal 2 6 30" xfId="15126"/>
    <cellStyle name="Normal 2 6 31" xfId="15127"/>
    <cellStyle name="Normal 2 6 32" xfId="15128"/>
    <cellStyle name="Normal 2 6 33" xfId="15129"/>
    <cellStyle name="Normal 2 6 34" xfId="15130"/>
    <cellStyle name="Normal 2 6 35" xfId="15131"/>
    <cellStyle name="Normal 2 6 36" xfId="15132"/>
    <cellStyle name="Normal 2 6 37" xfId="15133"/>
    <cellStyle name="Normal 2 6 38" xfId="15134"/>
    <cellStyle name="Normal 2 6 39" xfId="15135"/>
    <cellStyle name="Normal 2 6 4" xfId="15136"/>
    <cellStyle name="Normal 2 6 40" xfId="15137"/>
    <cellStyle name="Normal 2 6 41" xfId="15138"/>
    <cellStyle name="Normal 2 6 42" xfId="15139"/>
    <cellStyle name="Normal 2 6 43" xfId="15140"/>
    <cellStyle name="Normal 2 6 44" xfId="15141"/>
    <cellStyle name="Normal 2 6 45" xfId="15142"/>
    <cellStyle name="Normal 2 6 46" xfId="15143"/>
    <cellStyle name="Normal 2 6 47" xfId="15144"/>
    <cellStyle name="Normal 2 6 48" xfId="15145"/>
    <cellStyle name="Normal 2 6 49" xfId="15146"/>
    <cellStyle name="Normal 2 6 5" xfId="15147"/>
    <cellStyle name="Normal 2 6 50" xfId="15148"/>
    <cellStyle name="Normal 2 6 51" xfId="15149"/>
    <cellStyle name="Normal 2 6 52" xfId="15150"/>
    <cellStyle name="Normal 2 6 53" xfId="15151"/>
    <cellStyle name="Normal 2 6 54" xfId="15152"/>
    <cellStyle name="Normal 2 6 55" xfId="15153"/>
    <cellStyle name="Normal 2 6 56" xfId="15154"/>
    <cellStyle name="Normal 2 6 57" xfId="15155"/>
    <cellStyle name="Normal 2 6 58" xfId="15156"/>
    <cellStyle name="Normal 2 6 59" xfId="15157"/>
    <cellStyle name="Normal 2 6 6" xfId="15158"/>
    <cellStyle name="Normal 2 6 60" xfId="15159"/>
    <cellStyle name="Normal 2 6 61" xfId="15160"/>
    <cellStyle name="Normal 2 6 62" xfId="15161"/>
    <cellStyle name="Normal 2 6 63" xfId="15162"/>
    <cellStyle name="Normal 2 6 64" xfId="15163"/>
    <cellStyle name="Normal 2 6 65" xfId="15164"/>
    <cellStyle name="Normal 2 6 66" xfId="15165"/>
    <cellStyle name="Normal 2 6 67" xfId="15166"/>
    <cellStyle name="Normal 2 6 68" xfId="15167"/>
    <cellStyle name="Normal 2 6 69" xfId="15168"/>
    <cellStyle name="Normal 2 6 7" xfId="15169"/>
    <cellStyle name="Normal 2 6 70" xfId="15170"/>
    <cellStyle name="Normal 2 6 71" xfId="15171"/>
    <cellStyle name="Normal 2 6 72" xfId="15172"/>
    <cellStyle name="Normal 2 6 73" xfId="15173"/>
    <cellStyle name="Normal 2 6 74" xfId="15174"/>
    <cellStyle name="Normal 2 6 75" xfId="15175"/>
    <cellStyle name="Normal 2 6 76" xfId="15176"/>
    <cellStyle name="Normal 2 6 77" xfId="15177"/>
    <cellStyle name="Normal 2 6 78" xfId="15178"/>
    <cellStyle name="Normal 2 6 79" xfId="15179"/>
    <cellStyle name="Normal 2 6 8" xfId="15180"/>
    <cellStyle name="Normal 2 6 80" xfId="15181"/>
    <cellStyle name="Normal 2 6 81" xfId="15182"/>
    <cellStyle name="Normal 2 6 82" xfId="15183"/>
    <cellStyle name="Normal 2 6 83" xfId="15184"/>
    <cellStyle name="Normal 2 6 84" xfId="15185"/>
    <cellStyle name="Normal 2 6 9" xfId="15186"/>
    <cellStyle name="Normal 2 6_Cultura y Tiempo libre 2011 base 2012 PGM - EMV  2013" xfId="15187"/>
    <cellStyle name="Normal 2 60" xfId="15188"/>
    <cellStyle name="Normal 2 61" xfId="15189"/>
    <cellStyle name="Normal 2 62" xfId="15190"/>
    <cellStyle name="Normal 2 63" xfId="15191"/>
    <cellStyle name="Normal 2 64" xfId="15192"/>
    <cellStyle name="Normal 2 65" xfId="15193"/>
    <cellStyle name="Normal 2 66" xfId="15194"/>
    <cellStyle name="Normal 2 67" xfId="15195"/>
    <cellStyle name="Normal 2 68" xfId="15196"/>
    <cellStyle name="Normal 2 69" xfId="15197"/>
    <cellStyle name="Normal 2 7" xfId="15198"/>
    <cellStyle name="Normal 2 7 10" xfId="15199"/>
    <cellStyle name="Normal 2 7 11" xfId="15200"/>
    <cellStyle name="Normal 2 7 12" xfId="15201"/>
    <cellStyle name="Normal 2 7 13" xfId="15202"/>
    <cellStyle name="Normal 2 7 14" xfId="15203"/>
    <cellStyle name="Normal 2 7 15" xfId="15204"/>
    <cellStyle name="Normal 2 7 16" xfId="15205"/>
    <cellStyle name="Normal 2 7 17" xfId="15206"/>
    <cellStyle name="Normal 2 7 18" xfId="15207"/>
    <cellStyle name="Normal 2 7 19" xfId="15208"/>
    <cellStyle name="Normal 2 7 2" xfId="15209"/>
    <cellStyle name="Normal 2 7 20" xfId="15210"/>
    <cellStyle name="Normal 2 7 21" xfId="15211"/>
    <cellStyle name="Normal 2 7 22" xfId="15212"/>
    <cellStyle name="Normal 2 7 23" xfId="15213"/>
    <cellStyle name="Normal 2 7 24" xfId="15214"/>
    <cellStyle name="Normal 2 7 25" xfId="15215"/>
    <cellStyle name="Normal 2 7 26" xfId="15216"/>
    <cellStyle name="Normal 2 7 27" xfId="15217"/>
    <cellStyle name="Normal 2 7 28" xfId="15218"/>
    <cellStyle name="Normal 2 7 29" xfId="15219"/>
    <cellStyle name="Normal 2 7 3" xfId="15220"/>
    <cellStyle name="Normal 2 7 30" xfId="15221"/>
    <cellStyle name="Normal 2 7 31" xfId="15222"/>
    <cellStyle name="Normal 2 7 32" xfId="15223"/>
    <cellStyle name="Normal 2 7 33" xfId="15224"/>
    <cellStyle name="Normal 2 7 34" xfId="15225"/>
    <cellStyle name="Normal 2 7 35" xfId="15226"/>
    <cellStyle name="Normal 2 7 36" xfId="15227"/>
    <cellStyle name="Normal 2 7 37" xfId="15228"/>
    <cellStyle name="Normal 2 7 38" xfId="15229"/>
    <cellStyle name="Normal 2 7 39" xfId="15230"/>
    <cellStyle name="Normal 2 7 4" xfId="15231"/>
    <cellStyle name="Normal 2 7 40" xfId="15232"/>
    <cellStyle name="Normal 2 7 41" xfId="15233"/>
    <cellStyle name="Normal 2 7 42" xfId="15234"/>
    <cellStyle name="Normal 2 7 43" xfId="15235"/>
    <cellStyle name="Normal 2 7 44" xfId="15236"/>
    <cellStyle name="Normal 2 7 45" xfId="15237"/>
    <cellStyle name="Normal 2 7 46" xfId="15238"/>
    <cellStyle name="Normal 2 7 47" xfId="15239"/>
    <cellStyle name="Normal 2 7 48" xfId="15240"/>
    <cellStyle name="Normal 2 7 49" xfId="15241"/>
    <cellStyle name="Normal 2 7 5" xfId="15242"/>
    <cellStyle name="Normal 2 7 50" xfId="15243"/>
    <cellStyle name="Normal 2 7 51" xfId="15244"/>
    <cellStyle name="Normal 2 7 52" xfId="15245"/>
    <cellStyle name="Normal 2 7 53" xfId="15246"/>
    <cellStyle name="Normal 2 7 54" xfId="15247"/>
    <cellStyle name="Normal 2 7 55" xfId="15248"/>
    <cellStyle name="Normal 2 7 56" xfId="15249"/>
    <cellStyle name="Normal 2 7 57" xfId="15250"/>
    <cellStyle name="Normal 2 7 58" xfId="15251"/>
    <cellStyle name="Normal 2 7 59" xfId="15252"/>
    <cellStyle name="Normal 2 7 6" xfId="15253"/>
    <cellStyle name="Normal 2 7 60" xfId="15254"/>
    <cellStyle name="Normal 2 7 61" xfId="15255"/>
    <cellStyle name="Normal 2 7 62" xfId="15256"/>
    <cellStyle name="Normal 2 7 63" xfId="15257"/>
    <cellStyle name="Normal 2 7 64" xfId="15258"/>
    <cellStyle name="Normal 2 7 65" xfId="15259"/>
    <cellStyle name="Normal 2 7 66" xfId="15260"/>
    <cellStyle name="Normal 2 7 67" xfId="15261"/>
    <cellStyle name="Normal 2 7 68" xfId="15262"/>
    <cellStyle name="Normal 2 7 69" xfId="15263"/>
    <cellStyle name="Normal 2 7 7" xfId="15264"/>
    <cellStyle name="Normal 2 7 70" xfId="15265"/>
    <cellStyle name="Normal 2 7 71" xfId="15266"/>
    <cellStyle name="Normal 2 7 72" xfId="15267"/>
    <cellStyle name="Normal 2 7 73" xfId="15268"/>
    <cellStyle name="Normal 2 7 74" xfId="15269"/>
    <cellStyle name="Normal 2 7 75" xfId="15270"/>
    <cellStyle name="Normal 2 7 76" xfId="15271"/>
    <cellStyle name="Normal 2 7 77" xfId="15272"/>
    <cellStyle name="Normal 2 7 78" xfId="15273"/>
    <cellStyle name="Normal 2 7 79" xfId="15274"/>
    <cellStyle name="Normal 2 7 8" xfId="15275"/>
    <cellStyle name="Normal 2 7 80" xfId="15276"/>
    <cellStyle name="Normal 2 7 81" xfId="15277"/>
    <cellStyle name="Normal 2 7 82" xfId="15278"/>
    <cellStyle name="Normal 2 7 83" xfId="15279"/>
    <cellStyle name="Normal 2 7 9" xfId="15280"/>
    <cellStyle name="Normal 2 70" xfId="15281"/>
    <cellStyle name="Normal 2 71" xfId="15282"/>
    <cellStyle name="Normal 2 72" xfId="15283"/>
    <cellStyle name="Normal 2 73" xfId="15284"/>
    <cellStyle name="Normal 2 74" xfId="15285"/>
    <cellStyle name="Normal 2 75" xfId="15286"/>
    <cellStyle name="Normal 2 76" xfId="15287"/>
    <cellStyle name="Normal 2 77" xfId="15288"/>
    <cellStyle name="Normal 2 78" xfId="15289"/>
    <cellStyle name="Normal 2 79" xfId="15290"/>
    <cellStyle name="Normal 2 8" xfId="15291"/>
    <cellStyle name="Normal 2 8 10" xfId="15292"/>
    <cellStyle name="Normal 2 8 11" xfId="15293"/>
    <cellStyle name="Normal 2 8 12" xfId="15294"/>
    <cellStyle name="Normal 2 8 13" xfId="15295"/>
    <cellStyle name="Normal 2 8 14" xfId="15296"/>
    <cellStyle name="Normal 2 8 15" xfId="15297"/>
    <cellStyle name="Normal 2 8 16" xfId="15298"/>
    <cellStyle name="Normal 2 8 17" xfId="15299"/>
    <cellStyle name="Normal 2 8 18" xfId="15300"/>
    <cellStyle name="Normal 2 8 19" xfId="15301"/>
    <cellStyle name="Normal 2 8 2" xfId="15302"/>
    <cellStyle name="Normal 2 8 20" xfId="15303"/>
    <cellStyle name="Normal 2 8 21" xfId="15304"/>
    <cellStyle name="Normal 2 8 22" xfId="15305"/>
    <cellStyle name="Normal 2 8 23" xfId="15306"/>
    <cellStyle name="Normal 2 8 24" xfId="15307"/>
    <cellStyle name="Normal 2 8 25" xfId="15308"/>
    <cellStyle name="Normal 2 8 26" xfId="15309"/>
    <cellStyle name="Normal 2 8 27" xfId="15310"/>
    <cellStyle name="Normal 2 8 28" xfId="15311"/>
    <cellStyle name="Normal 2 8 29" xfId="15312"/>
    <cellStyle name="Normal 2 8 3" xfId="15313"/>
    <cellStyle name="Normal 2 8 30" xfId="15314"/>
    <cellStyle name="Normal 2 8 31" xfId="15315"/>
    <cellStyle name="Normal 2 8 32" xfId="15316"/>
    <cellStyle name="Normal 2 8 33" xfId="15317"/>
    <cellStyle name="Normal 2 8 34" xfId="15318"/>
    <cellStyle name="Normal 2 8 35" xfId="15319"/>
    <cellStyle name="Normal 2 8 36" xfId="15320"/>
    <cellStyle name="Normal 2 8 37" xfId="15321"/>
    <cellStyle name="Normal 2 8 38" xfId="15322"/>
    <cellStyle name="Normal 2 8 39" xfId="15323"/>
    <cellStyle name="Normal 2 8 4" xfId="15324"/>
    <cellStyle name="Normal 2 8 40" xfId="15325"/>
    <cellStyle name="Normal 2 8 41" xfId="15326"/>
    <cellStyle name="Normal 2 8 42" xfId="15327"/>
    <cellStyle name="Normal 2 8 43" xfId="15328"/>
    <cellStyle name="Normal 2 8 44" xfId="15329"/>
    <cellStyle name="Normal 2 8 45" xfId="15330"/>
    <cellStyle name="Normal 2 8 46" xfId="15331"/>
    <cellStyle name="Normal 2 8 47" xfId="15332"/>
    <cellStyle name="Normal 2 8 48" xfId="15333"/>
    <cellStyle name="Normal 2 8 49" xfId="15334"/>
    <cellStyle name="Normal 2 8 5" xfId="15335"/>
    <cellStyle name="Normal 2 8 50" xfId="15336"/>
    <cellStyle name="Normal 2 8 51" xfId="15337"/>
    <cellStyle name="Normal 2 8 52" xfId="15338"/>
    <cellStyle name="Normal 2 8 53" xfId="15339"/>
    <cellStyle name="Normal 2 8 54" xfId="15340"/>
    <cellStyle name="Normal 2 8 55" xfId="15341"/>
    <cellStyle name="Normal 2 8 56" xfId="15342"/>
    <cellStyle name="Normal 2 8 57" xfId="15343"/>
    <cellStyle name="Normal 2 8 58" xfId="15344"/>
    <cellStyle name="Normal 2 8 59" xfId="15345"/>
    <cellStyle name="Normal 2 8 6" xfId="15346"/>
    <cellStyle name="Normal 2 8 60" xfId="15347"/>
    <cellStyle name="Normal 2 8 61" xfId="15348"/>
    <cellStyle name="Normal 2 8 62" xfId="15349"/>
    <cellStyle name="Normal 2 8 63" xfId="15350"/>
    <cellStyle name="Normal 2 8 64" xfId="15351"/>
    <cellStyle name="Normal 2 8 65" xfId="15352"/>
    <cellStyle name="Normal 2 8 66" xfId="15353"/>
    <cellStyle name="Normal 2 8 67" xfId="15354"/>
    <cellStyle name="Normal 2 8 68" xfId="15355"/>
    <cellStyle name="Normal 2 8 69" xfId="15356"/>
    <cellStyle name="Normal 2 8 7" xfId="15357"/>
    <cellStyle name="Normal 2 8 70" xfId="15358"/>
    <cellStyle name="Normal 2 8 71" xfId="15359"/>
    <cellStyle name="Normal 2 8 72" xfId="15360"/>
    <cellStyle name="Normal 2 8 73" xfId="15361"/>
    <cellStyle name="Normal 2 8 74" xfId="15362"/>
    <cellStyle name="Normal 2 8 75" xfId="15363"/>
    <cellStyle name="Normal 2 8 76" xfId="15364"/>
    <cellStyle name="Normal 2 8 77" xfId="15365"/>
    <cellStyle name="Normal 2 8 78" xfId="15366"/>
    <cellStyle name="Normal 2 8 79" xfId="15367"/>
    <cellStyle name="Normal 2 8 8" xfId="15368"/>
    <cellStyle name="Normal 2 8 80" xfId="15369"/>
    <cellStyle name="Normal 2 8 81" xfId="15370"/>
    <cellStyle name="Normal 2 8 82" xfId="15371"/>
    <cellStyle name="Normal 2 8 83" xfId="15372"/>
    <cellStyle name="Normal 2 8 9" xfId="15373"/>
    <cellStyle name="Normal 2 80" xfId="15374"/>
    <cellStyle name="Normal 2 81" xfId="15375"/>
    <cellStyle name="Normal 2 82" xfId="15376"/>
    <cellStyle name="Normal 2 83" xfId="15377"/>
    <cellStyle name="Normal 2 84" xfId="15378"/>
    <cellStyle name="Normal 2 85" xfId="15379"/>
    <cellStyle name="Normal 2 86" xfId="15380"/>
    <cellStyle name="Normal 2 87" xfId="15381"/>
    <cellStyle name="Normal 2 88" xfId="15382"/>
    <cellStyle name="Normal 2 88 2" xfId="36444"/>
    <cellStyle name="Normal 2 89" xfId="36455"/>
    <cellStyle name="Normal 2 89 2" xfId="36456"/>
    <cellStyle name="Normal 2 9" xfId="15383"/>
    <cellStyle name="Normal 2 9 10" xfId="15384"/>
    <cellStyle name="Normal 2 9 11" xfId="15385"/>
    <cellStyle name="Normal 2 9 12" xfId="15386"/>
    <cellStyle name="Normal 2 9 13" xfId="15387"/>
    <cellStyle name="Normal 2 9 14" xfId="15388"/>
    <cellStyle name="Normal 2 9 15" xfId="15389"/>
    <cellStyle name="Normal 2 9 16" xfId="15390"/>
    <cellStyle name="Normal 2 9 17" xfId="15391"/>
    <cellStyle name="Normal 2 9 18" xfId="15392"/>
    <cellStyle name="Normal 2 9 19" xfId="15393"/>
    <cellStyle name="Normal 2 9 2" xfId="15394"/>
    <cellStyle name="Normal 2 9 20" xfId="15395"/>
    <cellStyle name="Normal 2 9 21" xfId="15396"/>
    <cellStyle name="Normal 2 9 22" xfId="15397"/>
    <cellStyle name="Normal 2 9 23" xfId="15398"/>
    <cellStyle name="Normal 2 9 24" xfId="15399"/>
    <cellStyle name="Normal 2 9 25" xfId="15400"/>
    <cellStyle name="Normal 2 9 26" xfId="15401"/>
    <cellStyle name="Normal 2 9 27" xfId="15402"/>
    <cellStyle name="Normal 2 9 28" xfId="15403"/>
    <cellStyle name="Normal 2 9 29" xfId="15404"/>
    <cellStyle name="Normal 2 9 3" xfId="15405"/>
    <cellStyle name="Normal 2 9 30" xfId="15406"/>
    <cellStyle name="Normal 2 9 31" xfId="15407"/>
    <cellStyle name="Normal 2 9 32" xfId="15408"/>
    <cellStyle name="Normal 2 9 33" xfId="15409"/>
    <cellStyle name="Normal 2 9 34" xfId="15410"/>
    <cellStyle name="Normal 2 9 35" xfId="15411"/>
    <cellStyle name="Normal 2 9 36" xfId="15412"/>
    <cellStyle name="Normal 2 9 37" xfId="15413"/>
    <cellStyle name="Normal 2 9 38" xfId="15414"/>
    <cellStyle name="Normal 2 9 39" xfId="15415"/>
    <cellStyle name="Normal 2 9 4" xfId="15416"/>
    <cellStyle name="Normal 2 9 40" xfId="15417"/>
    <cellStyle name="Normal 2 9 41" xfId="15418"/>
    <cellStyle name="Normal 2 9 42" xfId="15419"/>
    <cellStyle name="Normal 2 9 43" xfId="15420"/>
    <cellStyle name="Normal 2 9 44" xfId="15421"/>
    <cellStyle name="Normal 2 9 45" xfId="15422"/>
    <cellStyle name="Normal 2 9 46" xfId="15423"/>
    <cellStyle name="Normal 2 9 47" xfId="15424"/>
    <cellStyle name="Normal 2 9 48" xfId="15425"/>
    <cellStyle name="Normal 2 9 49" xfId="15426"/>
    <cellStyle name="Normal 2 9 5" xfId="15427"/>
    <cellStyle name="Normal 2 9 50" xfId="15428"/>
    <cellStyle name="Normal 2 9 51" xfId="15429"/>
    <cellStyle name="Normal 2 9 52" xfId="15430"/>
    <cellStyle name="Normal 2 9 53" xfId="15431"/>
    <cellStyle name="Normal 2 9 54" xfId="15432"/>
    <cellStyle name="Normal 2 9 55" xfId="15433"/>
    <cellStyle name="Normal 2 9 56" xfId="15434"/>
    <cellStyle name="Normal 2 9 57" xfId="15435"/>
    <cellStyle name="Normal 2 9 58" xfId="15436"/>
    <cellStyle name="Normal 2 9 59" xfId="15437"/>
    <cellStyle name="Normal 2 9 6" xfId="15438"/>
    <cellStyle name="Normal 2 9 60" xfId="15439"/>
    <cellStyle name="Normal 2 9 61" xfId="15440"/>
    <cellStyle name="Normal 2 9 62" xfId="15441"/>
    <cellStyle name="Normal 2 9 63" xfId="15442"/>
    <cellStyle name="Normal 2 9 64" xfId="15443"/>
    <cellStyle name="Normal 2 9 65" xfId="15444"/>
    <cellStyle name="Normal 2 9 66" xfId="15445"/>
    <cellStyle name="Normal 2 9 67" xfId="15446"/>
    <cellStyle name="Normal 2 9 68" xfId="15447"/>
    <cellStyle name="Normal 2 9 69" xfId="15448"/>
    <cellStyle name="Normal 2 9 7" xfId="15449"/>
    <cellStyle name="Normal 2 9 70" xfId="15450"/>
    <cellStyle name="Normal 2 9 71" xfId="15451"/>
    <cellStyle name="Normal 2 9 72" xfId="15452"/>
    <cellStyle name="Normal 2 9 73" xfId="15453"/>
    <cellStyle name="Normal 2 9 74" xfId="15454"/>
    <cellStyle name="Normal 2 9 75" xfId="15455"/>
    <cellStyle name="Normal 2 9 76" xfId="15456"/>
    <cellStyle name="Normal 2 9 77" xfId="15457"/>
    <cellStyle name="Normal 2 9 78" xfId="15458"/>
    <cellStyle name="Normal 2 9 79" xfId="15459"/>
    <cellStyle name="Normal 2 9 8" xfId="15460"/>
    <cellStyle name="Normal 2 9 80" xfId="15461"/>
    <cellStyle name="Normal 2 9 81" xfId="15462"/>
    <cellStyle name="Normal 2 9 82" xfId="15463"/>
    <cellStyle name="Normal 2 9 83" xfId="15464"/>
    <cellStyle name="Normal 2 9 9" xfId="15465"/>
    <cellStyle name="Normal 2_Cultura y Tiempo libre 2011 base 2012 PGM - EMV  2013" xfId="15466"/>
    <cellStyle name="Normal 20" xfId="15467"/>
    <cellStyle name="Normal 20 10" xfId="15468"/>
    <cellStyle name="Normal 20 10 10" xfId="15469"/>
    <cellStyle name="Normal 20 10 11" xfId="15470"/>
    <cellStyle name="Normal 20 10 12" xfId="15471"/>
    <cellStyle name="Normal 20 10 13" xfId="15472"/>
    <cellStyle name="Normal 20 10 2" xfId="15473"/>
    <cellStyle name="Normal 20 10 3" xfId="15474"/>
    <cellStyle name="Normal 20 10 4" xfId="15475"/>
    <cellStyle name="Normal 20 10 5" xfId="15476"/>
    <cellStyle name="Normal 20 10 6" xfId="15477"/>
    <cellStyle name="Normal 20 10 7" xfId="15478"/>
    <cellStyle name="Normal 20 10 8" xfId="15479"/>
    <cellStyle name="Normal 20 10 9" xfId="15480"/>
    <cellStyle name="Normal 20 11" xfId="15481"/>
    <cellStyle name="Normal 20 11 10" xfId="15482"/>
    <cellStyle name="Normal 20 11 11" xfId="15483"/>
    <cellStyle name="Normal 20 11 12" xfId="15484"/>
    <cellStyle name="Normal 20 11 13" xfId="15485"/>
    <cellStyle name="Normal 20 11 2" xfId="15486"/>
    <cellStyle name="Normal 20 11 3" xfId="15487"/>
    <cellStyle name="Normal 20 11 4" xfId="15488"/>
    <cellStyle name="Normal 20 11 5" xfId="15489"/>
    <cellStyle name="Normal 20 11 6" xfId="15490"/>
    <cellStyle name="Normal 20 11 7" xfId="15491"/>
    <cellStyle name="Normal 20 11 8" xfId="15492"/>
    <cellStyle name="Normal 20 11 9" xfId="15493"/>
    <cellStyle name="Normal 20 12" xfId="15494"/>
    <cellStyle name="Normal 20 12 10" xfId="15495"/>
    <cellStyle name="Normal 20 12 11" xfId="15496"/>
    <cellStyle name="Normal 20 12 12" xfId="15497"/>
    <cellStyle name="Normal 20 12 13" xfId="15498"/>
    <cellStyle name="Normal 20 12 2" xfId="15499"/>
    <cellStyle name="Normal 20 12 3" xfId="15500"/>
    <cellStyle name="Normal 20 12 4" xfId="15501"/>
    <cellStyle name="Normal 20 12 5" xfId="15502"/>
    <cellStyle name="Normal 20 12 6" xfId="15503"/>
    <cellStyle name="Normal 20 12 7" xfId="15504"/>
    <cellStyle name="Normal 20 12 8" xfId="15505"/>
    <cellStyle name="Normal 20 12 9" xfId="15506"/>
    <cellStyle name="Normal 20 13" xfId="15507"/>
    <cellStyle name="Normal 20 13 10" xfId="15508"/>
    <cellStyle name="Normal 20 13 11" xfId="15509"/>
    <cellStyle name="Normal 20 13 12" xfId="15510"/>
    <cellStyle name="Normal 20 13 13" xfId="15511"/>
    <cellStyle name="Normal 20 13 2" xfId="15512"/>
    <cellStyle name="Normal 20 13 3" xfId="15513"/>
    <cellStyle name="Normal 20 13 4" xfId="15514"/>
    <cellStyle name="Normal 20 13 5" xfId="15515"/>
    <cellStyle name="Normal 20 13 6" xfId="15516"/>
    <cellStyle name="Normal 20 13 7" xfId="15517"/>
    <cellStyle name="Normal 20 13 8" xfId="15518"/>
    <cellStyle name="Normal 20 13 9" xfId="15519"/>
    <cellStyle name="Normal 20 14" xfId="15520"/>
    <cellStyle name="Normal 20 14 10" xfId="15521"/>
    <cellStyle name="Normal 20 14 11" xfId="15522"/>
    <cellStyle name="Normal 20 14 12" xfId="15523"/>
    <cellStyle name="Normal 20 14 13" xfId="15524"/>
    <cellStyle name="Normal 20 14 2" xfId="15525"/>
    <cellStyle name="Normal 20 14 3" xfId="15526"/>
    <cellStyle name="Normal 20 14 4" xfId="15527"/>
    <cellStyle name="Normal 20 14 5" xfId="15528"/>
    <cellStyle name="Normal 20 14 6" xfId="15529"/>
    <cellStyle name="Normal 20 14 7" xfId="15530"/>
    <cellStyle name="Normal 20 14 8" xfId="15531"/>
    <cellStyle name="Normal 20 14 9" xfId="15532"/>
    <cellStyle name="Normal 20 15" xfId="15533"/>
    <cellStyle name="Normal 20 15 10" xfId="15534"/>
    <cellStyle name="Normal 20 15 11" xfId="15535"/>
    <cellStyle name="Normal 20 15 12" xfId="15536"/>
    <cellStyle name="Normal 20 15 13" xfId="15537"/>
    <cellStyle name="Normal 20 15 2" xfId="15538"/>
    <cellStyle name="Normal 20 15 3" xfId="15539"/>
    <cellStyle name="Normal 20 15 4" xfId="15540"/>
    <cellStyle name="Normal 20 15 5" xfId="15541"/>
    <cellStyle name="Normal 20 15 6" xfId="15542"/>
    <cellStyle name="Normal 20 15 7" xfId="15543"/>
    <cellStyle name="Normal 20 15 8" xfId="15544"/>
    <cellStyle name="Normal 20 15 9" xfId="15545"/>
    <cellStyle name="Normal 20 16" xfId="15546"/>
    <cellStyle name="Normal 20 16 10" xfId="15547"/>
    <cellStyle name="Normal 20 16 11" xfId="15548"/>
    <cellStyle name="Normal 20 16 12" xfId="15549"/>
    <cellStyle name="Normal 20 16 13" xfId="15550"/>
    <cellStyle name="Normal 20 16 2" xfId="15551"/>
    <cellStyle name="Normal 20 16 3" xfId="15552"/>
    <cellStyle name="Normal 20 16 4" xfId="15553"/>
    <cellStyle name="Normal 20 16 5" xfId="15554"/>
    <cellStyle name="Normal 20 16 6" xfId="15555"/>
    <cellStyle name="Normal 20 16 7" xfId="15556"/>
    <cellStyle name="Normal 20 16 8" xfId="15557"/>
    <cellStyle name="Normal 20 16 9" xfId="15558"/>
    <cellStyle name="Normal 20 17" xfId="15559"/>
    <cellStyle name="Normal 20 17 10" xfId="15560"/>
    <cellStyle name="Normal 20 17 11" xfId="15561"/>
    <cellStyle name="Normal 20 17 12" xfId="15562"/>
    <cellStyle name="Normal 20 17 13" xfId="15563"/>
    <cellStyle name="Normal 20 17 2" xfId="15564"/>
    <cellStyle name="Normal 20 17 3" xfId="15565"/>
    <cellStyle name="Normal 20 17 4" xfId="15566"/>
    <cellStyle name="Normal 20 17 5" xfId="15567"/>
    <cellStyle name="Normal 20 17 6" xfId="15568"/>
    <cellStyle name="Normal 20 17 7" xfId="15569"/>
    <cellStyle name="Normal 20 17 8" xfId="15570"/>
    <cellStyle name="Normal 20 17 9" xfId="15571"/>
    <cellStyle name="Normal 20 18" xfId="15572"/>
    <cellStyle name="Normal 20 18 10" xfId="15573"/>
    <cellStyle name="Normal 20 18 11" xfId="15574"/>
    <cellStyle name="Normal 20 18 12" xfId="15575"/>
    <cellStyle name="Normal 20 18 13" xfId="15576"/>
    <cellStyle name="Normal 20 18 2" xfId="15577"/>
    <cellStyle name="Normal 20 18 3" xfId="15578"/>
    <cellStyle name="Normal 20 18 4" xfId="15579"/>
    <cellStyle name="Normal 20 18 5" xfId="15580"/>
    <cellStyle name="Normal 20 18 6" xfId="15581"/>
    <cellStyle name="Normal 20 18 7" xfId="15582"/>
    <cellStyle name="Normal 20 18 8" xfId="15583"/>
    <cellStyle name="Normal 20 18 9" xfId="15584"/>
    <cellStyle name="Normal 20 19" xfId="15585"/>
    <cellStyle name="Normal 20 19 10" xfId="15586"/>
    <cellStyle name="Normal 20 19 11" xfId="15587"/>
    <cellStyle name="Normal 20 19 12" xfId="15588"/>
    <cellStyle name="Normal 20 19 13" xfId="15589"/>
    <cellStyle name="Normal 20 19 2" xfId="15590"/>
    <cellStyle name="Normal 20 19 3" xfId="15591"/>
    <cellStyle name="Normal 20 19 4" xfId="15592"/>
    <cellStyle name="Normal 20 19 5" xfId="15593"/>
    <cellStyle name="Normal 20 19 6" xfId="15594"/>
    <cellStyle name="Normal 20 19 7" xfId="15595"/>
    <cellStyle name="Normal 20 19 8" xfId="15596"/>
    <cellStyle name="Normal 20 19 9" xfId="15597"/>
    <cellStyle name="Normal 20 2" xfId="15598"/>
    <cellStyle name="Normal 20 2 10" xfId="15599"/>
    <cellStyle name="Normal 20 2 11" xfId="15600"/>
    <cellStyle name="Normal 20 2 12" xfId="15601"/>
    <cellStyle name="Normal 20 2 13" xfId="15602"/>
    <cellStyle name="Normal 20 2 2" xfId="15603"/>
    <cellStyle name="Normal 20 2 3" xfId="15604"/>
    <cellStyle name="Normal 20 2 4" xfId="15605"/>
    <cellStyle name="Normal 20 2 5" xfId="15606"/>
    <cellStyle name="Normal 20 2 6" xfId="15607"/>
    <cellStyle name="Normal 20 2 7" xfId="15608"/>
    <cellStyle name="Normal 20 2 8" xfId="15609"/>
    <cellStyle name="Normal 20 2 9" xfId="15610"/>
    <cellStyle name="Normal 20 20" xfId="15611"/>
    <cellStyle name="Normal 20 20 10" xfId="15612"/>
    <cellStyle name="Normal 20 20 11" xfId="15613"/>
    <cellStyle name="Normal 20 20 12" xfId="15614"/>
    <cellStyle name="Normal 20 20 13" xfId="15615"/>
    <cellStyle name="Normal 20 20 2" xfId="15616"/>
    <cellStyle name="Normal 20 20 3" xfId="15617"/>
    <cellStyle name="Normal 20 20 4" xfId="15618"/>
    <cellStyle name="Normal 20 20 5" xfId="15619"/>
    <cellStyle name="Normal 20 20 6" xfId="15620"/>
    <cellStyle name="Normal 20 20 7" xfId="15621"/>
    <cellStyle name="Normal 20 20 8" xfId="15622"/>
    <cellStyle name="Normal 20 20 9" xfId="15623"/>
    <cellStyle name="Normal 20 21" xfId="15624"/>
    <cellStyle name="Normal 20 21 10" xfId="15625"/>
    <cellStyle name="Normal 20 21 11" xfId="15626"/>
    <cellStyle name="Normal 20 21 12" xfId="15627"/>
    <cellStyle name="Normal 20 21 13" xfId="15628"/>
    <cellStyle name="Normal 20 21 2" xfId="15629"/>
    <cellStyle name="Normal 20 21 3" xfId="15630"/>
    <cellStyle name="Normal 20 21 4" xfId="15631"/>
    <cellStyle name="Normal 20 21 5" xfId="15632"/>
    <cellStyle name="Normal 20 21 6" xfId="15633"/>
    <cellStyle name="Normal 20 21 7" xfId="15634"/>
    <cellStyle name="Normal 20 21 8" xfId="15635"/>
    <cellStyle name="Normal 20 21 9" xfId="15636"/>
    <cellStyle name="Normal 20 22" xfId="15637"/>
    <cellStyle name="Normal 20 22 10" xfId="15638"/>
    <cellStyle name="Normal 20 22 11" xfId="15639"/>
    <cellStyle name="Normal 20 22 12" xfId="15640"/>
    <cellStyle name="Normal 20 22 13" xfId="15641"/>
    <cellStyle name="Normal 20 22 2" xfId="15642"/>
    <cellStyle name="Normal 20 22 3" xfId="15643"/>
    <cellStyle name="Normal 20 22 4" xfId="15644"/>
    <cellStyle name="Normal 20 22 5" xfId="15645"/>
    <cellStyle name="Normal 20 22 6" xfId="15646"/>
    <cellStyle name="Normal 20 22 7" xfId="15647"/>
    <cellStyle name="Normal 20 22 8" xfId="15648"/>
    <cellStyle name="Normal 20 22 9" xfId="15649"/>
    <cellStyle name="Normal 20 23" xfId="15650"/>
    <cellStyle name="Normal 20 23 10" xfId="15651"/>
    <cellStyle name="Normal 20 23 11" xfId="15652"/>
    <cellStyle name="Normal 20 23 12" xfId="15653"/>
    <cellStyle name="Normal 20 23 13" xfId="15654"/>
    <cellStyle name="Normal 20 23 2" xfId="15655"/>
    <cellStyle name="Normal 20 23 3" xfId="15656"/>
    <cellStyle name="Normal 20 23 4" xfId="15657"/>
    <cellStyle name="Normal 20 23 5" xfId="15658"/>
    <cellStyle name="Normal 20 23 6" xfId="15659"/>
    <cellStyle name="Normal 20 23 7" xfId="15660"/>
    <cellStyle name="Normal 20 23 8" xfId="15661"/>
    <cellStyle name="Normal 20 23 9" xfId="15662"/>
    <cellStyle name="Normal 20 24" xfId="15663"/>
    <cellStyle name="Normal 20 24 10" xfId="15664"/>
    <cellStyle name="Normal 20 24 11" xfId="15665"/>
    <cellStyle name="Normal 20 24 12" xfId="15666"/>
    <cellStyle name="Normal 20 24 13" xfId="15667"/>
    <cellStyle name="Normal 20 24 2" xfId="15668"/>
    <cellStyle name="Normal 20 24 3" xfId="15669"/>
    <cellStyle name="Normal 20 24 4" xfId="15670"/>
    <cellStyle name="Normal 20 24 5" xfId="15671"/>
    <cellStyle name="Normal 20 24 6" xfId="15672"/>
    <cellStyle name="Normal 20 24 7" xfId="15673"/>
    <cellStyle name="Normal 20 24 8" xfId="15674"/>
    <cellStyle name="Normal 20 24 9" xfId="15675"/>
    <cellStyle name="Normal 20 25" xfId="15676"/>
    <cellStyle name="Normal 20 25 10" xfId="15677"/>
    <cellStyle name="Normal 20 25 11" xfId="15678"/>
    <cellStyle name="Normal 20 25 12" xfId="15679"/>
    <cellStyle name="Normal 20 25 13" xfId="15680"/>
    <cellStyle name="Normal 20 25 2" xfId="15681"/>
    <cellStyle name="Normal 20 25 3" xfId="15682"/>
    <cellStyle name="Normal 20 25 4" xfId="15683"/>
    <cellStyle name="Normal 20 25 5" xfId="15684"/>
    <cellStyle name="Normal 20 25 6" xfId="15685"/>
    <cellStyle name="Normal 20 25 7" xfId="15686"/>
    <cellStyle name="Normal 20 25 8" xfId="15687"/>
    <cellStyle name="Normal 20 25 9" xfId="15688"/>
    <cellStyle name="Normal 20 26" xfId="15689"/>
    <cellStyle name="Normal 20 26 10" xfId="15690"/>
    <cellStyle name="Normal 20 26 11" xfId="15691"/>
    <cellStyle name="Normal 20 26 12" xfId="15692"/>
    <cellStyle name="Normal 20 26 13" xfId="15693"/>
    <cellStyle name="Normal 20 26 2" xfId="15694"/>
    <cellStyle name="Normal 20 26 3" xfId="15695"/>
    <cellStyle name="Normal 20 26 4" xfId="15696"/>
    <cellStyle name="Normal 20 26 5" xfId="15697"/>
    <cellStyle name="Normal 20 26 6" xfId="15698"/>
    <cellStyle name="Normal 20 26 7" xfId="15699"/>
    <cellStyle name="Normal 20 26 8" xfId="15700"/>
    <cellStyle name="Normal 20 26 9" xfId="15701"/>
    <cellStyle name="Normal 20 27" xfId="15702"/>
    <cellStyle name="Normal 20 27 10" xfId="15703"/>
    <cellStyle name="Normal 20 27 11" xfId="15704"/>
    <cellStyle name="Normal 20 27 12" xfId="15705"/>
    <cellStyle name="Normal 20 27 13" xfId="15706"/>
    <cellStyle name="Normal 20 27 2" xfId="15707"/>
    <cellStyle name="Normal 20 27 3" xfId="15708"/>
    <cellStyle name="Normal 20 27 4" xfId="15709"/>
    <cellStyle name="Normal 20 27 5" xfId="15710"/>
    <cellStyle name="Normal 20 27 6" xfId="15711"/>
    <cellStyle name="Normal 20 27 7" xfId="15712"/>
    <cellStyle name="Normal 20 27 8" xfId="15713"/>
    <cellStyle name="Normal 20 27 9" xfId="15714"/>
    <cellStyle name="Normal 20 28" xfId="15715"/>
    <cellStyle name="Normal 20 28 10" xfId="15716"/>
    <cellStyle name="Normal 20 28 11" xfId="15717"/>
    <cellStyle name="Normal 20 28 12" xfId="15718"/>
    <cellStyle name="Normal 20 28 13" xfId="15719"/>
    <cellStyle name="Normal 20 28 2" xfId="15720"/>
    <cellStyle name="Normal 20 28 3" xfId="15721"/>
    <cellStyle name="Normal 20 28 4" xfId="15722"/>
    <cellStyle name="Normal 20 28 5" xfId="15723"/>
    <cellStyle name="Normal 20 28 6" xfId="15724"/>
    <cellStyle name="Normal 20 28 7" xfId="15725"/>
    <cellStyle name="Normal 20 28 8" xfId="15726"/>
    <cellStyle name="Normal 20 28 9" xfId="15727"/>
    <cellStyle name="Normal 20 29" xfId="15728"/>
    <cellStyle name="Normal 20 29 10" xfId="15729"/>
    <cellStyle name="Normal 20 29 11" xfId="15730"/>
    <cellStyle name="Normal 20 29 12" xfId="15731"/>
    <cellStyle name="Normal 20 29 13" xfId="15732"/>
    <cellStyle name="Normal 20 29 2" xfId="15733"/>
    <cellStyle name="Normal 20 29 3" xfId="15734"/>
    <cellStyle name="Normal 20 29 4" xfId="15735"/>
    <cellStyle name="Normal 20 29 5" xfId="15736"/>
    <cellStyle name="Normal 20 29 6" xfId="15737"/>
    <cellStyle name="Normal 20 29 7" xfId="15738"/>
    <cellStyle name="Normal 20 29 8" xfId="15739"/>
    <cellStyle name="Normal 20 29 9" xfId="15740"/>
    <cellStyle name="Normal 20 3" xfId="15741"/>
    <cellStyle name="Normal 20 3 10" xfId="15742"/>
    <cellStyle name="Normal 20 3 11" xfId="15743"/>
    <cellStyle name="Normal 20 3 12" xfId="15744"/>
    <cellStyle name="Normal 20 3 13" xfId="15745"/>
    <cellStyle name="Normal 20 3 2" xfId="15746"/>
    <cellStyle name="Normal 20 3 3" xfId="15747"/>
    <cellStyle name="Normal 20 3 4" xfId="15748"/>
    <cellStyle name="Normal 20 3 5" xfId="15749"/>
    <cellStyle name="Normal 20 3 6" xfId="15750"/>
    <cellStyle name="Normal 20 3 7" xfId="15751"/>
    <cellStyle name="Normal 20 3 8" xfId="15752"/>
    <cellStyle name="Normal 20 3 9" xfId="15753"/>
    <cellStyle name="Normal 20 30" xfId="15754"/>
    <cellStyle name="Normal 20 30 10" xfId="15755"/>
    <cellStyle name="Normal 20 30 11" xfId="15756"/>
    <cellStyle name="Normal 20 30 12" xfId="15757"/>
    <cellStyle name="Normal 20 30 13" xfId="15758"/>
    <cellStyle name="Normal 20 30 2" xfId="15759"/>
    <cellStyle name="Normal 20 30 3" xfId="15760"/>
    <cellStyle name="Normal 20 30 4" xfId="15761"/>
    <cellStyle name="Normal 20 30 5" xfId="15762"/>
    <cellStyle name="Normal 20 30 6" xfId="15763"/>
    <cellStyle name="Normal 20 30 7" xfId="15764"/>
    <cellStyle name="Normal 20 30 8" xfId="15765"/>
    <cellStyle name="Normal 20 30 9" xfId="15766"/>
    <cellStyle name="Normal 20 31" xfId="15767"/>
    <cellStyle name="Normal 20 31 10" xfId="15768"/>
    <cellStyle name="Normal 20 31 11" xfId="15769"/>
    <cellStyle name="Normal 20 31 12" xfId="15770"/>
    <cellStyle name="Normal 20 31 13" xfId="15771"/>
    <cellStyle name="Normal 20 31 2" xfId="15772"/>
    <cellStyle name="Normal 20 31 3" xfId="15773"/>
    <cellStyle name="Normal 20 31 4" xfId="15774"/>
    <cellStyle name="Normal 20 31 5" xfId="15775"/>
    <cellStyle name="Normal 20 31 6" xfId="15776"/>
    <cellStyle name="Normal 20 31 7" xfId="15777"/>
    <cellStyle name="Normal 20 31 8" xfId="15778"/>
    <cellStyle name="Normal 20 31 9" xfId="15779"/>
    <cellStyle name="Normal 20 32" xfId="15780"/>
    <cellStyle name="Normal 20 32 10" xfId="15781"/>
    <cellStyle name="Normal 20 32 11" xfId="15782"/>
    <cellStyle name="Normal 20 32 12" xfId="15783"/>
    <cellStyle name="Normal 20 32 13" xfId="15784"/>
    <cellStyle name="Normal 20 32 2" xfId="15785"/>
    <cellStyle name="Normal 20 32 3" xfId="15786"/>
    <cellStyle name="Normal 20 32 4" xfId="15787"/>
    <cellStyle name="Normal 20 32 5" xfId="15788"/>
    <cellStyle name="Normal 20 32 6" xfId="15789"/>
    <cellStyle name="Normal 20 32 7" xfId="15790"/>
    <cellStyle name="Normal 20 32 8" xfId="15791"/>
    <cellStyle name="Normal 20 32 9" xfId="15792"/>
    <cellStyle name="Normal 20 33" xfId="15793"/>
    <cellStyle name="Normal 20 33 10" xfId="15794"/>
    <cellStyle name="Normal 20 33 11" xfId="15795"/>
    <cellStyle name="Normal 20 33 12" xfId="15796"/>
    <cellStyle name="Normal 20 33 13" xfId="15797"/>
    <cellStyle name="Normal 20 33 2" xfId="15798"/>
    <cellStyle name="Normal 20 33 3" xfId="15799"/>
    <cellStyle name="Normal 20 33 4" xfId="15800"/>
    <cellStyle name="Normal 20 33 5" xfId="15801"/>
    <cellStyle name="Normal 20 33 6" xfId="15802"/>
    <cellStyle name="Normal 20 33 7" xfId="15803"/>
    <cellStyle name="Normal 20 33 8" xfId="15804"/>
    <cellStyle name="Normal 20 33 9" xfId="15805"/>
    <cellStyle name="Normal 20 34" xfId="15806"/>
    <cellStyle name="Normal 20 34 10" xfId="15807"/>
    <cellStyle name="Normal 20 34 11" xfId="15808"/>
    <cellStyle name="Normal 20 34 12" xfId="15809"/>
    <cellStyle name="Normal 20 34 13" xfId="15810"/>
    <cellStyle name="Normal 20 34 2" xfId="15811"/>
    <cellStyle name="Normal 20 34 3" xfId="15812"/>
    <cellStyle name="Normal 20 34 4" xfId="15813"/>
    <cellStyle name="Normal 20 34 5" xfId="15814"/>
    <cellStyle name="Normal 20 34 6" xfId="15815"/>
    <cellStyle name="Normal 20 34 7" xfId="15816"/>
    <cellStyle name="Normal 20 34 8" xfId="15817"/>
    <cellStyle name="Normal 20 34 9" xfId="15818"/>
    <cellStyle name="Normal 20 35" xfId="15819"/>
    <cellStyle name="Normal 20 35 10" xfId="15820"/>
    <cellStyle name="Normal 20 35 11" xfId="15821"/>
    <cellStyle name="Normal 20 35 12" xfId="15822"/>
    <cellStyle name="Normal 20 35 13" xfId="15823"/>
    <cellStyle name="Normal 20 35 2" xfId="15824"/>
    <cellStyle name="Normal 20 35 3" xfId="15825"/>
    <cellStyle name="Normal 20 35 4" xfId="15826"/>
    <cellStyle name="Normal 20 35 5" xfId="15827"/>
    <cellStyle name="Normal 20 35 6" xfId="15828"/>
    <cellStyle name="Normal 20 35 7" xfId="15829"/>
    <cellStyle name="Normal 20 35 8" xfId="15830"/>
    <cellStyle name="Normal 20 35 9" xfId="15831"/>
    <cellStyle name="Normal 20 36" xfId="15832"/>
    <cellStyle name="Normal 20 36 10" xfId="15833"/>
    <cellStyle name="Normal 20 36 11" xfId="15834"/>
    <cellStyle name="Normal 20 36 12" xfId="15835"/>
    <cellStyle name="Normal 20 36 13" xfId="15836"/>
    <cellStyle name="Normal 20 36 2" xfId="15837"/>
    <cellStyle name="Normal 20 36 3" xfId="15838"/>
    <cellStyle name="Normal 20 36 4" xfId="15839"/>
    <cellStyle name="Normal 20 36 5" xfId="15840"/>
    <cellStyle name="Normal 20 36 6" xfId="15841"/>
    <cellStyle name="Normal 20 36 7" xfId="15842"/>
    <cellStyle name="Normal 20 36 8" xfId="15843"/>
    <cellStyle name="Normal 20 36 9" xfId="15844"/>
    <cellStyle name="Normal 20 37" xfId="15845"/>
    <cellStyle name="Normal 20 37 10" xfId="15846"/>
    <cellStyle name="Normal 20 37 11" xfId="15847"/>
    <cellStyle name="Normal 20 37 12" xfId="15848"/>
    <cellStyle name="Normal 20 37 13" xfId="15849"/>
    <cellStyle name="Normal 20 37 2" xfId="15850"/>
    <cellStyle name="Normal 20 37 3" xfId="15851"/>
    <cellStyle name="Normal 20 37 4" xfId="15852"/>
    <cellStyle name="Normal 20 37 5" xfId="15853"/>
    <cellStyle name="Normal 20 37 6" xfId="15854"/>
    <cellStyle name="Normal 20 37 7" xfId="15855"/>
    <cellStyle name="Normal 20 37 8" xfId="15856"/>
    <cellStyle name="Normal 20 37 9" xfId="15857"/>
    <cellStyle name="Normal 20 38" xfId="15858"/>
    <cellStyle name="Normal 20 38 10" xfId="15859"/>
    <cellStyle name="Normal 20 38 11" xfId="15860"/>
    <cellStyle name="Normal 20 38 12" xfId="15861"/>
    <cellStyle name="Normal 20 38 13" xfId="15862"/>
    <cellStyle name="Normal 20 38 2" xfId="15863"/>
    <cellStyle name="Normal 20 38 3" xfId="15864"/>
    <cellStyle name="Normal 20 38 4" xfId="15865"/>
    <cellStyle name="Normal 20 38 5" xfId="15866"/>
    <cellStyle name="Normal 20 38 6" xfId="15867"/>
    <cellStyle name="Normal 20 38 7" xfId="15868"/>
    <cellStyle name="Normal 20 38 8" xfId="15869"/>
    <cellStyle name="Normal 20 38 9" xfId="15870"/>
    <cellStyle name="Normal 20 39" xfId="15871"/>
    <cellStyle name="Normal 20 39 10" xfId="15872"/>
    <cellStyle name="Normal 20 39 11" xfId="15873"/>
    <cellStyle name="Normal 20 39 12" xfId="15874"/>
    <cellStyle name="Normal 20 39 13" xfId="15875"/>
    <cellStyle name="Normal 20 39 2" xfId="15876"/>
    <cellStyle name="Normal 20 39 3" xfId="15877"/>
    <cellStyle name="Normal 20 39 4" xfId="15878"/>
    <cellStyle name="Normal 20 39 5" xfId="15879"/>
    <cellStyle name="Normal 20 39 6" xfId="15880"/>
    <cellStyle name="Normal 20 39 7" xfId="15881"/>
    <cellStyle name="Normal 20 39 8" xfId="15882"/>
    <cellStyle name="Normal 20 39 9" xfId="15883"/>
    <cellStyle name="Normal 20 4" xfId="15884"/>
    <cellStyle name="Normal 20 4 10" xfId="15885"/>
    <cellStyle name="Normal 20 4 11" xfId="15886"/>
    <cellStyle name="Normal 20 4 12" xfId="15887"/>
    <cellStyle name="Normal 20 4 13" xfId="15888"/>
    <cellStyle name="Normal 20 4 2" xfId="15889"/>
    <cellStyle name="Normal 20 4 3" xfId="15890"/>
    <cellStyle name="Normal 20 4 4" xfId="15891"/>
    <cellStyle name="Normal 20 4 5" xfId="15892"/>
    <cellStyle name="Normal 20 4 6" xfId="15893"/>
    <cellStyle name="Normal 20 4 7" xfId="15894"/>
    <cellStyle name="Normal 20 4 8" xfId="15895"/>
    <cellStyle name="Normal 20 4 9" xfId="15896"/>
    <cellStyle name="Normal 20 40" xfId="15897"/>
    <cellStyle name="Normal 20 40 10" xfId="15898"/>
    <cellStyle name="Normal 20 40 11" xfId="15899"/>
    <cellStyle name="Normal 20 40 12" xfId="15900"/>
    <cellStyle name="Normal 20 40 13" xfId="15901"/>
    <cellStyle name="Normal 20 40 2" xfId="15902"/>
    <cellStyle name="Normal 20 40 3" xfId="15903"/>
    <cellStyle name="Normal 20 40 4" xfId="15904"/>
    <cellStyle name="Normal 20 40 5" xfId="15905"/>
    <cellStyle name="Normal 20 40 6" xfId="15906"/>
    <cellStyle name="Normal 20 40 7" xfId="15907"/>
    <cellStyle name="Normal 20 40 8" xfId="15908"/>
    <cellStyle name="Normal 20 40 9" xfId="15909"/>
    <cellStyle name="Normal 20 41" xfId="15910"/>
    <cellStyle name="Normal 20 41 10" xfId="15911"/>
    <cellStyle name="Normal 20 41 11" xfId="15912"/>
    <cellStyle name="Normal 20 41 12" xfId="15913"/>
    <cellStyle name="Normal 20 41 13" xfId="15914"/>
    <cellStyle name="Normal 20 41 2" xfId="15915"/>
    <cellStyle name="Normal 20 41 3" xfId="15916"/>
    <cellStyle name="Normal 20 41 4" xfId="15917"/>
    <cellStyle name="Normal 20 41 5" xfId="15918"/>
    <cellStyle name="Normal 20 41 6" xfId="15919"/>
    <cellStyle name="Normal 20 41 7" xfId="15920"/>
    <cellStyle name="Normal 20 41 8" xfId="15921"/>
    <cellStyle name="Normal 20 41 9" xfId="15922"/>
    <cellStyle name="Normal 20 42" xfId="15923"/>
    <cellStyle name="Normal 20 42 10" xfId="15924"/>
    <cellStyle name="Normal 20 42 11" xfId="15925"/>
    <cellStyle name="Normal 20 42 12" xfId="15926"/>
    <cellStyle name="Normal 20 42 13" xfId="15927"/>
    <cellStyle name="Normal 20 42 2" xfId="15928"/>
    <cellStyle name="Normal 20 42 3" xfId="15929"/>
    <cellStyle name="Normal 20 42 4" xfId="15930"/>
    <cellStyle name="Normal 20 42 5" xfId="15931"/>
    <cellStyle name="Normal 20 42 6" xfId="15932"/>
    <cellStyle name="Normal 20 42 7" xfId="15933"/>
    <cellStyle name="Normal 20 42 8" xfId="15934"/>
    <cellStyle name="Normal 20 42 9" xfId="15935"/>
    <cellStyle name="Normal 20 43" xfId="15936"/>
    <cellStyle name="Normal 20 43 10" xfId="15937"/>
    <cellStyle name="Normal 20 43 11" xfId="15938"/>
    <cellStyle name="Normal 20 43 12" xfId="15939"/>
    <cellStyle name="Normal 20 43 13" xfId="15940"/>
    <cellStyle name="Normal 20 43 2" xfId="15941"/>
    <cellStyle name="Normal 20 43 3" xfId="15942"/>
    <cellStyle name="Normal 20 43 4" xfId="15943"/>
    <cellStyle name="Normal 20 43 5" xfId="15944"/>
    <cellStyle name="Normal 20 43 6" xfId="15945"/>
    <cellStyle name="Normal 20 43 7" xfId="15946"/>
    <cellStyle name="Normal 20 43 8" xfId="15947"/>
    <cellStyle name="Normal 20 43 9" xfId="15948"/>
    <cellStyle name="Normal 20 44" xfId="15949"/>
    <cellStyle name="Normal 20 44 10" xfId="15950"/>
    <cellStyle name="Normal 20 44 11" xfId="15951"/>
    <cellStyle name="Normal 20 44 12" xfId="15952"/>
    <cellStyle name="Normal 20 44 13" xfId="15953"/>
    <cellStyle name="Normal 20 44 2" xfId="15954"/>
    <cellStyle name="Normal 20 44 3" xfId="15955"/>
    <cellStyle name="Normal 20 44 4" xfId="15956"/>
    <cellStyle name="Normal 20 44 5" xfId="15957"/>
    <cellStyle name="Normal 20 44 6" xfId="15958"/>
    <cellStyle name="Normal 20 44 7" xfId="15959"/>
    <cellStyle name="Normal 20 44 8" xfId="15960"/>
    <cellStyle name="Normal 20 44 9" xfId="15961"/>
    <cellStyle name="Normal 20 45" xfId="15962"/>
    <cellStyle name="Normal 20 45 10" xfId="15963"/>
    <cellStyle name="Normal 20 45 11" xfId="15964"/>
    <cellStyle name="Normal 20 45 12" xfId="15965"/>
    <cellStyle name="Normal 20 45 13" xfId="15966"/>
    <cellStyle name="Normal 20 45 2" xfId="15967"/>
    <cellStyle name="Normal 20 45 3" xfId="15968"/>
    <cellStyle name="Normal 20 45 4" xfId="15969"/>
    <cellStyle name="Normal 20 45 5" xfId="15970"/>
    <cellStyle name="Normal 20 45 6" xfId="15971"/>
    <cellStyle name="Normal 20 45 7" xfId="15972"/>
    <cellStyle name="Normal 20 45 8" xfId="15973"/>
    <cellStyle name="Normal 20 45 9" xfId="15974"/>
    <cellStyle name="Normal 20 46" xfId="15975"/>
    <cellStyle name="Normal 20 46 10" xfId="15976"/>
    <cellStyle name="Normal 20 46 11" xfId="15977"/>
    <cellStyle name="Normal 20 46 12" xfId="15978"/>
    <cellStyle name="Normal 20 46 13" xfId="15979"/>
    <cellStyle name="Normal 20 46 2" xfId="15980"/>
    <cellStyle name="Normal 20 46 3" xfId="15981"/>
    <cellStyle name="Normal 20 46 4" xfId="15982"/>
    <cellStyle name="Normal 20 46 5" xfId="15983"/>
    <cellStyle name="Normal 20 46 6" xfId="15984"/>
    <cellStyle name="Normal 20 46 7" xfId="15985"/>
    <cellStyle name="Normal 20 46 8" xfId="15986"/>
    <cellStyle name="Normal 20 46 9" xfId="15987"/>
    <cellStyle name="Normal 20 47" xfId="15988"/>
    <cellStyle name="Normal 20 47 10" xfId="15989"/>
    <cellStyle name="Normal 20 47 11" xfId="15990"/>
    <cellStyle name="Normal 20 47 12" xfId="15991"/>
    <cellStyle name="Normal 20 47 13" xfId="15992"/>
    <cellStyle name="Normal 20 47 2" xfId="15993"/>
    <cellStyle name="Normal 20 47 3" xfId="15994"/>
    <cellStyle name="Normal 20 47 4" xfId="15995"/>
    <cellStyle name="Normal 20 47 5" xfId="15996"/>
    <cellStyle name="Normal 20 47 6" xfId="15997"/>
    <cellStyle name="Normal 20 47 7" xfId="15998"/>
    <cellStyle name="Normal 20 47 8" xfId="15999"/>
    <cellStyle name="Normal 20 47 9" xfId="16000"/>
    <cellStyle name="Normal 20 48" xfId="16001"/>
    <cellStyle name="Normal 20 48 10" xfId="16002"/>
    <cellStyle name="Normal 20 48 11" xfId="16003"/>
    <cellStyle name="Normal 20 48 12" xfId="16004"/>
    <cellStyle name="Normal 20 48 13" xfId="16005"/>
    <cellStyle name="Normal 20 48 2" xfId="16006"/>
    <cellStyle name="Normal 20 48 3" xfId="16007"/>
    <cellStyle name="Normal 20 48 4" xfId="16008"/>
    <cellStyle name="Normal 20 48 5" xfId="16009"/>
    <cellStyle name="Normal 20 48 6" xfId="16010"/>
    <cellStyle name="Normal 20 48 7" xfId="16011"/>
    <cellStyle name="Normal 20 48 8" xfId="16012"/>
    <cellStyle name="Normal 20 48 9" xfId="16013"/>
    <cellStyle name="Normal 20 49" xfId="16014"/>
    <cellStyle name="Normal 20 49 10" xfId="16015"/>
    <cellStyle name="Normal 20 49 11" xfId="16016"/>
    <cellStyle name="Normal 20 49 12" xfId="16017"/>
    <cellStyle name="Normal 20 49 13" xfId="16018"/>
    <cellStyle name="Normal 20 49 2" xfId="16019"/>
    <cellStyle name="Normal 20 49 3" xfId="16020"/>
    <cellStyle name="Normal 20 49 4" xfId="16021"/>
    <cellStyle name="Normal 20 49 5" xfId="16022"/>
    <cellStyle name="Normal 20 49 6" xfId="16023"/>
    <cellStyle name="Normal 20 49 7" xfId="16024"/>
    <cellStyle name="Normal 20 49 8" xfId="16025"/>
    <cellStyle name="Normal 20 49 9" xfId="16026"/>
    <cellStyle name="Normal 20 5" xfId="16027"/>
    <cellStyle name="Normal 20 5 10" xfId="16028"/>
    <cellStyle name="Normal 20 5 11" xfId="16029"/>
    <cellStyle name="Normal 20 5 12" xfId="16030"/>
    <cellStyle name="Normal 20 5 13" xfId="16031"/>
    <cellStyle name="Normal 20 5 2" xfId="16032"/>
    <cellStyle name="Normal 20 5 3" xfId="16033"/>
    <cellStyle name="Normal 20 5 4" xfId="16034"/>
    <cellStyle name="Normal 20 5 5" xfId="16035"/>
    <cellStyle name="Normal 20 5 6" xfId="16036"/>
    <cellStyle name="Normal 20 5 7" xfId="16037"/>
    <cellStyle name="Normal 20 5 8" xfId="16038"/>
    <cellStyle name="Normal 20 5 9" xfId="16039"/>
    <cellStyle name="Normal 20 50" xfId="16040"/>
    <cellStyle name="Normal 20 50 10" xfId="16041"/>
    <cellStyle name="Normal 20 50 11" xfId="16042"/>
    <cellStyle name="Normal 20 50 12" xfId="16043"/>
    <cellStyle name="Normal 20 50 13" xfId="16044"/>
    <cellStyle name="Normal 20 50 2" xfId="16045"/>
    <cellStyle name="Normal 20 50 3" xfId="16046"/>
    <cellStyle name="Normal 20 50 4" xfId="16047"/>
    <cellStyle name="Normal 20 50 5" xfId="16048"/>
    <cellStyle name="Normal 20 50 6" xfId="16049"/>
    <cellStyle name="Normal 20 50 7" xfId="16050"/>
    <cellStyle name="Normal 20 50 8" xfId="16051"/>
    <cellStyle name="Normal 20 50 9" xfId="16052"/>
    <cellStyle name="Normal 20 51" xfId="16053"/>
    <cellStyle name="Normal 20 51 10" xfId="16054"/>
    <cellStyle name="Normal 20 51 11" xfId="16055"/>
    <cellStyle name="Normal 20 51 12" xfId="16056"/>
    <cellStyle name="Normal 20 51 13" xfId="16057"/>
    <cellStyle name="Normal 20 51 2" xfId="16058"/>
    <cellStyle name="Normal 20 51 3" xfId="16059"/>
    <cellStyle name="Normal 20 51 4" xfId="16060"/>
    <cellStyle name="Normal 20 51 5" xfId="16061"/>
    <cellStyle name="Normal 20 51 6" xfId="16062"/>
    <cellStyle name="Normal 20 51 7" xfId="16063"/>
    <cellStyle name="Normal 20 51 8" xfId="16064"/>
    <cellStyle name="Normal 20 51 9" xfId="16065"/>
    <cellStyle name="Normal 20 52" xfId="16066"/>
    <cellStyle name="Normal 20 52 10" xfId="16067"/>
    <cellStyle name="Normal 20 52 11" xfId="16068"/>
    <cellStyle name="Normal 20 52 12" xfId="16069"/>
    <cellStyle name="Normal 20 52 13" xfId="16070"/>
    <cellStyle name="Normal 20 52 2" xfId="16071"/>
    <cellStyle name="Normal 20 52 3" xfId="16072"/>
    <cellStyle name="Normal 20 52 4" xfId="16073"/>
    <cellStyle name="Normal 20 52 5" xfId="16074"/>
    <cellStyle name="Normal 20 52 6" xfId="16075"/>
    <cellStyle name="Normal 20 52 7" xfId="16076"/>
    <cellStyle name="Normal 20 52 8" xfId="16077"/>
    <cellStyle name="Normal 20 52 9" xfId="16078"/>
    <cellStyle name="Normal 20 53" xfId="16079"/>
    <cellStyle name="Normal 20 53 10" xfId="16080"/>
    <cellStyle name="Normal 20 53 11" xfId="16081"/>
    <cellStyle name="Normal 20 53 12" xfId="16082"/>
    <cellStyle name="Normal 20 53 13" xfId="16083"/>
    <cellStyle name="Normal 20 53 2" xfId="16084"/>
    <cellStyle name="Normal 20 53 3" xfId="16085"/>
    <cellStyle name="Normal 20 53 4" xfId="16086"/>
    <cellStyle name="Normal 20 53 5" xfId="16087"/>
    <cellStyle name="Normal 20 53 6" xfId="16088"/>
    <cellStyle name="Normal 20 53 7" xfId="16089"/>
    <cellStyle name="Normal 20 53 8" xfId="16090"/>
    <cellStyle name="Normal 20 53 9" xfId="16091"/>
    <cellStyle name="Normal 20 54" xfId="16092"/>
    <cellStyle name="Normal 20 54 10" xfId="16093"/>
    <cellStyle name="Normal 20 54 11" xfId="16094"/>
    <cellStyle name="Normal 20 54 12" xfId="16095"/>
    <cellStyle name="Normal 20 54 13" xfId="16096"/>
    <cellStyle name="Normal 20 54 2" xfId="16097"/>
    <cellStyle name="Normal 20 54 3" xfId="16098"/>
    <cellStyle name="Normal 20 54 4" xfId="16099"/>
    <cellStyle name="Normal 20 54 5" xfId="16100"/>
    <cellStyle name="Normal 20 54 6" xfId="16101"/>
    <cellStyle name="Normal 20 54 7" xfId="16102"/>
    <cellStyle name="Normal 20 54 8" xfId="16103"/>
    <cellStyle name="Normal 20 54 9" xfId="16104"/>
    <cellStyle name="Normal 20 55" xfId="16105"/>
    <cellStyle name="Normal 20 55 10" xfId="16106"/>
    <cellStyle name="Normal 20 55 11" xfId="16107"/>
    <cellStyle name="Normal 20 55 12" xfId="16108"/>
    <cellStyle name="Normal 20 55 13" xfId="16109"/>
    <cellStyle name="Normal 20 55 2" xfId="16110"/>
    <cellStyle name="Normal 20 55 3" xfId="16111"/>
    <cellStyle name="Normal 20 55 4" xfId="16112"/>
    <cellStyle name="Normal 20 55 5" xfId="16113"/>
    <cellStyle name="Normal 20 55 6" xfId="16114"/>
    <cellStyle name="Normal 20 55 7" xfId="16115"/>
    <cellStyle name="Normal 20 55 8" xfId="16116"/>
    <cellStyle name="Normal 20 55 9" xfId="16117"/>
    <cellStyle name="Normal 20 56" xfId="16118"/>
    <cellStyle name="Normal 20 56 10" xfId="16119"/>
    <cellStyle name="Normal 20 56 11" xfId="16120"/>
    <cellStyle name="Normal 20 56 12" xfId="16121"/>
    <cellStyle name="Normal 20 56 13" xfId="16122"/>
    <cellStyle name="Normal 20 56 2" xfId="16123"/>
    <cellStyle name="Normal 20 56 3" xfId="16124"/>
    <cellStyle name="Normal 20 56 4" xfId="16125"/>
    <cellStyle name="Normal 20 56 5" xfId="16126"/>
    <cellStyle name="Normal 20 56 6" xfId="16127"/>
    <cellStyle name="Normal 20 56 7" xfId="16128"/>
    <cellStyle name="Normal 20 56 8" xfId="16129"/>
    <cellStyle name="Normal 20 56 9" xfId="16130"/>
    <cellStyle name="Normal 20 57" xfId="16131"/>
    <cellStyle name="Normal 20 57 10" xfId="16132"/>
    <cellStyle name="Normal 20 57 11" xfId="16133"/>
    <cellStyle name="Normal 20 57 12" xfId="16134"/>
    <cellStyle name="Normal 20 57 13" xfId="16135"/>
    <cellStyle name="Normal 20 57 2" xfId="16136"/>
    <cellStyle name="Normal 20 57 3" xfId="16137"/>
    <cellStyle name="Normal 20 57 4" xfId="16138"/>
    <cellStyle name="Normal 20 57 5" xfId="16139"/>
    <cellStyle name="Normal 20 57 6" xfId="16140"/>
    <cellStyle name="Normal 20 57 7" xfId="16141"/>
    <cellStyle name="Normal 20 57 8" xfId="16142"/>
    <cellStyle name="Normal 20 57 9" xfId="16143"/>
    <cellStyle name="Normal 20 58" xfId="16144"/>
    <cellStyle name="Normal 20 58 10" xfId="16145"/>
    <cellStyle name="Normal 20 58 11" xfId="16146"/>
    <cellStyle name="Normal 20 58 12" xfId="16147"/>
    <cellStyle name="Normal 20 58 13" xfId="16148"/>
    <cellStyle name="Normal 20 58 2" xfId="16149"/>
    <cellStyle name="Normal 20 58 3" xfId="16150"/>
    <cellStyle name="Normal 20 58 4" xfId="16151"/>
    <cellStyle name="Normal 20 58 5" xfId="16152"/>
    <cellStyle name="Normal 20 58 6" xfId="16153"/>
    <cellStyle name="Normal 20 58 7" xfId="16154"/>
    <cellStyle name="Normal 20 58 8" xfId="16155"/>
    <cellStyle name="Normal 20 58 9" xfId="16156"/>
    <cellStyle name="Normal 20 59" xfId="16157"/>
    <cellStyle name="Normal 20 59 10" xfId="16158"/>
    <cellStyle name="Normal 20 59 11" xfId="16159"/>
    <cellStyle name="Normal 20 59 12" xfId="16160"/>
    <cellStyle name="Normal 20 59 13" xfId="16161"/>
    <cellStyle name="Normal 20 59 2" xfId="16162"/>
    <cellStyle name="Normal 20 59 3" xfId="16163"/>
    <cellStyle name="Normal 20 59 4" xfId="16164"/>
    <cellStyle name="Normal 20 59 5" xfId="16165"/>
    <cellStyle name="Normal 20 59 6" xfId="16166"/>
    <cellStyle name="Normal 20 59 7" xfId="16167"/>
    <cellStyle name="Normal 20 59 8" xfId="16168"/>
    <cellStyle name="Normal 20 59 9" xfId="16169"/>
    <cellStyle name="Normal 20 6" xfId="16170"/>
    <cellStyle name="Normal 20 6 10" xfId="16171"/>
    <cellStyle name="Normal 20 6 11" xfId="16172"/>
    <cellStyle name="Normal 20 6 12" xfId="16173"/>
    <cellStyle name="Normal 20 6 13" xfId="16174"/>
    <cellStyle name="Normal 20 6 2" xfId="16175"/>
    <cellStyle name="Normal 20 6 3" xfId="16176"/>
    <cellStyle name="Normal 20 6 4" xfId="16177"/>
    <cellStyle name="Normal 20 6 5" xfId="16178"/>
    <cellStyle name="Normal 20 6 6" xfId="16179"/>
    <cellStyle name="Normal 20 6 7" xfId="16180"/>
    <cellStyle name="Normal 20 6 8" xfId="16181"/>
    <cellStyle name="Normal 20 6 9" xfId="16182"/>
    <cellStyle name="Normal 20 60" xfId="16183"/>
    <cellStyle name="Normal 20 60 10" xfId="16184"/>
    <cellStyle name="Normal 20 60 11" xfId="16185"/>
    <cellStyle name="Normal 20 60 12" xfId="16186"/>
    <cellStyle name="Normal 20 60 13" xfId="16187"/>
    <cellStyle name="Normal 20 60 2" xfId="16188"/>
    <cellStyle name="Normal 20 60 3" xfId="16189"/>
    <cellStyle name="Normal 20 60 4" xfId="16190"/>
    <cellStyle name="Normal 20 60 5" xfId="16191"/>
    <cellStyle name="Normal 20 60 6" xfId="16192"/>
    <cellStyle name="Normal 20 60 7" xfId="16193"/>
    <cellStyle name="Normal 20 60 8" xfId="16194"/>
    <cellStyle name="Normal 20 60 9" xfId="16195"/>
    <cellStyle name="Normal 20 61" xfId="16196"/>
    <cellStyle name="Normal 20 61 10" xfId="16197"/>
    <cellStyle name="Normal 20 61 11" xfId="16198"/>
    <cellStyle name="Normal 20 61 12" xfId="16199"/>
    <cellStyle name="Normal 20 61 13" xfId="16200"/>
    <cellStyle name="Normal 20 61 2" xfId="16201"/>
    <cellStyle name="Normal 20 61 3" xfId="16202"/>
    <cellStyle name="Normal 20 61 4" xfId="16203"/>
    <cellStyle name="Normal 20 61 5" xfId="16204"/>
    <cellStyle name="Normal 20 61 6" xfId="16205"/>
    <cellStyle name="Normal 20 61 7" xfId="16206"/>
    <cellStyle name="Normal 20 61 8" xfId="16207"/>
    <cellStyle name="Normal 20 61 9" xfId="16208"/>
    <cellStyle name="Normal 20 62" xfId="16209"/>
    <cellStyle name="Normal 20 62 10" xfId="16210"/>
    <cellStyle name="Normal 20 62 11" xfId="16211"/>
    <cellStyle name="Normal 20 62 12" xfId="16212"/>
    <cellStyle name="Normal 20 62 13" xfId="16213"/>
    <cellStyle name="Normal 20 62 2" xfId="16214"/>
    <cellStyle name="Normal 20 62 3" xfId="16215"/>
    <cellStyle name="Normal 20 62 4" xfId="16216"/>
    <cellStyle name="Normal 20 62 5" xfId="16217"/>
    <cellStyle name="Normal 20 62 6" xfId="16218"/>
    <cellStyle name="Normal 20 62 7" xfId="16219"/>
    <cellStyle name="Normal 20 62 8" xfId="16220"/>
    <cellStyle name="Normal 20 62 9" xfId="16221"/>
    <cellStyle name="Normal 20 63" xfId="16222"/>
    <cellStyle name="Normal 20 63 10" xfId="16223"/>
    <cellStyle name="Normal 20 63 11" xfId="16224"/>
    <cellStyle name="Normal 20 63 12" xfId="16225"/>
    <cellStyle name="Normal 20 63 13" xfId="16226"/>
    <cellStyle name="Normal 20 63 2" xfId="16227"/>
    <cellStyle name="Normal 20 63 3" xfId="16228"/>
    <cellStyle name="Normal 20 63 4" xfId="16229"/>
    <cellStyle name="Normal 20 63 5" xfId="16230"/>
    <cellStyle name="Normal 20 63 6" xfId="16231"/>
    <cellStyle name="Normal 20 63 7" xfId="16232"/>
    <cellStyle name="Normal 20 63 8" xfId="16233"/>
    <cellStyle name="Normal 20 63 9" xfId="16234"/>
    <cellStyle name="Normal 20 64" xfId="16235"/>
    <cellStyle name="Normal 20 64 10" xfId="16236"/>
    <cellStyle name="Normal 20 64 11" xfId="16237"/>
    <cellStyle name="Normal 20 64 12" xfId="16238"/>
    <cellStyle name="Normal 20 64 13" xfId="16239"/>
    <cellStyle name="Normal 20 64 2" xfId="16240"/>
    <cellStyle name="Normal 20 64 3" xfId="16241"/>
    <cellStyle name="Normal 20 64 4" xfId="16242"/>
    <cellStyle name="Normal 20 64 5" xfId="16243"/>
    <cellStyle name="Normal 20 64 6" xfId="16244"/>
    <cellStyle name="Normal 20 64 7" xfId="16245"/>
    <cellStyle name="Normal 20 64 8" xfId="16246"/>
    <cellStyle name="Normal 20 64 9" xfId="16247"/>
    <cellStyle name="Normal 20 65" xfId="16248"/>
    <cellStyle name="Normal 20 65 10" xfId="16249"/>
    <cellStyle name="Normal 20 65 11" xfId="16250"/>
    <cellStyle name="Normal 20 65 12" xfId="16251"/>
    <cellStyle name="Normal 20 65 13" xfId="16252"/>
    <cellStyle name="Normal 20 65 2" xfId="16253"/>
    <cellStyle name="Normal 20 65 3" xfId="16254"/>
    <cellStyle name="Normal 20 65 4" xfId="16255"/>
    <cellStyle name="Normal 20 65 5" xfId="16256"/>
    <cellStyle name="Normal 20 65 6" xfId="16257"/>
    <cellStyle name="Normal 20 65 7" xfId="16258"/>
    <cellStyle name="Normal 20 65 8" xfId="16259"/>
    <cellStyle name="Normal 20 65 9" xfId="16260"/>
    <cellStyle name="Normal 20 66" xfId="16261"/>
    <cellStyle name="Normal 20 66 10" xfId="16262"/>
    <cellStyle name="Normal 20 66 11" xfId="16263"/>
    <cellStyle name="Normal 20 66 12" xfId="16264"/>
    <cellStyle name="Normal 20 66 13" xfId="16265"/>
    <cellStyle name="Normal 20 66 2" xfId="16266"/>
    <cellStyle name="Normal 20 66 3" xfId="16267"/>
    <cellStyle name="Normal 20 66 4" xfId="16268"/>
    <cellStyle name="Normal 20 66 5" xfId="16269"/>
    <cellStyle name="Normal 20 66 6" xfId="16270"/>
    <cellStyle name="Normal 20 66 7" xfId="16271"/>
    <cellStyle name="Normal 20 66 8" xfId="16272"/>
    <cellStyle name="Normal 20 66 9" xfId="16273"/>
    <cellStyle name="Normal 20 67" xfId="16274"/>
    <cellStyle name="Normal 20 67 10" xfId="16275"/>
    <cellStyle name="Normal 20 67 11" xfId="16276"/>
    <cellStyle name="Normal 20 67 12" xfId="16277"/>
    <cellStyle name="Normal 20 67 13" xfId="16278"/>
    <cellStyle name="Normal 20 67 2" xfId="16279"/>
    <cellStyle name="Normal 20 67 3" xfId="16280"/>
    <cellStyle name="Normal 20 67 4" xfId="16281"/>
    <cellStyle name="Normal 20 67 5" xfId="16282"/>
    <cellStyle name="Normal 20 67 6" xfId="16283"/>
    <cellStyle name="Normal 20 67 7" xfId="16284"/>
    <cellStyle name="Normal 20 67 8" xfId="16285"/>
    <cellStyle name="Normal 20 67 9" xfId="16286"/>
    <cellStyle name="Normal 20 68" xfId="16287"/>
    <cellStyle name="Normal 20 68 10" xfId="16288"/>
    <cellStyle name="Normal 20 68 11" xfId="16289"/>
    <cellStyle name="Normal 20 68 12" xfId="16290"/>
    <cellStyle name="Normal 20 68 13" xfId="16291"/>
    <cellStyle name="Normal 20 68 2" xfId="16292"/>
    <cellStyle name="Normal 20 68 3" xfId="16293"/>
    <cellStyle name="Normal 20 68 4" xfId="16294"/>
    <cellStyle name="Normal 20 68 5" xfId="16295"/>
    <cellStyle name="Normal 20 68 6" xfId="16296"/>
    <cellStyle name="Normal 20 68 7" xfId="16297"/>
    <cellStyle name="Normal 20 68 8" xfId="16298"/>
    <cellStyle name="Normal 20 68 9" xfId="16299"/>
    <cellStyle name="Normal 20 69" xfId="16300"/>
    <cellStyle name="Normal 20 69 10" xfId="16301"/>
    <cellStyle name="Normal 20 69 11" xfId="16302"/>
    <cellStyle name="Normal 20 69 12" xfId="16303"/>
    <cellStyle name="Normal 20 69 13" xfId="16304"/>
    <cellStyle name="Normal 20 69 2" xfId="16305"/>
    <cellStyle name="Normal 20 69 3" xfId="16306"/>
    <cellStyle name="Normal 20 69 4" xfId="16307"/>
    <cellStyle name="Normal 20 69 5" xfId="16308"/>
    <cellStyle name="Normal 20 69 6" xfId="16309"/>
    <cellStyle name="Normal 20 69 7" xfId="16310"/>
    <cellStyle name="Normal 20 69 8" xfId="16311"/>
    <cellStyle name="Normal 20 69 9" xfId="16312"/>
    <cellStyle name="Normal 20 7" xfId="16313"/>
    <cellStyle name="Normal 20 7 10" xfId="16314"/>
    <cellStyle name="Normal 20 7 11" xfId="16315"/>
    <cellStyle name="Normal 20 7 12" xfId="16316"/>
    <cellStyle name="Normal 20 7 13" xfId="16317"/>
    <cellStyle name="Normal 20 7 2" xfId="16318"/>
    <cellStyle name="Normal 20 7 3" xfId="16319"/>
    <cellStyle name="Normal 20 7 4" xfId="16320"/>
    <cellStyle name="Normal 20 7 5" xfId="16321"/>
    <cellStyle name="Normal 20 7 6" xfId="16322"/>
    <cellStyle name="Normal 20 7 7" xfId="16323"/>
    <cellStyle name="Normal 20 7 8" xfId="16324"/>
    <cellStyle name="Normal 20 7 9" xfId="16325"/>
    <cellStyle name="Normal 20 70" xfId="16326"/>
    <cellStyle name="Normal 20 70 10" xfId="16327"/>
    <cellStyle name="Normal 20 70 11" xfId="16328"/>
    <cellStyle name="Normal 20 70 12" xfId="16329"/>
    <cellStyle name="Normal 20 70 13" xfId="16330"/>
    <cellStyle name="Normal 20 70 2" xfId="16331"/>
    <cellStyle name="Normal 20 70 3" xfId="16332"/>
    <cellStyle name="Normal 20 70 4" xfId="16333"/>
    <cellStyle name="Normal 20 70 5" xfId="16334"/>
    <cellStyle name="Normal 20 70 6" xfId="16335"/>
    <cellStyle name="Normal 20 70 7" xfId="16336"/>
    <cellStyle name="Normal 20 70 8" xfId="16337"/>
    <cellStyle name="Normal 20 70 9" xfId="16338"/>
    <cellStyle name="Normal 20 71" xfId="16339"/>
    <cellStyle name="Normal 20 71 10" xfId="16340"/>
    <cellStyle name="Normal 20 71 11" xfId="16341"/>
    <cellStyle name="Normal 20 71 12" xfId="16342"/>
    <cellStyle name="Normal 20 71 13" xfId="16343"/>
    <cellStyle name="Normal 20 71 2" xfId="16344"/>
    <cellStyle name="Normal 20 71 3" xfId="16345"/>
    <cellStyle name="Normal 20 71 4" xfId="16346"/>
    <cellStyle name="Normal 20 71 5" xfId="16347"/>
    <cellStyle name="Normal 20 71 6" xfId="16348"/>
    <cellStyle name="Normal 20 71 7" xfId="16349"/>
    <cellStyle name="Normal 20 71 8" xfId="16350"/>
    <cellStyle name="Normal 20 71 9" xfId="16351"/>
    <cellStyle name="Normal 20 72" xfId="16352"/>
    <cellStyle name="Normal 20 73" xfId="16353"/>
    <cellStyle name="Normal 20 74" xfId="16354"/>
    <cellStyle name="Normal 20 75" xfId="16355"/>
    <cellStyle name="Normal 20 76" xfId="16356"/>
    <cellStyle name="Normal 20 77" xfId="16357"/>
    <cellStyle name="Normal 20 78" xfId="16358"/>
    <cellStyle name="Normal 20 79" xfId="16359"/>
    <cellStyle name="Normal 20 8" xfId="16360"/>
    <cellStyle name="Normal 20 8 10" xfId="16361"/>
    <cellStyle name="Normal 20 8 11" xfId="16362"/>
    <cellStyle name="Normal 20 8 12" xfId="16363"/>
    <cellStyle name="Normal 20 8 13" xfId="16364"/>
    <cellStyle name="Normal 20 8 2" xfId="16365"/>
    <cellStyle name="Normal 20 8 3" xfId="16366"/>
    <cellStyle name="Normal 20 8 4" xfId="16367"/>
    <cellStyle name="Normal 20 8 5" xfId="16368"/>
    <cellStyle name="Normal 20 8 6" xfId="16369"/>
    <cellStyle name="Normal 20 8 7" xfId="16370"/>
    <cellStyle name="Normal 20 8 8" xfId="16371"/>
    <cellStyle name="Normal 20 8 9" xfId="16372"/>
    <cellStyle name="Normal 20 80" xfId="16373"/>
    <cellStyle name="Normal 20 81" xfId="16374"/>
    <cellStyle name="Normal 20 82" xfId="16375"/>
    <cellStyle name="Normal 20 83" xfId="16376"/>
    <cellStyle name="Normal 20 9" xfId="16377"/>
    <cellStyle name="Normal 20 9 10" xfId="16378"/>
    <cellStyle name="Normal 20 9 11" xfId="16379"/>
    <cellStyle name="Normal 20 9 12" xfId="16380"/>
    <cellStyle name="Normal 20 9 13" xfId="16381"/>
    <cellStyle name="Normal 20 9 2" xfId="16382"/>
    <cellStyle name="Normal 20 9 3" xfId="16383"/>
    <cellStyle name="Normal 20 9 4" xfId="16384"/>
    <cellStyle name="Normal 20 9 5" xfId="16385"/>
    <cellStyle name="Normal 20 9 6" xfId="16386"/>
    <cellStyle name="Normal 20 9 7" xfId="16387"/>
    <cellStyle name="Normal 20 9 8" xfId="16388"/>
    <cellStyle name="Normal 20 9 9" xfId="16389"/>
    <cellStyle name="Normal 21" xfId="16390"/>
    <cellStyle name="Normal 21 10" xfId="16391"/>
    <cellStyle name="Normal 21 10 10" xfId="16392"/>
    <cellStyle name="Normal 21 10 11" xfId="16393"/>
    <cellStyle name="Normal 21 10 12" xfId="16394"/>
    <cellStyle name="Normal 21 10 13" xfId="16395"/>
    <cellStyle name="Normal 21 10 2" xfId="16396"/>
    <cellStyle name="Normal 21 10 3" xfId="16397"/>
    <cellStyle name="Normal 21 10 4" xfId="16398"/>
    <cellStyle name="Normal 21 10 5" xfId="16399"/>
    <cellStyle name="Normal 21 10 6" xfId="16400"/>
    <cellStyle name="Normal 21 10 7" xfId="16401"/>
    <cellStyle name="Normal 21 10 8" xfId="16402"/>
    <cellStyle name="Normal 21 10 9" xfId="16403"/>
    <cellStyle name="Normal 21 11" xfId="16404"/>
    <cellStyle name="Normal 21 11 10" xfId="16405"/>
    <cellStyle name="Normal 21 11 11" xfId="16406"/>
    <cellStyle name="Normal 21 11 12" xfId="16407"/>
    <cellStyle name="Normal 21 11 13" xfId="16408"/>
    <cellStyle name="Normal 21 11 2" xfId="16409"/>
    <cellStyle name="Normal 21 11 3" xfId="16410"/>
    <cellStyle name="Normal 21 11 4" xfId="16411"/>
    <cellStyle name="Normal 21 11 5" xfId="16412"/>
    <cellStyle name="Normal 21 11 6" xfId="16413"/>
    <cellStyle name="Normal 21 11 7" xfId="16414"/>
    <cellStyle name="Normal 21 11 8" xfId="16415"/>
    <cellStyle name="Normal 21 11 9" xfId="16416"/>
    <cellStyle name="Normal 21 12" xfId="16417"/>
    <cellStyle name="Normal 21 12 10" xfId="16418"/>
    <cellStyle name="Normal 21 12 11" xfId="16419"/>
    <cellStyle name="Normal 21 12 12" xfId="16420"/>
    <cellStyle name="Normal 21 12 13" xfId="16421"/>
    <cellStyle name="Normal 21 12 2" xfId="16422"/>
    <cellStyle name="Normal 21 12 3" xfId="16423"/>
    <cellStyle name="Normal 21 12 4" xfId="16424"/>
    <cellStyle name="Normal 21 12 5" xfId="16425"/>
    <cellStyle name="Normal 21 12 6" xfId="16426"/>
    <cellStyle name="Normal 21 12 7" xfId="16427"/>
    <cellStyle name="Normal 21 12 8" xfId="16428"/>
    <cellStyle name="Normal 21 12 9" xfId="16429"/>
    <cellStyle name="Normal 21 13" xfId="16430"/>
    <cellStyle name="Normal 21 13 10" xfId="16431"/>
    <cellStyle name="Normal 21 13 11" xfId="16432"/>
    <cellStyle name="Normal 21 13 12" xfId="16433"/>
    <cellStyle name="Normal 21 13 13" xfId="16434"/>
    <cellStyle name="Normal 21 13 2" xfId="16435"/>
    <cellStyle name="Normal 21 13 3" xfId="16436"/>
    <cellStyle name="Normal 21 13 4" xfId="16437"/>
    <cellStyle name="Normal 21 13 5" xfId="16438"/>
    <cellStyle name="Normal 21 13 6" xfId="16439"/>
    <cellStyle name="Normal 21 13 7" xfId="16440"/>
    <cellStyle name="Normal 21 13 8" xfId="16441"/>
    <cellStyle name="Normal 21 13 9" xfId="16442"/>
    <cellStyle name="Normal 21 14" xfId="16443"/>
    <cellStyle name="Normal 21 14 10" xfId="16444"/>
    <cellStyle name="Normal 21 14 11" xfId="16445"/>
    <cellStyle name="Normal 21 14 12" xfId="16446"/>
    <cellStyle name="Normal 21 14 13" xfId="16447"/>
    <cellStyle name="Normal 21 14 2" xfId="16448"/>
    <cellStyle name="Normal 21 14 3" xfId="16449"/>
    <cellStyle name="Normal 21 14 4" xfId="16450"/>
    <cellStyle name="Normal 21 14 5" xfId="16451"/>
    <cellStyle name="Normal 21 14 6" xfId="16452"/>
    <cellStyle name="Normal 21 14 7" xfId="16453"/>
    <cellStyle name="Normal 21 14 8" xfId="16454"/>
    <cellStyle name="Normal 21 14 9" xfId="16455"/>
    <cellStyle name="Normal 21 15" xfId="16456"/>
    <cellStyle name="Normal 21 15 10" xfId="16457"/>
    <cellStyle name="Normal 21 15 11" xfId="16458"/>
    <cellStyle name="Normal 21 15 12" xfId="16459"/>
    <cellStyle name="Normal 21 15 13" xfId="16460"/>
    <cellStyle name="Normal 21 15 2" xfId="16461"/>
    <cellStyle name="Normal 21 15 3" xfId="16462"/>
    <cellStyle name="Normal 21 15 4" xfId="16463"/>
    <cellStyle name="Normal 21 15 5" xfId="16464"/>
    <cellStyle name="Normal 21 15 6" xfId="16465"/>
    <cellStyle name="Normal 21 15 7" xfId="16466"/>
    <cellStyle name="Normal 21 15 8" xfId="16467"/>
    <cellStyle name="Normal 21 15 9" xfId="16468"/>
    <cellStyle name="Normal 21 16" xfId="16469"/>
    <cellStyle name="Normal 21 16 10" xfId="16470"/>
    <cellStyle name="Normal 21 16 11" xfId="16471"/>
    <cellStyle name="Normal 21 16 12" xfId="16472"/>
    <cellStyle name="Normal 21 16 13" xfId="16473"/>
    <cellStyle name="Normal 21 16 2" xfId="16474"/>
    <cellStyle name="Normal 21 16 3" xfId="16475"/>
    <cellStyle name="Normal 21 16 4" xfId="16476"/>
    <cellStyle name="Normal 21 16 5" xfId="16477"/>
    <cellStyle name="Normal 21 16 6" xfId="16478"/>
    <cellStyle name="Normal 21 16 7" xfId="16479"/>
    <cellStyle name="Normal 21 16 8" xfId="16480"/>
    <cellStyle name="Normal 21 16 9" xfId="16481"/>
    <cellStyle name="Normal 21 17" xfId="16482"/>
    <cellStyle name="Normal 21 17 10" xfId="16483"/>
    <cellStyle name="Normal 21 17 11" xfId="16484"/>
    <cellStyle name="Normal 21 17 12" xfId="16485"/>
    <cellStyle name="Normal 21 17 13" xfId="16486"/>
    <cellStyle name="Normal 21 17 2" xfId="16487"/>
    <cellStyle name="Normal 21 17 3" xfId="16488"/>
    <cellStyle name="Normal 21 17 4" xfId="16489"/>
    <cellStyle name="Normal 21 17 5" xfId="16490"/>
    <cellStyle name="Normal 21 17 6" xfId="16491"/>
    <cellStyle name="Normal 21 17 7" xfId="16492"/>
    <cellStyle name="Normal 21 17 8" xfId="16493"/>
    <cellStyle name="Normal 21 17 9" xfId="16494"/>
    <cellStyle name="Normal 21 18" xfId="16495"/>
    <cellStyle name="Normal 21 18 10" xfId="16496"/>
    <cellStyle name="Normal 21 18 11" xfId="16497"/>
    <cellStyle name="Normal 21 18 12" xfId="16498"/>
    <cellStyle name="Normal 21 18 13" xfId="16499"/>
    <cellStyle name="Normal 21 18 2" xfId="16500"/>
    <cellStyle name="Normal 21 18 3" xfId="16501"/>
    <cellStyle name="Normal 21 18 4" xfId="16502"/>
    <cellStyle name="Normal 21 18 5" xfId="16503"/>
    <cellStyle name="Normal 21 18 6" xfId="16504"/>
    <cellStyle name="Normal 21 18 7" xfId="16505"/>
    <cellStyle name="Normal 21 18 8" xfId="16506"/>
    <cellStyle name="Normal 21 18 9" xfId="16507"/>
    <cellStyle name="Normal 21 19" xfId="16508"/>
    <cellStyle name="Normal 21 19 10" xfId="16509"/>
    <cellStyle name="Normal 21 19 11" xfId="16510"/>
    <cellStyle name="Normal 21 19 12" xfId="16511"/>
    <cellStyle name="Normal 21 19 13" xfId="16512"/>
    <cellStyle name="Normal 21 19 2" xfId="16513"/>
    <cellStyle name="Normal 21 19 3" xfId="16514"/>
    <cellStyle name="Normal 21 19 4" xfId="16515"/>
    <cellStyle name="Normal 21 19 5" xfId="16516"/>
    <cellStyle name="Normal 21 19 6" xfId="16517"/>
    <cellStyle name="Normal 21 19 7" xfId="16518"/>
    <cellStyle name="Normal 21 19 8" xfId="16519"/>
    <cellStyle name="Normal 21 19 9" xfId="16520"/>
    <cellStyle name="Normal 21 2" xfId="16521"/>
    <cellStyle name="Normal 21 2 10" xfId="16522"/>
    <cellStyle name="Normal 21 2 11" xfId="16523"/>
    <cellStyle name="Normal 21 2 12" xfId="16524"/>
    <cellStyle name="Normal 21 2 13" xfId="16525"/>
    <cellStyle name="Normal 21 2 2" xfId="16526"/>
    <cellStyle name="Normal 21 2 3" xfId="16527"/>
    <cellStyle name="Normal 21 2 4" xfId="16528"/>
    <cellStyle name="Normal 21 2 5" xfId="16529"/>
    <cellStyle name="Normal 21 2 6" xfId="16530"/>
    <cellStyle name="Normal 21 2 7" xfId="16531"/>
    <cellStyle name="Normal 21 2 8" xfId="16532"/>
    <cellStyle name="Normal 21 2 9" xfId="16533"/>
    <cellStyle name="Normal 21 20" xfId="16534"/>
    <cellStyle name="Normal 21 20 10" xfId="16535"/>
    <cellStyle name="Normal 21 20 11" xfId="16536"/>
    <cellStyle name="Normal 21 20 12" xfId="16537"/>
    <cellStyle name="Normal 21 20 13" xfId="16538"/>
    <cellStyle name="Normal 21 20 2" xfId="16539"/>
    <cellStyle name="Normal 21 20 3" xfId="16540"/>
    <cellStyle name="Normal 21 20 4" xfId="16541"/>
    <cellStyle name="Normal 21 20 5" xfId="16542"/>
    <cellStyle name="Normal 21 20 6" xfId="16543"/>
    <cellStyle name="Normal 21 20 7" xfId="16544"/>
    <cellStyle name="Normal 21 20 8" xfId="16545"/>
    <cellStyle name="Normal 21 20 9" xfId="16546"/>
    <cellStyle name="Normal 21 21" xfId="16547"/>
    <cellStyle name="Normal 21 21 10" xfId="16548"/>
    <cellStyle name="Normal 21 21 11" xfId="16549"/>
    <cellStyle name="Normal 21 21 12" xfId="16550"/>
    <cellStyle name="Normal 21 21 13" xfId="16551"/>
    <cellStyle name="Normal 21 21 2" xfId="16552"/>
    <cellStyle name="Normal 21 21 3" xfId="16553"/>
    <cellStyle name="Normal 21 21 4" xfId="16554"/>
    <cellStyle name="Normal 21 21 5" xfId="16555"/>
    <cellStyle name="Normal 21 21 6" xfId="16556"/>
    <cellStyle name="Normal 21 21 7" xfId="16557"/>
    <cellStyle name="Normal 21 21 8" xfId="16558"/>
    <cellStyle name="Normal 21 21 9" xfId="16559"/>
    <cellStyle name="Normal 21 22" xfId="16560"/>
    <cellStyle name="Normal 21 22 10" xfId="16561"/>
    <cellStyle name="Normal 21 22 11" xfId="16562"/>
    <cellStyle name="Normal 21 22 12" xfId="16563"/>
    <cellStyle name="Normal 21 22 13" xfId="16564"/>
    <cellStyle name="Normal 21 22 2" xfId="16565"/>
    <cellStyle name="Normal 21 22 3" xfId="16566"/>
    <cellStyle name="Normal 21 22 4" xfId="16567"/>
    <cellStyle name="Normal 21 22 5" xfId="16568"/>
    <cellStyle name="Normal 21 22 6" xfId="16569"/>
    <cellStyle name="Normal 21 22 7" xfId="16570"/>
    <cellStyle name="Normal 21 22 8" xfId="16571"/>
    <cellStyle name="Normal 21 22 9" xfId="16572"/>
    <cellStyle name="Normal 21 23" xfId="16573"/>
    <cellStyle name="Normal 21 23 10" xfId="16574"/>
    <cellStyle name="Normal 21 23 11" xfId="16575"/>
    <cellStyle name="Normal 21 23 12" xfId="16576"/>
    <cellStyle name="Normal 21 23 13" xfId="16577"/>
    <cellStyle name="Normal 21 23 2" xfId="16578"/>
    <cellStyle name="Normal 21 23 3" xfId="16579"/>
    <cellStyle name="Normal 21 23 4" xfId="16580"/>
    <cellStyle name="Normal 21 23 5" xfId="16581"/>
    <cellStyle name="Normal 21 23 6" xfId="16582"/>
    <cellStyle name="Normal 21 23 7" xfId="16583"/>
    <cellStyle name="Normal 21 23 8" xfId="16584"/>
    <cellStyle name="Normal 21 23 9" xfId="16585"/>
    <cellStyle name="Normal 21 24" xfId="16586"/>
    <cellStyle name="Normal 21 24 10" xfId="16587"/>
    <cellStyle name="Normal 21 24 11" xfId="16588"/>
    <cellStyle name="Normal 21 24 12" xfId="16589"/>
    <cellStyle name="Normal 21 24 13" xfId="16590"/>
    <cellStyle name="Normal 21 24 2" xfId="16591"/>
    <cellStyle name="Normal 21 24 3" xfId="16592"/>
    <cellStyle name="Normal 21 24 4" xfId="16593"/>
    <cellStyle name="Normal 21 24 5" xfId="16594"/>
    <cellStyle name="Normal 21 24 6" xfId="16595"/>
    <cellStyle name="Normal 21 24 7" xfId="16596"/>
    <cellStyle name="Normal 21 24 8" xfId="16597"/>
    <cellStyle name="Normal 21 24 9" xfId="16598"/>
    <cellStyle name="Normal 21 25" xfId="16599"/>
    <cellStyle name="Normal 21 25 10" xfId="16600"/>
    <cellStyle name="Normal 21 25 11" xfId="16601"/>
    <cellStyle name="Normal 21 25 12" xfId="16602"/>
    <cellStyle name="Normal 21 25 13" xfId="16603"/>
    <cellStyle name="Normal 21 25 2" xfId="16604"/>
    <cellStyle name="Normal 21 25 3" xfId="16605"/>
    <cellStyle name="Normal 21 25 4" xfId="16606"/>
    <cellStyle name="Normal 21 25 5" xfId="16607"/>
    <cellStyle name="Normal 21 25 6" xfId="16608"/>
    <cellStyle name="Normal 21 25 7" xfId="16609"/>
    <cellStyle name="Normal 21 25 8" xfId="16610"/>
    <cellStyle name="Normal 21 25 9" xfId="16611"/>
    <cellStyle name="Normal 21 26" xfId="16612"/>
    <cellStyle name="Normal 21 26 10" xfId="16613"/>
    <cellStyle name="Normal 21 26 11" xfId="16614"/>
    <cellStyle name="Normal 21 26 12" xfId="16615"/>
    <cellStyle name="Normal 21 26 13" xfId="16616"/>
    <cellStyle name="Normal 21 26 2" xfId="16617"/>
    <cellStyle name="Normal 21 26 3" xfId="16618"/>
    <cellStyle name="Normal 21 26 4" xfId="16619"/>
    <cellStyle name="Normal 21 26 5" xfId="16620"/>
    <cellStyle name="Normal 21 26 6" xfId="16621"/>
    <cellStyle name="Normal 21 26 7" xfId="16622"/>
    <cellStyle name="Normal 21 26 8" xfId="16623"/>
    <cellStyle name="Normal 21 26 9" xfId="16624"/>
    <cellStyle name="Normal 21 27" xfId="16625"/>
    <cellStyle name="Normal 21 27 10" xfId="16626"/>
    <cellStyle name="Normal 21 27 11" xfId="16627"/>
    <cellStyle name="Normal 21 27 12" xfId="16628"/>
    <cellStyle name="Normal 21 27 13" xfId="16629"/>
    <cellStyle name="Normal 21 27 2" xfId="16630"/>
    <cellStyle name="Normal 21 27 3" xfId="16631"/>
    <cellStyle name="Normal 21 27 4" xfId="16632"/>
    <cellStyle name="Normal 21 27 5" xfId="16633"/>
    <cellStyle name="Normal 21 27 6" xfId="16634"/>
    <cellStyle name="Normal 21 27 7" xfId="16635"/>
    <cellStyle name="Normal 21 27 8" xfId="16636"/>
    <cellStyle name="Normal 21 27 9" xfId="16637"/>
    <cellStyle name="Normal 21 28" xfId="16638"/>
    <cellStyle name="Normal 21 28 10" xfId="16639"/>
    <cellStyle name="Normal 21 28 11" xfId="16640"/>
    <cellStyle name="Normal 21 28 12" xfId="16641"/>
    <cellStyle name="Normal 21 28 13" xfId="16642"/>
    <cellStyle name="Normal 21 28 2" xfId="16643"/>
    <cellStyle name="Normal 21 28 3" xfId="16644"/>
    <cellStyle name="Normal 21 28 4" xfId="16645"/>
    <cellStyle name="Normal 21 28 5" xfId="16646"/>
    <cellStyle name="Normal 21 28 6" xfId="16647"/>
    <cellStyle name="Normal 21 28 7" xfId="16648"/>
    <cellStyle name="Normal 21 28 8" xfId="16649"/>
    <cellStyle name="Normal 21 28 9" xfId="16650"/>
    <cellStyle name="Normal 21 29" xfId="16651"/>
    <cellStyle name="Normal 21 29 10" xfId="16652"/>
    <cellStyle name="Normal 21 29 11" xfId="16653"/>
    <cellStyle name="Normal 21 29 12" xfId="16654"/>
    <cellStyle name="Normal 21 29 13" xfId="16655"/>
    <cellStyle name="Normal 21 29 2" xfId="16656"/>
    <cellStyle name="Normal 21 29 3" xfId="16657"/>
    <cellStyle name="Normal 21 29 4" xfId="16658"/>
    <cellStyle name="Normal 21 29 5" xfId="16659"/>
    <cellStyle name="Normal 21 29 6" xfId="16660"/>
    <cellStyle name="Normal 21 29 7" xfId="16661"/>
    <cellStyle name="Normal 21 29 8" xfId="16662"/>
    <cellStyle name="Normal 21 29 9" xfId="16663"/>
    <cellStyle name="Normal 21 3" xfId="16664"/>
    <cellStyle name="Normal 21 3 10" xfId="16665"/>
    <cellStyle name="Normal 21 3 11" xfId="16666"/>
    <cellStyle name="Normal 21 3 12" xfId="16667"/>
    <cellStyle name="Normal 21 3 13" xfId="16668"/>
    <cellStyle name="Normal 21 3 2" xfId="16669"/>
    <cellStyle name="Normal 21 3 3" xfId="16670"/>
    <cellStyle name="Normal 21 3 4" xfId="16671"/>
    <cellStyle name="Normal 21 3 5" xfId="16672"/>
    <cellStyle name="Normal 21 3 6" xfId="16673"/>
    <cellStyle name="Normal 21 3 7" xfId="16674"/>
    <cellStyle name="Normal 21 3 8" xfId="16675"/>
    <cellStyle name="Normal 21 3 9" xfId="16676"/>
    <cellStyle name="Normal 21 30" xfId="16677"/>
    <cellStyle name="Normal 21 30 10" xfId="16678"/>
    <cellStyle name="Normal 21 30 11" xfId="16679"/>
    <cellStyle name="Normal 21 30 12" xfId="16680"/>
    <cellStyle name="Normal 21 30 13" xfId="16681"/>
    <cellStyle name="Normal 21 30 2" xfId="16682"/>
    <cellStyle name="Normal 21 30 3" xfId="16683"/>
    <cellStyle name="Normal 21 30 4" xfId="16684"/>
    <cellStyle name="Normal 21 30 5" xfId="16685"/>
    <cellStyle name="Normal 21 30 6" xfId="16686"/>
    <cellStyle name="Normal 21 30 7" xfId="16687"/>
    <cellStyle name="Normal 21 30 8" xfId="16688"/>
    <cellStyle name="Normal 21 30 9" xfId="16689"/>
    <cellStyle name="Normal 21 31" xfId="16690"/>
    <cellStyle name="Normal 21 31 10" xfId="16691"/>
    <cellStyle name="Normal 21 31 11" xfId="16692"/>
    <cellStyle name="Normal 21 31 12" xfId="16693"/>
    <cellStyle name="Normal 21 31 13" xfId="16694"/>
    <cellStyle name="Normal 21 31 2" xfId="16695"/>
    <cellStyle name="Normal 21 31 3" xfId="16696"/>
    <cellStyle name="Normal 21 31 4" xfId="16697"/>
    <cellStyle name="Normal 21 31 5" xfId="16698"/>
    <cellStyle name="Normal 21 31 6" xfId="16699"/>
    <cellStyle name="Normal 21 31 7" xfId="16700"/>
    <cellStyle name="Normal 21 31 8" xfId="16701"/>
    <cellStyle name="Normal 21 31 9" xfId="16702"/>
    <cellStyle name="Normal 21 32" xfId="16703"/>
    <cellStyle name="Normal 21 32 10" xfId="16704"/>
    <cellStyle name="Normal 21 32 11" xfId="16705"/>
    <cellStyle name="Normal 21 32 12" xfId="16706"/>
    <cellStyle name="Normal 21 32 13" xfId="16707"/>
    <cellStyle name="Normal 21 32 2" xfId="16708"/>
    <cellStyle name="Normal 21 32 3" xfId="16709"/>
    <cellStyle name="Normal 21 32 4" xfId="16710"/>
    <cellStyle name="Normal 21 32 5" xfId="16711"/>
    <cellStyle name="Normal 21 32 6" xfId="16712"/>
    <cellStyle name="Normal 21 32 7" xfId="16713"/>
    <cellStyle name="Normal 21 32 8" xfId="16714"/>
    <cellStyle name="Normal 21 32 9" xfId="16715"/>
    <cellStyle name="Normal 21 33" xfId="16716"/>
    <cellStyle name="Normal 21 33 10" xfId="16717"/>
    <cellStyle name="Normal 21 33 11" xfId="16718"/>
    <cellStyle name="Normal 21 33 12" xfId="16719"/>
    <cellStyle name="Normal 21 33 13" xfId="16720"/>
    <cellStyle name="Normal 21 33 2" xfId="16721"/>
    <cellStyle name="Normal 21 33 3" xfId="16722"/>
    <cellStyle name="Normal 21 33 4" xfId="16723"/>
    <cellStyle name="Normal 21 33 5" xfId="16724"/>
    <cellStyle name="Normal 21 33 6" xfId="16725"/>
    <cellStyle name="Normal 21 33 7" xfId="16726"/>
    <cellStyle name="Normal 21 33 8" xfId="16727"/>
    <cellStyle name="Normal 21 33 9" xfId="16728"/>
    <cellStyle name="Normal 21 34" xfId="16729"/>
    <cellStyle name="Normal 21 34 10" xfId="16730"/>
    <cellStyle name="Normal 21 34 11" xfId="16731"/>
    <cellStyle name="Normal 21 34 12" xfId="16732"/>
    <cellStyle name="Normal 21 34 13" xfId="16733"/>
    <cellStyle name="Normal 21 34 2" xfId="16734"/>
    <cellStyle name="Normal 21 34 3" xfId="16735"/>
    <cellStyle name="Normal 21 34 4" xfId="16736"/>
    <cellStyle name="Normal 21 34 5" xfId="16737"/>
    <cellStyle name="Normal 21 34 6" xfId="16738"/>
    <cellStyle name="Normal 21 34 7" xfId="16739"/>
    <cellStyle name="Normal 21 34 8" xfId="16740"/>
    <cellStyle name="Normal 21 34 9" xfId="16741"/>
    <cellStyle name="Normal 21 35" xfId="16742"/>
    <cellStyle name="Normal 21 35 10" xfId="16743"/>
    <cellStyle name="Normal 21 35 11" xfId="16744"/>
    <cellStyle name="Normal 21 35 12" xfId="16745"/>
    <cellStyle name="Normal 21 35 13" xfId="16746"/>
    <cellStyle name="Normal 21 35 2" xfId="16747"/>
    <cellStyle name="Normal 21 35 3" xfId="16748"/>
    <cellStyle name="Normal 21 35 4" xfId="16749"/>
    <cellStyle name="Normal 21 35 5" xfId="16750"/>
    <cellStyle name="Normal 21 35 6" xfId="16751"/>
    <cellStyle name="Normal 21 35 7" xfId="16752"/>
    <cellStyle name="Normal 21 35 8" xfId="16753"/>
    <cellStyle name="Normal 21 35 9" xfId="16754"/>
    <cellStyle name="Normal 21 36" xfId="16755"/>
    <cellStyle name="Normal 21 36 10" xfId="16756"/>
    <cellStyle name="Normal 21 36 11" xfId="16757"/>
    <cellStyle name="Normal 21 36 12" xfId="16758"/>
    <cellStyle name="Normal 21 36 13" xfId="16759"/>
    <cellStyle name="Normal 21 36 2" xfId="16760"/>
    <cellStyle name="Normal 21 36 3" xfId="16761"/>
    <cellStyle name="Normal 21 36 4" xfId="16762"/>
    <cellStyle name="Normal 21 36 5" xfId="16763"/>
    <cellStyle name="Normal 21 36 6" xfId="16764"/>
    <cellStyle name="Normal 21 36 7" xfId="16765"/>
    <cellStyle name="Normal 21 36 8" xfId="16766"/>
    <cellStyle name="Normal 21 36 9" xfId="16767"/>
    <cellStyle name="Normal 21 37" xfId="16768"/>
    <cellStyle name="Normal 21 37 10" xfId="16769"/>
    <cellStyle name="Normal 21 37 11" xfId="16770"/>
    <cellStyle name="Normal 21 37 12" xfId="16771"/>
    <cellStyle name="Normal 21 37 13" xfId="16772"/>
    <cellStyle name="Normal 21 37 2" xfId="16773"/>
    <cellStyle name="Normal 21 37 3" xfId="16774"/>
    <cellStyle name="Normal 21 37 4" xfId="16775"/>
    <cellStyle name="Normal 21 37 5" xfId="16776"/>
    <cellStyle name="Normal 21 37 6" xfId="16777"/>
    <cellStyle name="Normal 21 37 7" xfId="16778"/>
    <cellStyle name="Normal 21 37 8" xfId="16779"/>
    <cellStyle name="Normal 21 37 9" xfId="16780"/>
    <cellStyle name="Normal 21 38" xfId="16781"/>
    <cellStyle name="Normal 21 38 10" xfId="16782"/>
    <cellStyle name="Normal 21 38 11" xfId="16783"/>
    <cellStyle name="Normal 21 38 12" xfId="16784"/>
    <cellStyle name="Normal 21 38 13" xfId="16785"/>
    <cellStyle name="Normal 21 38 2" xfId="16786"/>
    <cellStyle name="Normal 21 38 3" xfId="16787"/>
    <cellStyle name="Normal 21 38 4" xfId="16788"/>
    <cellStyle name="Normal 21 38 5" xfId="16789"/>
    <cellStyle name="Normal 21 38 6" xfId="16790"/>
    <cellStyle name="Normal 21 38 7" xfId="16791"/>
    <cellStyle name="Normal 21 38 8" xfId="16792"/>
    <cellStyle name="Normal 21 38 9" xfId="16793"/>
    <cellStyle name="Normal 21 39" xfId="16794"/>
    <cellStyle name="Normal 21 39 10" xfId="16795"/>
    <cellStyle name="Normal 21 39 11" xfId="16796"/>
    <cellStyle name="Normal 21 39 12" xfId="16797"/>
    <cellStyle name="Normal 21 39 13" xfId="16798"/>
    <cellStyle name="Normal 21 39 2" xfId="16799"/>
    <cellStyle name="Normal 21 39 3" xfId="16800"/>
    <cellStyle name="Normal 21 39 4" xfId="16801"/>
    <cellStyle name="Normal 21 39 5" xfId="16802"/>
    <cellStyle name="Normal 21 39 6" xfId="16803"/>
    <cellStyle name="Normal 21 39 7" xfId="16804"/>
    <cellStyle name="Normal 21 39 8" xfId="16805"/>
    <cellStyle name="Normal 21 39 9" xfId="16806"/>
    <cellStyle name="Normal 21 4" xfId="16807"/>
    <cellStyle name="Normal 21 4 10" xfId="16808"/>
    <cellStyle name="Normal 21 4 11" xfId="16809"/>
    <cellStyle name="Normal 21 4 12" xfId="16810"/>
    <cellStyle name="Normal 21 4 13" xfId="16811"/>
    <cellStyle name="Normal 21 4 2" xfId="16812"/>
    <cellStyle name="Normal 21 4 3" xfId="16813"/>
    <cellStyle name="Normal 21 4 4" xfId="16814"/>
    <cellStyle name="Normal 21 4 5" xfId="16815"/>
    <cellStyle name="Normal 21 4 6" xfId="16816"/>
    <cellStyle name="Normal 21 4 7" xfId="16817"/>
    <cellStyle name="Normal 21 4 8" xfId="16818"/>
    <cellStyle name="Normal 21 4 9" xfId="16819"/>
    <cellStyle name="Normal 21 40" xfId="16820"/>
    <cellStyle name="Normal 21 40 10" xfId="16821"/>
    <cellStyle name="Normal 21 40 11" xfId="16822"/>
    <cellStyle name="Normal 21 40 12" xfId="16823"/>
    <cellStyle name="Normal 21 40 13" xfId="16824"/>
    <cellStyle name="Normal 21 40 2" xfId="16825"/>
    <cellStyle name="Normal 21 40 3" xfId="16826"/>
    <cellStyle name="Normal 21 40 4" xfId="16827"/>
    <cellStyle name="Normal 21 40 5" xfId="16828"/>
    <cellStyle name="Normal 21 40 6" xfId="16829"/>
    <cellStyle name="Normal 21 40 7" xfId="16830"/>
    <cellStyle name="Normal 21 40 8" xfId="16831"/>
    <cellStyle name="Normal 21 40 9" xfId="16832"/>
    <cellStyle name="Normal 21 41" xfId="16833"/>
    <cellStyle name="Normal 21 41 10" xfId="16834"/>
    <cellStyle name="Normal 21 41 11" xfId="16835"/>
    <cellStyle name="Normal 21 41 12" xfId="16836"/>
    <cellStyle name="Normal 21 41 13" xfId="16837"/>
    <cellStyle name="Normal 21 41 2" xfId="16838"/>
    <cellStyle name="Normal 21 41 3" xfId="16839"/>
    <cellStyle name="Normal 21 41 4" xfId="16840"/>
    <cellStyle name="Normal 21 41 5" xfId="16841"/>
    <cellStyle name="Normal 21 41 6" xfId="16842"/>
    <cellStyle name="Normal 21 41 7" xfId="16843"/>
    <cellStyle name="Normal 21 41 8" xfId="16844"/>
    <cellStyle name="Normal 21 41 9" xfId="16845"/>
    <cellStyle name="Normal 21 42" xfId="16846"/>
    <cellStyle name="Normal 21 42 10" xfId="16847"/>
    <cellStyle name="Normal 21 42 11" xfId="16848"/>
    <cellStyle name="Normal 21 42 12" xfId="16849"/>
    <cellStyle name="Normal 21 42 13" xfId="16850"/>
    <cellStyle name="Normal 21 42 2" xfId="16851"/>
    <cellStyle name="Normal 21 42 3" xfId="16852"/>
    <cellStyle name="Normal 21 42 4" xfId="16853"/>
    <cellStyle name="Normal 21 42 5" xfId="16854"/>
    <cellStyle name="Normal 21 42 6" xfId="16855"/>
    <cellStyle name="Normal 21 42 7" xfId="16856"/>
    <cellStyle name="Normal 21 42 8" xfId="16857"/>
    <cellStyle name="Normal 21 42 9" xfId="16858"/>
    <cellStyle name="Normal 21 43" xfId="16859"/>
    <cellStyle name="Normal 21 43 10" xfId="16860"/>
    <cellStyle name="Normal 21 43 11" xfId="16861"/>
    <cellStyle name="Normal 21 43 12" xfId="16862"/>
    <cellStyle name="Normal 21 43 13" xfId="16863"/>
    <cellStyle name="Normal 21 43 2" xfId="16864"/>
    <cellStyle name="Normal 21 43 3" xfId="16865"/>
    <cellStyle name="Normal 21 43 4" xfId="16866"/>
    <cellStyle name="Normal 21 43 5" xfId="16867"/>
    <cellStyle name="Normal 21 43 6" xfId="16868"/>
    <cellStyle name="Normal 21 43 7" xfId="16869"/>
    <cellStyle name="Normal 21 43 8" xfId="16870"/>
    <cellStyle name="Normal 21 43 9" xfId="16871"/>
    <cellStyle name="Normal 21 44" xfId="16872"/>
    <cellStyle name="Normal 21 44 10" xfId="16873"/>
    <cellStyle name="Normal 21 44 11" xfId="16874"/>
    <cellStyle name="Normal 21 44 12" xfId="16875"/>
    <cellStyle name="Normal 21 44 13" xfId="16876"/>
    <cellStyle name="Normal 21 44 2" xfId="16877"/>
    <cellStyle name="Normal 21 44 3" xfId="16878"/>
    <cellStyle name="Normal 21 44 4" xfId="16879"/>
    <cellStyle name="Normal 21 44 5" xfId="16880"/>
    <cellStyle name="Normal 21 44 6" xfId="16881"/>
    <cellStyle name="Normal 21 44 7" xfId="16882"/>
    <cellStyle name="Normal 21 44 8" xfId="16883"/>
    <cellStyle name="Normal 21 44 9" xfId="16884"/>
    <cellStyle name="Normal 21 45" xfId="16885"/>
    <cellStyle name="Normal 21 45 10" xfId="16886"/>
    <cellStyle name="Normal 21 45 11" xfId="16887"/>
    <cellStyle name="Normal 21 45 12" xfId="16888"/>
    <cellStyle name="Normal 21 45 13" xfId="16889"/>
    <cellStyle name="Normal 21 45 2" xfId="16890"/>
    <cellStyle name="Normal 21 45 3" xfId="16891"/>
    <cellStyle name="Normal 21 45 4" xfId="16892"/>
    <cellStyle name="Normal 21 45 5" xfId="16893"/>
    <cellStyle name="Normal 21 45 6" xfId="16894"/>
    <cellStyle name="Normal 21 45 7" xfId="16895"/>
    <cellStyle name="Normal 21 45 8" xfId="16896"/>
    <cellStyle name="Normal 21 45 9" xfId="16897"/>
    <cellStyle name="Normal 21 46" xfId="16898"/>
    <cellStyle name="Normal 21 46 10" xfId="16899"/>
    <cellStyle name="Normal 21 46 11" xfId="16900"/>
    <cellStyle name="Normal 21 46 12" xfId="16901"/>
    <cellStyle name="Normal 21 46 13" xfId="16902"/>
    <cellStyle name="Normal 21 46 2" xfId="16903"/>
    <cellStyle name="Normal 21 46 3" xfId="16904"/>
    <cellStyle name="Normal 21 46 4" xfId="16905"/>
    <cellStyle name="Normal 21 46 5" xfId="16906"/>
    <cellStyle name="Normal 21 46 6" xfId="16907"/>
    <cellStyle name="Normal 21 46 7" xfId="16908"/>
    <cellStyle name="Normal 21 46 8" xfId="16909"/>
    <cellStyle name="Normal 21 46 9" xfId="16910"/>
    <cellStyle name="Normal 21 47" xfId="16911"/>
    <cellStyle name="Normal 21 47 10" xfId="16912"/>
    <cellStyle name="Normal 21 47 11" xfId="16913"/>
    <cellStyle name="Normal 21 47 12" xfId="16914"/>
    <cellStyle name="Normal 21 47 13" xfId="16915"/>
    <cellStyle name="Normal 21 47 2" xfId="16916"/>
    <cellStyle name="Normal 21 47 3" xfId="16917"/>
    <cellStyle name="Normal 21 47 4" xfId="16918"/>
    <cellStyle name="Normal 21 47 5" xfId="16919"/>
    <cellStyle name="Normal 21 47 6" xfId="16920"/>
    <cellStyle name="Normal 21 47 7" xfId="16921"/>
    <cellStyle name="Normal 21 47 8" xfId="16922"/>
    <cellStyle name="Normal 21 47 9" xfId="16923"/>
    <cellStyle name="Normal 21 48" xfId="16924"/>
    <cellStyle name="Normal 21 48 10" xfId="16925"/>
    <cellStyle name="Normal 21 48 11" xfId="16926"/>
    <cellStyle name="Normal 21 48 12" xfId="16927"/>
    <cellStyle name="Normal 21 48 13" xfId="16928"/>
    <cellStyle name="Normal 21 48 2" xfId="16929"/>
    <cellStyle name="Normal 21 48 3" xfId="16930"/>
    <cellStyle name="Normal 21 48 4" xfId="16931"/>
    <cellStyle name="Normal 21 48 5" xfId="16932"/>
    <cellStyle name="Normal 21 48 6" xfId="16933"/>
    <cellStyle name="Normal 21 48 7" xfId="16934"/>
    <cellStyle name="Normal 21 48 8" xfId="16935"/>
    <cellStyle name="Normal 21 48 9" xfId="16936"/>
    <cellStyle name="Normal 21 49" xfId="16937"/>
    <cellStyle name="Normal 21 49 10" xfId="16938"/>
    <cellStyle name="Normal 21 49 11" xfId="16939"/>
    <cellStyle name="Normal 21 49 12" xfId="16940"/>
    <cellStyle name="Normal 21 49 13" xfId="16941"/>
    <cellStyle name="Normal 21 49 2" xfId="16942"/>
    <cellStyle name="Normal 21 49 3" xfId="16943"/>
    <cellStyle name="Normal 21 49 4" xfId="16944"/>
    <cellStyle name="Normal 21 49 5" xfId="16945"/>
    <cellStyle name="Normal 21 49 6" xfId="16946"/>
    <cellStyle name="Normal 21 49 7" xfId="16947"/>
    <cellStyle name="Normal 21 49 8" xfId="16948"/>
    <cellStyle name="Normal 21 49 9" xfId="16949"/>
    <cellStyle name="Normal 21 5" xfId="16950"/>
    <cellStyle name="Normal 21 5 10" xfId="16951"/>
    <cellStyle name="Normal 21 5 11" xfId="16952"/>
    <cellStyle name="Normal 21 5 12" xfId="16953"/>
    <cellStyle name="Normal 21 5 13" xfId="16954"/>
    <cellStyle name="Normal 21 5 2" xfId="16955"/>
    <cellStyle name="Normal 21 5 3" xfId="16956"/>
    <cellStyle name="Normal 21 5 4" xfId="16957"/>
    <cellStyle name="Normal 21 5 5" xfId="16958"/>
    <cellStyle name="Normal 21 5 6" xfId="16959"/>
    <cellStyle name="Normal 21 5 7" xfId="16960"/>
    <cellStyle name="Normal 21 5 8" xfId="16961"/>
    <cellStyle name="Normal 21 5 9" xfId="16962"/>
    <cellStyle name="Normal 21 50" xfId="16963"/>
    <cellStyle name="Normal 21 50 10" xfId="16964"/>
    <cellStyle name="Normal 21 50 11" xfId="16965"/>
    <cellStyle name="Normal 21 50 12" xfId="16966"/>
    <cellStyle name="Normal 21 50 13" xfId="16967"/>
    <cellStyle name="Normal 21 50 2" xfId="16968"/>
    <cellStyle name="Normal 21 50 3" xfId="16969"/>
    <cellStyle name="Normal 21 50 4" xfId="16970"/>
    <cellStyle name="Normal 21 50 5" xfId="16971"/>
    <cellStyle name="Normal 21 50 6" xfId="16972"/>
    <cellStyle name="Normal 21 50 7" xfId="16973"/>
    <cellStyle name="Normal 21 50 8" xfId="16974"/>
    <cellStyle name="Normal 21 50 9" xfId="16975"/>
    <cellStyle name="Normal 21 51" xfId="16976"/>
    <cellStyle name="Normal 21 51 10" xfId="16977"/>
    <cellStyle name="Normal 21 51 11" xfId="16978"/>
    <cellStyle name="Normal 21 51 12" xfId="16979"/>
    <cellStyle name="Normal 21 51 13" xfId="16980"/>
    <cellStyle name="Normal 21 51 2" xfId="16981"/>
    <cellStyle name="Normal 21 51 3" xfId="16982"/>
    <cellStyle name="Normal 21 51 4" xfId="16983"/>
    <cellStyle name="Normal 21 51 5" xfId="16984"/>
    <cellStyle name="Normal 21 51 6" xfId="16985"/>
    <cellStyle name="Normal 21 51 7" xfId="16986"/>
    <cellStyle name="Normal 21 51 8" xfId="16987"/>
    <cellStyle name="Normal 21 51 9" xfId="16988"/>
    <cellStyle name="Normal 21 52" xfId="16989"/>
    <cellStyle name="Normal 21 52 10" xfId="16990"/>
    <cellStyle name="Normal 21 52 11" xfId="16991"/>
    <cellStyle name="Normal 21 52 12" xfId="16992"/>
    <cellStyle name="Normal 21 52 13" xfId="16993"/>
    <cellStyle name="Normal 21 52 2" xfId="16994"/>
    <cellStyle name="Normal 21 52 3" xfId="16995"/>
    <cellStyle name="Normal 21 52 4" xfId="16996"/>
    <cellStyle name="Normal 21 52 5" xfId="16997"/>
    <cellStyle name="Normal 21 52 6" xfId="16998"/>
    <cellStyle name="Normal 21 52 7" xfId="16999"/>
    <cellStyle name="Normal 21 52 8" xfId="17000"/>
    <cellStyle name="Normal 21 52 9" xfId="17001"/>
    <cellStyle name="Normal 21 53" xfId="17002"/>
    <cellStyle name="Normal 21 53 10" xfId="17003"/>
    <cellStyle name="Normal 21 53 11" xfId="17004"/>
    <cellStyle name="Normal 21 53 12" xfId="17005"/>
    <cellStyle name="Normal 21 53 13" xfId="17006"/>
    <cellStyle name="Normal 21 53 2" xfId="17007"/>
    <cellStyle name="Normal 21 53 3" xfId="17008"/>
    <cellStyle name="Normal 21 53 4" xfId="17009"/>
    <cellStyle name="Normal 21 53 5" xfId="17010"/>
    <cellStyle name="Normal 21 53 6" xfId="17011"/>
    <cellStyle name="Normal 21 53 7" xfId="17012"/>
    <cellStyle name="Normal 21 53 8" xfId="17013"/>
    <cellStyle name="Normal 21 53 9" xfId="17014"/>
    <cellStyle name="Normal 21 54" xfId="17015"/>
    <cellStyle name="Normal 21 54 10" xfId="17016"/>
    <cellStyle name="Normal 21 54 11" xfId="17017"/>
    <cellStyle name="Normal 21 54 12" xfId="17018"/>
    <cellStyle name="Normal 21 54 13" xfId="17019"/>
    <cellStyle name="Normal 21 54 2" xfId="17020"/>
    <cellStyle name="Normal 21 54 3" xfId="17021"/>
    <cellStyle name="Normal 21 54 4" xfId="17022"/>
    <cellStyle name="Normal 21 54 5" xfId="17023"/>
    <cellStyle name="Normal 21 54 6" xfId="17024"/>
    <cellStyle name="Normal 21 54 7" xfId="17025"/>
    <cellStyle name="Normal 21 54 8" xfId="17026"/>
    <cellStyle name="Normal 21 54 9" xfId="17027"/>
    <cellStyle name="Normal 21 55" xfId="17028"/>
    <cellStyle name="Normal 21 55 10" xfId="17029"/>
    <cellStyle name="Normal 21 55 11" xfId="17030"/>
    <cellStyle name="Normal 21 55 12" xfId="17031"/>
    <cellStyle name="Normal 21 55 13" xfId="17032"/>
    <cellStyle name="Normal 21 55 2" xfId="17033"/>
    <cellStyle name="Normal 21 55 3" xfId="17034"/>
    <cellStyle name="Normal 21 55 4" xfId="17035"/>
    <cellStyle name="Normal 21 55 5" xfId="17036"/>
    <cellStyle name="Normal 21 55 6" xfId="17037"/>
    <cellStyle name="Normal 21 55 7" xfId="17038"/>
    <cellStyle name="Normal 21 55 8" xfId="17039"/>
    <cellStyle name="Normal 21 55 9" xfId="17040"/>
    <cellStyle name="Normal 21 56" xfId="17041"/>
    <cellStyle name="Normal 21 56 10" xfId="17042"/>
    <cellStyle name="Normal 21 56 11" xfId="17043"/>
    <cellStyle name="Normal 21 56 12" xfId="17044"/>
    <cellStyle name="Normal 21 56 13" xfId="17045"/>
    <cellStyle name="Normal 21 56 2" xfId="17046"/>
    <cellStyle name="Normal 21 56 3" xfId="17047"/>
    <cellStyle name="Normal 21 56 4" xfId="17048"/>
    <cellStyle name="Normal 21 56 5" xfId="17049"/>
    <cellStyle name="Normal 21 56 6" xfId="17050"/>
    <cellStyle name="Normal 21 56 7" xfId="17051"/>
    <cellStyle name="Normal 21 56 8" xfId="17052"/>
    <cellStyle name="Normal 21 56 9" xfId="17053"/>
    <cellStyle name="Normal 21 57" xfId="17054"/>
    <cellStyle name="Normal 21 57 10" xfId="17055"/>
    <cellStyle name="Normal 21 57 11" xfId="17056"/>
    <cellStyle name="Normal 21 57 12" xfId="17057"/>
    <cellStyle name="Normal 21 57 13" xfId="17058"/>
    <cellStyle name="Normal 21 57 2" xfId="17059"/>
    <cellStyle name="Normal 21 57 3" xfId="17060"/>
    <cellStyle name="Normal 21 57 4" xfId="17061"/>
    <cellStyle name="Normal 21 57 5" xfId="17062"/>
    <cellStyle name="Normal 21 57 6" xfId="17063"/>
    <cellStyle name="Normal 21 57 7" xfId="17064"/>
    <cellStyle name="Normal 21 57 8" xfId="17065"/>
    <cellStyle name="Normal 21 57 9" xfId="17066"/>
    <cellStyle name="Normal 21 58" xfId="17067"/>
    <cellStyle name="Normal 21 58 10" xfId="17068"/>
    <cellStyle name="Normal 21 58 11" xfId="17069"/>
    <cellStyle name="Normal 21 58 12" xfId="17070"/>
    <cellStyle name="Normal 21 58 13" xfId="17071"/>
    <cellStyle name="Normal 21 58 2" xfId="17072"/>
    <cellStyle name="Normal 21 58 3" xfId="17073"/>
    <cellStyle name="Normal 21 58 4" xfId="17074"/>
    <cellStyle name="Normal 21 58 5" xfId="17075"/>
    <cellStyle name="Normal 21 58 6" xfId="17076"/>
    <cellStyle name="Normal 21 58 7" xfId="17077"/>
    <cellStyle name="Normal 21 58 8" xfId="17078"/>
    <cellStyle name="Normal 21 58 9" xfId="17079"/>
    <cellStyle name="Normal 21 59" xfId="17080"/>
    <cellStyle name="Normal 21 59 10" xfId="17081"/>
    <cellStyle name="Normal 21 59 11" xfId="17082"/>
    <cellStyle name="Normal 21 59 12" xfId="17083"/>
    <cellStyle name="Normal 21 59 13" xfId="17084"/>
    <cellStyle name="Normal 21 59 2" xfId="17085"/>
    <cellStyle name="Normal 21 59 3" xfId="17086"/>
    <cellStyle name="Normal 21 59 4" xfId="17087"/>
    <cellStyle name="Normal 21 59 5" xfId="17088"/>
    <cellStyle name="Normal 21 59 6" xfId="17089"/>
    <cellStyle name="Normal 21 59 7" xfId="17090"/>
    <cellStyle name="Normal 21 59 8" xfId="17091"/>
    <cellStyle name="Normal 21 59 9" xfId="17092"/>
    <cellStyle name="Normal 21 6" xfId="17093"/>
    <cellStyle name="Normal 21 6 10" xfId="17094"/>
    <cellStyle name="Normal 21 6 11" xfId="17095"/>
    <cellStyle name="Normal 21 6 12" xfId="17096"/>
    <cellStyle name="Normal 21 6 13" xfId="17097"/>
    <cellStyle name="Normal 21 6 2" xfId="17098"/>
    <cellStyle name="Normal 21 6 3" xfId="17099"/>
    <cellStyle name="Normal 21 6 4" xfId="17100"/>
    <cellStyle name="Normal 21 6 5" xfId="17101"/>
    <cellStyle name="Normal 21 6 6" xfId="17102"/>
    <cellStyle name="Normal 21 6 7" xfId="17103"/>
    <cellStyle name="Normal 21 6 8" xfId="17104"/>
    <cellStyle name="Normal 21 6 9" xfId="17105"/>
    <cellStyle name="Normal 21 60" xfId="17106"/>
    <cellStyle name="Normal 21 60 10" xfId="17107"/>
    <cellStyle name="Normal 21 60 11" xfId="17108"/>
    <cellStyle name="Normal 21 60 12" xfId="17109"/>
    <cellStyle name="Normal 21 60 13" xfId="17110"/>
    <cellStyle name="Normal 21 60 2" xfId="17111"/>
    <cellStyle name="Normal 21 60 3" xfId="17112"/>
    <cellStyle name="Normal 21 60 4" xfId="17113"/>
    <cellStyle name="Normal 21 60 5" xfId="17114"/>
    <cellStyle name="Normal 21 60 6" xfId="17115"/>
    <cellStyle name="Normal 21 60 7" xfId="17116"/>
    <cellStyle name="Normal 21 60 8" xfId="17117"/>
    <cellStyle name="Normal 21 60 9" xfId="17118"/>
    <cellStyle name="Normal 21 61" xfId="17119"/>
    <cellStyle name="Normal 21 61 10" xfId="17120"/>
    <cellStyle name="Normal 21 61 11" xfId="17121"/>
    <cellStyle name="Normal 21 61 12" xfId="17122"/>
    <cellStyle name="Normal 21 61 13" xfId="17123"/>
    <cellStyle name="Normal 21 61 2" xfId="17124"/>
    <cellStyle name="Normal 21 61 3" xfId="17125"/>
    <cellStyle name="Normal 21 61 4" xfId="17126"/>
    <cellStyle name="Normal 21 61 5" xfId="17127"/>
    <cellStyle name="Normal 21 61 6" xfId="17128"/>
    <cellStyle name="Normal 21 61 7" xfId="17129"/>
    <cellStyle name="Normal 21 61 8" xfId="17130"/>
    <cellStyle name="Normal 21 61 9" xfId="17131"/>
    <cellStyle name="Normal 21 62" xfId="17132"/>
    <cellStyle name="Normal 21 62 10" xfId="17133"/>
    <cellStyle name="Normal 21 62 11" xfId="17134"/>
    <cellStyle name="Normal 21 62 12" xfId="17135"/>
    <cellStyle name="Normal 21 62 13" xfId="17136"/>
    <cellStyle name="Normal 21 62 2" xfId="17137"/>
    <cellStyle name="Normal 21 62 3" xfId="17138"/>
    <cellStyle name="Normal 21 62 4" xfId="17139"/>
    <cellStyle name="Normal 21 62 5" xfId="17140"/>
    <cellStyle name="Normal 21 62 6" xfId="17141"/>
    <cellStyle name="Normal 21 62 7" xfId="17142"/>
    <cellStyle name="Normal 21 62 8" xfId="17143"/>
    <cellStyle name="Normal 21 62 9" xfId="17144"/>
    <cellStyle name="Normal 21 63" xfId="17145"/>
    <cellStyle name="Normal 21 63 10" xfId="17146"/>
    <cellStyle name="Normal 21 63 11" xfId="17147"/>
    <cellStyle name="Normal 21 63 12" xfId="17148"/>
    <cellStyle name="Normal 21 63 13" xfId="17149"/>
    <cellStyle name="Normal 21 63 2" xfId="17150"/>
    <cellStyle name="Normal 21 63 3" xfId="17151"/>
    <cellStyle name="Normal 21 63 4" xfId="17152"/>
    <cellStyle name="Normal 21 63 5" xfId="17153"/>
    <cellStyle name="Normal 21 63 6" xfId="17154"/>
    <cellStyle name="Normal 21 63 7" xfId="17155"/>
    <cellStyle name="Normal 21 63 8" xfId="17156"/>
    <cellStyle name="Normal 21 63 9" xfId="17157"/>
    <cellStyle name="Normal 21 64" xfId="17158"/>
    <cellStyle name="Normal 21 64 10" xfId="17159"/>
    <cellStyle name="Normal 21 64 11" xfId="17160"/>
    <cellStyle name="Normal 21 64 12" xfId="17161"/>
    <cellStyle name="Normal 21 64 13" xfId="17162"/>
    <cellStyle name="Normal 21 64 2" xfId="17163"/>
    <cellStyle name="Normal 21 64 3" xfId="17164"/>
    <cellStyle name="Normal 21 64 4" xfId="17165"/>
    <cellStyle name="Normal 21 64 5" xfId="17166"/>
    <cellStyle name="Normal 21 64 6" xfId="17167"/>
    <cellStyle name="Normal 21 64 7" xfId="17168"/>
    <cellStyle name="Normal 21 64 8" xfId="17169"/>
    <cellStyle name="Normal 21 64 9" xfId="17170"/>
    <cellStyle name="Normal 21 65" xfId="17171"/>
    <cellStyle name="Normal 21 65 10" xfId="17172"/>
    <cellStyle name="Normal 21 65 11" xfId="17173"/>
    <cellStyle name="Normal 21 65 12" xfId="17174"/>
    <cellStyle name="Normal 21 65 13" xfId="17175"/>
    <cellStyle name="Normal 21 65 2" xfId="17176"/>
    <cellStyle name="Normal 21 65 3" xfId="17177"/>
    <cellStyle name="Normal 21 65 4" xfId="17178"/>
    <cellStyle name="Normal 21 65 5" xfId="17179"/>
    <cellStyle name="Normal 21 65 6" xfId="17180"/>
    <cellStyle name="Normal 21 65 7" xfId="17181"/>
    <cellStyle name="Normal 21 65 8" xfId="17182"/>
    <cellStyle name="Normal 21 65 9" xfId="17183"/>
    <cellStyle name="Normal 21 66" xfId="17184"/>
    <cellStyle name="Normal 21 66 10" xfId="17185"/>
    <cellStyle name="Normal 21 66 11" xfId="17186"/>
    <cellStyle name="Normal 21 66 12" xfId="17187"/>
    <cellStyle name="Normal 21 66 13" xfId="17188"/>
    <cellStyle name="Normal 21 66 2" xfId="17189"/>
    <cellStyle name="Normal 21 66 3" xfId="17190"/>
    <cellStyle name="Normal 21 66 4" xfId="17191"/>
    <cellStyle name="Normal 21 66 5" xfId="17192"/>
    <cellStyle name="Normal 21 66 6" xfId="17193"/>
    <cellStyle name="Normal 21 66 7" xfId="17194"/>
    <cellStyle name="Normal 21 66 8" xfId="17195"/>
    <cellStyle name="Normal 21 66 9" xfId="17196"/>
    <cellStyle name="Normal 21 67" xfId="17197"/>
    <cellStyle name="Normal 21 67 10" xfId="17198"/>
    <cellStyle name="Normal 21 67 11" xfId="17199"/>
    <cellStyle name="Normal 21 67 12" xfId="17200"/>
    <cellStyle name="Normal 21 67 13" xfId="17201"/>
    <cellStyle name="Normal 21 67 2" xfId="17202"/>
    <cellStyle name="Normal 21 67 3" xfId="17203"/>
    <cellStyle name="Normal 21 67 4" xfId="17204"/>
    <cellStyle name="Normal 21 67 5" xfId="17205"/>
    <cellStyle name="Normal 21 67 6" xfId="17206"/>
    <cellStyle name="Normal 21 67 7" xfId="17207"/>
    <cellStyle name="Normal 21 67 8" xfId="17208"/>
    <cellStyle name="Normal 21 67 9" xfId="17209"/>
    <cellStyle name="Normal 21 68" xfId="17210"/>
    <cellStyle name="Normal 21 68 10" xfId="17211"/>
    <cellStyle name="Normal 21 68 11" xfId="17212"/>
    <cellStyle name="Normal 21 68 12" xfId="17213"/>
    <cellStyle name="Normal 21 68 13" xfId="17214"/>
    <cellStyle name="Normal 21 68 2" xfId="17215"/>
    <cellStyle name="Normal 21 68 3" xfId="17216"/>
    <cellStyle name="Normal 21 68 4" xfId="17217"/>
    <cellStyle name="Normal 21 68 5" xfId="17218"/>
    <cellStyle name="Normal 21 68 6" xfId="17219"/>
    <cellStyle name="Normal 21 68 7" xfId="17220"/>
    <cellStyle name="Normal 21 68 8" xfId="17221"/>
    <cellStyle name="Normal 21 68 9" xfId="17222"/>
    <cellStyle name="Normal 21 69" xfId="17223"/>
    <cellStyle name="Normal 21 69 10" xfId="17224"/>
    <cellStyle name="Normal 21 69 11" xfId="17225"/>
    <cellStyle name="Normal 21 69 12" xfId="17226"/>
    <cellStyle name="Normal 21 69 13" xfId="17227"/>
    <cellStyle name="Normal 21 69 2" xfId="17228"/>
    <cellStyle name="Normal 21 69 3" xfId="17229"/>
    <cellStyle name="Normal 21 69 4" xfId="17230"/>
    <cellStyle name="Normal 21 69 5" xfId="17231"/>
    <cellStyle name="Normal 21 69 6" xfId="17232"/>
    <cellStyle name="Normal 21 69 7" xfId="17233"/>
    <cellStyle name="Normal 21 69 8" xfId="17234"/>
    <cellStyle name="Normal 21 69 9" xfId="17235"/>
    <cellStyle name="Normal 21 7" xfId="17236"/>
    <cellStyle name="Normal 21 7 10" xfId="17237"/>
    <cellStyle name="Normal 21 7 11" xfId="17238"/>
    <cellStyle name="Normal 21 7 12" xfId="17239"/>
    <cellStyle name="Normal 21 7 13" xfId="17240"/>
    <cellStyle name="Normal 21 7 2" xfId="17241"/>
    <cellStyle name="Normal 21 7 3" xfId="17242"/>
    <cellStyle name="Normal 21 7 4" xfId="17243"/>
    <cellStyle name="Normal 21 7 5" xfId="17244"/>
    <cellStyle name="Normal 21 7 6" xfId="17245"/>
    <cellStyle name="Normal 21 7 7" xfId="17246"/>
    <cellStyle name="Normal 21 7 8" xfId="17247"/>
    <cellStyle name="Normal 21 7 9" xfId="17248"/>
    <cellStyle name="Normal 21 70" xfId="17249"/>
    <cellStyle name="Normal 21 70 10" xfId="17250"/>
    <cellStyle name="Normal 21 70 11" xfId="17251"/>
    <cellStyle name="Normal 21 70 12" xfId="17252"/>
    <cellStyle name="Normal 21 70 13" xfId="17253"/>
    <cellStyle name="Normal 21 70 2" xfId="17254"/>
    <cellStyle name="Normal 21 70 3" xfId="17255"/>
    <cellStyle name="Normal 21 70 4" xfId="17256"/>
    <cellStyle name="Normal 21 70 5" xfId="17257"/>
    <cellStyle name="Normal 21 70 6" xfId="17258"/>
    <cellStyle name="Normal 21 70 7" xfId="17259"/>
    <cellStyle name="Normal 21 70 8" xfId="17260"/>
    <cellStyle name="Normal 21 70 9" xfId="17261"/>
    <cellStyle name="Normal 21 71" xfId="17262"/>
    <cellStyle name="Normal 21 71 10" xfId="17263"/>
    <cellStyle name="Normal 21 71 11" xfId="17264"/>
    <cellStyle name="Normal 21 71 12" xfId="17265"/>
    <cellStyle name="Normal 21 71 13" xfId="17266"/>
    <cellStyle name="Normal 21 71 2" xfId="17267"/>
    <cellStyle name="Normal 21 71 3" xfId="17268"/>
    <cellStyle name="Normal 21 71 4" xfId="17269"/>
    <cellStyle name="Normal 21 71 5" xfId="17270"/>
    <cellStyle name="Normal 21 71 6" xfId="17271"/>
    <cellStyle name="Normal 21 71 7" xfId="17272"/>
    <cellStyle name="Normal 21 71 8" xfId="17273"/>
    <cellStyle name="Normal 21 71 9" xfId="17274"/>
    <cellStyle name="Normal 21 72" xfId="17275"/>
    <cellStyle name="Normal 21 73" xfId="17276"/>
    <cellStyle name="Normal 21 74" xfId="17277"/>
    <cellStyle name="Normal 21 75" xfId="17278"/>
    <cellStyle name="Normal 21 76" xfId="17279"/>
    <cellStyle name="Normal 21 77" xfId="17280"/>
    <cellStyle name="Normal 21 78" xfId="17281"/>
    <cellStyle name="Normal 21 79" xfId="17282"/>
    <cellStyle name="Normal 21 8" xfId="17283"/>
    <cellStyle name="Normal 21 8 10" xfId="17284"/>
    <cellStyle name="Normal 21 8 11" xfId="17285"/>
    <cellStyle name="Normal 21 8 12" xfId="17286"/>
    <cellStyle name="Normal 21 8 13" xfId="17287"/>
    <cellStyle name="Normal 21 8 2" xfId="17288"/>
    <cellStyle name="Normal 21 8 3" xfId="17289"/>
    <cellStyle name="Normal 21 8 4" xfId="17290"/>
    <cellStyle name="Normal 21 8 5" xfId="17291"/>
    <cellStyle name="Normal 21 8 6" xfId="17292"/>
    <cellStyle name="Normal 21 8 7" xfId="17293"/>
    <cellStyle name="Normal 21 8 8" xfId="17294"/>
    <cellStyle name="Normal 21 8 9" xfId="17295"/>
    <cellStyle name="Normal 21 80" xfId="17296"/>
    <cellStyle name="Normal 21 81" xfId="17297"/>
    <cellStyle name="Normal 21 82" xfId="17298"/>
    <cellStyle name="Normal 21 83" xfId="17299"/>
    <cellStyle name="Normal 21 9" xfId="17300"/>
    <cellStyle name="Normal 21 9 10" xfId="17301"/>
    <cellStyle name="Normal 21 9 11" xfId="17302"/>
    <cellStyle name="Normal 21 9 12" xfId="17303"/>
    <cellStyle name="Normal 21 9 13" xfId="17304"/>
    <cellStyle name="Normal 21 9 2" xfId="17305"/>
    <cellStyle name="Normal 21 9 3" xfId="17306"/>
    <cellStyle name="Normal 21 9 4" xfId="17307"/>
    <cellStyle name="Normal 21 9 5" xfId="17308"/>
    <cellStyle name="Normal 21 9 6" xfId="17309"/>
    <cellStyle name="Normal 21 9 7" xfId="17310"/>
    <cellStyle name="Normal 21 9 8" xfId="17311"/>
    <cellStyle name="Normal 21 9 9" xfId="17312"/>
    <cellStyle name="Normal 22" xfId="17313"/>
    <cellStyle name="Normal 22 10" xfId="17314"/>
    <cellStyle name="Normal 22 10 10" xfId="17315"/>
    <cellStyle name="Normal 22 10 11" xfId="17316"/>
    <cellStyle name="Normal 22 10 12" xfId="17317"/>
    <cellStyle name="Normal 22 10 13" xfId="17318"/>
    <cellStyle name="Normal 22 10 2" xfId="17319"/>
    <cellStyle name="Normal 22 10 3" xfId="17320"/>
    <cellStyle name="Normal 22 10 4" xfId="17321"/>
    <cellStyle name="Normal 22 10 5" xfId="17322"/>
    <cellStyle name="Normal 22 10 6" xfId="17323"/>
    <cellStyle name="Normal 22 10 7" xfId="17324"/>
    <cellStyle name="Normal 22 10 8" xfId="17325"/>
    <cellStyle name="Normal 22 10 9" xfId="17326"/>
    <cellStyle name="Normal 22 11" xfId="17327"/>
    <cellStyle name="Normal 22 11 10" xfId="17328"/>
    <cellStyle name="Normal 22 11 11" xfId="17329"/>
    <cellStyle name="Normal 22 11 12" xfId="17330"/>
    <cellStyle name="Normal 22 11 13" xfId="17331"/>
    <cellStyle name="Normal 22 11 2" xfId="17332"/>
    <cellStyle name="Normal 22 11 3" xfId="17333"/>
    <cellStyle name="Normal 22 11 4" xfId="17334"/>
    <cellStyle name="Normal 22 11 5" xfId="17335"/>
    <cellStyle name="Normal 22 11 6" xfId="17336"/>
    <cellStyle name="Normal 22 11 7" xfId="17337"/>
    <cellStyle name="Normal 22 11 8" xfId="17338"/>
    <cellStyle name="Normal 22 11 9" xfId="17339"/>
    <cellStyle name="Normal 22 12" xfId="17340"/>
    <cellStyle name="Normal 22 12 10" xfId="17341"/>
    <cellStyle name="Normal 22 12 11" xfId="17342"/>
    <cellStyle name="Normal 22 12 12" xfId="17343"/>
    <cellStyle name="Normal 22 12 13" xfId="17344"/>
    <cellStyle name="Normal 22 12 2" xfId="17345"/>
    <cellStyle name="Normal 22 12 3" xfId="17346"/>
    <cellStyle name="Normal 22 12 4" xfId="17347"/>
    <cellStyle name="Normal 22 12 5" xfId="17348"/>
    <cellStyle name="Normal 22 12 6" xfId="17349"/>
    <cellStyle name="Normal 22 12 7" xfId="17350"/>
    <cellStyle name="Normal 22 12 8" xfId="17351"/>
    <cellStyle name="Normal 22 12 9" xfId="17352"/>
    <cellStyle name="Normal 22 13" xfId="17353"/>
    <cellStyle name="Normal 22 13 10" xfId="17354"/>
    <cellStyle name="Normal 22 13 11" xfId="17355"/>
    <cellStyle name="Normal 22 13 12" xfId="17356"/>
    <cellStyle name="Normal 22 13 13" xfId="17357"/>
    <cellStyle name="Normal 22 13 2" xfId="17358"/>
    <cellStyle name="Normal 22 13 3" xfId="17359"/>
    <cellStyle name="Normal 22 13 4" xfId="17360"/>
    <cellStyle name="Normal 22 13 5" xfId="17361"/>
    <cellStyle name="Normal 22 13 6" xfId="17362"/>
    <cellStyle name="Normal 22 13 7" xfId="17363"/>
    <cellStyle name="Normal 22 13 8" xfId="17364"/>
    <cellStyle name="Normal 22 13 9" xfId="17365"/>
    <cellStyle name="Normal 22 14" xfId="17366"/>
    <cellStyle name="Normal 22 14 10" xfId="17367"/>
    <cellStyle name="Normal 22 14 11" xfId="17368"/>
    <cellStyle name="Normal 22 14 12" xfId="17369"/>
    <cellStyle name="Normal 22 14 13" xfId="17370"/>
    <cellStyle name="Normal 22 14 2" xfId="17371"/>
    <cellStyle name="Normal 22 14 3" xfId="17372"/>
    <cellStyle name="Normal 22 14 4" xfId="17373"/>
    <cellStyle name="Normal 22 14 5" xfId="17374"/>
    <cellStyle name="Normal 22 14 6" xfId="17375"/>
    <cellStyle name="Normal 22 14 7" xfId="17376"/>
    <cellStyle name="Normal 22 14 8" xfId="17377"/>
    <cellStyle name="Normal 22 14 9" xfId="17378"/>
    <cellStyle name="Normal 22 15" xfId="17379"/>
    <cellStyle name="Normal 22 15 10" xfId="17380"/>
    <cellStyle name="Normal 22 15 11" xfId="17381"/>
    <cellStyle name="Normal 22 15 12" xfId="17382"/>
    <cellStyle name="Normal 22 15 13" xfId="17383"/>
    <cellStyle name="Normal 22 15 2" xfId="17384"/>
    <cellStyle name="Normal 22 15 3" xfId="17385"/>
    <cellStyle name="Normal 22 15 4" xfId="17386"/>
    <cellStyle name="Normal 22 15 5" xfId="17387"/>
    <cellStyle name="Normal 22 15 6" xfId="17388"/>
    <cellStyle name="Normal 22 15 7" xfId="17389"/>
    <cellStyle name="Normal 22 15 8" xfId="17390"/>
    <cellStyle name="Normal 22 15 9" xfId="17391"/>
    <cellStyle name="Normal 22 16" xfId="17392"/>
    <cellStyle name="Normal 22 16 10" xfId="17393"/>
    <cellStyle name="Normal 22 16 11" xfId="17394"/>
    <cellStyle name="Normal 22 16 12" xfId="17395"/>
    <cellStyle name="Normal 22 16 13" xfId="17396"/>
    <cellStyle name="Normal 22 16 2" xfId="17397"/>
    <cellStyle name="Normal 22 16 3" xfId="17398"/>
    <cellStyle name="Normal 22 16 4" xfId="17399"/>
    <cellStyle name="Normal 22 16 5" xfId="17400"/>
    <cellStyle name="Normal 22 16 6" xfId="17401"/>
    <cellStyle name="Normal 22 16 7" xfId="17402"/>
    <cellStyle name="Normal 22 16 8" xfId="17403"/>
    <cellStyle name="Normal 22 16 9" xfId="17404"/>
    <cellStyle name="Normal 22 17" xfId="17405"/>
    <cellStyle name="Normal 22 17 10" xfId="17406"/>
    <cellStyle name="Normal 22 17 11" xfId="17407"/>
    <cellStyle name="Normal 22 17 12" xfId="17408"/>
    <cellStyle name="Normal 22 17 13" xfId="17409"/>
    <cellStyle name="Normal 22 17 2" xfId="17410"/>
    <cellStyle name="Normal 22 17 3" xfId="17411"/>
    <cellStyle name="Normal 22 17 4" xfId="17412"/>
    <cellStyle name="Normal 22 17 5" xfId="17413"/>
    <cellStyle name="Normal 22 17 6" xfId="17414"/>
    <cellStyle name="Normal 22 17 7" xfId="17415"/>
    <cellStyle name="Normal 22 17 8" xfId="17416"/>
    <cellStyle name="Normal 22 17 9" xfId="17417"/>
    <cellStyle name="Normal 22 18" xfId="17418"/>
    <cellStyle name="Normal 22 18 10" xfId="17419"/>
    <cellStyle name="Normal 22 18 11" xfId="17420"/>
    <cellStyle name="Normal 22 18 12" xfId="17421"/>
    <cellStyle name="Normal 22 18 13" xfId="17422"/>
    <cellStyle name="Normal 22 18 2" xfId="17423"/>
    <cellStyle name="Normal 22 18 3" xfId="17424"/>
    <cellStyle name="Normal 22 18 4" xfId="17425"/>
    <cellStyle name="Normal 22 18 5" xfId="17426"/>
    <cellStyle name="Normal 22 18 6" xfId="17427"/>
    <cellStyle name="Normal 22 18 7" xfId="17428"/>
    <cellStyle name="Normal 22 18 8" xfId="17429"/>
    <cellStyle name="Normal 22 18 9" xfId="17430"/>
    <cellStyle name="Normal 22 19" xfId="17431"/>
    <cellStyle name="Normal 22 19 10" xfId="17432"/>
    <cellStyle name="Normal 22 19 11" xfId="17433"/>
    <cellStyle name="Normal 22 19 12" xfId="17434"/>
    <cellStyle name="Normal 22 19 13" xfId="17435"/>
    <cellStyle name="Normal 22 19 2" xfId="17436"/>
    <cellStyle name="Normal 22 19 3" xfId="17437"/>
    <cellStyle name="Normal 22 19 4" xfId="17438"/>
    <cellStyle name="Normal 22 19 5" xfId="17439"/>
    <cellStyle name="Normal 22 19 6" xfId="17440"/>
    <cellStyle name="Normal 22 19 7" xfId="17441"/>
    <cellStyle name="Normal 22 19 8" xfId="17442"/>
    <cellStyle name="Normal 22 19 9" xfId="17443"/>
    <cellStyle name="Normal 22 2" xfId="17444"/>
    <cellStyle name="Normal 22 2 10" xfId="17445"/>
    <cellStyle name="Normal 22 2 10 10" xfId="17446"/>
    <cellStyle name="Normal 22 2 10 11" xfId="17447"/>
    <cellStyle name="Normal 22 2 10 12" xfId="17448"/>
    <cellStyle name="Normal 22 2 10 13" xfId="17449"/>
    <cellStyle name="Normal 22 2 10 2" xfId="17450"/>
    <cellStyle name="Normal 22 2 10 3" xfId="17451"/>
    <cellStyle name="Normal 22 2 10 4" xfId="17452"/>
    <cellStyle name="Normal 22 2 10 5" xfId="17453"/>
    <cellStyle name="Normal 22 2 10 6" xfId="17454"/>
    <cellStyle name="Normal 22 2 10 7" xfId="17455"/>
    <cellStyle name="Normal 22 2 10 8" xfId="17456"/>
    <cellStyle name="Normal 22 2 10 9" xfId="17457"/>
    <cellStyle name="Normal 22 2 11" xfId="17458"/>
    <cellStyle name="Normal 22 2 11 10" xfId="17459"/>
    <cellStyle name="Normal 22 2 11 11" xfId="17460"/>
    <cellStyle name="Normal 22 2 11 12" xfId="17461"/>
    <cellStyle name="Normal 22 2 11 13" xfId="17462"/>
    <cellStyle name="Normal 22 2 11 2" xfId="17463"/>
    <cellStyle name="Normal 22 2 11 3" xfId="17464"/>
    <cellStyle name="Normal 22 2 11 4" xfId="17465"/>
    <cellStyle name="Normal 22 2 11 5" xfId="17466"/>
    <cellStyle name="Normal 22 2 11 6" xfId="17467"/>
    <cellStyle name="Normal 22 2 11 7" xfId="17468"/>
    <cellStyle name="Normal 22 2 11 8" xfId="17469"/>
    <cellStyle name="Normal 22 2 11 9" xfId="17470"/>
    <cellStyle name="Normal 22 2 12" xfId="17471"/>
    <cellStyle name="Normal 22 2 12 10" xfId="17472"/>
    <cellStyle name="Normal 22 2 12 11" xfId="17473"/>
    <cellStyle name="Normal 22 2 12 12" xfId="17474"/>
    <cellStyle name="Normal 22 2 12 13" xfId="17475"/>
    <cellStyle name="Normal 22 2 12 2" xfId="17476"/>
    <cellStyle name="Normal 22 2 12 3" xfId="17477"/>
    <cellStyle name="Normal 22 2 12 4" xfId="17478"/>
    <cellStyle name="Normal 22 2 12 5" xfId="17479"/>
    <cellStyle name="Normal 22 2 12 6" xfId="17480"/>
    <cellStyle name="Normal 22 2 12 7" xfId="17481"/>
    <cellStyle name="Normal 22 2 12 8" xfId="17482"/>
    <cellStyle name="Normal 22 2 12 9" xfId="17483"/>
    <cellStyle name="Normal 22 2 13" xfId="17484"/>
    <cellStyle name="Normal 22 2 13 10" xfId="17485"/>
    <cellStyle name="Normal 22 2 13 11" xfId="17486"/>
    <cellStyle name="Normal 22 2 13 12" xfId="17487"/>
    <cellStyle name="Normal 22 2 13 13" xfId="17488"/>
    <cellStyle name="Normal 22 2 13 2" xfId="17489"/>
    <cellStyle name="Normal 22 2 13 3" xfId="17490"/>
    <cellStyle name="Normal 22 2 13 4" xfId="17491"/>
    <cellStyle name="Normal 22 2 13 5" xfId="17492"/>
    <cellStyle name="Normal 22 2 13 6" xfId="17493"/>
    <cellStyle name="Normal 22 2 13 7" xfId="17494"/>
    <cellStyle name="Normal 22 2 13 8" xfId="17495"/>
    <cellStyle name="Normal 22 2 13 9" xfId="17496"/>
    <cellStyle name="Normal 22 2 14" xfId="17497"/>
    <cellStyle name="Normal 22 2 14 10" xfId="17498"/>
    <cellStyle name="Normal 22 2 14 11" xfId="17499"/>
    <cellStyle name="Normal 22 2 14 12" xfId="17500"/>
    <cellStyle name="Normal 22 2 14 13" xfId="17501"/>
    <cellStyle name="Normal 22 2 14 2" xfId="17502"/>
    <cellStyle name="Normal 22 2 14 3" xfId="17503"/>
    <cellStyle name="Normal 22 2 14 4" xfId="17504"/>
    <cellStyle name="Normal 22 2 14 5" xfId="17505"/>
    <cellStyle name="Normal 22 2 14 6" xfId="17506"/>
    <cellStyle name="Normal 22 2 14 7" xfId="17507"/>
    <cellStyle name="Normal 22 2 14 8" xfId="17508"/>
    <cellStyle name="Normal 22 2 14 9" xfId="17509"/>
    <cellStyle name="Normal 22 2 15" xfId="17510"/>
    <cellStyle name="Normal 22 2 15 10" xfId="17511"/>
    <cellStyle name="Normal 22 2 15 11" xfId="17512"/>
    <cellStyle name="Normal 22 2 15 12" xfId="17513"/>
    <cellStyle name="Normal 22 2 15 13" xfId="17514"/>
    <cellStyle name="Normal 22 2 15 2" xfId="17515"/>
    <cellStyle name="Normal 22 2 15 3" xfId="17516"/>
    <cellStyle name="Normal 22 2 15 4" xfId="17517"/>
    <cellStyle name="Normal 22 2 15 5" xfId="17518"/>
    <cellStyle name="Normal 22 2 15 6" xfId="17519"/>
    <cellStyle name="Normal 22 2 15 7" xfId="17520"/>
    <cellStyle name="Normal 22 2 15 8" xfId="17521"/>
    <cellStyle name="Normal 22 2 15 9" xfId="17522"/>
    <cellStyle name="Normal 22 2 16" xfId="17523"/>
    <cellStyle name="Normal 22 2 16 10" xfId="17524"/>
    <cellStyle name="Normal 22 2 16 11" xfId="17525"/>
    <cellStyle name="Normal 22 2 16 12" xfId="17526"/>
    <cellStyle name="Normal 22 2 16 13" xfId="17527"/>
    <cellStyle name="Normal 22 2 16 2" xfId="17528"/>
    <cellStyle name="Normal 22 2 16 3" xfId="17529"/>
    <cellStyle name="Normal 22 2 16 4" xfId="17530"/>
    <cellStyle name="Normal 22 2 16 5" xfId="17531"/>
    <cellStyle name="Normal 22 2 16 6" xfId="17532"/>
    <cellStyle name="Normal 22 2 16 7" xfId="17533"/>
    <cellStyle name="Normal 22 2 16 8" xfId="17534"/>
    <cellStyle name="Normal 22 2 16 9" xfId="17535"/>
    <cellStyle name="Normal 22 2 17" xfId="17536"/>
    <cellStyle name="Normal 22 2 17 10" xfId="17537"/>
    <cellStyle name="Normal 22 2 17 11" xfId="17538"/>
    <cellStyle name="Normal 22 2 17 12" xfId="17539"/>
    <cellStyle name="Normal 22 2 17 13" xfId="17540"/>
    <cellStyle name="Normal 22 2 17 2" xfId="17541"/>
    <cellStyle name="Normal 22 2 17 3" xfId="17542"/>
    <cellStyle name="Normal 22 2 17 4" xfId="17543"/>
    <cellStyle name="Normal 22 2 17 5" xfId="17544"/>
    <cellStyle name="Normal 22 2 17 6" xfId="17545"/>
    <cellStyle name="Normal 22 2 17 7" xfId="17546"/>
    <cellStyle name="Normal 22 2 17 8" xfId="17547"/>
    <cellStyle name="Normal 22 2 17 9" xfId="17548"/>
    <cellStyle name="Normal 22 2 18" xfId="17549"/>
    <cellStyle name="Normal 22 2 18 10" xfId="17550"/>
    <cellStyle name="Normal 22 2 18 11" xfId="17551"/>
    <cellStyle name="Normal 22 2 18 12" xfId="17552"/>
    <cellStyle name="Normal 22 2 18 13" xfId="17553"/>
    <cellStyle name="Normal 22 2 18 2" xfId="17554"/>
    <cellStyle name="Normal 22 2 18 3" xfId="17555"/>
    <cellStyle name="Normal 22 2 18 4" xfId="17556"/>
    <cellStyle name="Normal 22 2 18 5" xfId="17557"/>
    <cellStyle name="Normal 22 2 18 6" xfId="17558"/>
    <cellStyle name="Normal 22 2 18 7" xfId="17559"/>
    <cellStyle name="Normal 22 2 18 8" xfId="17560"/>
    <cellStyle name="Normal 22 2 18 9" xfId="17561"/>
    <cellStyle name="Normal 22 2 19" xfId="17562"/>
    <cellStyle name="Normal 22 2 19 10" xfId="17563"/>
    <cellStyle name="Normal 22 2 19 11" xfId="17564"/>
    <cellStyle name="Normal 22 2 19 12" xfId="17565"/>
    <cellStyle name="Normal 22 2 19 13" xfId="17566"/>
    <cellStyle name="Normal 22 2 19 2" xfId="17567"/>
    <cellStyle name="Normal 22 2 19 3" xfId="17568"/>
    <cellStyle name="Normal 22 2 19 4" xfId="17569"/>
    <cellStyle name="Normal 22 2 19 5" xfId="17570"/>
    <cellStyle name="Normal 22 2 19 6" xfId="17571"/>
    <cellStyle name="Normal 22 2 19 7" xfId="17572"/>
    <cellStyle name="Normal 22 2 19 8" xfId="17573"/>
    <cellStyle name="Normal 22 2 19 9" xfId="17574"/>
    <cellStyle name="Normal 22 2 2" xfId="17575"/>
    <cellStyle name="Normal 22 2 2 10" xfId="17576"/>
    <cellStyle name="Normal 22 2 2 11" xfId="17577"/>
    <cellStyle name="Normal 22 2 2 12" xfId="17578"/>
    <cellStyle name="Normal 22 2 2 13" xfId="17579"/>
    <cellStyle name="Normal 22 2 2 2" xfId="17580"/>
    <cellStyle name="Normal 22 2 2 3" xfId="17581"/>
    <cellStyle name="Normal 22 2 2 4" xfId="17582"/>
    <cellStyle name="Normal 22 2 2 5" xfId="17583"/>
    <cellStyle name="Normal 22 2 2 6" xfId="17584"/>
    <cellStyle name="Normal 22 2 2 7" xfId="17585"/>
    <cellStyle name="Normal 22 2 2 8" xfId="17586"/>
    <cellStyle name="Normal 22 2 2 9" xfId="17587"/>
    <cellStyle name="Normal 22 2 20" xfId="17588"/>
    <cellStyle name="Normal 22 2 20 10" xfId="17589"/>
    <cellStyle name="Normal 22 2 20 11" xfId="17590"/>
    <cellStyle name="Normal 22 2 20 12" xfId="17591"/>
    <cellStyle name="Normal 22 2 20 13" xfId="17592"/>
    <cellStyle name="Normal 22 2 20 2" xfId="17593"/>
    <cellStyle name="Normal 22 2 20 3" xfId="17594"/>
    <cellStyle name="Normal 22 2 20 4" xfId="17595"/>
    <cellStyle name="Normal 22 2 20 5" xfId="17596"/>
    <cellStyle name="Normal 22 2 20 6" xfId="17597"/>
    <cellStyle name="Normal 22 2 20 7" xfId="17598"/>
    <cellStyle name="Normal 22 2 20 8" xfId="17599"/>
    <cellStyle name="Normal 22 2 20 9" xfId="17600"/>
    <cellStyle name="Normal 22 2 21" xfId="17601"/>
    <cellStyle name="Normal 22 2 21 10" xfId="17602"/>
    <cellStyle name="Normal 22 2 21 11" xfId="17603"/>
    <cellStyle name="Normal 22 2 21 12" xfId="17604"/>
    <cellStyle name="Normal 22 2 21 13" xfId="17605"/>
    <cellStyle name="Normal 22 2 21 2" xfId="17606"/>
    <cellStyle name="Normal 22 2 21 3" xfId="17607"/>
    <cellStyle name="Normal 22 2 21 4" xfId="17608"/>
    <cellStyle name="Normal 22 2 21 5" xfId="17609"/>
    <cellStyle name="Normal 22 2 21 6" xfId="17610"/>
    <cellStyle name="Normal 22 2 21 7" xfId="17611"/>
    <cellStyle name="Normal 22 2 21 8" xfId="17612"/>
    <cellStyle name="Normal 22 2 21 9" xfId="17613"/>
    <cellStyle name="Normal 22 2 22" xfId="17614"/>
    <cellStyle name="Normal 22 2 22 10" xfId="17615"/>
    <cellStyle name="Normal 22 2 22 11" xfId="17616"/>
    <cellStyle name="Normal 22 2 22 12" xfId="17617"/>
    <cellStyle name="Normal 22 2 22 13" xfId="17618"/>
    <cellStyle name="Normal 22 2 22 2" xfId="17619"/>
    <cellStyle name="Normal 22 2 22 3" xfId="17620"/>
    <cellStyle name="Normal 22 2 22 4" xfId="17621"/>
    <cellStyle name="Normal 22 2 22 5" xfId="17622"/>
    <cellStyle name="Normal 22 2 22 6" xfId="17623"/>
    <cellStyle name="Normal 22 2 22 7" xfId="17624"/>
    <cellStyle name="Normal 22 2 22 8" xfId="17625"/>
    <cellStyle name="Normal 22 2 22 9" xfId="17626"/>
    <cellStyle name="Normal 22 2 23" xfId="17627"/>
    <cellStyle name="Normal 22 2 23 10" xfId="17628"/>
    <cellStyle name="Normal 22 2 23 11" xfId="17629"/>
    <cellStyle name="Normal 22 2 23 12" xfId="17630"/>
    <cellStyle name="Normal 22 2 23 13" xfId="17631"/>
    <cellStyle name="Normal 22 2 23 2" xfId="17632"/>
    <cellStyle name="Normal 22 2 23 3" xfId="17633"/>
    <cellStyle name="Normal 22 2 23 4" xfId="17634"/>
    <cellStyle name="Normal 22 2 23 5" xfId="17635"/>
    <cellStyle name="Normal 22 2 23 6" xfId="17636"/>
    <cellStyle name="Normal 22 2 23 7" xfId="17637"/>
    <cellStyle name="Normal 22 2 23 8" xfId="17638"/>
    <cellStyle name="Normal 22 2 23 9" xfId="17639"/>
    <cellStyle name="Normal 22 2 24" xfId="17640"/>
    <cellStyle name="Normal 22 2 24 10" xfId="17641"/>
    <cellStyle name="Normal 22 2 24 11" xfId="17642"/>
    <cellStyle name="Normal 22 2 24 12" xfId="17643"/>
    <cellStyle name="Normal 22 2 24 13" xfId="17644"/>
    <cellStyle name="Normal 22 2 24 2" xfId="17645"/>
    <cellStyle name="Normal 22 2 24 3" xfId="17646"/>
    <cellStyle name="Normal 22 2 24 4" xfId="17647"/>
    <cellStyle name="Normal 22 2 24 5" xfId="17648"/>
    <cellStyle name="Normal 22 2 24 6" xfId="17649"/>
    <cellStyle name="Normal 22 2 24 7" xfId="17650"/>
    <cellStyle name="Normal 22 2 24 8" xfId="17651"/>
    <cellStyle name="Normal 22 2 24 9" xfId="17652"/>
    <cellStyle name="Normal 22 2 25" xfId="17653"/>
    <cellStyle name="Normal 22 2 25 10" xfId="17654"/>
    <cellStyle name="Normal 22 2 25 11" xfId="17655"/>
    <cellStyle name="Normal 22 2 25 12" xfId="17656"/>
    <cellStyle name="Normal 22 2 25 13" xfId="17657"/>
    <cellStyle name="Normal 22 2 25 2" xfId="17658"/>
    <cellStyle name="Normal 22 2 25 3" xfId="17659"/>
    <cellStyle name="Normal 22 2 25 4" xfId="17660"/>
    <cellStyle name="Normal 22 2 25 5" xfId="17661"/>
    <cellStyle name="Normal 22 2 25 6" xfId="17662"/>
    <cellStyle name="Normal 22 2 25 7" xfId="17663"/>
    <cellStyle name="Normal 22 2 25 8" xfId="17664"/>
    <cellStyle name="Normal 22 2 25 9" xfId="17665"/>
    <cellStyle name="Normal 22 2 26" xfId="17666"/>
    <cellStyle name="Normal 22 2 26 10" xfId="17667"/>
    <cellStyle name="Normal 22 2 26 11" xfId="17668"/>
    <cellStyle name="Normal 22 2 26 12" xfId="17669"/>
    <cellStyle name="Normal 22 2 26 13" xfId="17670"/>
    <cellStyle name="Normal 22 2 26 2" xfId="17671"/>
    <cellStyle name="Normal 22 2 26 3" xfId="17672"/>
    <cellStyle name="Normal 22 2 26 4" xfId="17673"/>
    <cellStyle name="Normal 22 2 26 5" xfId="17674"/>
    <cellStyle name="Normal 22 2 26 6" xfId="17675"/>
    <cellStyle name="Normal 22 2 26 7" xfId="17676"/>
    <cellStyle name="Normal 22 2 26 8" xfId="17677"/>
    <cellStyle name="Normal 22 2 26 9" xfId="17678"/>
    <cellStyle name="Normal 22 2 27" xfId="17679"/>
    <cellStyle name="Normal 22 2 27 10" xfId="17680"/>
    <cellStyle name="Normal 22 2 27 11" xfId="17681"/>
    <cellStyle name="Normal 22 2 27 12" xfId="17682"/>
    <cellStyle name="Normal 22 2 27 13" xfId="17683"/>
    <cellStyle name="Normal 22 2 27 2" xfId="17684"/>
    <cellStyle name="Normal 22 2 27 3" xfId="17685"/>
    <cellStyle name="Normal 22 2 27 4" xfId="17686"/>
    <cellStyle name="Normal 22 2 27 5" xfId="17687"/>
    <cellStyle name="Normal 22 2 27 6" xfId="17688"/>
    <cellStyle name="Normal 22 2 27 7" xfId="17689"/>
    <cellStyle name="Normal 22 2 27 8" xfId="17690"/>
    <cellStyle name="Normal 22 2 27 9" xfId="17691"/>
    <cellStyle name="Normal 22 2 28" xfId="17692"/>
    <cellStyle name="Normal 22 2 28 10" xfId="17693"/>
    <cellStyle name="Normal 22 2 28 11" xfId="17694"/>
    <cellStyle name="Normal 22 2 28 12" xfId="17695"/>
    <cellStyle name="Normal 22 2 28 13" xfId="17696"/>
    <cellStyle name="Normal 22 2 28 2" xfId="17697"/>
    <cellStyle name="Normal 22 2 28 3" xfId="17698"/>
    <cellStyle name="Normal 22 2 28 4" xfId="17699"/>
    <cellStyle name="Normal 22 2 28 5" xfId="17700"/>
    <cellStyle name="Normal 22 2 28 6" xfId="17701"/>
    <cellStyle name="Normal 22 2 28 7" xfId="17702"/>
    <cellStyle name="Normal 22 2 28 8" xfId="17703"/>
    <cellStyle name="Normal 22 2 28 9" xfId="17704"/>
    <cellStyle name="Normal 22 2 29" xfId="17705"/>
    <cellStyle name="Normal 22 2 29 10" xfId="17706"/>
    <cellStyle name="Normal 22 2 29 11" xfId="17707"/>
    <cellStyle name="Normal 22 2 29 12" xfId="17708"/>
    <cellStyle name="Normal 22 2 29 13" xfId="17709"/>
    <cellStyle name="Normal 22 2 29 2" xfId="17710"/>
    <cellStyle name="Normal 22 2 29 3" xfId="17711"/>
    <cellStyle name="Normal 22 2 29 4" xfId="17712"/>
    <cellStyle name="Normal 22 2 29 5" xfId="17713"/>
    <cellStyle name="Normal 22 2 29 6" xfId="17714"/>
    <cellStyle name="Normal 22 2 29 7" xfId="17715"/>
    <cellStyle name="Normal 22 2 29 8" xfId="17716"/>
    <cellStyle name="Normal 22 2 29 9" xfId="17717"/>
    <cellStyle name="Normal 22 2 3" xfId="17718"/>
    <cellStyle name="Normal 22 2 3 10" xfId="17719"/>
    <cellStyle name="Normal 22 2 3 11" xfId="17720"/>
    <cellStyle name="Normal 22 2 3 12" xfId="17721"/>
    <cellStyle name="Normal 22 2 3 13" xfId="17722"/>
    <cellStyle name="Normal 22 2 3 2" xfId="17723"/>
    <cellStyle name="Normal 22 2 3 3" xfId="17724"/>
    <cellStyle name="Normal 22 2 3 4" xfId="17725"/>
    <cellStyle name="Normal 22 2 3 5" xfId="17726"/>
    <cellStyle name="Normal 22 2 3 6" xfId="17727"/>
    <cellStyle name="Normal 22 2 3 7" xfId="17728"/>
    <cellStyle name="Normal 22 2 3 8" xfId="17729"/>
    <cellStyle name="Normal 22 2 3 9" xfId="17730"/>
    <cellStyle name="Normal 22 2 30" xfId="17731"/>
    <cellStyle name="Normal 22 2 30 10" xfId="17732"/>
    <cellStyle name="Normal 22 2 30 11" xfId="17733"/>
    <cellStyle name="Normal 22 2 30 12" xfId="17734"/>
    <cellStyle name="Normal 22 2 30 13" xfId="17735"/>
    <cellStyle name="Normal 22 2 30 2" xfId="17736"/>
    <cellStyle name="Normal 22 2 30 3" xfId="17737"/>
    <cellStyle name="Normal 22 2 30 4" xfId="17738"/>
    <cellStyle name="Normal 22 2 30 5" xfId="17739"/>
    <cellStyle name="Normal 22 2 30 6" xfId="17740"/>
    <cellStyle name="Normal 22 2 30 7" xfId="17741"/>
    <cellStyle name="Normal 22 2 30 8" xfId="17742"/>
    <cellStyle name="Normal 22 2 30 9" xfId="17743"/>
    <cellStyle name="Normal 22 2 31" xfId="17744"/>
    <cellStyle name="Normal 22 2 31 10" xfId="17745"/>
    <cellStyle name="Normal 22 2 31 11" xfId="17746"/>
    <cellStyle name="Normal 22 2 31 12" xfId="17747"/>
    <cellStyle name="Normal 22 2 31 13" xfId="17748"/>
    <cellStyle name="Normal 22 2 31 2" xfId="17749"/>
    <cellStyle name="Normal 22 2 31 3" xfId="17750"/>
    <cellStyle name="Normal 22 2 31 4" xfId="17751"/>
    <cellStyle name="Normal 22 2 31 5" xfId="17752"/>
    <cellStyle name="Normal 22 2 31 6" xfId="17753"/>
    <cellStyle name="Normal 22 2 31 7" xfId="17754"/>
    <cellStyle name="Normal 22 2 31 8" xfId="17755"/>
    <cellStyle name="Normal 22 2 31 9" xfId="17756"/>
    <cellStyle name="Normal 22 2 32" xfId="17757"/>
    <cellStyle name="Normal 22 2 32 10" xfId="17758"/>
    <cellStyle name="Normal 22 2 32 11" xfId="17759"/>
    <cellStyle name="Normal 22 2 32 12" xfId="17760"/>
    <cellStyle name="Normal 22 2 32 13" xfId="17761"/>
    <cellStyle name="Normal 22 2 32 2" xfId="17762"/>
    <cellStyle name="Normal 22 2 32 3" xfId="17763"/>
    <cellStyle name="Normal 22 2 32 4" xfId="17764"/>
    <cellStyle name="Normal 22 2 32 5" xfId="17765"/>
    <cellStyle name="Normal 22 2 32 6" xfId="17766"/>
    <cellStyle name="Normal 22 2 32 7" xfId="17767"/>
    <cellStyle name="Normal 22 2 32 8" xfId="17768"/>
    <cellStyle name="Normal 22 2 32 9" xfId="17769"/>
    <cellStyle name="Normal 22 2 33" xfId="17770"/>
    <cellStyle name="Normal 22 2 33 10" xfId="17771"/>
    <cellStyle name="Normal 22 2 33 11" xfId="17772"/>
    <cellStyle name="Normal 22 2 33 12" xfId="17773"/>
    <cellStyle name="Normal 22 2 33 13" xfId="17774"/>
    <cellStyle name="Normal 22 2 33 2" xfId="17775"/>
    <cellStyle name="Normal 22 2 33 3" xfId="17776"/>
    <cellStyle name="Normal 22 2 33 4" xfId="17777"/>
    <cellStyle name="Normal 22 2 33 5" xfId="17778"/>
    <cellStyle name="Normal 22 2 33 6" xfId="17779"/>
    <cellStyle name="Normal 22 2 33 7" xfId="17780"/>
    <cellStyle name="Normal 22 2 33 8" xfId="17781"/>
    <cellStyle name="Normal 22 2 33 9" xfId="17782"/>
    <cellStyle name="Normal 22 2 34" xfId="17783"/>
    <cellStyle name="Normal 22 2 34 10" xfId="17784"/>
    <cellStyle name="Normal 22 2 34 11" xfId="17785"/>
    <cellStyle name="Normal 22 2 34 12" xfId="17786"/>
    <cellStyle name="Normal 22 2 34 13" xfId="17787"/>
    <cellStyle name="Normal 22 2 34 2" xfId="17788"/>
    <cellStyle name="Normal 22 2 34 3" xfId="17789"/>
    <cellStyle name="Normal 22 2 34 4" xfId="17790"/>
    <cellStyle name="Normal 22 2 34 5" xfId="17791"/>
    <cellStyle name="Normal 22 2 34 6" xfId="17792"/>
    <cellStyle name="Normal 22 2 34 7" xfId="17793"/>
    <cellStyle name="Normal 22 2 34 8" xfId="17794"/>
    <cellStyle name="Normal 22 2 34 9" xfId="17795"/>
    <cellStyle name="Normal 22 2 35" xfId="17796"/>
    <cellStyle name="Normal 22 2 35 10" xfId="17797"/>
    <cellStyle name="Normal 22 2 35 11" xfId="17798"/>
    <cellStyle name="Normal 22 2 35 12" xfId="17799"/>
    <cellStyle name="Normal 22 2 35 13" xfId="17800"/>
    <cellStyle name="Normal 22 2 35 2" xfId="17801"/>
    <cellStyle name="Normal 22 2 35 3" xfId="17802"/>
    <cellStyle name="Normal 22 2 35 4" xfId="17803"/>
    <cellStyle name="Normal 22 2 35 5" xfId="17804"/>
    <cellStyle name="Normal 22 2 35 6" xfId="17805"/>
    <cellStyle name="Normal 22 2 35 7" xfId="17806"/>
    <cellStyle name="Normal 22 2 35 8" xfId="17807"/>
    <cellStyle name="Normal 22 2 35 9" xfId="17808"/>
    <cellStyle name="Normal 22 2 36" xfId="17809"/>
    <cellStyle name="Normal 22 2 36 10" xfId="17810"/>
    <cellStyle name="Normal 22 2 36 11" xfId="17811"/>
    <cellStyle name="Normal 22 2 36 12" xfId="17812"/>
    <cellStyle name="Normal 22 2 36 13" xfId="17813"/>
    <cellStyle name="Normal 22 2 36 2" xfId="17814"/>
    <cellStyle name="Normal 22 2 36 3" xfId="17815"/>
    <cellStyle name="Normal 22 2 36 4" xfId="17816"/>
    <cellStyle name="Normal 22 2 36 5" xfId="17817"/>
    <cellStyle name="Normal 22 2 36 6" xfId="17818"/>
    <cellStyle name="Normal 22 2 36 7" xfId="17819"/>
    <cellStyle name="Normal 22 2 36 8" xfId="17820"/>
    <cellStyle name="Normal 22 2 36 9" xfId="17821"/>
    <cellStyle name="Normal 22 2 37" xfId="17822"/>
    <cellStyle name="Normal 22 2 37 10" xfId="17823"/>
    <cellStyle name="Normal 22 2 37 11" xfId="17824"/>
    <cellStyle name="Normal 22 2 37 12" xfId="17825"/>
    <cellStyle name="Normal 22 2 37 13" xfId="17826"/>
    <cellStyle name="Normal 22 2 37 2" xfId="17827"/>
    <cellStyle name="Normal 22 2 37 3" xfId="17828"/>
    <cellStyle name="Normal 22 2 37 4" xfId="17829"/>
    <cellStyle name="Normal 22 2 37 5" xfId="17830"/>
    <cellStyle name="Normal 22 2 37 6" xfId="17831"/>
    <cellStyle name="Normal 22 2 37 7" xfId="17832"/>
    <cellStyle name="Normal 22 2 37 8" xfId="17833"/>
    <cellStyle name="Normal 22 2 37 9" xfId="17834"/>
    <cellStyle name="Normal 22 2 38" xfId="17835"/>
    <cellStyle name="Normal 22 2 38 10" xfId="17836"/>
    <cellStyle name="Normal 22 2 38 11" xfId="17837"/>
    <cellStyle name="Normal 22 2 38 12" xfId="17838"/>
    <cellStyle name="Normal 22 2 38 13" xfId="17839"/>
    <cellStyle name="Normal 22 2 38 2" xfId="17840"/>
    <cellStyle name="Normal 22 2 38 3" xfId="17841"/>
    <cellStyle name="Normal 22 2 38 4" xfId="17842"/>
    <cellStyle name="Normal 22 2 38 5" xfId="17843"/>
    <cellStyle name="Normal 22 2 38 6" xfId="17844"/>
    <cellStyle name="Normal 22 2 38 7" xfId="17845"/>
    <cellStyle name="Normal 22 2 38 8" xfId="17846"/>
    <cellStyle name="Normal 22 2 38 9" xfId="17847"/>
    <cellStyle name="Normal 22 2 39" xfId="17848"/>
    <cellStyle name="Normal 22 2 39 10" xfId="17849"/>
    <cellStyle name="Normal 22 2 39 11" xfId="17850"/>
    <cellStyle name="Normal 22 2 39 12" xfId="17851"/>
    <cellStyle name="Normal 22 2 39 13" xfId="17852"/>
    <cellStyle name="Normal 22 2 39 2" xfId="17853"/>
    <cellStyle name="Normal 22 2 39 3" xfId="17854"/>
    <cellStyle name="Normal 22 2 39 4" xfId="17855"/>
    <cellStyle name="Normal 22 2 39 5" xfId="17856"/>
    <cellStyle name="Normal 22 2 39 6" xfId="17857"/>
    <cellStyle name="Normal 22 2 39 7" xfId="17858"/>
    <cellStyle name="Normal 22 2 39 8" xfId="17859"/>
    <cellStyle name="Normal 22 2 39 9" xfId="17860"/>
    <cellStyle name="Normal 22 2 4" xfId="17861"/>
    <cellStyle name="Normal 22 2 4 10" xfId="17862"/>
    <cellStyle name="Normal 22 2 4 11" xfId="17863"/>
    <cellStyle name="Normal 22 2 4 12" xfId="17864"/>
    <cellStyle name="Normal 22 2 4 13" xfId="17865"/>
    <cellStyle name="Normal 22 2 4 2" xfId="17866"/>
    <cellStyle name="Normal 22 2 4 3" xfId="17867"/>
    <cellStyle name="Normal 22 2 4 4" xfId="17868"/>
    <cellStyle name="Normal 22 2 4 5" xfId="17869"/>
    <cellStyle name="Normal 22 2 4 6" xfId="17870"/>
    <cellStyle name="Normal 22 2 4 7" xfId="17871"/>
    <cellStyle name="Normal 22 2 4 8" xfId="17872"/>
    <cellStyle name="Normal 22 2 4 9" xfId="17873"/>
    <cellStyle name="Normal 22 2 40" xfId="17874"/>
    <cellStyle name="Normal 22 2 40 10" xfId="17875"/>
    <cellStyle name="Normal 22 2 40 11" xfId="17876"/>
    <cellStyle name="Normal 22 2 40 12" xfId="17877"/>
    <cellStyle name="Normal 22 2 40 13" xfId="17878"/>
    <cellStyle name="Normal 22 2 40 2" xfId="17879"/>
    <cellStyle name="Normal 22 2 40 3" xfId="17880"/>
    <cellStyle name="Normal 22 2 40 4" xfId="17881"/>
    <cellStyle name="Normal 22 2 40 5" xfId="17882"/>
    <cellStyle name="Normal 22 2 40 6" xfId="17883"/>
    <cellStyle name="Normal 22 2 40 7" xfId="17884"/>
    <cellStyle name="Normal 22 2 40 8" xfId="17885"/>
    <cellStyle name="Normal 22 2 40 9" xfId="17886"/>
    <cellStyle name="Normal 22 2 41" xfId="17887"/>
    <cellStyle name="Normal 22 2 41 10" xfId="17888"/>
    <cellStyle name="Normal 22 2 41 11" xfId="17889"/>
    <cellStyle name="Normal 22 2 41 12" xfId="17890"/>
    <cellStyle name="Normal 22 2 41 13" xfId="17891"/>
    <cellStyle name="Normal 22 2 41 2" xfId="17892"/>
    <cellStyle name="Normal 22 2 41 3" xfId="17893"/>
    <cellStyle name="Normal 22 2 41 4" xfId="17894"/>
    <cellStyle name="Normal 22 2 41 5" xfId="17895"/>
    <cellStyle name="Normal 22 2 41 6" xfId="17896"/>
    <cellStyle name="Normal 22 2 41 7" xfId="17897"/>
    <cellStyle name="Normal 22 2 41 8" xfId="17898"/>
    <cellStyle name="Normal 22 2 41 9" xfId="17899"/>
    <cellStyle name="Normal 22 2 42" xfId="17900"/>
    <cellStyle name="Normal 22 2 42 10" xfId="17901"/>
    <cellStyle name="Normal 22 2 42 11" xfId="17902"/>
    <cellStyle name="Normal 22 2 42 12" xfId="17903"/>
    <cellStyle name="Normal 22 2 42 13" xfId="17904"/>
    <cellStyle name="Normal 22 2 42 2" xfId="17905"/>
    <cellStyle name="Normal 22 2 42 3" xfId="17906"/>
    <cellStyle name="Normal 22 2 42 4" xfId="17907"/>
    <cellStyle name="Normal 22 2 42 5" xfId="17908"/>
    <cellStyle name="Normal 22 2 42 6" xfId="17909"/>
    <cellStyle name="Normal 22 2 42 7" xfId="17910"/>
    <cellStyle name="Normal 22 2 42 8" xfId="17911"/>
    <cellStyle name="Normal 22 2 42 9" xfId="17912"/>
    <cellStyle name="Normal 22 2 43" xfId="17913"/>
    <cellStyle name="Normal 22 2 43 10" xfId="17914"/>
    <cellStyle name="Normal 22 2 43 11" xfId="17915"/>
    <cellStyle name="Normal 22 2 43 12" xfId="17916"/>
    <cellStyle name="Normal 22 2 43 13" xfId="17917"/>
    <cellStyle name="Normal 22 2 43 2" xfId="17918"/>
    <cellStyle name="Normal 22 2 43 3" xfId="17919"/>
    <cellStyle name="Normal 22 2 43 4" xfId="17920"/>
    <cellStyle name="Normal 22 2 43 5" xfId="17921"/>
    <cellStyle name="Normal 22 2 43 6" xfId="17922"/>
    <cellStyle name="Normal 22 2 43 7" xfId="17923"/>
    <cellStyle name="Normal 22 2 43 8" xfId="17924"/>
    <cellStyle name="Normal 22 2 43 9" xfId="17925"/>
    <cellStyle name="Normal 22 2 44" xfId="17926"/>
    <cellStyle name="Normal 22 2 44 10" xfId="17927"/>
    <cellStyle name="Normal 22 2 44 11" xfId="17928"/>
    <cellStyle name="Normal 22 2 44 12" xfId="17929"/>
    <cellStyle name="Normal 22 2 44 13" xfId="17930"/>
    <cellStyle name="Normal 22 2 44 2" xfId="17931"/>
    <cellStyle name="Normal 22 2 44 3" xfId="17932"/>
    <cellStyle name="Normal 22 2 44 4" xfId="17933"/>
    <cellStyle name="Normal 22 2 44 5" xfId="17934"/>
    <cellStyle name="Normal 22 2 44 6" xfId="17935"/>
    <cellStyle name="Normal 22 2 44 7" xfId="17936"/>
    <cellStyle name="Normal 22 2 44 8" xfId="17937"/>
    <cellStyle name="Normal 22 2 44 9" xfId="17938"/>
    <cellStyle name="Normal 22 2 45" xfId="17939"/>
    <cellStyle name="Normal 22 2 45 10" xfId="17940"/>
    <cellStyle name="Normal 22 2 45 11" xfId="17941"/>
    <cellStyle name="Normal 22 2 45 12" xfId="17942"/>
    <cellStyle name="Normal 22 2 45 13" xfId="17943"/>
    <cellStyle name="Normal 22 2 45 2" xfId="17944"/>
    <cellStyle name="Normal 22 2 45 3" xfId="17945"/>
    <cellStyle name="Normal 22 2 45 4" xfId="17946"/>
    <cellStyle name="Normal 22 2 45 5" xfId="17947"/>
    <cellStyle name="Normal 22 2 45 6" xfId="17948"/>
    <cellStyle name="Normal 22 2 45 7" xfId="17949"/>
    <cellStyle name="Normal 22 2 45 8" xfId="17950"/>
    <cellStyle name="Normal 22 2 45 9" xfId="17951"/>
    <cellStyle name="Normal 22 2 46" xfId="17952"/>
    <cellStyle name="Normal 22 2 46 10" xfId="17953"/>
    <cellStyle name="Normal 22 2 46 11" xfId="17954"/>
    <cellStyle name="Normal 22 2 46 12" xfId="17955"/>
    <cellStyle name="Normal 22 2 46 13" xfId="17956"/>
    <cellStyle name="Normal 22 2 46 2" xfId="17957"/>
    <cellStyle name="Normal 22 2 46 3" xfId="17958"/>
    <cellStyle name="Normal 22 2 46 4" xfId="17959"/>
    <cellStyle name="Normal 22 2 46 5" xfId="17960"/>
    <cellStyle name="Normal 22 2 46 6" xfId="17961"/>
    <cellStyle name="Normal 22 2 46 7" xfId="17962"/>
    <cellStyle name="Normal 22 2 46 8" xfId="17963"/>
    <cellStyle name="Normal 22 2 46 9" xfId="17964"/>
    <cellStyle name="Normal 22 2 47" xfId="17965"/>
    <cellStyle name="Normal 22 2 47 10" xfId="17966"/>
    <cellStyle name="Normal 22 2 47 11" xfId="17967"/>
    <cellStyle name="Normal 22 2 47 12" xfId="17968"/>
    <cellStyle name="Normal 22 2 47 13" xfId="17969"/>
    <cellStyle name="Normal 22 2 47 2" xfId="17970"/>
    <cellStyle name="Normal 22 2 47 3" xfId="17971"/>
    <cellStyle name="Normal 22 2 47 4" xfId="17972"/>
    <cellStyle name="Normal 22 2 47 5" xfId="17973"/>
    <cellStyle name="Normal 22 2 47 6" xfId="17974"/>
    <cellStyle name="Normal 22 2 47 7" xfId="17975"/>
    <cellStyle name="Normal 22 2 47 8" xfId="17976"/>
    <cellStyle name="Normal 22 2 47 9" xfId="17977"/>
    <cellStyle name="Normal 22 2 48" xfId="17978"/>
    <cellStyle name="Normal 22 2 48 10" xfId="17979"/>
    <cellStyle name="Normal 22 2 48 11" xfId="17980"/>
    <cellStyle name="Normal 22 2 48 12" xfId="17981"/>
    <cellStyle name="Normal 22 2 48 13" xfId="17982"/>
    <cellStyle name="Normal 22 2 48 2" xfId="17983"/>
    <cellStyle name="Normal 22 2 48 3" xfId="17984"/>
    <cellStyle name="Normal 22 2 48 4" xfId="17985"/>
    <cellStyle name="Normal 22 2 48 5" xfId="17986"/>
    <cellStyle name="Normal 22 2 48 6" xfId="17987"/>
    <cellStyle name="Normal 22 2 48 7" xfId="17988"/>
    <cellStyle name="Normal 22 2 48 8" xfId="17989"/>
    <cellStyle name="Normal 22 2 48 9" xfId="17990"/>
    <cellStyle name="Normal 22 2 49" xfId="17991"/>
    <cellStyle name="Normal 22 2 49 10" xfId="17992"/>
    <cellStyle name="Normal 22 2 49 11" xfId="17993"/>
    <cellStyle name="Normal 22 2 49 12" xfId="17994"/>
    <cellStyle name="Normal 22 2 49 13" xfId="17995"/>
    <cellStyle name="Normal 22 2 49 2" xfId="17996"/>
    <cellStyle name="Normal 22 2 49 3" xfId="17997"/>
    <cellStyle name="Normal 22 2 49 4" xfId="17998"/>
    <cellStyle name="Normal 22 2 49 5" xfId="17999"/>
    <cellStyle name="Normal 22 2 49 6" xfId="18000"/>
    <cellStyle name="Normal 22 2 49 7" xfId="18001"/>
    <cellStyle name="Normal 22 2 49 8" xfId="18002"/>
    <cellStyle name="Normal 22 2 49 9" xfId="18003"/>
    <cellStyle name="Normal 22 2 5" xfId="18004"/>
    <cellStyle name="Normal 22 2 5 10" xfId="18005"/>
    <cellStyle name="Normal 22 2 5 11" xfId="18006"/>
    <cellStyle name="Normal 22 2 5 12" xfId="18007"/>
    <cellStyle name="Normal 22 2 5 13" xfId="18008"/>
    <cellStyle name="Normal 22 2 5 2" xfId="18009"/>
    <cellStyle name="Normal 22 2 5 3" xfId="18010"/>
    <cellStyle name="Normal 22 2 5 4" xfId="18011"/>
    <cellStyle name="Normal 22 2 5 5" xfId="18012"/>
    <cellStyle name="Normal 22 2 5 6" xfId="18013"/>
    <cellStyle name="Normal 22 2 5 7" xfId="18014"/>
    <cellStyle name="Normal 22 2 5 8" xfId="18015"/>
    <cellStyle name="Normal 22 2 5 9" xfId="18016"/>
    <cellStyle name="Normal 22 2 50" xfId="18017"/>
    <cellStyle name="Normal 22 2 50 10" xfId="18018"/>
    <cellStyle name="Normal 22 2 50 11" xfId="18019"/>
    <cellStyle name="Normal 22 2 50 12" xfId="18020"/>
    <cellStyle name="Normal 22 2 50 13" xfId="18021"/>
    <cellStyle name="Normal 22 2 50 2" xfId="18022"/>
    <cellStyle name="Normal 22 2 50 3" xfId="18023"/>
    <cellStyle name="Normal 22 2 50 4" xfId="18024"/>
    <cellStyle name="Normal 22 2 50 5" xfId="18025"/>
    <cellStyle name="Normal 22 2 50 6" xfId="18026"/>
    <cellStyle name="Normal 22 2 50 7" xfId="18027"/>
    <cellStyle name="Normal 22 2 50 8" xfId="18028"/>
    <cellStyle name="Normal 22 2 50 9" xfId="18029"/>
    <cellStyle name="Normal 22 2 51" xfId="18030"/>
    <cellStyle name="Normal 22 2 51 10" xfId="18031"/>
    <cellStyle name="Normal 22 2 51 11" xfId="18032"/>
    <cellStyle name="Normal 22 2 51 12" xfId="18033"/>
    <cellStyle name="Normal 22 2 51 13" xfId="18034"/>
    <cellStyle name="Normal 22 2 51 2" xfId="18035"/>
    <cellStyle name="Normal 22 2 51 3" xfId="18036"/>
    <cellStyle name="Normal 22 2 51 4" xfId="18037"/>
    <cellStyle name="Normal 22 2 51 5" xfId="18038"/>
    <cellStyle name="Normal 22 2 51 6" xfId="18039"/>
    <cellStyle name="Normal 22 2 51 7" xfId="18040"/>
    <cellStyle name="Normal 22 2 51 8" xfId="18041"/>
    <cellStyle name="Normal 22 2 51 9" xfId="18042"/>
    <cellStyle name="Normal 22 2 52" xfId="18043"/>
    <cellStyle name="Normal 22 2 52 10" xfId="18044"/>
    <cellStyle name="Normal 22 2 52 11" xfId="18045"/>
    <cellStyle name="Normal 22 2 52 12" xfId="18046"/>
    <cellStyle name="Normal 22 2 52 13" xfId="18047"/>
    <cellStyle name="Normal 22 2 52 2" xfId="18048"/>
    <cellStyle name="Normal 22 2 52 3" xfId="18049"/>
    <cellStyle name="Normal 22 2 52 4" xfId="18050"/>
    <cellStyle name="Normal 22 2 52 5" xfId="18051"/>
    <cellStyle name="Normal 22 2 52 6" xfId="18052"/>
    <cellStyle name="Normal 22 2 52 7" xfId="18053"/>
    <cellStyle name="Normal 22 2 52 8" xfId="18054"/>
    <cellStyle name="Normal 22 2 52 9" xfId="18055"/>
    <cellStyle name="Normal 22 2 53" xfId="18056"/>
    <cellStyle name="Normal 22 2 53 10" xfId="18057"/>
    <cellStyle name="Normal 22 2 53 11" xfId="18058"/>
    <cellStyle name="Normal 22 2 53 12" xfId="18059"/>
    <cellStyle name="Normal 22 2 53 13" xfId="18060"/>
    <cellStyle name="Normal 22 2 53 2" xfId="18061"/>
    <cellStyle name="Normal 22 2 53 3" xfId="18062"/>
    <cellStyle name="Normal 22 2 53 4" xfId="18063"/>
    <cellStyle name="Normal 22 2 53 5" xfId="18064"/>
    <cellStyle name="Normal 22 2 53 6" xfId="18065"/>
    <cellStyle name="Normal 22 2 53 7" xfId="18066"/>
    <cellStyle name="Normal 22 2 53 8" xfId="18067"/>
    <cellStyle name="Normal 22 2 53 9" xfId="18068"/>
    <cellStyle name="Normal 22 2 54" xfId="18069"/>
    <cellStyle name="Normal 22 2 54 10" xfId="18070"/>
    <cellStyle name="Normal 22 2 54 11" xfId="18071"/>
    <cellStyle name="Normal 22 2 54 12" xfId="18072"/>
    <cellStyle name="Normal 22 2 54 13" xfId="18073"/>
    <cellStyle name="Normal 22 2 54 2" xfId="18074"/>
    <cellStyle name="Normal 22 2 54 3" xfId="18075"/>
    <cellStyle name="Normal 22 2 54 4" xfId="18076"/>
    <cellStyle name="Normal 22 2 54 5" xfId="18077"/>
    <cellStyle name="Normal 22 2 54 6" xfId="18078"/>
    <cellStyle name="Normal 22 2 54 7" xfId="18079"/>
    <cellStyle name="Normal 22 2 54 8" xfId="18080"/>
    <cellStyle name="Normal 22 2 54 9" xfId="18081"/>
    <cellStyle name="Normal 22 2 55" xfId="18082"/>
    <cellStyle name="Normal 22 2 55 10" xfId="18083"/>
    <cellStyle name="Normal 22 2 55 11" xfId="18084"/>
    <cellStyle name="Normal 22 2 55 12" xfId="18085"/>
    <cellStyle name="Normal 22 2 55 13" xfId="18086"/>
    <cellStyle name="Normal 22 2 55 2" xfId="18087"/>
    <cellStyle name="Normal 22 2 55 3" xfId="18088"/>
    <cellStyle name="Normal 22 2 55 4" xfId="18089"/>
    <cellStyle name="Normal 22 2 55 5" xfId="18090"/>
    <cellStyle name="Normal 22 2 55 6" xfId="18091"/>
    <cellStyle name="Normal 22 2 55 7" xfId="18092"/>
    <cellStyle name="Normal 22 2 55 8" xfId="18093"/>
    <cellStyle name="Normal 22 2 55 9" xfId="18094"/>
    <cellStyle name="Normal 22 2 56" xfId="18095"/>
    <cellStyle name="Normal 22 2 56 10" xfId="18096"/>
    <cellStyle name="Normal 22 2 56 11" xfId="18097"/>
    <cellStyle name="Normal 22 2 56 12" xfId="18098"/>
    <cellStyle name="Normal 22 2 56 13" xfId="18099"/>
    <cellStyle name="Normal 22 2 56 2" xfId="18100"/>
    <cellStyle name="Normal 22 2 56 3" xfId="18101"/>
    <cellStyle name="Normal 22 2 56 4" xfId="18102"/>
    <cellStyle name="Normal 22 2 56 5" xfId="18103"/>
    <cellStyle name="Normal 22 2 56 6" xfId="18104"/>
    <cellStyle name="Normal 22 2 56 7" xfId="18105"/>
    <cellStyle name="Normal 22 2 56 8" xfId="18106"/>
    <cellStyle name="Normal 22 2 56 9" xfId="18107"/>
    <cellStyle name="Normal 22 2 57" xfId="18108"/>
    <cellStyle name="Normal 22 2 57 10" xfId="18109"/>
    <cellStyle name="Normal 22 2 57 11" xfId="18110"/>
    <cellStyle name="Normal 22 2 57 12" xfId="18111"/>
    <cellStyle name="Normal 22 2 57 13" xfId="18112"/>
    <cellStyle name="Normal 22 2 57 2" xfId="18113"/>
    <cellStyle name="Normal 22 2 57 3" xfId="18114"/>
    <cellStyle name="Normal 22 2 57 4" xfId="18115"/>
    <cellStyle name="Normal 22 2 57 5" xfId="18116"/>
    <cellStyle name="Normal 22 2 57 6" xfId="18117"/>
    <cellStyle name="Normal 22 2 57 7" xfId="18118"/>
    <cellStyle name="Normal 22 2 57 8" xfId="18119"/>
    <cellStyle name="Normal 22 2 57 9" xfId="18120"/>
    <cellStyle name="Normal 22 2 58" xfId="18121"/>
    <cellStyle name="Normal 22 2 58 10" xfId="18122"/>
    <cellStyle name="Normal 22 2 58 11" xfId="18123"/>
    <cellStyle name="Normal 22 2 58 12" xfId="18124"/>
    <cellStyle name="Normal 22 2 58 13" xfId="18125"/>
    <cellStyle name="Normal 22 2 58 2" xfId="18126"/>
    <cellStyle name="Normal 22 2 58 3" xfId="18127"/>
    <cellStyle name="Normal 22 2 58 4" xfId="18128"/>
    <cellStyle name="Normal 22 2 58 5" xfId="18129"/>
    <cellStyle name="Normal 22 2 58 6" xfId="18130"/>
    <cellStyle name="Normal 22 2 58 7" xfId="18131"/>
    <cellStyle name="Normal 22 2 58 8" xfId="18132"/>
    <cellStyle name="Normal 22 2 58 9" xfId="18133"/>
    <cellStyle name="Normal 22 2 59" xfId="18134"/>
    <cellStyle name="Normal 22 2 59 10" xfId="18135"/>
    <cellStyle name="Normal 22 2 59 11" xfId="18136"/>
    <cellStyle name="Normal 22 2 59 12" xfId="18137"/>
    <cellStyle name="Normal 22 2 59 13" xfId="18138"/>
    <cellStyle name="Normal 22 2 59 2" xfId="18139"/>
    <cellStyle name="Normal 22 2 59 3" xfId="18140"/>
    <cellStyle name="Normal 22 2 59 4" xfId="18141"/>
    <cellStyle name="Normal 22 2 59 5" xfId="18142"/>
    <cellStyle name="Normal 22 2 59 6" xfId="18143"/>
    <cellStyle name="Normal 22 2 59 7" xfId="18144"/>
    <cellStyle name="Normal 22 2 59 8" xfId="18145"/>
    <cellStyle name="Normal 22 2 59 9" xfId="18146"/>
    <cellStyle name="Normal 22 2 6" xfId="18147"/>
    <cellStyle name="Normal 22 2 6 10" xfId="18148"/>
    <cellStyle name="Normal 22 2 6 11" xfId="18149"/>
    <cellStyle name="Normal 22 2 6 12" xfId="18150"/>
    <cellStyle name="Normal 22 2 6 13" xfId="18151"/>
    <cellStyle name="Normal 22 2 6 2" xfId="18152"/>
    <cellStyle name="Normal 22 2 6 3" xfId="18153"/>
    <cellStyle name="Normal 22 2 6 4" xfId="18154"/>
    <cellStyle name="Normal 22 2 6 5" xfId="18155"/>
    <cellStyle name="Normal 22 2 6 6" xfId="18156"/>
    <cellStyle name="Normal 22 2 6 7" xfId="18157"/>
    <cellStyle name="Normal 22 2 6 8" xfId="18158"/>
    <cellStyle name="Normal 22 2 6 9" xfId="18159"/>
    <cellStyle name="Normal 22 2 60" xfId="18160"/>
    <cellStyle name="Normal 22 2 60 10" xfId="18161"/>
    <cellStyle name="Normal 22 2 60 11" xfId="18162"/>
    <cellStyle name="Normal 22 2 60 12" xfId="18163"/>
    <cellStyle name="Normal 22 2 60 13" xfId="18164"/>
    <cellStyle name="Normal 22 2 60 2" xfId="18165"/>
    <cellStyle name="Normal 22 2 60 3" xfId="18166"/>
    <cellStyle name="Normal 22 2 60 4" xfId="18167"/>
    <cellStyle name="Normal 22 2 60 5" xfId="18168"/>
    <cellStyle name="Normal 22 2 60 6" xfId="18169"/>
    <cellStyle name="Normal 22 2 60 7" xfId="18170"/>
    <cellStyle name="Normal 22 2 60 8" xfId="18171"/>
    <cellStyle name="Normal 22 2 60 9" xfId="18172"/>
    <cellStyle name="Normal 22 2 61" xfId="18173"/>
    <cellStyle name="Normal 22 2 61 10" xfId="18174"/>
    <cellStyle name="Normal 22 2 61 11" xfId="18175"/>
    <cellStyle name="Normal 22 2 61 12" xfId="18176"/>
    <cellStyle name="Normal 22 2 61 13" xfId="18177"/>
    <cellStyle name="Normal 22 2 61 2" xfId="18178"/>
    <cellStyle name="Normal 22 2 61 3" xfId="18179"/>
    <cellStyle name="Normal 22 2 61 4" xfId="18180"/>
    <cellStyle name="Normal 22 2 61 5" xfId="18181"/>
    <cellStyle name="Normal 22 2 61 6" xfId="18182"/>
    <cellStyle name="Normal 22 2 61 7" xfId="18183"/>
    <cellStyle name="Normal 22 2 61 8" xfId="18184"/>
    <cellStyle name="Normal 22 2 61 9" xfId="18185"/>
    <cellStyle name="Normal 22 2 62" xfId="18186"/>
    <cellStyle name="Normal 22 2 62 10" xfId="18187"/>
    <cellStyle name="Normal 22 2 62 11" xfId="18188"/>
    <cellStyle name="Normal 22 2 62 12" xfId="18189"/>
    <cellStyle name="Normal 22 2 62 13" xfId="18190"/>
    <cellStyle name="Normal 22 2 62 2" xfId="18191"/>
    <cellStyle name="Normal 22 2 62 3" xfId="18192"/>
    <cellStyle name="Normal 22 2 62 4" xfId="18193"/>
    <cellStyle name="Normal 22 2 62 5" xfId="18194"/>
    <cellStyle name="Normal 22 2 62 6" xfId="18195"/>
    <cellStyle name="Normal 22 2 62 7" xfId="18196"/>
    <cellStyle name="Normal 22 2 62 8" xfId="18197"/>
    <cellStyle name="Normal 22 2 62 9" xfId="18198"/>
    <cellStyle name="Normal 22 2 63" xfId="18199"/>
    <cellStyle name="Normal 22 2 63 10" xfId="18200"/>
    <cellStyle name="Normal 22 2 63 11" xfId="18201"/>
    <cellStyle name="Normal 22 2 63 12" xfId="18202"/>
    <cellStyle name="Normal 22 2 63 13" xfId="18203"/>
    <cellStyle name="Normal 22 2 63 2" xfId="18204"/>
    <cellStyle name="Normal 22 2 63 3" xfId="18205"/>
    <cellStyle name="Normal 22 2 63 4" xfId="18206"/>
    <cellStyle name="Normal 22 2 63 5" xfId="18207"/>
    <cellStyle name="Normal 22 2 63 6" xfId="18208"/>
    <cellStyle name="Normal 22 2 63 7" xfId="18209"/>
    <cellStyle name="Normal 22 2 63 8" xfId="18210"/>
    <cellStyle name="Normal 22 2 63 9" xfId="18211"/>
    <cellStyle name="Normal 22 2 64" xfId="18212"/>
    <cellStyle name="Normal 22 2 64 10" xfId="18213"/>
    <cellStyle name="Normal 22 2 64 11" xfId="18214"/>
    <cellStyle name="Normal 22 2 64 12" xfId="18215"/>
    <cellStyle name="Normal 22 2 64 13" xfId="18216"/>
    <cellStyle name="Normal 22 2 64 2" xfId="18217"/>
    <cellStyle name="Normal 22 2 64 3" xfId="18218"/>
    <cellStyle name="Normal 22 2 64 4" xfId="18219"/>
    <cellStyle name="Normal 22 2 64 5" xfId="18220"/>
    <cellStyle name="Normal 22 2 64 6" xfId="18221"/>
    <cellStyle name="Normal 22 2 64 7" xfId="18222"/>
    <cellStyle name="Normal 22 2 64 8" xfId="18223"/>
    <cellStyle name="Normal 22 2 64 9" xfId="18224"/>
    <cellStyle name="Normal 22 2 65" xfId="18225"/>
    <cellStyle name="Normal 22 2 65 10" xfId="18226"/>
    <cellStyle name="Normal 22 2 65 11" xfId="18227"/>
    <cellStyle name="Normal 22 2 65 12" xfId="18228"/>
    <cellStyle name="Normal 22 2 65 13" xfId="18229"/>
    <cellStyle name="Normal 22 2 65 2" xfId="18230"/>
    <cellStyle name="Normal 22 2 65 3" xfId="18231"/>
    <cellStyle name="Normal 22 2 65 4" xfId="18232"/>
    <cellStyle name="Normal 22 2 65 5" xfId="18233"/>
    <cellStyle name="Normal 22 2 65 6" xfId="18234"/>
    <cellStyle name="Normal 22 2 65 7" xfId="18235"/>
    <cellStyle name="Normal 22 2 65 8" xfId="18236"/>
    <cellStyle name="Normal 22 2 65 9" xfId="18237"/>
    <cellStyle name="Normal 22 2 66" xfId="18238"/>
    <cellStyle name="Normal 22 2 66 10" xfId="18239"/>
    <cellStyle name="Normal 22 2 66 11" xfId="18240"/>
    <cellStyle name="Normal 22 2 66 12" xfId="18241"/>
    <cellStyle name="Normal 22 2 66 13" xfId="18242"/>
    <cellStyle name="Normal 22 2 66 2" xfId="18243"/>
    <cellStyle name="Normal 22 2 66 3" xfId="18244"/>
    <cellStyle name="Normal 22 2 66 4" xfId="18245"/>
    <cellStyle name="Normal 22 2 66 5" xfId="18246"/>
    <cellStyle name="Normal 22 2 66 6" xfId="18247"/>
    <cellStyle name="Normal 22 2 66 7" xfId="18248"/>
    <cellStyle name="Normal 22 2 66 8" xfId="18249"/>
    <cellStyle name="Normal 22 2 66 9" xfId="18250"/>
    <cellStyle name="Normal 22 2 67" xfId="18251"/>
    <cellStyle name="Normal 22 2 67 10" xfId="18252"/>
    <cellStyle name="Normal 22 2 67 11" xfId="18253"/>
    <cellStyle name="Normal 22 2 67 12" xfId="18254"/>
    <cellStyle name="Normal 22 2 67 13" xfId="18255"/>
    <cellStyle name="Normal 22 2 67 2" xfId="18256"/>
    <cellStyle name="Normal 22 2 67 3" xfId="18257"/>
    <cellStyle name="Normal 22 2 67 4" xfId="18258"/>
    <cellStyle name="Normal 22 2 67 5" xfId="18259"/>
    <cellStyle name="Normal 22 2 67 6" xfId="18260"/>
    <cellStyle name="Normal 22 2 67 7" xfId="18261"/>
    <cellStyle name="Normal 22 2 67 8" xfId="18262"/>
    <cellStyle name="Normal 22 2 67 9" xfId="18263"/>
    <cellStyle name="Normal 22 2 68" xfId="18264"/>
    <cellStyle name="Normal 22 2 68 10" xfId="18265"/>
    <cellStyle name="Normal 22 2 68 11" xfId="18266"/>
    <cellStyle name="Normal 22 2 68 12" xfId="18267"/>
    <cellStyle name="Normal 22 2 68 13" xfId="18268"/>
    <cellStyle name="Normal 22 2 68 2" xfId="18269"/>
    <cellStyle name="Normal 22 2 68 3" xfId="18270"/>
    <cellStyle name="Normal 22 2 68 4" xfId="18271"/>
    <cellStyle name="Normal 22 2 68 5" xfId="18272"/>
    <cellStyle name="Normal 22 2 68 6" xfId="18273"/>
    <cellStyle name="Normal 22 2 68 7" xfId="18274"/>
    <cellStyle name="Normal 22 2 68 8" xfId="18275"/>
    <cellStyle name="Normal 22 2 68 9" xfId="18276"/>
    <cellStyle name="Normal 22 2 69" xfId="18277"/>
    <cellStyle name="Normal 22 2 69 10" xfId="18278"/>
    <cellStyle name="Normal 22 2 69 11" xfId="18279"/>
    <cellStyle name="Normal 22 2 69 12" xfId="18280"/>
    <cellStyle name="Normal 22 2 69 13" xfId="18281"/>
    <cellStyle name="Normal 22 2 69 2" xfId="18282"/>
    <cellStyle name="Normal 22 2 69 3" xfId="18283"/>
    <cellStyle name="Normal 22 2 69 4" xfId="18284"/>
    <cellStyle name="Normal 22 2 69 5" xfId="18285"/>
    <cellStyle name="Normal 22 2 69 6" xfId="18286"/>
    <cellStyle name="Normal 22 2 69 7" xfId="18287"/>
    <cellStyle name="Normal 22 2 69 8" xfId="18288"/>
    <cellStyle name="Normal 22 2 69 9" xfId="18289"/>
    <cellStyle name="Normal 22 2 7" xfId="18290"/>
    <cellStyle name="Normal 22 2 7 10" xfId="18291"/>
    <cellStyle name="Normal 22 2 7 11" xfId="18292"/>
    <cellStyle name="Normal 22 2 7 12" xfId="18293"/>
    <cellStyle name="Normal 22 2 7 13" xfId="18294"/>
    <cellStyle name="Normal 22 2 7 2" xfId="18295"/>
    <cellStyle name="Normal 22 2 7 3" xfId="18296"/>
    <cellStyle name="Normal 22 2 7 4" xfId="18297"/>
    <cellStyle name="Normal 22 2 7 5" xfId="18298"/>
    <cellStyle name="Normal 22 2 7 6" xfId="18299"/>
    <cellStyle name="Normal 22 2 7 7" xfId="18300"/>
    <cellStyle name="Normal 22 2 7 8" xfId="18301"/>
    <cellStyle name="Normal 22 2 7 9" xfId="18302"/>
    <cellStyle name="Normal 22 2 70" xfId="18303"/>
    <cellStyle name="Normal 22 2 70 10" xfId="18304"/>
    <cellStyle name="Normal 22 2 70 11" xfId="18305"/>
    <cellStyle name="Normal 22 2 70 12" xfId="18306"/>
    <cellStyle name="Normal 22 2 70 13" xfId="18307"/>
    <cellStyle name="Normal 22 2 70 2" xfId="18308"/>
    <cellStyle name="Normal 22 2 70 3" xfId="18309"/>
    <cellStyle name="Normal 22 2 70 4" xfId="18310"/>
    <cellStyle name="Normal 22 2 70 5" xfId="18311"/>
    <cellStyle name="Normal 22 2 70 6" xfId="18312"/>
    <cellStyle name="Normal 22 2 70 7" xfId="18313"/>
    <cellStyle name="Normal 22 2 70 8" xfId="18314"/>
    <cellStyle name="Normal 22 2 70 9" xfId="18315"/>
    <cellStyle name="Normal 22 2 71" xfId="18316"/>
    <cellStyle name="Normal 22 2 71 10" xfId="18317"/>
    <cellStyle name="Normal 22 2 71 11" xfId="18318"/>
    <cellStyle name="Normal 22 2 71 12" xfId="18319"/>
    <cellStyle name="Normal 22 2 71 13" xfId="18320"/>
    <cellStyle name="Normal 22 2 71 2" xfId="18321"/>
    <cellStyle name="Normal 22 2 71 3" xfId="18322"/>
    <cellStyle name="Normal 22 2 71 4" xfId="18323"/>
    <cellStyle name="Normal 22 2 71 5" xfId="18324"/>
    <cellStyle name="Normal 22 2 71 6" xfId="18325"/>
    <cellStyle name="Normal 22 2 71 7" xfId="18326"/>
    <cellStyle name="Normal 22 2 71 8" xfId="18327"/>
    <cellStyle name="Normal 22 2 71 9" xfId="18328"/>
    <cellStyle name="Normal 22 2 72" xfId="18329"/>
    <cellStyle name="Normal 22 2 73" xfId="18330"/>
    <cellStyle name="Normal 22 2 74" xfId="18331"/>
    <cellStyle name="Normal 22 2 75" xfId="18332"/>
    <cellStyle name="Normal 22 2 76" xfId="18333"/>
    <cellStyle name="Normal 22 2 77" xfId="18334"/>
    <cellStyle name="Normal 22 2 78" xfId="18335"/>
    <cellStyle name="Normal 22 2 79" xfId="18336"/>
    <cellStyle name="Normal 22 2 8" xfId="18337"/>
    <cellStyle name="Normal 22 2 8 10" xfId="18338"/>
    <cellStyle name="Normal 22 2 8 11" xfId="18339"/>
    <cellStyle name="Normal 22 2 8 12" xfId="18340"/>
    <cellStyle name="Normal 22 2 8 13" xfId="18341"/>
    <cellStyle name="Normal 22 2 8 2" xfId="18342"/>
    <cellStyle name="Normal 22 2 8 3" xfId="18343"/>
    <cellStyle name="Normal 22 2 8 4" xfId="18344"/>
    <cellStyle name="Normal 22 2 8 5" xfId="18345"/>
    <cellStyle name="Normal 22 2 8 6" xfId="18346"/>
    <cellStyle name="Normal 22 2 8 7" xfId="18347"/>
    <cellStyle name="Normal 22 2 8 8" xfId="18348"/>
    <cellStyle name="Normal 22 2 8 9" xfId="18349"/>
    <cellStyle name="Normal 22 2 80" xfId="18350"/>
    <cellStyle name="Normal 22 2 81" xfId="18351"/>
    <cellStyle name="Normal 22 2 82" xfId="18352"/>
    <cellStyle name="Normal 22 2 83" xfId="18353"/>
    <cellStyle name="Normal 22 2 9" xfId="18354"/>
    <cellStyle name="Normal 22 2 9 10" xfId="18355"/>
    <cellStyle name="Normal 22 2 9 11" xfId="18356"/>
    <cellStyle name="Normal 22 2 9 12" xfId="18357"/>
    <cellStyle name="Normal 22 2 9 13" xfId="18358"/>
    <cellStyle name="Normal 22 2 9 2" xfId="18359"/>
    <cellStyle name="Normal 22 2 9 3" xfId="18360"/>
    <cellStyle name="Normal 22 2 9 4" xfId="18361"/>
    <cellStyle name="Normal 22 2 9 5" xfId="18362"/>
    <cellStyle name="Normal 22 2 9 6" xfId="18363"/>
    <cellStyle name="Normal 22 2 9 7" xfId="18364"/>
    <cellStyle name="Normal 22 2 9 8" xfId="18365"/>
    <cellStyle name="Normal 22 2 9 9" xfId="18366"/>
    <cellStyle name="Normal 22 20" xfId="18367"/>
    <cellStyle name="Normal 22 20 10" xfId="18368"/>
    <cellStyle name="Normal 22 20 11" xfId="18369"/>
    <cellStyle name="Normal 22 20 12" xfId="18370"/>
    <cellStyle name="Normal 22 20 13" xfId="18371"/>
    <cellStyle name="Normal 22 20 2" xfId="18372"/>
    <cellStyle name="Normal 22 20 3" xfId="18373"/>
    <cellStyle name="Normal 22 20 4" xfId="18374"/>
    <cellStyle name="Normal 22 20 5" xfId="18375"/>
    <cellStyle name="Normal 22 20 6" xfId="18376"/>
    <cellStyle name="Normal 22 20 7" xfId="18377"/>
    <cellStyle name="Normal 22 20 8" xfId="18378"/>
    <cellStyle name="Normal 22 20 9" xfId="18379"/>
    <cellStyle name="Normal 22 21" xfId="18380"/>
    <cellStyle name="Normal 22 21 10" xfId="18381"/>
    <cellStyle name="Normal 22 21 11" xfId="18382"/>
    <cellStyle name="Normal 22 21 12" xfId="18383"/>
    <cellStyle name="Normal 22 21 13" xfId="18384"/>
    <cellStyle name="Normal 22 21 2" xfId="18385"/>
    <cellStyle name="Normal 22 21 3" xfId="18386"/>
    <cellStyle name="Normal 22 21 4" xfId="18387"/>
    <cellStyle name="Normal 22 21 5" xfId="18388"/>
    <cellStyle name="Normal 22 21 6" xfId="18389"/>
    <cellStyle name="Normal 22 21 7" xfId="18390"/>
    <cellStyle name="Normal 22 21 8" xfId="18391"/>
    <cellStyle name="Normal 22 21 9" xfId="18392"/>
    <cellStyle name="Normal 22 22" xfId="18393"/>
    <cellStyle name="Normal 22 22 10" xfId="18394"/>
    <cellStyle name="Normal 22 22 11" xfId="18395"/>
    <cellStyle name="Normal 22 22 12" xfId="18396"/>
    <cellStyle name="Normal 22 22 13" xfId="18397"/>
    <cellStyle name="Normal 22 22 2" xfId="18398"/>
    <cellStyle name="Normal 22 22 3" xfId="18399"/>
    <cellStyle name="Normal 22 22 4" xfId="18400"/>
    <cellStyle name="Normal 22 22 5" xfId="18401"/>
    <cellStyle name="Normal 22 22 6" xfId="18402"/>
    <cellStyle name="Normal 22 22 7" xfId="18403"/>
    <cellStyle name="Normal 22 22 8" xfId="18404"/>
    <cellStyle name="Normal 22 22 9" xfId="18405"/>
    <cellStyle name="Normal 22 23" xfId="18406"/>
    <cellStyle name="Normal 22 23 10" xfId="18407"/>
    <cellStyle name="Normal 22 23 11" xfId="18408"/>
    <cellStyle name="Normal 22 23 12" xfId="18409"/>
    <cellStyle name="Normal 22 23 13" xfId="18410"/>
    <cellStyle name="Normal 22 23 2" xfId="18411"/>
    <cellStyle name="Normal 22 23 3" xfId="18412"/>
    <cellStyle name="Normal 22 23 4" xfId="18413"/>
    <cellStyle name="Normal 22 23 5" xfId="18414"/>
    <cellStyle name="Normal 22 23 6" xfId="18415"/>
    <cellStyle name="Normal 22 23 7" xfId="18416"/>
    <cellStyle name="Normal 22 23 8" xfId="18417"/>
    <cellStyle name="Normal 22 23 9" xfId="18418"/>
    <cellStyle name="Normal 22 24" xfId="18419"/>
    <cellStyle name="Normal 22 24 10" xfId="18420"/>
    <cellStyle name="Normal 22 24 11" xfId="18421"/>
    <cellStyle name="Normal 22 24 12" xfId="18422"/>
    <cellStyle name="Normal 22 24 13" xfId="18423"/>
    <cellStyle name="Normal 22 24 2" xfId="18424"/>
    <cellStyle name="Normal 22 24 3" xfId="18425"/>
    <cellStyle name="Normal 22 24 4" xfId="18426"/>
    <cellStyle name="Normal 22 24 5" xfId="18427"/>
    <cellStyle name="Normal 22 24 6" xfId="18428"/>
    <cellStyle name="Normal 22 24 7" xfId="18429"/>
    <cellStyle name="Normal 22 24 8" xfId="18430"/>
    <cellStyle name="Normal 22 24 9" xfId="18431"/>
    <cellStyle name="Normal 22 25" xfId="18432"/>
    <cellStyle name="Normal 22 25 10" xfId="18433"/>
    <cellStyle name="Normal 22 25 11" xfId="18434"/>
    <cellStyle name="Normal 22 25 12" xfId="18435"/>
    <cellStyle name="Normal 22 25 13" xfId="18436"/>
    <cellStyle name="Normal 22 25 2" xfId="18437"/>
    <cellStyle name="Normal 22 25 3" xfId="18438"/>
    <cellStyle name="Normal 22 25 4" xfId="18439"/>
    <cellStyle name="Normal 22 25 5" xfId="18440"/>
    <cellStyle name="Normal 22 25 6" xfId="18441"/>
    <cellStyle name="Normal 22 25 7" xfId="18442"/>
    <cellStyle name="Normal 22 25 8" xfId="18443"/>
    <cellStyle name="Normal 22 25 9" xfId="18444"/>
    <cellStyle name="Normal 22 26" xfId="18445"/>
    <cellStyle name="Normal 22 26 10" xfId="18446"/>
    <cellStyle name="Normal 22 26 11" xfId="18447"/>
    <cellStyle name="Normal 22 26 12" xfId="18448"/>
    <cellStyle name="Normal 22 26 13" xfId="18449"/>
    <cellStyle name="Normal 22 26 2" xfId="18450"/>
    <cellStyle name="Normal 22 26 3" xfId="18451"/>
    <cellStyle name="Normal 22 26 4" xfId="18452"/>
    <cellStyle name="Normal 22 26 5" xfId="18453"/>
    <cellStyle name="Normal 22 26 6" xfId="18454"/>
    <cellStyle name="Normal 22 26 7" xfId="18455"/>
    <cellStyle name="Normal 22 26 8" xfId="18456"/>
    <cellStyle name="Normal 22 26 9" xfId="18457"/>
    <cellStyle name="Normal 22 27" xfId="18458"/>
    <cellStyle name="Normal 22 27 10" xfId="18459"/>
    <cellStyle name="Normal 22 27 11" xfId="18460"/>
    <cellStyle name="Normal 22 27 12" xfId="18461"/>
    <cellStyle name="Normal 22 27 13" xfId="18462"/>
    <cellStyle name="Normal 22 27 2" xfId="18463"/>
    <cellStyle name="Normal 22 27 3" xfId="18464"/>
    <cellStyle name="Normal 22 27 4" xfId="18465"/>
    <cellStyle name="Normal 22 27 5" xfId="18466"/>
    <cellStyle name="Normal 22 27 6" xfId="18467"/>
    <cellStyle name="Normal 22 27 7" xfId="18468"/>
    <cellStyle name="Normal 22 27 8" xfId="18469"/>
    <cellStyle name="Normal 22 27 9" xfId="18470"/>
    <cellStyle name="Normal 22 28" xfId="18471"/>
    <cellStyle name="Normal 22 28 10" xfId="18472"/>
    <cellStyle name="Normal 22 28 11" xfId="18473"/>
    <cellStyle name="Normal 22 28 12" xfId="18474"/>
    <cellStyle name="Normal 22 28 13" xfId="18475"/>
    <cellStyle name="Normal 22 28 2" xfId="18476"/>
    <cellStyle name="Normal 22 28 3" xfId="18477"/>
    <cellStyle name="Normal 22 28 4" xfId="18478"/>
    <cellStyle name="Normal 22 28 5" xfId="18479"/>
    <cellStyle name="Normal 22 28 6" xfId="18480"/>
    <cellStyle name="Normal 22 28 7" xfId="18481"/>
    <cellStyle name="Normal 22 28 8" xfId="18482"/>
    <cellStyle name="Normal 22 28 9" xfId="18483"/>
    <cellStyle name="Normal 22 29" xfId="18484"/>
    <cellStyle name="Normal 22 29 10" xfId="18485"/>
    <cellStyle name="Normal 22 29 11" xfId="18486"/>
    <cellStyle name="Normal 22 29 12" xfId="18487"/>
    <cellStyle name="Normal 22 29 13" xfId="18488"/>
    <cellStyle name="Normal 22 29 2" xfId="18489"/>
    <cellStyle name="Normal 22 29 3" xfId="18490"/>
    <cellStyle name="Normal 22 29 4" xfId="18491"/>
    <cellStyle name="Normal 22 29 5" xfId="18492"/>
    <cellStyle name="Normal 22 29 6" xfId="18493"/>
    <cellStyle name="Normal 22 29 7" xfId="18494"/>
    <cellStyle name="Normal 22 29 8" xfId="18495"/>
    <cellStyle name="Normal 22 29 9" xfId="18496"/>
    <cellStyle name="Normal 22 3" xfId="18497"/>
    <cellStyle name="Normal 22 3 10" xfId="18498"/>
    <cellStyle name="Normal 22 3 11" xfId="18499"/>
    <cellStyle name="Normal 22 3 12" xfId="18500"/>
    <cellStyle name="Normal 22 3 13" xfId="18501"/>
    <cellStyle name="Normal 22 3 2" xfId="18502"/>
    <cellStyle name="Normal 22 3 3" xfId="18503"/>
    <cellStyle name="Normal 22 3 4" xfId="18504"/>
    <cellStyle name="Normal 22 3 5" xfId="18505"/>
    <cellStyle name="Normal 22 3 6" xfId="18506"/>
    <cellStyle name="Normal 22 3 7" xfId="18507"/>
    <cellStyle name="Normal 22 3 8" xfId="18508"/>
    <cellStyle name="Normal 22 3 9" xfId="18509"/>
    <cellStyle name="Normal 22 30" xfId="18510"/>
    <cellStyle name="Normal 22 30 10" xfId="18511"/>
    <cellStyle name="Normal 22 30 11" xfId="18512"/>
    <cellStyle name="Normal 22 30 12" xfId="18513"/>
    <cellStyle name="Normal 22 30 13" xfId="18514"/>
    <cellStyle name="Normal 22 30 2" xfId="18515"/>
    <cellStyle name="Normal 22 30 3" xfId="18516"/>
    <cellStyle name="Normal 22 30 4" xfId="18517"/>
    <cellStyle name="Normal 22 30 5" xfId="18518"/>
    <cellStyle name="Normal 22 30 6" xfId="18519"/>
    <cellStyle name="Normal 22 30 7" xfId="18520"/>
    <cellStyle name="Normal 22 30 8" xfId="18521"/>
    <cellStyle name="Normal 22 30 9" xfId="18522"/>
    <cellStyle name="Normal 22 31" xfId="18523"/>
    <cellStyle name="Normal 22 31 10" xfId="18524"/>
    <cellStyle name="Normal 22 31 11" xfId="18525"/>
    <cellStyle name="Normal 22 31 12" xfId="18526"/>
    <cellStyle name="Normal 22 31 13" xfId="18527"/>
    <cellStyle name="Normal 22 31 2" xfId="18528"/>
    <cellStyle name="Normal 22 31 3" xfId="18529"/>
    <cellStyle name="Normal 22 31 4" xfId="18530"/>
    <cellStyle name="Normal 22 31 5" xfId="18531"/>
    <cellStyle name="Normal 22 31 6" xfId="18532"/>
    <cellStyle name="Normal 22 31 7" xfId="18533"/>
    <cellStyle name="Normal 22 31 8" xfId="18534"/>
    <cellStyle name="Normal 22 31 9" xfId="18535"/>
    <cellStyle name="Normal 22 32" xfId="18536"/>
    <cellStyle name="Normal 22 32 10" xfId="18537"/>
    <cellStyle name="Normal 22 32 11" xfId="18538"/>
    <cellStyle name="Normal 22 32 12" xfId="18539"/>
    <cellStyle name="Normal 22 32 13" xfId="18540"/>
    <cellStyle name="Normal 22 32 2" xfId="18541"/>
    <cellStyle name="Normal 22 32 3" xfId="18542"/>
    <cellStyle name="Normal 22 32 4" xfId="18543"/>
    <cellStyle name="Normal 22 32 5" xfId="18544"/>
    <cellStyle name="Normal 22 32 6" xfId="18545"/>
    <cellStyle name="Normal 22 32 7" xfId="18546"/>
    <cellStyle name="Normal 22 32 8" xfId="18547"/>
    <cellStyle name="Normal 22 32 9" xfId="18548"/>
    <cellStyle name="Normal 22 33" xfId="18549"/>
    <cellStyle name="Normal 22 33 10" xfId="18550"/>
    <cellStyle name="Normal 22 33 11" xfId="18551"/>
    <cellStyle name="Normal 22 33 12" xfId="18552"/>
    <cellStyle name="Normal 22 33 13" xfId="18553"/>
    <cellStyle name="Normal 22 33 2" xfId="18554"/>
    <cellStyle name="Normal 22 33 3" xfId="18555"/>
    <cellStyle name="Normal 22 33 4" xfId="18556"/>
    <cellStyle name="Normal 22 33 5" xfId="18557"/>
    <cellStyle name="Normal 22 33 6" xfId="18558"/>
    <cellStyle name="Normal 22 33 7" xfId="18559"/>
    <cellStyle name="Normal 22 33 8" xfId="18560"/>
    <cellStyle name="Normal 22 33 9" xfId="18561"/>
    <cellStyle name="Normal 22 34" xfId="18562"/>
    <cellStyle name="Normal 22 34 10" xfId="18563"/>
    <cellStyle name="Normal 22 34 11" xfId="18564"/>
    <cellStyle name="Normal 22 34 12" xfId="18565"/>
    <cellStyle name="Normal 22 34 13" xfId="18566"/>
    <cellStyle name="Normal 22 34 2" xfId="18567"/>
    <cellStyle name="Normal 22 34 3" xfId="18568"/>
    <cellStyle name="Normal 22 34 4" xfId="18569"/>
    <cellStyle name="Normal 22 34 5" xfId="18570"/>
    <cellStyle name="Normal 22 34 6" xfId="18571"/>
    <cellStyle name="Normal 22 34 7" xfId="18572"/>
    <cellStyle name="Normal 22 34 8" xfId="18573"/>
    <cellStyle name="Normal 22 34 9" xfId="18574"/>
    <cellStyle name="Normal 22 35" xfId="18575"/>
    <cellStyle name="Normal 22 35 10" xfId="18576"/>
    <cellStyle name="Normal 22 35 11" xfId="18577"/>
    <cellStyle name="Normal 22 35 12" xfId="18578"/>
    <cellStyle name="Normal 22 35 13" xfId="18579"/>
    <cellStyle name="Normal 22 35 2" xfId="18580"/>
    <cellStyle name="Normal 22 35 3" xfId="18581"/>
    <cellStyle name="Normal 22 35 4" xfId="18582"/>
    <cellStyle name="Normal 22 35 5" xfId="18583"/>
    <cellStyle name="Normal 22 35 6" xfId="18584"/>
    <cellStyle name="Normal 22 35 7" xfId="18585"/>
    <cellStyle name="Normal 22 35 8" xfId="18586"/>
    <cellStyle name="Normal 22 35 9" xfId="18587"/>
    <cellStyle name="Normal 22 36" xfId="18588"/>
    <cellStyle name="Normal 22 36 10" xfId="18589"/>
    <cellStyle name="Normal 22 36 11" xfId="18590"/>
    <cellStyle name="Normal 22 36 12" xfId="18591"/>
    <cellStyle name="Normal 22 36 13" xfId="18592"/>
    <cellStyle name="Normal 22 36 2" xfId="18593"/>
    <cellStyle name="Normal 22 36 3" xfId="18594"/>
    <cellStyle name="Normal 22 36 4" xfId="18595"/>
    <cellStyle name="Normal 22 36 5" xfId="18596"/>
    <cellStyle name="Normal 22 36 6" xfId="18597"/>
    <cellStyle name="Normal 22 36 7" xfId="18598"/>
    <cellStyle name="Normal 22 36 8" xfId="18599"/>
    <cellStyle name="Normal 22 36 9" xfId="18600"/>
    <cellStyle name="Normal 22 37" xfId="18601"/>
    <cellStyle name="Normal 22 37 10" xfId="18602"/>
    <cellStyle name="Normal 22 37 11" xfId="18603"/>
    <cellStyle name="Normal 22 37 12" xfId="18604"/>
    <cellStyle name="Normal 22 37 13" xfId="18605"/>
    <cellStyle name="Normal 22 37 2" xfId="18606"/>
    <cellStyle name="Normal 22 37 3" xfId="18607"/>
    <cellStyle name="Normal 22 37 4" xfId="18608"/>
    <cellStyle name="Normal 22 37 5" xfId="18609"/>
    <cellStyle name="Normal 22 37 6" xfId="18610"/>
    <cellStyle name="Normal 22 37 7" xfId="18611"/>
    <cellStyle name="Normal 22 37 8" xfId="18612"/>
    <cellStyle name="Normal 22 37 9" xfId="18613"/>
    <cellStyle name="Normal 22 38" xfId="18614"/>
    <cellStyle name="Normal 22 38 10" xfId="18615"/>
    <cellStyle name="Normal 22 38 11" xfId="18616"/>
    <cellStyle name="Normal 22 38 12" xfId="18617"/>
    <cellStyle name="Normal 22 38 13" xfId="18618"/>
    <cellStyle name="Normal 22 38 2" xfId="18619"/>
    <cellStyle name="Normal 22 38 3" xfId="18620"/>
    <cellStyle name="Normal 22 38 4" xfId="18621"/>
    <cellStyle name="Normal 22 38 5" xfId="18622"/>
    <cellStyle name="Normal 22 38 6" xfId="18623"/>
    <cellStyle name="Normal 22 38 7" xfId="18624"/>
    <cellStyle name="Normal 22 38 8" xfId="18625"/>
    <cellStyle name="Normal 22 38 9" xfId="18626"/>
    <cellStyle name="Normal 22 39" xfId="18627"/>
    <cellStyle name="Normal 22 39 10" xfId="18628"/>
    <cellStyle name="Normal 22 39 11" xfId="18629"/>
    <cellStyle name="Normal 22 39 12" xfId="18630"/>
    <cellStyle name="Normal 22 39 13" xfId="18631"/>
    <cellStyle name="Normal 22 39 2" xfId="18632"/>
    <cellStyle name="Normal 22 39 3" xfId="18633"/>
    <cellStyle name="Normal 22 39 4" xfId="18634"/>
    <cellStyle name="Normal 22 39 5" xfId="18635"/>
    <cellStyle name="Normal 22 39 6" xfId="18636"/>
    <cellStyle name="Normal 22 39 7" xfId="18637"/>
    <cellStyle name="Normal 22 39 8" xfId="18638"/>
    <cellStyle name="Normal 22 39 9" xfId="18639"/>
    <cellStyle name="Normal 22 4" xfId="18640"/>
    <cellStyle name="Normal 22 4 10" xfId="18641"/>
    <cellStyle name="Normal 22 4 11" xfId="18642"/>
    <cellStyle name="Normal 22 4 12" xfId="18643"/>
    <cellStyle name="Normal 22 4 13" xfId="18644"/>
    <cellStyle name="Normal 22 4 2" xfId="18645"/>
    <cellStyle name="Normal 22 4 3" xfId="18646"/>
    <cellStyle name="Normal 22 4 4" xfId="18647"/>
    <cellStyle name="Normal 22 4 5" xfId="18648"/>
    <cellStyle name="Normal 22 4 6" xfId="18649"/>
    <cellStyle name="Normal 22 4 7" xfId="18650"/>
    <cellStyle name="Normal 22 4 8" xfId="18651"/>
    <cellStyle name="Normal 22 4 9" xfId="18652"/>
    <cellStyle name="Normal 22 40" xfId="18653"/>
    <cellStyle name="Normal 22 40 10" xfId="18654"/>
    <cellStyle name="Normal 22 40 11" xfId="18655"/>
    <cellStyle name="Normal 22 40 12" xfId="18656"/>
    <cellStyle name="Normal 22 40 13" xfId="18657"/>
    <cellStyle name="Normal 22 40 2" xfId="18658"/>
    <cellStyle name="Normal 22 40 3" xfId="18659"/>
    <cellStyle name="Normal 22 40 4" xfId="18660"/>
    <cellStyle name="Normal 22 40 5" xfId="18661"/>
    <cellStyle name="Normal 22 40 6" xfId="18662"/>
    <cellStyle name="Normal 22 40 7" xfId="18663"/>
    <cellStyle name="Normal 22 40 8" xfId="18664"/>
    <cellStyle name="Normal 22 40 9" xfId="18665"/>
    <cellStyle name="Normal 22 41" xfId="18666"/>
    <cellStyle name="Normal 22 41 10" xfId="18667"/>
    <cellStyle name="Normal 22 41 11" xfId="18668"/>
    <cellStyle name="Normal 22 41 12" xfId="18669"/>
    <cellStyle name="Normal 22 41 13" xfId="18670"/>
    <cellStyle name="Normal 22 41 2" xfId="18671"/>
    <cellStyle name="Normal 22 41 3" xfId="18672"/>
    <cellStyle name="Normal 22 41 4" xfId="18673"/>
    <cellStyle name="Normal 22 41 5" xfId="18674"/>
    <cellStyle name="Normal 22 41 6" xfId="18675"/>
    <cellStyle name="Normal 22 41 7" xfId="18676"/>
    <cellStyle name="Normal 22 41 8" xfId="18677"/>
    <cellStyle name="Normal 22 41 9" xfId="18678"/>
    <cellStyle name="Normal 22 42" xfId="18679"/>
    <cellStyle name="Normal 22 42 10" xfId="18680"/>
    <cellStyle name="Normal 22 42 11" xfId="18681"/>
    <cellStyle name="Normal 22 42 12" xfId="18682"/>
    <cellStyle name="Normal 22 42 13" xfId="18683"/>
    <cellStyle name="Normal 22 42 2" xfId="18684"/>
    <cellStyle name="Normal 22 42 3" xfId="18685"/>
    <cellStyle name="Normal 22 42 4" xfId="18686"/>
    <cellStyle name="Normal 22 42 5" xfId="18687"/>
    <cellStyle name="Normal 22 42 6" xfId="18688"/>
    <cellStyle name="Normal 22 42 7" xfId="18689"/>
    <cellStyle name="Normal 22 42 8" xfId="18690"/>
    <cellStyle name="Normal 22 42 9" xfId="18691"/>
    <cellStyle name="Normal 22 43" xfId="18692"/>
    <cellStyle name="Normal 22 43 10" xfId="18693"/>
    <cellStyle name="Normal 22 43 11" xfId="18694"/>
    <cellStyle name="Normal 22 43 12" xfId="18695"/>
    <cellStyle name="Normal 22 43 13" xfId="18696"/>
    <cellStyle name="Normal 22 43 2" xfId="18697"/>
    <cellStyle name="Normal 22 43 3" xfId="18698"/>
    <cellStyle name="Normal 22 43 4" xfId="18699"/>
    <cellStyle name="Normal 22 43 5" xfId="18700"/>
    <cellStyle name="Normal 22 43 6" xfId="18701"/>
    <cellStyle name="Normal 22 43 7" xfId="18702"/>
    <cellStyle name="Normal 22 43 8" xfId="18703"/>
    <cellStyle name="Normal 22 43 9" xfId="18704"/>
    <cellStyle name="Normal 22 44" xfId="18705"/>
    <cellStyle name="Normal 22 44 10" xfId="18706"/>
    <cellStyle name="Normal 22 44 11" xfId="18707"/>
    <cellStyle name="Normal 22 44 12" xfId="18708"/>
    <cellStyle name="Normal 22 44 13" xfId="18709"/>
    <cellStyle name="Normal 22 44 2" xfId="18710"/>
    <cellStyle name="Normal 22 44 3" xfId="18711"/>
    <cellStyle name="Normal 22 44 4" xfId="18712"/>
    <cellStyle name="Normal 22 44 5" xfId="18713"/>
    <cellStyle name="Normal 22 44 6" xfId="18714"/>
    <cellStyle name="Normal 22 44 7" xfId="18715"/>
    <cellStyle name="Normal 22 44 8" xfId="18716"/>
    <cellStyle name="Normal 22 44 9" xfId="18717"/>
    <cellStyle name="Normal 22 45" xfId="18718"/>
    <cellStyle name="Normal 22 45 10" xfId="18719"/>
    <cellStyle name="Normal 22 45 11" xfId="18720"/>
    <cellStyle name="Normal 22 45 12" xfId="18721"/>
    <cellStyle name="Normal 22 45 13" xfId="18722"/>
    <cellStyle name="Normal 22 45 2" xfId="18723"/>
    <cellStyle name="Normal 22 45 3" xfId="18724"/>
    <cellStyle name="Normal 22 45 4" xfId="18725"/>
    <cellStyle name="Normal 22 45 5" xfId="18726"/>
    <cellStyle name="Normal 22 45 6" xfId="18727"/>
    <cellStyle name="Normal 22 45 7" xfId="18728"/>
    <cellStyle name="Normal 22 45 8" xfId="18729"/>
    <cellStyle name="Normal 22 45 9" xfId="18730"/>
    <cellStyle name="Normal 22 46" xfId="18731"/>
    <cellStyle name="Normal 22 46 10" xfId="18732"/>
    <cellStyle name="Normal 22 46 11" xfId="18733"/>
    <cellStyle name="Normal 22 46 12" xfId="18734"/>
    <cellStyle name="Normal 22 46 13" xfId="18735"/>
    <cellStyle name="Normal 22 46 2" xfId="18736"/>
    <cellStyle name="Normal 22 46 3" xfId="18737"/>
    <cellStyle name="Normal 22 46 4" xfId="18738"/>
    <cellStyle name="Normal 22 46 5" xfId="18739"/>
    <cellStyle name="Normal 22 46 6" xfId="18740"/>
    <cellStyle name="Normal 22 46 7" xfId="18741"/>
    <cellStyle name="Normal 22 46 8" xfId="18742"/>
    <cellStyle name="Normal 22 46 9" xfId="18743"/>
    <cellStyle name="Normal 22 47" xfId="18744"/>
    <cellStyle name="Normal 22 47 10" xfId="18745"/>
    <cellStyle name="Normal 22 47 11" xfId="18746"/>
    <cellStyle name="Normal 22 47 12" xfId="18747"/>
    <cellStyle name="Normal 22 47 13" xfId="18748"/>
    <cellStyle name="Normal 22 47 2" xfId="18749"/>
    <cellStyle name="Normal 22 47 3" xfId="18750"/>
    <cellStyle name="Normal 22 47 4" xfId="18751"/>
    <cellStyle name="Normal 22 47 5" xfId="18752"/>
    <cellStyle name="Normal 22 47 6" xfId="18753"/>
    <cellStyle name="Normal 22 47 7" xfId="18754"/>
    <cellStyle name="Normal 22 47 8" xfId="18755"/>
    <cellStyle name="Normal 22 47 9" xfId="18756"/>
    <cellStyle name="Normal 22 48" xfId="18757"/>
    <cellStyle name="Normal 22 48 10" xfId="18758"/>
    <cellStyle name="Normal 22 48 11" xfId="18759"/>
    <cellStyle name="Normal 22 48 12" xfId="18760"/>
    <cellStyle name="Normal 22 48 13" xfId="18761"/>
    <cellStyle name="Normal 22 48 2" xfId="18762"/>
    <cellStyle name="Normal 22 48 3" xfId="18763"/>
    <cellStyle name="Normal 22 48 4" xfId="18764"/>
    <cellStyle name="Normal 22 48 5" xfId="18765"/>
    <cellStyle name="Normal 22 48 6" xfId="18766"/>
    <cellStyle name="Normal 22 48 7" xfId="18767"/>
    <cellStyle name="Normal 22 48 8" xfId="18768"/>
    <cellStyle name="Normal 22 48 9" xfId="18769"/>
    <cellStyle name="Normal 22 49" xfId="18770"/>
    <cellStyle name="Normal 22 49 10" xfId="18771"/>
    <cellStyle name="Normal 22 49 11" xfId="18772"/>
    <cellStyle name="Normal 22 49 12" xfId="18773"/>
    <cellStyle name="Normal 22 49 13" xfId="18774"/>
    <cellStyle name="Normal 22 49 2" xfId="18775"/>
    <cellStyle name="Normal 22 49 3" xfId="18776"/>
    <cellStyle name="Normal 22 49 4" xfId="18777"/>
    <cellStyle name="Normal 22 49 5" xfId="18778"/>
    <cellStyle name="Normal 22 49 6" xfId="18779"/>
    <cellStyle name="Normal 22 49 7" xfId="18780"/>
    <cellStyle name="Normal 22 49 8" xfId="18781"/>
    <cellStyle name="Normal 22 49 9" xfId="18782"/>
    <cellStyle name="Normal 22 5" xfId="18783"/>
    <cellStyle name="Normal 22 5 10" xfId="18784"/>
    <cellStyle name="Normal 22 5 11" xfId="18785"/>
    <cellStyle name="Normal 22 5 12" xfId="18786"/>
    <cellStyle name="Normal 22 5 13" xfId="18787"/>
    <cellStyle name="Normal 22 5 2" xfId="18788"/>
    <cellStyle name="Normal 22 5 3" xfId="18789"/>
    <cellStyle name="Normal 22 5 4" xfId="18790"/>
    <cellStyle name="Normal 22 5 5" xfId="18791"/>
    <cellStyle name="Normal 22 5 6" xfId="18792"/>
    <cellStyle name="Normal 22 5 7" xfId="18793"/>
    <cellStyle name="Normal 22 5 8" xfId="18794"/>
    <cellStyle name="Normal 22 5 9" xfId="18795"/>
    <cellStyle name="Normal 22 50" xfId="18796"/>
    <cellStyle name="Normal 22 50 10" xfId="18797"/>
    <cellStyle name="Normal 22 50 11" xfId="18798"/>
    <cellStyle name="Normal 22 50 12" xfId="18799"/>
    <cellStyle name="Normal 22 50 13" xfId="18800"/>
    <cellStyle name="Normal 22 50 2" xfId="18801"/>
    <cellStyle name="Normal 22 50 3" xfId="18802"/>
    <cellStyle name="Normal 22 50 4" xfId="18803"/>
    <cellStyle name="Normal 22 50 5" xfId="18804"/>
    <cellStyle name="Normal 22 50 6" xfId="18805"/>
    <cellStyle name="Normal 22 50 7" xfId="18806"/>
    <cellStyle name="Normal 22 50 8" xfId="18807"/>
    <cellStyle name="Normal 22 50 9" xfId="18808"/>
    <cellStyle name="Normal 22 51" xfId="18809"/>
    <cellStyle name="Normal 22 51 10" xfId="18810"/>
    <cellStyle name="Normal 22 51 11" xfId="18811"/>
    <cellStyle name="Normal 22 51 12" xfId="18812"/>
    <cellStyle name="Normal 22 51 13" xfId="18813"/>
    <cellStyle name="Normal 22 51 2" xfId="18814"/>
    <cellStyle name="Normal 22 51 3" xfId="18815"/>
    <cellStyle name="Normal 22 51 4" xfId="18816"/>
    <cellStyle name="Normal 22 51 5" xfId="18817"/>
    <cellStyle name="Normal 22 51 6" xfId="18818"/>
    <cellStyle name="Normal 22 51 7" xfId="18819"/>
    <cellStyle name="Normal 22 51 8" xfId="18820"/>
    <cellStyle name="Normal 22 51 9" xfId="18821"/>
    <cellStyle name="Normal 22 52" xfId="18822"/>
    <cellStyle name="Normal 22 52 10" xfId="18823"/>
    <cellStyle name="Normal 22 52 11" xfId="18824"/>
    <cellStyle name="Normal 22 52 12" xfId="18825"/>
    <cellStyle name="Normal 22 52 13" xfId="18826"/>
    <cellStyle name="Normal 22 52 2" xfId="18827"/>
    <cellStyle name="Normal 22 52 3" xfId="18828"/>
    <cellStyle name="Normal 22 52 4" xfId="18829"/>
    <cellStyle name="Normal 22 52 5" xfId="18830"/>
    <cellStyle name="Normal 22 52 6" xfId="18831"/>
    <cellStyle name="Normal 22 52 7" xfId="18832"/>
    <cellStyle name="Normal 22 52 8" xfId="18833"/>
    <cellStyle name="Normal 22 52 9" xfId="18834"/>
    <cellStyle name="Normal 22 53" xfId="18835"/>
    <cellStyle name="Normal 22 53 10" xfId="18836"/>
    <cellStyle name="Normal 22 53 11" xfId="18837"/>
    <cellStyle name="Normal 22 53 12" xfId="18838"/>
    <cellStyle name="Normal 22 53 13" xfId="18839"/>
    <cellStyle name="Normal 22 53 2" xfId="18840"/>
    <cellStyle name="Normal 22 53 3" xfId="18841"/>
    <cellStyle name="Normal 22 53 4" xfId="18842"/>
    <cellStyle name="Normal 22 53 5" xfId="18843"/>
    <cellStyle name="Normal 22 53 6" xfId="18844"/>
    <cellStyle name="Normal 22 53 7" xfId="18845"/>
    <cellStyle name="Normal 22 53 8" xfId="18846"/>
    <cellStyle name="Normal 22 53 9" xfId="18847"/>
    <cellStyle name="Normal 22 54" xfId="18848"/>
    <cellStyle name="Normal 22 54 10" xfId="18849"/>
    <cellStyle name="Normal 22 54 11" xfId="18850"/>
    <cellStyle name="Normal 22 54 12" xfId="18851"/>
    <cellStyle name="Normal 22 54 13" xfId="18852"/>
    <cellStyle name="Normal 22 54 2" xfId="18853"/>
    <cellStyle name="Normal 22 54 3" xfId="18854"/>
    <cellStyle name="Normal 22 54 4" xfId="18855"/>
    <cellStyle name="Normal 22 54 5" xfId="18856"/>
    <cellStyle name="Normal 22 54 6" xfId="18857"/>
    <cellStyle name="Normal 22 54 7" xfId="18858"/>
    <cellStyle name="Normal 22 54 8" xfId="18859"/>
    <cellStyle name="Normal 22 54 9" xfId="18860"/>
    <cellStyle name="Normal 22 55" xfId="18861"/>
    <cellStyle name="Normal 22 55 10" xfId="18862"/>
    <cellStyle name="Normal 22 55 11" xfId="18863"/>
    <cellStyle name="Normal 22 55 12" xfId="18864"/>
    <cellStyle name="Normal 22 55 13" xfId="18865"/>
    <cellStyle name="Normal 22 55 2" xfId="18866"/>
    <cellStyle name="Normal 22 55 3" xfId="18867"/>
    <cellStyle name="Normal 22 55 4" xfId="18868"/>
    <cellStyle name="Normal 22 55 5" xfId="18869"/>
    <cellStyle name="Normal 22 55 6" xfId="18870"/>
    <cellStyle name="Normal 22 55 7" xfId="18871"/>
    <cellStyle name="Normal 22 55 8" xfId="18872"/>
    <cellStyle name="Normal 22 55 9" xfId="18873"/>
    <cellStyle name="Normal 22 56" xfId="18874"/>
    <cellStyle name="Normal 22 56 10" xfId="18875"/>
    <cellStyle name="Normal 22 56 11" xfId="18876"/>
    <cellStyle name="Normal 22 56 12" xfId="18877"/>
    <cellStyle name="Normal 22 56 13" xfId="18878"/>
    <cellStyle name="Normal 22 56 2" xfId="18879"/>
    <cellStyle name="Normal 22 56 3" xfId="18880"/>
    <cellStyle name="Normal 22 56 4" xfId="18881"/>
    <cellStyle name="Normal 22 56 5" xfId="18882"/>
    <cellStyle name="Normal 22 56 6" xfId="18883"/>
    <cellStyle name="Normal 22 56 7" xfId="18884"/>
    <cellStyle name="Normal 22 56 8" xfId="18885"/>
    <cellStyle name="Normal 22 56 9" xfId="18886"/>
    <cellStyle name="Normal 22 57" xfId="18887"/>
    <cellStyle name="Normal 22 57 10" xfId="18888"/>
    <cellStyle name="Normal 22 57 11" xfId="18889"/>
    <cellStyle name="Normal 22 57 12" xfId="18890"/>
    <cellStyle name="Normal 22 57 13" xfId="18891"/>
    <cellStyle name="Normal 22 57 2" xfId="18892"/>
    <cellStyle name="Normal 22 57 3" xfId="18893"/>
    <cellStyle name="Normal 22 57 4" xfId="18894"/>
    <cellStyle name="Normal 22 57 5" xfId="18895"/>
    <cellStyle name="Normal 22 57 6" xfId="18896"/>
    <cellStyle name="Normal 22 57 7" xfId="18897"/>
    <cellStyle name="Normal 22 57 8" xfId="18898"/>
    <cellStyle name="Normal 22 57 9" xfId="18899"/>
    <cellStyle name="Normal 22 58" xfId="18900"/>
    <cellStyle name="Normal 22 58 10" xfId="18901"/>
    <cellStyle name="Normal 22 58 11" xfId="18902"/>
    <cellStyle name="Normal 22 58 12" xfId="18903"/>
    <cellStyle name="Normal 22 58 13" xfId="18904"/>
    <cellStyle name="Normal 22 58 2" xfId="18905"/>
    <cellStyle name="Normal 22 58 3" xfId="18906"/>
    <cellStyle name="Normal 22 58 4" xfId="18907"/>
    <cellStyle name="Normal 22 58 5" xfId="18908"/>
    <cellStyle name="Normal 22 58 6" xfId="18909"/>
    <cellStyle name="Normal 22 58 7" xfId="18910"/>
    <cellStyle name="Normal 22 58 8" xfId="18911"/>
    <cellStyle name="Normal 22 58 9" xfId="18912"/>
    <cellStyle name="Normal 22 59" xfId="18913"/>
    <cellStyle name="Normal 22 59 10" xfId="18914"/>
    <cellStyle name="Normal 22 59 11" xfId="18915"/>
    <cellStyle name="Normal 22 59 12" xfId="18916"/>
    <cellStyle name="Normal 22 59 13" xfId="18917"/>
    <cellStyle name="Normal 22 59 2" xfId="18918"/>
    <cellStyle name="Normal 22 59 3" xfId="18919"/>
    <cellStyle name="Normal 22 59 4" xfId="18920"/>
    <cellStyle name="Normal 22 59 5" xfId="18921"/>
    <cellStyle name="Normal 22 59 6" xfId="18922"/>
    <cellStyle name="Normal 22 59 7" xfId="18923"/>
    <cellStyle name="Normal 22 59 8" xfId="18924"/>
    <cellStyle name="Normal 22 59 9" xfId="18925"/>
    <cellStyle name="Normal 22 6" xfId="18926"/>
    <cellStyle name="Normal 22 6 10" xfId="18927"/>
    <cellStyle name="Normal 22 6 11" xfId="18928"/>
    <cellStyle name="Normal 22 6 12" xfId="18929"/>
    <cellStyle name="Normal 22 6 13" xfId="18930"/>
    <cellStyle name="Normal 22 6 2" xfId="18931"/>
    <cellStyle name="Normal 22 6 3" xfId="18932"/>
    <cellStyle name="Normal 22 6 4" xfId="18933"/>
    <cellStyle name="Normal 22 6 5" xfId="18934"/>
    <cellStyle name="Normal 22 6 6" xfId="18935"/>
    <cellStyle name="Normal 22 6 7" xfId="18936"/>
    <cellStyle name="Normal 22 6 8" xfId="18937"/>
    <cellStyle name="Normal 22 6 9" xfId="18938"/>
    <cellStyle name="Normal 22 60" xfId="18939"/>
    <cellStyle name="Normal 22 60 10" xfId="18940"/>
    <cellStyle name="Normal 22 60 11" xfId="18941"/>
    <cellStyle name="Normal 22 60 12" xfId="18942"/>
    <cellStyle name="Normal 22 60 13" xfId="18943"/>
    <cellStyle name="Normal 22 60 2" xfId="18944"/>
    <cellStyle name="Normal 22 60 3" xfId="18945"/>
    <cellStyle name="Normal 22 60 4" xfId="18946"/>
    <cellStyle name="Normal 22 60 5" xfId="18947"/>
    <cellStyle name="Normal 22 60 6" xfId="18948"/>
    <cellStyle name="Normal 22 60 7" xfId="18949"/>
    <cellStyle name="Normal 22 60 8" xfId="18950"/>
    <cellStyle name="Normal 22 60 9" xfId="18951"/>
    <cellStyle name="Normal 22 61" xfId="18952"/>
    <cellStyle name="Normal 22 61 10" xfId="18953"/>
    <cellStyle name="Normal 22 61 11" xfId="18954"/>
    <cellStyle name="Normal 22 61 12" xfId="18955"/>
    <cellStyle name="Normal 22 61 13" xfId="18956"/>
    <cellStyle name="Normal 22 61 2" xfId="18957"/>
    <cellStyle name="Normal 22 61 3" xfId="18958"/>
    <cellStyle name="Normal 22 61 4" xfId="18959"/>
    <cellStyle name="Normal 22 61 5" xfId="18960"/>
    <cellStyle name="Normal 22 61 6" xfId="18961"/>
    <cellStyle name="Normal 22 61 7" xfId="18962"/>
    <cellStyle name="Normal 22 61 8" xfId="18963"/>
    <cellStyle name="Normal 22 61 9" xfId="18964"/>
    <cellStyle name="Normal 22 62" xfId="18965"/>
    <cellStyle name="Normal 22 62 10" xfId="18966"/>
    <cellStyle name="Normal 22 62 11" xfId="18967"/>
    <cellStyle name="Normal 22 62 12" xfId="18968"/>
    <cellStyle name="Normal 22 62 13" xfId="18969"/>
    <cellStyle name="Normal 22 62 2" xfId="18970"/>
    <cellStyle name="Normal 22 62 3" xfId="18971"/>
    <cellStyle name="Normal 22 62 4" xfId="18972"/>
    <cellStyle name="Normal 22 62 5" xfId="18973"/>
    <cellStyle name="Normal 22 62 6" xfId="18974"/>
    <cellStyle name="Normal 22 62 7" xfId="18975"/>
    <cellStyle name="Normal 22 62 8" xfId="18976"/>
    <cellStyle name="Normal 22 62 9" xfId="18977"/>
    <cellStyle name="Normal 22 63" xfId="18978"/>
    <cellStyle name="Normal 22 63 10" xfId="18979"/>
    <cellStyle name="Normal 22 63 11" xfId="18980"/>
    <cellStyle name="Normal 22 63 12" xfId="18981"/>
    <cellStyle name="Normal 22 63 13" xfId="18982"/>
    <cellStyle name="Normal 22 63 2" xfId="18983"/>
    <cellStyle name="Normal 22 63 3" xfId="18984"/>
    <cellStyle name="Normal 22 63 4" xfId="18985"/>
    <cellStyle name="Normal 22 63 5" xfId="18986"/>
    <cellStyle name="Normal 22 63 6" xfId="18987"/>
    <cellStyle name="Normal 22 63 7" xfId="18988"/>
    <cellStyle name="Normal 22 63 8" xfId="18989"/>
    <cellStyle name="Normal 22 63 9" xfId="18990"/>
    <cellStyle name="Normal 22 64" xfId="18991"/>
    <cellStyle name="Normal 22 64 10" xfId="18992"/>
    <cellStyle name="Normal 22 64 11" xfId="18993"/>
    <cellStyle name="Normal 22 64 12" xfId="18994"/>
    <cellStyle name="Normal 22 64 13" xfId="18995"/>
    <cellStyle name="Normal 22 64 2" xfId="18996"/>
    <cellStyle name="Normal 22 64 3" xfId="18997"/>
    <cellStyle name="Normal 22 64 4" xfId="18998"/>
    <cellStyle name="Normal 22 64 5" xfId="18999"/>
    <cellStyle name="Normal 22 64 6" xfId="19000"/>
    <cellStyle name="Normal 22 64 7" xfId="19001"/>
    <cellStyle name="Normal 22 64 8" xfId="19002"/>
    <cellStyle name="Normal 22 64 9" xfId="19003"/>
    <cellStyle name="Normal 22 65" xfId="19004"/>
    <cellStyle name="Normal 22 65 10" xfId="19005"/>
    <cellStyle name="Normal 22 65 11" xfId="19006"/>
    <cellStyle name="Normal 22 65 12" xfId="19007"/>
    <cellStyle name="Normal 22 65 13" xfId="19008"/>
    <cellStyle name="Normal 22 65 2" xfId="19009"/>
    <cellStyle name="Normal 22 65 3" xfId="19010"/>
    <cellStyle name="Normal 22 65 4" xfId="19011"/>
    <cellStyle name="Normal 22 65 5" xfId="19012"/>
    <cellStyle name="Normal 22 65 6" xfId="19013"/>
    <cellStyle name="Normal 22 65 7" xfId="19014"/>
    <cellStyle name="Normal 22 65 8" xfId="19015"/>
    <cellStyle name="Normal 22 65 9" xfId="19016"/>
    <cellStyle name="Normal 22 66" xfId="19017"/>
    <cellStyle name="Normal 22 66 10" xfId="19018"/>
    <cellStyle name="Normal 22 66 11" xfId="19019"/>
    <cellStyle name="Normal 22 66 12" xfId="19020"/>
    <cellStyle name="Normal 22 66 13" xfId="19021"/>
    <cellStyle name="Normal 22 66 2" xfId="19022"/>
    <cellStyle name="Normal 22 66 3" xfId="19023"/>
    <cellStyle name="Normal 22 66 4" xfId="19024"/>
    <cellStyle name="Normal 22 66 5" xfId="19025"/>
    <cellStyle name="Normal 22 66 6" xfId="19026"/>
    <cellStyle name="Normal 22 66 7" xfId="19027"/>
    <cellStyle name="Normal 22 66 8" xfId="19028"/>
    <cellStyle name="Normal 22 66 9" xfId="19029"/>
    <cellStyle name="Normal 22 67" xfId="19030"/>
    <cellStyle name="Normal 22 67 10" xfId="19031"/>
    <cellStyle name="Normal 22 67 11" xfId="19032"/>
    <cellStyle name="Normal 22 67 12" xfId="19033"/>
    <cellStyle name="Normal 22 67 13" xfId="19034"/>
    <cellStyle name="Normal 22 67 2" xfId="19035"/>
    <cellStyle name="Normal 22 67 3" xfId="19036"/>
    <cellStyle name="Normal 22 67 4" xfId="19037"/>
    <cellStyle name="Normal 22 67 5" xfId="19038"/>
    <cellStyle name="Normal 22 67 6" xfId="19039"/>
    <cellStyle name="Normal 22 67 7" xfId="19040"/>
    <cellStyle name="Normal 22 67 8" xfId="19041"/>
    <cellStyle name="Normal 22 67 9" xfId="19042"/>
    <cellStyle name="Normal 22 68" xfId="19043"/>
    <cellStyle name="Normal 22 68 10" xfId="19044"/>
    <cellStyle name="Normal 22 68 11" xfId="19045"/>
    <cellStyle name="Normal 22 68 12" xfId="19046"/>
    <cellStyle name="Normal 22 68 13" xfId="19047"/>
    <cellStyle name="Normal 22 68 2" xfId="19048"/>
    <cellStyle name="Normal 22 68 3" xfId="19049"/>
    <cellStyle name="Normal 22 68 4" xfId="19050"/>
    <cellStyle name="Normal 22 68 5" xfId="19051"/>
    <cellStyle name="Normal 22 68 6" xfId="19052"/>
    <cellStyle name="Normal 22 68 7" xfId="19053"/>
    <cellStyle name="Normal 22 68 8" xfId="19054"/>
    <cellStyle name="Normal 22 68 9" xfId="19055"/>
    <cellStyle name="Normal 22 69" xfId="19056"/>
    <cellStyle name="Normal 22 69 10" xfId="19057"/>
    <cellStyle name="Normal 22 69 11" xfId="19058"/>
    <cellStyle name="Normal 22 69 12" xfId="19059"/>
    <cellStyle name="Normal 22 69 13" xfId="19060"/>
    <cellStyle name="Normal 22 69 2" xfId="19061"/>
    <cellStyle name="Normal 22 69 3" xfId="19062"/>
    <cellStyle name="Normal 22 69 4" xfId="19063"/>
    <cellStyle name="Normal 22 69 5" xfId="19064"/>
    <cellStyle name="Normal 22 69 6" xfId="19065"/>
    <cellStyle name="Normal 22 69 7" xfId="19066"/>
    <cellStyle name="Normal 22 69 8" xfId="19067"/>
    <cellStyle name="Normal 22 69 9" xfId="19068"/>
    <cellStyle name="Normal 22 7" xfId="19069"/>
    <cellStyle name="Normal 22 7 10" xfId="19070"/>
    <cellStyle name="Normal 22 7 11" xfId="19071"/>
    <cellStyle name="Normal 22 7 12" xfId="19072"/>
    <cellStyle name="Normal 22 7 13" xfId="19073"/>
    <cellStyle name="Normal 22 7 2" xfId="19074"/>
    <cellStyle name="Normal 22 7 3" xfId="19075"/>
    <cellStyle name="Normal 22 7 4" xfId="19076"/>
    <cellStyle name="Normal 22 7 5" xfId="19077"/>
    <cellStyle name="Normal 22 7 6" xfId="19078"/>
    <cellStyle name="Normal 22 7 7" xfId="19079"/>
    <cellStyle name="Normal 22 7 8" xfId="19080"/>
    <cellStyle name="Normal 22 7 9" xfId="19081"/>
    <cellStyle name="Normal 22 70" xfId="19082"/>
    <cellStyle name="Normal 22 70 10" xfId="19083"/>
    <cellStyle name="Normal 22 70 11" xfId="19084"/>
    <cellStyle name="Normal 22 70 12" xfId="19085"/>
    <cellStyle name="Normal 22 70 13" xfId="19086"/>
    <cellStyle name="Normal 22 70 2" xfId="19087"/>
    <cellStyle name="Normal 22 70 3" xfId="19088"/>
    <cellStyle name="Normal 22 70 4" xfId="19089"/>
    <cellStyle name="Normal 22 70 5" xfId="19090"/>
    <cellStyle name="Normal 22 70 6" xfId="19091"/>
    <cellStyle name="Normal 22 70 7" xfId="19092"/>
    <cellStyle name="Normal 22 70 8" xfId="19093"/>
    <cellStyle name="Normal 22 70 9" xfId="19094"/>
    <cellStyle name="Normal 22 71" xfId="19095"/>
    <cellStyle name="Normal 22 71 10" xfId="19096"/>
    <cellStyle name="Normal 22 71 11" xfId="19097"/>
    <cellStyle name="Normal 22 71 12" xfId="19098"/>
    <cellStyle name="Normal 22 71 13" xfId="19099"/>
    <cellStyle name="Normal 22 71 2" xfId="19100"/>
    <cellStyle name="Normal 22 71 3" xfId="19101"/>
    <cellStyle name="Normal 22 71 4" xfId="19102"/>
    <cellStyle name="Normal 22 71 5" xfId="19103"/>
    <cellStyle name="Normal 22 71 6" xfId="19104"/>
    <cellStyle name="Normal 22 71 7" xfId="19105"/>
    <cellStyle name="Normal 22 71 8" xfId="19106"/>
    <cellStyle name="Normal 22 71 9" xfId="19107"/>
    <cellStyle name="Normal 22 72" xfId="19108"/>
    <cellStyle name="Normal 22 72 10" xfId="19109"/>
    <cellStyle name="Normal 22 72 11" xfId="19110"/>
    <cellStyle name="Normal 22 72 12" xfId="19111"/>
    <cellStyle name="Normal 22 72 13" xfId="19112"/>
    <cellStyle name="Normal 22 72 2" xfId="19113"/>
    <cellStyle name="Normal 22 72 3" xfId="19114"/>
    <cellStyle name="Normal 22 72 4" xfId="19115"/>
    <cellStyle name="Normal 22 72 5" xfId="19116"/>
    <cellStyle name="Normal 22 72 6" xfId="19117"/>
    <cellStyle name="Normal 22 72 7" xfId="19118"/>
    <cellStyle name="Normal 22 72 8" xfId="19119"/>
    <cellStyle name="Normal 22 72 9" xfId="19120"/>
    <cellStyle name="Normal 22 73" xfId="19121"/>
    <cellStyle name="Normal 22 74" xfId="19122"/>
    <cellStyle name="Normal 22 75" xfId="19123"/>
    <cellStyle name="Normal 22 76" xfId="19124"/>
    <cellStyle name="Normal 22 77" xfId="19125"/>
    <cellStyle name="Normal 22 78" xfId="19126"/>
    <cellStyle name="Normal 22 79" xfId="19127"/>
    <cellStyle name="Normal 22 8" xfId="19128"/>
    <cellStyle name="Normal 22 8 10" xfId="19129"/>
    <cellStyle name="Normal 22 8 11" xfId="19130"/>
    <cellStyle name="Normal 22 8 12" xfId="19131"/>
    <cellStyle name="Normal 22 8 13" xfId="19132"/>
    <cellStyle name="Normal 22 8 2" xfId="19133"/>
    <cellStyle name="Normal 22 8 3" xfId="19134"/>
    <cellStyle name="Normal 22 8 4" xfId="19135"/>
    <cellStyle name="Normal 22 8 5" xfId="19136"/>
    <cellStyle name="Normal 22 8 6" xfId="19137"/>
    <cellStyle name="Normal 22 8 7" xfId="19138"/>
    <cellStyle name="Normal 22 8 8" xfId="19139"/>
    <cellStyle name="Normal 22 8 9" xfId="19140"/>
    <cellStyle name="Normal 22 80" xfId="19141"/>
    <cellStyle name="Normal 22 81" xfId="19142"/>
    <cellStyle name="Normal 22 82" xfId="19143"/>
    <cellStyle name="Normal 22 83" xfId="19144"/>
    <cellStyle name="Normal 22 84" xfId="19145"/>
    <cellStyle name="Normal 22 9" xfId="19146"/>
    <cellStyle name="Normal 22 9 10" xfId="19147"/>
    <cellStyle name="Normal 22 9 11" xfId="19148"/>
    <cellStyle name="Normal 22 9 12" xfId="19149"/>
    <cellStyle name="Normal 22 9 13" xfId="19150"/>
    <cellStyle name="Normal 22 9 2" xfId="19151"/>
    <cellStyle name="Normal 22 9 3" xfId="19152"/>
    <cellStyle name="Normal 22 9 4" xfId="19153"/>
    <cellStyle name="Normal 22 9 5" xfId="19154"/>
    <cellStyle name="Normal 22 9 6" xfId="19155"/>
    <cellStyle name="Normal 22 9 7" xfId="19156"/>
    <cellStyle name="Normal 22 9 8" xfId="19157"/>
    <cellStyle name="Normal 22 9 9" xfId="19158"/>
    <cellStyle name="Normal 23" xfId="19159"/>
    <cellStyle name="Normal 23 10" xfId="19160"/>
    <cellStyle name="Normal 23 10 10" xfId="19161"/>
    <cellStyle name="Normal 23 10 11" xfId="19162"/>
    <cellStyle name="Normal 23 10 12" xfId="19163"/>
    <cellStyle name="Normal 23 10 13" xfId="19164"/>
    <cellStyle name="Normal 23 10 2" xfId="19165"/>
    <cellStyle name="Normal 23 10 3" xfId="19166"/>
    <cellStyle name="Normal 23 10 4" xfId="19167"/>
    <cellStyle name="Normal 23 10 5" xfId="19168"/>
    <cellStyle name="Normal 23 10 6" xfId="19169"/>
    <cellStyle name="Normal 23 10 7" xfId="19170"/>
    <cellStyle name="Normal 23 10 8" xfId="19171"/>
    <cellStyle name="Normal 23 10 9" xfId="19172"/>
    <cellStyle name="Normal 23 11" xfId="19173"/>
    <cellStyle name="Normal 23 11 10" xfId="19174"/>
    <cellStyle name="Normal 23 11 11" xfId="19175"/>
    <cellStyle name="Normal 23 11 12" xfId="19176"/>
    <cellStyle name="Normal 23 11 13" xfId="19177"/>
    <cellStyle name="Normal 23 11 2" xfId="19178"/>
    <cellStyle name="Normal 23 11 3" xfId="19179"/>
    <cellStyle name="Normal 23 11 4" xfId="19180"/>
    <cellStyle name="Normal 23 11 5" xfId="19181"/>
    <cellStyle name="Normal 23 11 6" xfId="19182"/>
    <cellStyle name="Normal 23 11 7" xfId="19183"/>
    <cellStyle name="Normal 23 11 8" xfId="19184"/>
    <cellStyle name="Normal 23 11 9" xfId="19185"/>
    <cellStyle name="Normal 23 12" xfId="19186"/>
    <cellStyle name="Normal 23 12 10" xfId="19187"/>
    <cellStyle name="Normal 23 12 11" xfId="19188"/>
    <cellStyle name="Normal 23 12 12" xfId="19189"/>
    <cellStyle name="Normal 23 12 13" xfId="19190"/>
    <cellStyle name="Normal 23 12 2" xfId="19191"/>
    <cellStyle name="Normal 23 12 3" xfId="19192"/>
    <cellStyle name="Normal 23 12 4" xfId="19193"/>
    <cellStyle name="Normal 23 12 5" xfId="19194"/>
    <cellStyle name="Normal 23 12 6" xfId="19195"/>
    <cellStyle name="Normal 23 12 7" xfId="19196"/>
    <cellStyle name="Normal 23 12 8" xfId="19197"/>
    <cellStyle name="Normal 23 12 9" xfId="19198"/>
    <cellStyle name="Normal 23 13" xfId="19199"/>
    <cellStyle name="Normal 23 13 10" xfId="19200"/>
    <cellStyle name="Normal 23 13 11" xfId="19201"/>
    <cellStyle name="Normal 23 13 12" xfId="19202"/>
    <cellStyle name="Normal 23 13 13" xfId="19203"/>
    <cellStyle name="Normal 23 13 2" xfId="19204"/>
    <cellStyle name="Normal 23 13 3" xfId="19205"/>
    <cellStyle name="Normal 23 13 4" xfId="19206"/>
    <cellStyle name="Normal 23 13 5" xfId="19207"/>
    <cellStyle name="Normal 23 13 6" xfId="19208"/>
    <cellStyle name="Normal 23 13 7" xfId="19209"/>
    <cellStyle name="Normal 23 13 8" xfId="19210"/>
    <cellStyle name="Normal 23 13 9" xfId="19211"/>
    <cellStyle name="Normal 23 14" xfId="19212"/>
    <cellStyle name="Normal 23 14 10" xfId="19213"/>
    <cellStyle name="Normal 23 14 11" xfId="19214"/>
    <cellStyle name="Normal 23 14 12" xfId="19215"/>
    <cellStyle name="Normal 23 14 13" xfId="19216"/>
    <cellStyle name="Normal 23 14 2" xfId="19217"/>
    <cellStyle name="Normal 23 14 3" xfId="19218"/>
    <cellStyle name="Normal 23 14 4" xfId="19219"/>
    <cellStyle name="Normal 23 14 5" xfId="19220"/>
    <cellStyle name="Normal 23 14 6" xfId="19221"/>
    <cellStyle name="Normal 23 14 7" xfId="19222"/>
    <cellStyle name="Normal 23 14 8" xfId="19223"/>
    <cellStyle name="Normal 23 14 9" xfId="19224"/>
    <cellStyle name="Normal 23 15" xfId="19225"/>
    <cellStyle name="Normal 23 15 10" xfId="19226"/>
    <cellStyle name="Normal 23 15 11" xfId="19227"/>
    <cellStyle name="Normal 23 15 12" xfId="19228"/>
    <cellStyle name="Normal 23 15 13" xfId="19229"/>
    <cellStyle name="Normal 23 15 2" xfId="19230"/>
    <cellStyle name="Normal 23 15 3" xfId="19231"/>
    <cellStyle name="Normal 23 15 4" xfId="19232"/>
    <cellStyle name="Normal 23 15 5" xfId="19233"/>
    <cellStyle name="Normal 23 15 6" xfId="19234"/>
    <cellStyle name="Normal 23 15 7" xfId="19235"/>
    <cellStyle name="Normal 23 15 8" xfId="19236"/>
    <cellStyle name="Normal 23 15 9" xfId="19237"/>
    <cellStyle name="Normal 23 16" xfId="19238"/>
    <cellStyle name="Normal 23 16 10" xfId="19239"/>
    <cellStyle name="Normal 23 16 11" xfId="19240"/>
    <cellStyle name="Normal 23 16 12" xfId="19241"/>
    <cellStyle name="Normal 23 16 13" xfId="19242"/>
    <cellStyle name="Normal 23 16 2" xfId="19243"/>
    <cellStyle name="Normal 23 16 3" xfId="19244"/>
    <cellStyle name="Normal 23 16 4" xfId="19245"/>
    <cellStyle name="Normal 23 16 5" xfId="19246"/>
    <cellStyle name="Normal 23 16 6" xfId="19247"/>
    <cellStyle name="Normal 23 16 7" xfId="19248"/>
    <cellStyle name="Normal 23 16 8" xfId="19249"/>
    <cellStyle name="Normal 23 16 9" xfId="19250"/>
    <cellStyle name="Normal 23 17" xfId="19251"/>
    <cellStyle name="Normal 23 17 10" xfId="19252"/>
    <cellStyle name="Normal 23 17 11" xfId="19253"/>
    <cellStyle name="Normal 23 17 12" xfId="19254"/>
    <cellStyle name="Normal 23 17 13" xfId="19255"/>
    <cellStyle name="Normal 23 17 2" xfId="19256"/>
    <cellStyle name="Normal 23 17 3" xfId="19257"/>
    <cellStyle name="Normal 23 17 4" xfId="19258"/>
    <cellStyle name="Normal 23 17 5" xfId="19259"/>
    <cellStyle name="Normal 23 17 6" xfId="19260"/>
    <cellStyle name="Normal 23 17 7" xfId="19261"/>
    <cellStyle name="Normal 23 17 8" xfId="19262"/>
    <cellStyle name="Normal 23 17 9" xfId="19263"/>
    <cellStyle name="Normal 23 18" xfId="19264"/>
    <cellStyle name="Normal 23 18 10" xfId="19265"/>
    <cellStyle name="Normal 23 18 11" xfId="19266"/>
    <cellStyle name="Normal 23 18 12" xfId="19267"/>
    <cellStyle name="Normal 23 18 13" xfId="19268"/>
    <cellStyle name="Normal 23 18 2" xfId="19269"/>
    <cellStyle name="Normal 23 18 3" xfId="19270"/>
    <cellStyle name="Normal 23 18 4" xfId="19271"/>
    <cellStyle name="Normal 23 18 5" xfId="19272"/>
    <cellStyle name="Normal 23 18 6" xfId="19273"/>
    <cellStyle name="Normal 23 18 7" xfId="19274"/>
    <cellStyle name="Normal 23 18 8" xfId="19275"/>
    <cellStyle name="Normal 23 18 9" xfId="19276"/>
    <cellStyle name="Normal 23 19" xfId="19277"/>
    <cellStyle name="Normal 23 19 10" xfId="19278"/>
    <cellStyle name="Normal 23 19 11" xfId="19279"/>
    <cellStyle name="Normal 23 19 12" xfId="19280"/>
    <cellStyle name="Normal 23 19 13" xfId="19281"/>
    <cellStyle name="Normal 23 19 2" xfId="19282"/>
    <cellStyle name="Normal 23 19 3" xfId="19283"/>
    <cellStyle name="Normal 23 19 4" xfId="19284"/>
    <cellStyle name="Normal 23 19 5" xfId="19285"/>
    <cellStyle name="Normal 23 19 6" xfId="19286"/>
    <cellStyle name="Normal 23 19 7" xfId="19287"/>
    <cellStyle name="Normal 23 19 8" xfId="19288"/>
    <cellStyle name="Normal 23 19 9" xfId="19289"/>
    <cellStyle name="Normal 23 2" xfId="19290"/>
    <cellStyle name="Normal 23 2 10" xfId="19291"/>
    <cellStyle name="Normal 23 2 11" xfId="19292"/>
    <cellStyle name="Normal 23 2 12" xfId="19293"/>
    <cellStyle name="Normal 23 2 13" xfId="19294"/>
    <cellStyle name="Normal 23 2 2" xfId="19295"/>
    <cellStyle name="Normal 23 2 3" xfId="19296"/>
    <cellStyle name="Normal 23 2 4" xfId="19297"/>
    <cellStyle name="Normal 23 2 5" xfId="19298"/>
    <cellStyle name="Normal 23 2 6" xfId="19299"/>
    <cellStyle name="Normal 23 2 7" xfId="19300"/>
    <cellStyle name="Normal 23 2 8" xfId="19301"/>
    <cellStyle name="Normal 23 2 9" xfId="19302"/>
    <cellStyle name="Normal 23 20" xfId="19303"/>
    <cellStyle name="Normal 23 20 10" xfId="19304"/>
    <cellStyle name="Normal 23 20 11" xfId="19305"/>
    <cellStyle name="Normal 23 20 12" xfId="19306"/>
    <cellStyle name="Normal 23 20 13" xfId="19307"/>
    <cellStyle name="Normal 23 20 2" xfId="19308"/>
    <cellStyle name="Normal 23 20 3" xfId="19309"/>
    <cellStyle name="Normal 23 20 4" xfId="19310"/>
    <cellStyle name="Normal 23 20 5" xfId="19311"/>
    <cellStyle name="Normal 23 20 6" xfId="19312"/>
    <cellStyle name="Normal 23 20 7" xfId="19313"/>
    <cellStyle name="Normal 23 20 8" xfId="19314"/>
    <cellStyle name="Normal 23 20 9" xfId="19315"/>
    <cellStyle name="Normal 23 21" xfId="19316"/>
    <cellStyle name="Normal 23 21 10" xfId="19317"/>
    <cellStyle name="Normal 23 21 11" xfId="19318"/>
    <cellStyle name="Normal 23 21 12" xfId="19319"/>
    <cellStyle name="Normal 23 21 13" xfId="19320"/>
    <cellStyle name="Normal 23 21 2" xfId="19321"/>
    <cellStyle name="Normal 23 21 3" xfId="19322"/>
    <cellStyle name="Normal 23 21 4" xfId="19323"/>
    <cellStyle name="Normal 23 21 5" xfId="19324"/>
    <cellStyle name="Normal 23 21 6" xfId="19325"/>
    <cellStyle name="Normal 23 21 7" xfId="19326"/>
    <cellStyle name="Normal 23 21 8" xfId="19327"/>
    <cellStyle name="Normal 23 21 9" xfId="19328"/>
    <cellStyle name="Normal 23 22" xfId="19329"/>
    <cellStyle name="Normal 23 22 10" xfId="19330"/>
    <cellStyle name="Normal 23 22 11" xfId="19331"/>
    <cellStyle name="Normal 23 22 12" xfId="19332"/>
    <cellStyle name="Normal 23 22 13" xfId="19333"/>
    <cellStyle name="Normal 23 22 2" xfId="19334"/>
    <cellStyle name="Normal 23 22 3" xfId="19335"/>
    <cellStyle name="Normal 23 22 4" xfId="19336"/>
    <cellStyle name="Normal 23 22 5" xfId="19337"/>
    <cellStyle name="Normal 23 22 6" xfId="19338"/>
    <cellStyle name="Normal 23 22 7" xfId="19339"/>
    <cellStyle name="Normal 23 22 8" xfId="19340"/>
    <cellStyle name="Normal 23 22 9" xfId="19341"/>
    <cellStyle name="Normal 23 23" xfId="19342"/>
    <cellStyle name="Normal 23 23 10" xfId="19343"/>
    <cellStyle name="Normal 23 23 11" xfId="19344"/>
    <cellStyle name="Normal 23 23 12" xfId="19345"/>
    <cellStyle name="Normal 23 23 13" xfId="19346"/>
    <cellStyle name="Normal 23 23 2" xfId="19347"/>
    <cellStyle name="Normal 23 23 3" xfId="19348"/>
    <cellStyle name="Normal 23 23 4" xfId="19349"/>
    <cellStyle name="Normal 23 23 5" xfId="19350"/>
    <cellStyle name="Normal 23 23 6" xfId="19351"/>
    <cellStyle name="Normal 23 23 7" xfId="19352"/>
    <cellStyle name="Normal 23 23 8" xfId="19353"/>
    <cellStyle name="Normal 23 23 9" xfId="19354"/>
    <cellStyle name="Normal 23 24" xfId="19355"/>
    <cellStyle name="Normal 23 24 10" xfId="19356"/>
    <cellStyle name="Normal 23 24 11" xfId="19357"/>
    <cellStyle name="Normal 23 24 12" xfId="19358"/>
    <cellStyle name="Normal 23 24 13" xfId="19359"/>
    <cellStyle name="Normal 23 24 2" xfId="19360"/>
    <cellStyle name="Normal 23 24 3" xfId="19361"/>
    <cellStyle name="Normal 23 24 4" xfId="19362"/>
    <cellStyle name="Normal 23 24 5" xfId="19363"/>
    <cellStyle name="Normal 23 24 6" xfId="19364"/>
    <cellStyle name="Normal 23 24 7" xfId="19365"/>
    <cellStyle name="Normal 23 24 8" xfId="19366"/>
    <cellStyle name="Normal 23 24 9" xfId="19367"/>
    <cellStyle name="Normal 23 25" xfId="19368"/>
    <cellStyle name="Normal 23 25 10" xfId="19369"/>
    <cellStyle name="Normal 23 25 11" xfId="19370"/>
    <cellStyle name="Normal 23 25 12" xfId="19371"/>
    <cellStyle name="Normal 23 25 13" xfId="19372"/>
    <cellStyle name="Normal 23 25 2" xfId="19373"/>
    <cellStyle name="Normal 23 25 3" xfId="19374"/>
    <cellStyle name="Normal 23 25 4" xfId="19375"/>
    <cellStyle name="Normal 23 25 5" xfId="19376"/>
    <cellStyle name="Normal 23 25 6" xfId="19377"/>
    <cellStyle name="Normal 23 25 7" xfId="19378"/>
    <cellStyle name="Normal 23 25 8" xfId="19379"/>
    <cellStyle name="Normal 23 25 9" xfId="19380"/>
    <cellStyle name="Normal 23 26" xfId="19381"/>
    <cellStyle name="Normal 23 26 10" xfId="19382"/>
    <cellStyle name="Normal 23 26 11" xfId="19383"/>
    <cellStyle name="Normal 23 26 12" xfId="19384"/>
    <cellStyle name="Normal 23 26 13" xfId="19385"/>
    <cellStyle name="Normal 23 26 2" xfId="19386"/>
    <cellStyle name="Normal 23 26 3" xfId="19387"/>
    <cellStyle name="Normal 23 26 4" xfId="19388"/>
    <cellStyle name="Normal 23 26 5" xfId="19389"/>
    <cellStyle name="Normal 23 26 6" xfId="19390"/>
    <cellStyle name="Normal 23 26 7" xfId="19391"/>
    <cellStyle name="Normal 23 26 8" xfId="19392"/>
    <cellStyle name="Normal 23 26 9" xfId="19393"/>
    <cellStyle name="Normal 23 27" xfId="19394"/>
    <cellStyle name="Normal 23 27 10" xfId="19395"/>
    <cellStyle name="Normal 23 27 11" xfId="19396"/>
    <cellStyle name="Normal 23 27 12" xfId="19397"/>
    <cellStyle name="Normal 23 27 13" xfId="19398"/>
    <cellStyle name="Normal 23 27 2" xfId="19399"/>
    <cellStyle name="Normal 23 27 3" xfId="19400"/>
    <cellStyle name="Normal 23 27 4" xfId="19401"/>
    <cellStyle name="Normal 23 27 5" xfId="19402"/>
    <cellStyle name="Normal 23 27 6" xfId="19403"/>
    <cellStyle name="Normal 23 27 7" xfId="19404"/>
    <cellStyle name="Normal 23 27 8" xfId="19405"/>
    <cellStyle name="Normal 23 27 9" xfId="19406"/>
    <cellStyle name="Normal 23 28" xfId="19407"/>
    <cellStyle name="Normal 23 28 10" xfId="19408"/>
    <cellStyle name="Normal 23 28 11" xfId="19409"/>
    <cellStyle name="Normal 23 28 12" xfId="19410"/>
    <cellStyle name="Normal 23 28 13" xfId="19411"/>
    <cellStyle name="Normal 23 28 2" xfId="19412"/>
    <cellStyle name="Normal 23 28 3" xfId="19413"/>
    <cellStyle name="Normal 23 28 4" xfId="19414"/>
    <cellStyle name="Normal 23 28 5" xfId="19415"/>
    <cellStyle name="Normal 23 28 6" xfId="19416"/>
    <cellStyle name="Normal 23 28 7" xfId="19417"/>
    <cellStyle name="Normal 23 28 8" xfId="19418"/>
    <cellStyle name="Normal 23 28 9" xfId="19419"/>
    <cellStyle name="Normal 23 29" xfId="19420"/>
    <cellStyle name="Normal 23 29 10" xfId="19421"/>
    <cellStyle name="Normal 23 29 11" xfId="19422"/>
    <cellStyle name="Normal 23 29 12" xfId="19423"/>
    <cellStyle name="Normal 23 29 13" xfId="19424"/>
    <cellStyle name="Normal 23 29 2" xfId="19425"/>
    <cellStyle name="Normal 23 29 3" xfId="19426"/>
    <cellStyle name="Normal 23 29 4" xfId="19427"/>
    <cellStyle name="Normal 23 29 5" xfId="19428"/>
    <cellStyle name="Normal 23 29 6" xfId="19429"/>
    <cellStyle name="Normal 23 29 7" xfId="19430"/>
    <cellStyle name="Normal 23 29 8" xfId="19431"/>
    <cellStyle name="Normal 23 29 9" xfId="19432"/>
    <cellStyle name="Normal 23 3" xfId="19433"/>
    <cellStyle name="Normal 23 3 10" xfId="19434"/>
    <cellStyle name="Normal 23 3 11" xfId="19435"/>
    <cellStyle name="Normal 23 3 12" xfId="19436"/>
    <cellStyle name="Normal 23 3 13" xfId="19437"/>
    <cellStyle name="Normal 23 3 2" xfId="19438"/>
    <cellStyle name="Normal 23 3 3" xfId="19439"/>
    <cellStyle name="Normal 23 3 4" xfId="19440"/>
    <cellStyle name="Normal 23 3 5" xfId="19441"/>
    <cellStyle name="Normal 23 3 6" xfId="19442"/>
    <cellStyle name="Normal 23 3 7" xfId="19443"/>
    <cellStyle name="Normal 23 3 8" xfId="19444"/>
    <cellStyle name="Normal 23 3 9" xfId="19445"/>
    <cellStyle name="Normal 23 30" xfId="19446"/>
    <cellStyle name="Normal 23 30 10" xfId="19447"/>
    <cellStyle name="Normal 23 30 11" xfId="19448"/>
    <cellStyle name="Normal 23 30 12" xfId="19449"/>
    <cellStyle name="Normal 23 30 13" xfId="19450"/>
    <cellStyle name="Normal 23 30 2" xfId="19451"/>
    <cellStyle name="Normal 23 30 3" xfId="19452"/>
    <cellStyle name="Normal 23 30 4" xfId="19453"/>
    <cellStyle name="Normal 23 30 5" xfId="19454"/>
    <cellStyle name="Normal 23 30 6" xfId="19455"/>
    <cellStyle name="Normal 23 30 7" xfId="19456"/>
    <cellStyle name="Normal 23 30 8" xfId="19457"/>
    <cellStyle name="Normal 23 30 9" xfId="19458"/>
    <cellStyle name="Normal 23 31" xfId="19459"/>
    <cellStyle name="Normal 23 31 10" xfId="19460"/>
    <cellStyle name="Normal 23 31 11" xfId="19461"/>
    <cellStyle name="Normal 23 31 12" xfId="19462"/>
    <cellStyle name="Normal 23 31 13" xfId="19463"/>
    <cellStyle name="Normal 23 31 2" xfId="19464"/>
    <cellStyle name="Normal 23 31 3" xfId="19465"/>
    <cellStyle name="Normal 23 31 4" xfId="19466"/>
    <cellStyle name="Normal 23 31 5" xfId="19467"/>
    <cellStyle name="Normal 23 31 6" xfId="19468"/>
    <cellStyle name="Normal 23 31 7" xfId="19469"/>
    <cellStyle name="Normal 23 31 8" xfId="19470"/>
    <cellStyle name="Normal 23 31 9" xfId="19471"/>
    <cellStyle name="Normal 23 32" xfId="19472"/>
    <cellStyle name="Normal 23 32 10" xfId="19473"/>
    <cellStyle name="Normal 23 32 11" xfId="19474"/>
    <cellStyle name="Normal 23 32 12" xfId="19475"/>
    <cellStyle name="Normal 23 32 13" xfId="19476"/>
    <cellStyle name="Normal 23 32 2" xfId="19477"/>
    <cellStyle name="Normal 23 32 3" xfId="19478"/>
    <cellStyle name="Normal 23 32 4" xfId="19479"/>
    <cellStyle name="Normal 23 32 5" xfId="19480"/>
    <cellStyle name="Normal 23 32 6" xfId="19481"/>
    <cellStyle name="Normal 23 32 7" xfId="19482"/>
    <cellStyle name="Normal 23 32 8" xfId="19483"/>
    <cellStyle name="Normal 23 32 9" xfId="19484"/>
    <cellStyle name="Normal 23 33" xfId="19485"/>
    <cellStyle name="Normal 23 33 10" xfId="19486"/>
    <cellStyle name="Normal 23 33 11" xfId="19487"/>
    <cellStyle name="Normal 23 33 12" xfId="19488"/>
    <cellStyle name="Normal 23 33 13" xfId="19489"/>
    <cellStyle name="Normal 23 33 2" xfId="19490"/>
    <cellStyle name="Normal 23 33 3" xfId="19491"/>
    <cellStyle name="Normal 23 33 4" xfId="19492"/>
    <cellStyle name="Normal 23 33 5" xfId="19493"/>
    <cellStyle name="Normal 23 33 6" xfId="19494"/>
    <cellStyle name="Normal 23 33 7" xfId="19495"/>
    <cellStyle name="Normal 23 33 8" xfId="19496"/>
    <cellStyle name="Normal 23 33 9" xfId="19497"/>
    <cellStyle name="Normal 23 34" xfId="19498"/>
    <cellStyle name="Normal 23 34 10" xfId="19499"/>
    <cellStyle name="Normal 23 34 11" xfId="19500"/>
    <cellStyle name="Normal 23 34 12" xfId="19501"/>
    <cellStyle name="Normal 23 34 13" xfId="19502"/>
    <cellStyle name="Normal 23 34 2" xfId="19503"/>
    <cellStyle name="Normal 23 34 3" xfId="19504"/>
    <cellStyle name="Normal 23 34 4" xfId="19505"/>
    <cellStyle name="Normal 23 34 5" xfId="19506"/>
    <cellStyle name="Normal 23 34 6" xfId="19507"/>
    <cellStyle name="Normal 23 34 7" xfId="19508"/>
    <cellStyle name="Normal 23 34 8" xfId="19509"/>
    <cellStyle name="Normal 23 34 9" xfId="19510"/>
    <cellStyle name="Normal 23 35" xfId="19511"/>
    <cellStyle name="Normal 23 35 10" xfId="19512"/>
    <cellStyle name="Normal 23 35 11" xfId="19513"/>
    <cellStyle name="Normal 23 35 12" xfId="19514"/>
    <cellStyle name="Normal 23 35 13" xfId="19515"/>
    <cellStyle name="Normal 23 35 2" xfId="19516"/>
    <cellStyle name="Normal 23 35 3" xfId="19517"/>
    <cellStyle name="Normal 23 35 4" xfId="19518"/>
    <cellStyle name="Normal 23 35 5" xfId="19519"/>
    <cellStyle name="Normal 23 35 6" xfId="19520"/>
    <cellStyle name="Normal 23 35 7" xfId="19521"/>
    <cellStyle name="Normal 23 35 8" xfId="19522"/>
    <cellStyle name="Normal 23 35 9" xfId="19523"/>
    <cellStyle name="Normal 23 36" xfId="19524"/>
    <cellStyle name="Normal 23 36 10" xfId="19525"/>
    <cellStyle name="Normal 23 36 11" xfId="19526"/>
    <cellStyle name="Normal 23 36 12" xfId="19527"/>
    <cellStyle name="Normal 23 36 13" xfId="19528"/>
    <cellStyle name="Normal 23 36 2" xfId="19529"/>
    <cellStyle name="Normal 23 36 3" xfId="19530"/>
    <cellStyle name="Normal 23 36 4" xfId="19531"/>
    <cellStyle name="Normal 23 36 5" xfId="19532"/>
    <cellStyle name="Normal 23 36 6" xfId="19533"/>
    <cellStyle name="Normal 23 36 7" xfId="19534"/>
    <cellStyle name="Normal 23 36 8" xfId="19535"/>
    <cellStyle name="Normal 23 36 9" xfId="19536"/>
    <cellStyle name="Normal 23 37" xfId="19537"/>
    <cellStyle name="Normal 23 37 10" xfId="19538"/>
    <cellStyle name="Normal 23 37 11" xfId="19539"/>
    <cellStyle name="Normal 23 37 12" xfId="19540"/>
    <cellStyle name="Normal 23 37 13" xfId="19541"/>
    <cellStyle name="Normal 23 37 2" xfId="19542"/>
    <cellStyle name="Normal 23 37 3" xfId="19543"/>
    <cellStyle name="Normal 23 37 4" xfId="19544"/>
    <cellStyle name="Normal 23 37 5" xfId="19545"/>
    <cellStyle name="Normal 23 37 6" xfId="19546"/>
    <cellStyle name="Normal 23 37 7" xfId="19547"/>
    <cellStyle name="Normal 23 37 8" xfId="19548"/>
    <cellStyle name="Normal 23 37 9" xfId="19549"/>
    <cellStyle name="Normal 23 38" xfId="19550"/>
    <cellStyle name="Normal 23 38 10" xfId="19551"/>
    <cellStyle name="Normal 23 38 11" xfId="19552"/>
    <cellStyle name="Normal 23 38 12" xfId="19553"/>
    <cellStyle name="Normal 23 38 13" xfId="19554"/>
    <cellStyle name="Normal 23 38 2" xfId="19555"/>
    <cellStyle name="Normal 23 38 3" xfId="19556"/>
    <cellStyle name="Normal 23 38 4" xfId="19557"/>
    <cellStyle name="Normal 23 38 5" xfId="19558"/>
    <cellStyle name="Normal 23 38 6" xfId="19559"/>
    <cellStyle name="Normal 23 38 7" xfId="19560"/>
    <cellStyle name="Normal 23 38 8" xfId="19561"/>
    <cellStyle name="Normal 23 38 9" xfId="19562"/>
    <cellStyle name="Normal 23 39" xfId="19563"/>
    <cellStyle name="Normal 23 39 10" xfId="19564"/>
    <cellStyle name="Normal 23 39 11" xfId="19565"/>
    <cellStyle name="Normal 23 39 12" xfId="19566"/>
    <cellStyle name="Normal 23 39 13" xfId="19567"/>
    <cellStyle name="Normal 23 39 2" xfId="19568"/>
    <cellStyle name="Normal 23 39 3" xfId="19569"/>
    <cellStyle name="Normal 23 39 4" xfId="19570"/>
    <cellStyle name="Normal 23 39 5" xfId="19571"/>
    <cellStyle name="Normal 23 39 6" xfId="19572"/>
    <cellStyle name="Normal 23 39 7" xfId="19573"/>
    <cellStyle name="Normal 23 39 8" xfId="19574"/>
    <cellStyle name="Normal 23 39 9" xfId="19575"/>
    <cellStyle name="Normal 23 4" xfId="19576"/>
    <cellStyle name="Normal 23 4 10" xfId="19577"/>
    <cellStyle name="Normal 23 4 11" xfId="19578"/>
    <cellStyle name="Normal 23 4 12" xfId="19579"/>
    <cellStyle name="Normal 23 4 13" xfId="19580"/>
    <cellStyle name="Normal 23 4 2" xfId="19581"/>
    <cellStyle name="Normal 23 4 3" xfId="19582"/>
    <cellStyle name="Normal 23 4 4" xfId="19583"/>
    <cellStyle name="Normal 23 4 5" xfId="19584"/>
    <cellStyle name="Normal 23 4 6" xfId="19585"/>
    <cellStyle name="Normal 23 4 7" xfId="19586"/>
    <cellStyle name="Normal 23 4 8" xfId="19587"/>
    <cellStyle name="Normal 23 4 9" xfId="19588"/>
    <cellStyle name="Normal 23 40" xfId="19589"/>
    <cellStyle name="Normal 23 40 10" xfId="19590"/>
    <cellStyle name="Normal 23 40 11" xfId="19591"/>
    <cellStyle name="Normal 23 40 12" xfId="19592"/>
    <cellStyle name="Normal 23 40 13" xfId="19593"/>
    <cellStyle name="Normal 23 40 2" xfId="19594"/>
    <cellStyle name="Normal 23 40 3" xfId="19595"/>
    <cellStyle name="Normal 23 40 4" xfId="19596"/>
    <cellStyle name="Normal 23 40 5" xfId="19597"/>
    <cellStyle name="Normal 23 40 6" xfId="19598"/>
    <cellStyle name="Normal 23 40 7" xfId="19599"/>
    <cellStyle name="Normal 23 40 8" xfId="19600"/>
    <cellStyle name="Normal 23 40 9" xfId="19601"/>
    <cellStyle name="Normal 23 41" xfId="19602"/>
    <cellStyle name="Normal 23 41 10" xfId="19603"/>
    <cellStyle name="Normal 23 41 11" xfId="19604"/>
    <cellStyle name="Normal 23 41 12" xfId="19605"/>
    <cellStyle name="Normal 23 41 13" xfId="19606"/>
    <cellStyle name="Normal 23 41 2" xfId="19607"/>
    <cellStyle name="Normal 23 41 3" xfId="19608"/>
    <cellStyle name="Normal 23 41 4" xfId="19609"/>
    <cellStyle name="Normal 23 41 5" xfId="19610"/>
    <cellStyle name="Normal 23 41 6" xfId="19611"/>
    <cellStyle name="Normal 23 41 7" xfId="19612"/>
    <cellStyle name="Normal 23 41 8" xfId="19613"/>
    <cellStyle name="Normal 23 41 9" xfId="19614"/>
    <cellStyle name="Normal 23 42" xfId="19615"/>
    <cellStyle name="Normal 23 42 10" xfId="19616"/>
    <cellStyle name="Normal 23 42 11" xfId="19617"/>
    <cellStyle name="Normal 23 42 12" xfId="19618"/>
    <cellStyle name="Normal 23 42 13" xfId="19619"/>
    <cellStyle name="Normal 23 42 2" xfId="19620"/>
    <cellStyle name="Normal 23 42 3" xfId="19621"/>
    <cellStyle name="Normal 23 42 4" xfId="19622"/>
    <cellStyle name="Normal 23 42 5" xfId="19623"/>
    <cellStyle name="Normal 23 42 6" xfId="19624"/>
    <cellStyle name="Normal 23 42 7" xfId="19625"/>
    <cellStyle name="Normal 23 42 8" xfId="19626"/>
    <cellStyle name="Normal 23 42 9" xfId="19627"/>
    <cellStyle name="Normal 23 43" xfId="19628"/>
    <cellStyle name="Normal 23 43 10" xfId="19629"/>
    <cellStyle name="Normal 23 43 11" xfId="19630"/>
    <cellStyle name="Normal 23 43 12" xfId="19631"/>
    <cellStyle name="Normal 23 43 13" xfId="19632"/>
    <cellStyle name="Normal 23 43 2" xfId="19633"/>
    <cellStyle name="Normal 23 43 3" xfId="19634"/>
    <cellStyle name="Normal 23 43 4" xfId="19635"/>
    <cellStyle name="Normal 23 43 5" xfId="19636"/>
    <cellStyle name="Normal 23 43 6" xfId="19637"/>
    <cellStyle name="Normal 23 43 7" xfId="19638"/>
    <cellStyle name="Normal 23 43 8" xfId="19639"/>
    <cellStyle name="Normal 23 43 9" xfId="19640"/>
    <cellStyle name="Normal 23 44" xfId="19641"/>
    <cellStyle name="Normal 23 44 10" xfId="19642"/>
    <cellStyle name="Normal 23 44 11" xfId="19643"/>
    <cellStyle name="Normal 23 44 12" xfId="19644"/>
    <cellStyle name="Normal 23 44 13" xfId="19645"/>
    <cellStyle name="Normal 23 44 2" xfId="19646"/>
    <cellStyle name="Normal 23 44 3" xfId="19647"/>
    <cellStyle name="Normal 23 44 4" xfId="19648"/>
    <cellStyle name="Normal 23 44 5" xfId="19649"/>
    <cellStyle name="Normal 23 44 6" xfId="19650"/>
    <cellStyle name="Normal 23 44 7" xfId="19651"/>
    <cellStyle name="Normal 23 44 8" xfId="19652"/>
    <cellStyle name="Normal 23 44 9" xfId="19653"/>
    <cellStyle name="Normal 23 45" xfId="19654"/>
    <cellStyle name="Normal 23 45 10" xfId="19655"/>
    <cellStyle name="Normal 23 45 11" xfId="19656"/>
    <cellStyle name="Normal 23 45 12" xfId="19657"/>
    <cellStyle name="Normal 23 45 13" xfId="19658"/>
    <cellStyle name="Normal 23 45 2" xfId="19659"/>
    <cellStyle name="Normal 23 45 3" xfId="19660"/>
    <cellStyle name="Normal 23 45 4" xfId="19661"/>
    <cellStyle name="Normal 23 45 5" xfId="19662"/>
    <cellStyle name="Normal 23 45 6" xfId="19663"/>
    <cellStyle name="Normal 23 45 7" xfId="19664"/>
    <cellStyle name="Normal 23 45 8" xfId="19665"/>
    <cellStyle name="Normal 23 45 9" xfId="19666"/>
    <cellStyle name="Normal 23 46" xfId="19667"/>
    <cellStyle name="Normal 23 46 10" xfId="19668"/>
    <cellStyle name="Normal 23 46 11" xfId="19669"/>
    <cellStyle name="Normal 23 46 12" xfId="19670"/>
    <cellStyle name="Normal 23 46 13" xfId="19671"/>
    <cellStyle name="Normal 23 46 2" xfId="19672"/>
    <cellStyle name="Normal 23 46 3" xfId="19673"/>
    <cellStyle name="Normal 23 46 4" xfId="19674"/>
    <cellStyle name="Normal 23 46 5" xfId="19675"/>
    <cellStyle name="Normal 23 46 6" xfId="19676"/>
    <cellStyle name="Normal 23 46 7" xfId="19677"/>
    <cellStyle name="Normal 23 46 8" xfId="19678"/>
    <cellStyle name="Normal 23 46 9" xfId="19679"/>
    <cellStyle name="Normal 23 47" xfId="19680"/>
    <cellStyle name="Normal 23 47 10" xfId="19681"/>
    <cellStyle name="Normal 23 47 11" xfId="19682"/>
    <cellStyle name="Normal 23 47 12" xfId="19683"/>
    <cellStyle name="Normal 23 47 13" xfId="19684"/>
    <cellStyle name="Normal 23 47 2" xfId="19685"/>
    <cellStyle name="Normal 23 47 3" xfId="19686"/>
    <cellStyle name="Normal 23 47 4" xfId="19687"/>
    <cellStyle name="Normal 23 47 5" xfId="19688"/>
    <cellStyle name="Normal 23 47 6" xfId="19689"/>
    <cellStyle name="Normal 23 47 7" xfId="19690"/>
    <cellStyle name="Normal 23 47 8" xfId="19691"/>
    <cellStyle name="Normal 23 47 9" xfId="19692"/>
    <cellStyle name="Normal 23 48" xfId="19693"/>
    <cellStyle name="Normal 23 48 10" xfId="19694"/>
    <cellStyle name="Normal 23 48 11" xfId="19695"/>
    <cellStyle name="Normal 23 48 12" xfId="19696"/>
    <cellStyle name="Normal 23 48 13" xfId="19697"/>
    <cellStyle name="Normal 23 48 2" xfId="19698"/>
    <cellStyle name="Normal 23 48 3" xfId="19699"/>
    <cellStyle name="Normal 23 48 4" xfId="19700"/>
    <cellStyle name="Normal 23 48 5" xfId="19701"/>
    <cellStyle name="Normal 23 48 6" xfId="19702"/>
    <cellStyle name="Normal 23 48 7" xfId="19703"/>
    <cellStyle name="Normal 23 48 8" xfId="19704"/>
    <cellStyle name="Normal 23 48 9" xfId="19705"/>
    <cellStyle name="Normal 23 49" xfId="19706"/>
    <cellStyle name="Normal 23 49 10" xfId="19707"/>
    <cellStyle name="Normal 23 49 11" xfId="19708"/>
    <cellStyle name="Normal 23 49 12" xfId="19709"/>
    <cellStyle name="Normal 23 49 13" xfId="19710"/>
    <cellStyle name="Normal 23 49 2" xfId="19711"/>
    <cellStyle name="Normal 23 49 3" xfId="19712"/>
    <cellStyle name="Normal 23 49 4" xfId="19713"/>
    <cellStyle name="Normal 23 49 5" xfId="19714"/>
    <cellStyle name="Normal 23 49 6" xfId="19715"/>
    <cellStyle name="Normal 23 49 7" xfId="19716"/>
    <cellStyle name="Normal 23 49 8" xfId="19717"/>
    <cellStyle name="Normal 23 49 9" xfId="19718"/>
    <cellStyle name="Normal 23 5" xfId="19719"/>
    <cellStyle name="Normal 23 5 10" xfId="19720"/>
    <cellStyle name="Normal 23 5 11" xfId="19721"/>
    <cellStyle name="Normal 23 5 12" xfId="19722"/>
    <cellStyle name="Normal 23 5 13" xfId="19723"/>
    <cellStyle name="Normal 23 5 2" xfId="19724"/>
    <cellStyle name="Normal 23 5 3" xfId="19725"/>
    <cellStyle name="Normal 23 5 4" xfId="19726"/>
    <cellStyle name="Normal 23 5 5" xfId="19727"/>
    <cellStyle name="Normal 23 5 6" xfId="19728"/>
    <cellStyle name="Normal 23 5 7" xfId="19729"/>
    <cellStyle name="Normal 23 5 8" xfId="19730"/>
    <cellStyle name="Normal 23 5 9" xfId="19731"/>
    <cellStyle name="Normal 23 50" xfId="19732"/>
    <cellStyle name="Normal 23 50 10" xfId="19733"/>
    <cellStyle name="Normal 23 50 11" xfId="19734"/>
    <cellStyle name="Normal 23 50 12" xfId="19735"/>
    <cellStyle name="Normal 23 50 13" xfId="19736"/>
    <cellStyle name="Normal 23 50 2" xfId="19737"/>
    <cellStyle name="Normal 23 50 3" xfId="19738"/>
    <cellStyle name="Normal 23 50 4" xfId="19739"/>
    <cellStyle name="Normal 23 50 5" xfId="19740"/>
    <cellStyle name="Normal 23 50 6" xfId="19741"/>
    <cellStyle name="Normal 23 50 7" xfId="19742"/>
    <cellStyle name="Normal 23 50 8" xfId="19743"/>
    <cellStyle name="Normal 23 50 9" xfId="19744"/>
    <cellStyle name="Normal 23 51" xfId="19745"/>
    <cellStyle name="Normal 23 51 10" xfId="19746"/>
    <cellStyle name="Normal 23 51 11" xfId="19747"/>
    <cellStyle name="Normal 23 51 12" xfId="19748"/>
    <cellStyle name="Normal 23 51 13" xfId="19749"/>
    <cellStyle name="Normal 23 51 2" xfId="19750"/>
    <cellStyle name="Normal 23 51 3" xfId="19751"/>
    <cellStyle name="Normal 23 51 4" xfId="19752"/>
    <cellStyle name="Normal 23 51 5" xfId="19753"/>
    <cellStyle name="Normal 23 51 6" xfId="19754"/>
    <cellStyle name="Normal 23 51 7" xfId="19755"/>
    <cellStyle name="Normal 23 51 8" xfId="19756"/>
    <cellStyle name="Normal 23 51 9" xfId="19757"/>
    <cellStyle name="Normal 23 52" xfId="19758"/>
    <cellStyle name="Normal 23 52 10" xfId="19759"/>
    <cellStyle name="Normal 23 52 11" xfId="19760"/>
    <cellStyle name="Normal 23 52 12" xfId="19761"/>
    <cellStyle name="Normal 23 52 13" xfId="19762"/>
    <cellStyle name="Normal 23 52 2" xfId="19763"/>
    <cellStyle name="Normal 23 52 3" xfId="19764"/>
    <cellStyle name="Normal 23 52 4" xfId="19765"/>
    <cellStyle name="Normal 23 52 5" xfId="19766"/>
    <cellStyle name="Normal 23 52 6" xfId="19767"/>
    <cellStyle name="Normal 23 52 7" xfId="19768"/>
    <cellStyle name="Normal 23 52 8" xfId="19769"/>
    <cellStyle name="Normal 23 52 9" xfId="19770"/>
    <cellStyle name="Normal 23 53" xfId="19771"/>
    <cellStyle name="Normal 23 53 10" xfId="19772"/>
    <cellStyle name="Normal 23 53 11" xfId="19773"/>
    <cellStyle name="Normal 23 53 12" xfId="19774"/>
    <cellStyle name="Normal 23 53 13" xfId="19775"/>
    <cellStyle name="Normal 23 53 2" xfId="19776"/>
    <cellStyle name="Normal 23 53 3" xfId="19777"/>
    <cellStyle name="Normal 23 53 4" xfId="19778"/>
    <cellStyle name="Normal 23 53 5" xfId="19779"/>
    <cellStyle name="Normal 23 53 6" xfId="19780"/>
    <cellStyle name="Normal 23 53 7" xfId="19781"/>
    <cellStyle name="Normal 23 53 8" xfId="19782"/>
    <cellStyle name="Normal 23 53 9" xfId="19783"/>
    <cellStyle name="Normal 23 54" xfId="19784"/>
    <cellStyle name="Normal 23 54 10" xfId="19785"/>
    <cellStyle name="Normal 23 54 11" xfId="19786"/>
    <cellStyle name="Normal 23 54 12" xfId="19787"/>
    <cellStyle name="Normal 23 54 13" xfId="19788"/>
    <cellStyle name="Normal 23 54 2" xfId="19789"/>
    <cellStyle name="Normal 23 54 3" xfId="19790"/>
    <cellStyle name="Normal 23 54 4" xfId="19791"/>
    <cellStyle name="Normal 23 54 5" xfId="19792"/>
    <cellStyle name="Normal 23 54 6" xfId="19793"/>
    <cellStyle name="Normal 23 54 7" xfId="19794"/>
    <cellStyle name="Normal 23 54 8" xfId="19795"/>
    <cellStyle name="Normal 23 54 9" xfId="19796"/>
    <cellStyle name="Normal 23 55" xfId="19797"/>
    <cellStyle name="Normal 23 55 10" xfId="19798"/>
    <cellStyle name="Normal 23 55 11" xfId="19799"/>
    <cellStyle name="Normal 23 55 12" xfId="19800"/>
    <cellStyle name="Normal 23 55 13" xfId="19801"/>
    <cellStyle name="Normal 23 55 2" xfId="19802"/>
    <cellStyle name="Normal 23 55 3" xfId="19803"/>
    <cellStyle name="Normal 23 55 4" xfId="19804"/>
    <cellStyle name="Normal 23 55 5" xfId="19805"/>
    <cellStyle name="Normal 23 55 6" xfId="19806"/>
    <cellStyle name="Normal 23 55 7" xfId="19807"/>
    <cellStyle name="Normal 23 55 8" xfId="19808"/>
    <cellStyle name="Normal 23 55 9" xfId="19809"/>
    <cellStyle name="Normal 23 56" xfId="19810"/>
    <cellStyle name="Normal 23 56 10" xfId="19811"/>
    <cellStyle name="Normal 23 56 11" xfId="19812"/>
    <cellStyle name="Normal 23 56 12" xfId="19813"/>
    <cellStyle name="Normal 23 56 13" xfId="19814"/>
    <cellStyle name="Normal 23 56 2" xfId="19815"/>
    <cellStyle name="Normal 23 56 3" xfId="19816"/>
    <cellStyle name="Normal 23 56 4" xfId="19817"/>
    <cellStyle name="Normal 23 56 5" xfId="19818"/>
    <cellStyle name="Normal 23 56 6" xfId="19819"/>
    <cellStyle name="Normal 23 56 7" xfId="19820"/>
    <cellStyle name="Normal 23 56 8" xfId="19821"/>
    <cellStyle name="Normal 23 56 9" xfId="19822"/>
    <cellStyle name="Normal 23 57" xfId="19823"/>
    <cellStyle name="Normal 23 57 10" xfId="19824"/>
    <cellStyle name="Normal 23 57 11" xfId="19825"/>
    <cellStyle name="Normal 23 57 12" xfId="19826"/>
    <cellStyle name="Normal 23 57 13" xfId="19827"/>
    <cellStyle name="Normal 23 57 2" xfId="19828"/>
    <cellStyle name="Normal 23 57 3" xfId="19829"/>
    <cellStyle name="Normal 23 57 4" xfId="19830"/>
    <cellStyle name="Normal 23 57 5" xfId="19831"/>
    <cellStyle name="Normal 23 57 6" xfId="19832"/>
    <cellStyle name="Normal 23 57 7" xfId="19833"/>
    <cellStyle name="Normal 23 57 8" xfId="19834"/>
    <cellStyle name="Normal 23 57 9" xfId="19835"/>
    <cellStyle name="Normal 23 58" xfId="19836"/>
    <cellStyle name="Normal 23 58 10" xfId="19837"/>
    <cellStyle name="Normal 23 58 11" xfId="19838"/>
    <cellStyle name="Normal 23 58 12" xfId="19839"/>
    <cellStyle name="Normal 23 58 13" xfId="19840"/>
    <cellStyle name="Normal 23 58 2" xfId="19841"/>
    <cellStyle name="Normal 23 58 3" xfId="19842"/>
    <cellStyle name="Normal 23 58 4" xfId="19843"/>
    <cellStyle name="Normal 23 58 5" xfId="19844"/>
    <cellStyle name="Normal 23 58 6" xfId="19845"/>
    <cellStyle name="Normal 23 58 7" xfId="19846"/>
    <cellStyle name="Normal 23 58 8" xfId="19847"/>
    <cellStyle name="Normal 23 58 9" xfId="19848"/>
    <cellStyle name="Normal 23 59" xfId="19849"/>
    <cellStyle name="Normal 23 59 10" xfId="19850"/>
    <cellStyle name="Normal 23 59 11" xfId="19851"/>
    <cellStyle name="Normal 23 59 12" xfId="19852"/>
    <cellStyle name="Normal 23 59 13" xfId="19853"/>
    <cellStyle name="Normal 23 59 2" xfId="19854"/>
    <cellStyle name="Normal 23 59 3" xfId="19855"/>
    <cellStyle name="Normal 23 59 4" xfId="19856"/>
    <cellStyle name="Normal 23 59 5" xfId="19857"/>
    <cellStyle name="Normal 23 59 6" xfId="19858"/>
    <cellStyle name="Normal 23 59 7" xfId="19859"/>
    <cellStyle name="Normal 23 59 8" xfId="19860"/>
    <cellStyle name="Normal 23 59 9" xfId="19861"/>
    <cellStyle name="Normal 23 6" xfId="19862"/>
    <cellStyle name="Normal 23 6 10" xfId="19863"/>
    <cellStyle name="Normal 23 6 11" xfId="19864"/>
    <cellStyle name="Normal 23 6 12" xfId="19865"/>
    <cellStyle name="Normal 23 6 13" xfId="19866"/>
    <cellStyle name="Normal 23 6 2" xfId="19867"/>
    <cellStyle name="Normal 23 6 3" xfId="19868"/>
    <cellStyle name="Normal 23 6 4" xfId="19869"/>
    <cellStyle name="Normal 23 6 5" xfId="19870"/>
    <cellStyle name="Normal 23 6 6" xfId="19871"/>
    <cellStyle name="Normal 23 6 7" xfId="19872"/>
    <cellStyle name="Normal 23 6 8" xfId="19873"/>
    <cellStyle name="Normal 23 6 9" xfId="19874"/>
    <cellStyle name="Normal 23 60" xfId="19875"/>
    <cellStyle name="Normal 23 60 10" xfId="19876"/>
    <cellStyle name="Normal 23 60 11" xfId="19877"/>
    <cellStyle name="Normal 23 60 12" xfId="19878"/>
    <cellStyle name="Normal 23 60 13" xfId="19879"/>
    <cellStyle name="Normal 23 60 2" xfId="19880"/>
    <cellStyle name="Normal 23 60 3" xfId="19881"/>
    <cellStyle name="Normal 23 60 4" xfId="19882"/>
    <cellStyle name="Normal 23 60 5" xfId="19883"/>
    <cellStyle name="Normal 23 60 6" xfId="19884"/>
    <cellStyle name="Normal 23 60 7" xfId="19885"/>
    <cellStyle name="Normal 23 60 8" xfId="19886"/>
    <cellStyle name="Normal 23 60 9" xfId="19887"/>
    <cellStyle name="Normal 23 61" xfId="19888"/>
    <cellStyle name="Normal 23 61 10" xfId="19889"/>
    <cellStyle name="Normal 23 61 11" xfId="19890"/>
    <cellStyle name="Normal 23 61 12" xfId="19891"/>
    <cellStyle name="Normal 23 61 13" xfId="19892"/>
    <cellStyle name="Normal 23 61 2" xfId="19893"/>
    <cellStyle name="Normal 23 61 3" xfId="19894"/>
    <cellStyle name="Normal 23 61 4" xfId="19895"/>
    <cellStyle name="Normal 23 61 5" xfId="19896"/>
    <cellStyle name="Normal 23 61 6" xfId="19897"/>
    <cellStyle name="Normal 23 61 7" xfId="19898"/>
    <cellStyle name="Normal 23 61 8" xfId="19899"/>
    <cellStyle name="Normal 23 61 9" xfId="19900"/>
    <cellStyle name="Normal 23 62" xfId="19901"/>
    <cellStyle name="Normal 23 62 10" xfId="19902"/>
    <cellStyle name="Normal 23 62 11" xfId="19903"/>
    <cellStyle name="Normal 23 62 12" xfId="19904"/>
    <cellStyle name="Normal 23 62 13" xfId="19905"/>
    <cellStyle name="Normal 23 62 2" xfId="19906"/>
    <cellStyle name="Normal 23 62 3" xfId="19907"/>
    <cellStyle name="Normal 23 62 4" xfId="19908"/>
    <cellStyle name="Normal 23 62 5" xfId="19909"/>
    <cellStyle name="Normal 23 62 6" xfId="19910"/>
    <cellStyle name="Normal 23 62 7" xfId="19911"/>
    <cellStyle name="Normal 23 62 8" xfId="19912"/>
    <cellStyle name="Normal 23 62 9" xfId="19913"/>
    <cellStyle name="Normal 23 63" xfId="19914"/>
    <cellStyle name="Normal 23 63 10" xfId="19915"/>
    <cellStyle name="Normal 23 63 11" xfId="19916"/>
    <cellStyle name="Normal 23 63 12" xfId="19917"/>
    <cellStyle name="Normal 23 63 13" xfId="19918"/>
    <cellStyle name="Normal 23 63 2" xfId="19919"/>
    <cellStyle name="Normal 23 63 3" xfId="19920"/>
    <cellStyle name="Normal 23 63 4" xfId="19921"/>
    <cellStyle name="Normal 23 63 5" xfId="19922"/>
    <cellStyle name="Normal 23 63 6" xfId="19923"/>
    <cellStyle name="Normal 23 63 7" xfId="19924"/>
    <cellStyle name="Normal 23 63 8" xfId="19925"/>
    <cellStyle name="Normal 23 63 9" xfId="19926"/>
    <cellStyle name="Normal 23 64" xfId="19927"/>
    <cellStyle name="Normal 23 64 10" xfId="19928"/>
    <cellStyle name="Normal 23 64 11" xfId="19929"/>
    <cellStyle name="Normal 23 64 12" xfId="19930"/>
    <cellStyle name="Normal 23 64 13" xfId="19931"/>
    <cellStyle name="Normal 23 64 2" xfId="19932"/>
    <cellStyle name="Normal 23 64 3" xfId="19933"/>
    <cellStyle name="Normal 23 64 4" xfId="19934"/>
    <cellStyle name="Normal 23 64 5" xfId="19935"/>
    <cellStyle name="Normal 23 64 6" xfId="19936"/>
    <cellStyle name="Normal 23 64 7" xfId="19937"/>
    <cellStyle name="Normal 23 64 8" xfId="19938"/>
    <cellStyle name="Normal 23 64 9" xfId="19939"/>
    <cellStyle name="Normal 23 65" xfId="19940"/>
    <cellStyle name="Normal 23 65 10" xfId="19941"/>
    <cellStyle name="Normal 23 65 11" xfId="19942"/>
    <cellStyle name="Normal 23 65 12" xfId="19943"/>
    <cellStyle name="Normal 23 65 13" xfId="19944"/>
    <cellStyle name="Normal 23 65 2" xfId="19945"/>
    <cellStyle name="Normal 23 65 3" xfId="19946"/>
    <cellStyle name="Normal 23 65 4" xfId="19947"/>
    <cellStyle name="Normal 23 65 5" xfId="19948"/>
    <cellStyle name="Normal 23 65 6" xfId="19949"/>
    <cellStyle name="Normal 23 65 7" xfId="19950"/>
    <cellStyle name="Normal 23 65 8" xfId="19951"/>
    <cellStyle name="Normal 23 65 9" xfId="19952"/>
    <cellStyle name="Normal 23 66" xfId="19953"/>
    <cellStyle name="Normal 23 66 10" xfId="19954"/>
    <cellStyle name="Normal 23 66 11" xfId="19955"/>
    <cellStyle name="Normal 23 66 12" xfId="19956"/>
    <cellStyle name="Normal 23 66 13" xfId="19957"/>
    <cellStyle name="Normal 23 66 2" xfId="19958"/>
    <cellStyle name="Normal 23 66 3" xfId="19959"/>
    <cellStyle name="Normal 23 66 4" xfId="19960"/>
    <cellStyle name="Normal 23 66 5" xfId="19961"/>
    <cellStyle name="Normal 23 66 6" xfId="19962"/>
    <cellStyle name="Normal 23 66 7" xfId="19963"/>
    <cellStyle name="Normal 23 66 8" xfId="19964"/>
    <cellStyle name="Normal 23 66 9" xfId="19965"/>
    <cellStyle name="Normal 23 67" xfId="19966"/>
    <cellStyle name="Normal 23 67 10" xfId="19967"/>
    <cellStyle name="Normal 23 67 11" xfId="19968"/>
    <cellStyle name="Normal 23 67 12" xfId="19969"/>
    <cellStyle name="Normal 23 67 13" xfId="19970"/>
    <cellStyle name="Normal 23 67 2" xfId="19971"/>
    <cellStyle name="Normal 23 67 3" xfId="19972"/>
    <cellStyle name="Normal 23 67 4" xfId="19973"/>
    <cellStyle name="Normal 23 67 5" xfId="19974"/>
    <cellStyle name="Normal 23 67 6" xfId="19975"/>
    <cellStyle name="Normal 23 67 7" xfId="19976"/>
    <cellStyle name="Normal 23 67 8" xfId="19977"/>
    <cellStyle name="Normal 23 67 9" xfId="19978"/>
    <cellStyle name="Normal 23 68" xfId="19979"/>
    <cellStyle name="Normal 23 68 10" xfId="19980"/>
    <cellStyle name="Normal 23 68 11" xfId="19981"/>
    <cellStyle name="Normal 23 68 12" xfId="19982"/>
    <cellStyle name="Normal 23 68 13" xfId="19983"/>
    <cellStyle name="Normal 23 68 2" xfId="19984"/>
    <cellStyle name="Normal 23 68 3" xfId="19985"/>
    <cellStyle name="Normal 23 68 4" xfId="19986"/>
    <cellStyle name="Normal 23 68 5" xfId="19987"/>
    <cellStyle name="Normal 23 68 6" xfId="19988"/>
    <cellStyle name="Normal 23 68 7" xfId="19989"/>
    <cellStyle name="Normal 23 68 8" xfId="19990"/>
    <cellStyle name="Normal 23 68 9" xfId="19991"/>
    <cellStyle name="Normal 23 69" xfId="19992"/>
    <cellStyle name="Normal 23 69 10" xfId="19993"/>
    <cellStyle name="Normal 23 69 11" xfId="19994"/>
    <cellStyle name="Normal 23 69 12" xfId="19995"/>
    <cellStyle name="Normal 23 69 13" xfId="19996"/>
    <cellStyle name="Normal 23 69 2" xfId="19997"/>
    <cellStyle name="Normal 23 69 3" xfId="19998"/>
    <cellStyle name="Normal 23 69 4" xfId="19999"/>
    <cellStyle name="Normal 23 69 5" xfId="20000"/>
    <cellStyle name="Normal 23 69 6" xfId="20001"/>
    <cellStyle name="Normal 23 69 7" xfId="20002"/>
    <cellStyle name="Normal 23 69 8" xfId="20003"/>
    <cellStyle name="Normal 23 69 9" xfId="20004"/>
    <cellStyle name="Normal 23 7" xfId="20005"/>
    <cellStyle name="Normal 23 7 10" xfId="20006"/>
    <cellStyle name="Normal 23 7 11" xfId="20007"/>
    <cellStyle name="Normal 23 7 12" xfId="20008"/>
    <cellStyle name="Normal 23 7 13" xfId="20009"/>
    <cellStyle name="Normal 23 7 2" xfId="20010"/>
    <cellStyle name="Normal 23 7 3" xfId="20011"/>
    <cellStyle name="Normal 23 7 4" xfId="20012"/>
    <cellStyle name="Normal 23 7 5" xfId="20013"/>
    <cellStyle name="Normal 23 7 6" xfId="20014"/>
    <cellStyle name="Normal 23 7 7" xfId="20015"/>
    <cellStyle name="Normal 23 7 8" xfId="20016"/>
    <cellStyle name="Normal 23 7 9" xfId="20017"/>
    <cellStyle name="Normal 23 70" xfId="20018"/>
    <cellStyle name="Normal 23 70 10" xfId="20019"/>
    <cellStyle name="Normal 23 70 11" xfId="20020"/>
    <cellStyle name="Normal 23 70 12" xfId="20021"/>
    <cellStyle name="Normal 23 70 13" xfId="20022"/>
    <cellStyle name="Normal 23 70 2" xfId="20023"/>
    <cellStyle name="Normal 23 70 3" xfId="20024"/>
    <cellStyle name="Normal 23 70 4" xfId="20025"/>
    <cellStyle name="Normal 23 70 5" xfId="20026"/>
    <cellStyle name="Normal 23 70 6" xfId="20027"/>
    <cellStyle name="Normal 23 70 7" xfId="20028"/>
    <cellStyle name="Normal 23 70 8" xfId="20029"/>
    <cellStyle name="Normal 23 70 9" xfId="20030"/>
    <cellStyle name="Normal 23 71" xfId="20031"/>
    <cellStyle name="Normal 23 71 10" xfId="20032"/>
    <cellStyle name="Normal 23 71 11" xfId="20033"/>
    <cellStyle name="Normal 23 71 12" xfId="20034"/>
    <cellStyle name="Normal 23 71 13" xfId="20035"/>
    <cellStyle name="Normal 23 71 2" xfId="20036"/>
    <cellStyle name="Normal 23 71 3" xfId="20037"/>
    <cellStyle name="Normal 23 71 4" xfId="20038"/>
    <cellStyle name="Normal 23 71 5" xfId="20039"/>
    <cellStyle name="Normal 23 71 6" xfId="20040"/>
    <cellStyle name="Normal 23 71 7" xfId="20041"/>
    <cellStyle name="Normal 23 71 8" xfId="20042"/>
    <cellStyle name="Normal 23 71 9" xfId="20043"/>
    <cellStyle name="Normal 23 72" xfId="20044"/>
    <cellStyle name="Normal 23 73" xfId="20045"/>
    <cellStyle name="Normal 23 74" xfId="20046"/>
    <cellStyle name="Normal 23 75" xfId="20047"/>
    <cellStyle name="Normal 23 76" xfId="20048"/>
    <cellStyle name="Normal 23 77" xfId="20049"/>
    <cellStyle name="Normal 23 78" xfId="20050"/>
    <cellStyle name="Normal 23 79" xfId="20051"/>
    <cellStyle name="Normal 23 8" xfId="20052"/>
    <cellStyle name="Normal 23 8 10" xfId="20053"/>
    <cellStyle name="Normal 23 8 11" xfId="20054"/>
    <cellStyle name="Normal 23 8 12" xfId="20055"/>
    <cellStyle name="Normal 23 8 13" xfId="20056"/>
    <cellStyle name="Normal 23 8 2" xfId="20057"/>
    <cellStyle name="Normal 23 8 3" xfId="20058"/>
    <cellStyle name="Normal 23 8 4" xfId="20059"/>
    <cellStyle name="Normal 23 8 5" xfId="20060"/>
    <cellStyle name="Normal 23 8 6" xfId="20061"/>
    <cellStyle name="Normal 23 8 7" xfId="20062"/>
    <cellStyle name="Normal 23 8 8" xfId="20063"/>
    <cellStyle name="Normal 23 8 9" xfId="20064"/>
    <cellStyle name="Normal 23 80" xfId="20065"/>
    <cellStyle name="Normal 23 81" xfId="20066"/>
    <cellStyle name="Normal 23 82" xfId="20067"/>
    <cellStyle name="Normal 23 83" xfId="20068"/>
    <cellStyle name="Normal 23 9" xfId="20069"/>
    <cellStyle name="Normal 23 9 10" xfId="20070"/>
    <cellStyle name="Normal 23 9 11" xfId="20071"/>
    <cellStyle name="Normal 23 9 12" xfId="20072"/>
    <cellStyle name="Normal 23 9 13" xfId="20073"/>
    <cellStyle name="Normal 23 9 2" xfId="20074"/>
    <cellStyle name="Normal 23 9 3" xfId="20075"/>
    <cellStyle name="Normal 23 9 4" xfId="20076"/>
    <cellStyle name="Normal 23 9 5" xfId="20077"/>
    <cellStyle name="Normal 23 9 6" xfId="20078"/>
    <cellStyle name="Normal 23 9 7" xfId="20079"/>
    <cellStyle name="Normal 23 9 8" xfId="20080"/>
    <cellStyle name="Normal 23 9 9" xfId="20081"/>
    <cellStyle name="Normal 24" xfId="20082"/>
    <cellStyle name="Normal 24 10" xfId="20083"/>
    <cellStyle name="Normal 24 10 10" xfId="20084"/>
    <cellStyle name="Normal 24 10 11" xfId="20085"/>
    <cellStyle name="Normal 24 10 12" xfId="20086"/>
    <cellStyle name="Normal 24 10 13" xfId="20087"/>
    <cellStyle name="Normal 24 10 2" xfId="20088"/>
    <cellStyle name="Normal 24 10 3" xfId="20089"/>
    <cellStyle name="Normal 24 10 4" xfId="20090"/>
    <cellStyle name="Normal 24 10 5" xfId="20091"/>
    <cellStyle name="Normal 24 10 6" xfId="20092"/>
    <cellStyle name="Normal 24 10 7" xfId="20093"/>
    <cellStyle name="Normal 24 10 8" xfId="20094"/>
    <cellStyle name="Normal 24 10 9" xfId="20095"/>
    <cellStyle name="Normal 24 11" xfId="20096"/>
    <cellStyle name="Normal 24 11 10" xfId="20097"/>
    <cellStyle name="Normal 24 11 11" xfId="20098"/>
    <cellStyle name="Normal 24 11 12" xfId="20099"/>
    <cellStyle name="Normal 24 11 13" xfId="20100"/>
    <cellStyle name="Normal 24 11 2" xfId="20101"/>
    <cellStyle name="Normal 24 11 3" xfId="20102"/>
    <cellStyle name="Normal 24 11 4" xfId="20103"/>
    <cellStyle name="Normal 24 11 5" xfId="20104"/>
    <cellStyle name="Normal 24 11 6" xfId="20105"/>
    <cellStyle name="Normal 24 11 7" xfId="20106"/>
    <cellStyle name="Normal 24 11 8" xfId="20107"/>
    <cellStyle name="Normal 24 11 9" xfId="20108"/>
    <cellStyle name="Normal 24 12" xfId="20109"/>
    <cellStyle name="Normal 24 12 10" xfId="20110"/>
    <cellStyle name="Normal 24 12 11" xfId="20111"/>
    <cellStyle name="Normal 24 12 12" xfId="20112"/>
    <cellStyle name="Normal 24 12 13" xfId="20113"/>
    <cellStyle name="Normal 24 12 2" xfId="20114"/>
    <cellStyle name="Normal 24 12 3" xfId="20115"/>
    <cellStyle name="Normal 24 12 4" xfId="20116"/>
    <cellStyle name="Normal 24 12 5" xfId="20117"/>
    <cellStyle name="Normal 24 12 6" xfId="20118"/>
    <cellStyle name="Normal 24 12 7" xfId="20119"/>
    <cellStyle name="Normal 24 12 8" xfId="20120"/>
    <cellStyle name="Normal 24 12 9" xfId="20121"/>
    <cellStyle name="Normal 24 13" xfId="20122"/>
    <cellStyle name="Normal 24 13 10" xfId="20123"/>
    <cellStyle name="Normal 24 13 11" xfId="20124"/>
    <cellStyle name="Normal 24 13 12" xfId="20125"/>
    <cellStyle name="Normal 24 13 13" xfId="20126"/>
    <cellStyle name="Normal 24 13 2" xfId="20127"/>
    <cellStyle name="Normal 24 13 3" xfId="20128"/>
    <cellStyle name="Normal 24 13 4" xfId="20129"/>
    <cellStyle name="Normal 24 13 5" xfId="20130"/>
    <cellStyle name="Normal 24 13 6" xfId="20131"/>
    <cellStyle name="Normal 24 13 7" xfId="20132"/>
    <cellStyle name="Normal 24 13 8" xfId="20133"/>
    <cellStyle name="Normal 24 13 9" xfId="20134"/>
    <cellStyle name="Normal 24 14" xfId="20135"/>
    <cellStyle name="Normal 24 14 10" xfId="20136"/>
    <cellStyle name="Normal 24 14 11" xfId="20137"/>
    <cellStyle name="Normal 24 14 12" xfId="20138"/>
    <cellStyle name="Normal 24 14 13" xfId="20139"/>
    <cellStyle name="Normal 24 14 2" xfId="20140"/>
    <cellStyle name="Normal 24 14 3" xfId="20141"/>
    <cellStyle name="Normal 24 14 4" xfId="20142"/>
    <cellStyle name="Normal 24 14 5" xfId="20143"/>
    <cellStyle name="Normal 24 14 6" xfId="20144"/>
    <cellStyle name="Normal 24 14 7" xfId="20145"/>
    <cellStyle name="Normal 24 14 8" xfId="20146"/>
    <cellStyle name="Normal 24 14 9" xfId="20147"/>
    <cellStyle name="Normal 24 15" xfId="20148"/>
    <cellStyle name="Normal 24 15 10" xfId="20149"/>
    <cellStyle name="Normal 24 15 11" xfId="20150"/>
    <cellStyle name="Normal 24 15 12" xfId="20151"/>
    <cellStyle name="Normal 24 15 13" xfId="20152"/>
    <cellStyle name="Normal 24 15 2" xfId="20153"/>
    <cellStyle name="Normal 24 15 3" xfId="20154"/>
    <cellStyle name="Normal 24 15 4" xfId="20155"/>
    <cellStyle name="Normal 24 15 5" xfId="20156"/>
    <cellStyle name="Normal 24 15 6" xfId="20157"/>
    <cellStyle name="Normal 24 15 7" xfId="20158"/>
    <cellStyle name="Normal 24 15 8" xfId="20159"/>
    <cellStyle name="Normal 24 15 9" xfId="20160"/>
    <cellStyle name="Normal 24 16" xfId="20161"/>
    <cellStyle name="Normal 24 16 10" xfId="20162"/>
    <cellStyle name="Normal 24 16 11" xfId="20163"/>
    <cellStyle name="Normal 24 16 12" xfId="20164"/>
    <cellStyle name="Normal 24 16 13" xfId="20165"/>
    <cellStyle name="Normal 24 16 2" xfId="20166"/>
    <cellStyle name="Normal 24 16 3" xfId="20167"/>
    <cellStyle name="Normal 24 16 4" xfId="20168"/>
    <cellStyle name="Normal 24 16 5" xfId="20169"/>
    <cellStyle name="Normal 24 16 6" xfId="20170"/>
    <cellStyle name="Normal 24 16 7" xfId="20171"/>
    <cellStyle name="Normal 24 16 8" xfId="20172"/>
    <cellStyle name="Normal 24 16 9" xfId="20173"/>
    <cellStyle name="Normal 24 17" xfId="20174"/>
    <cellStyle name="Normal 24 17 10" xfId="20175"/>
    <cellStyle name="Normal 24 17 11" xfId="20176"/>
    <cellStyle name="Normal 24 17 12" xfId="20177"/>
    <cellStyle name="Normal 24 17 13" xfId="20178"/>
    <cellStyle name="Normal 24 17 2" xfId="20179"/>
    <cellStyle name="Normal 24 17 3" xfId="20180"/>
    <cellStyle name="Normal 24 17 4" xfId="20181"/>
    <cellStyle name="Normal 24 17 5" xfId="20182"/>
    <cellStyle name="Normal 24 17 6" xfId="20183"/>
    <cellStyle name="Normal 24 17 7" xfId="20184"/>
    <cellStyle name="Normal 24 17 8" xfId="20185"/>
    <cellStyle name="Normal 24 17 9" xfId="20186"/>
    <cellStyle name="Normal 24 18" xfId="20187"/>
    <cellStyle name="Normal 24 18 10" xfId="20188"/>
    <cellStyle name="Normal 24 18 11" xfId="20189"/>
    <cellStyle name="Normal 24 18 12" xfId="20190"/>
    <cellStyle name="Normal 24 18 13" xfId="20191"/>
    <cellStyle name="Normal 24 18 2" xfId="20192"/>
    <cellStyle name="Normal 24 18 3" xfId="20193"/>
    <cellStyle name="Normal 24 18 4" xfId="20194"/>
    <cellStyle name="Normal 24 18 5" xfId="20195"/>
    <cellStyle name="Normal 24 18 6" xfId="20196"/>
    <cellStyle name="Normal 24 18 7" xfId="20197"/>
    <cellStyle name="Normal 24 18 8" xfId="20198"/>
    <cellStyle name="Normal 24 18 9" xfId="20199"/>
    <cellStyle name="Normal 24 19" xfId="20200"/>
    <cellStyle name="Normal 24 19 10" xfId="20201"/>
    <cellStyle name="Normal 24 19 11" xfId="20202"/>
    <cellStyle name="Normal 24 19 12" xfId="20203"/>
    <cellStyle name="Normal 24 19 13" xfId="20204"/>
    <cellStyle name="Normal 24 19 2" xfId="20205"/>
    <cellStyle name="Normal 24 19 3" xfId="20206"/>
    <cellStyle name="Normal 24 19 4" xfId="20207"/>
    <cellStyle name="Normal 24 19 5" xfId="20208"/>
    <cellStyle name="Normal 24 19 6" xfId="20209"/>
    <cellStyle name="Normal 24 19 7" xfId="20210"/>
    <cellStyle name="Normal 24 19 8" xfId="20211"/>
    <cellStyle name="Normal 24 19 9" xfId="20212"/>
    <cellStyle name="Normal 24 2" xfId="20213"/>
    <cellStyle name="Normal 24 2 10" xfId="20214"/>
    <cellStyle name="Normal 24 2 11" xfId="20215"/>
    <cellStyle name="Normal 24 2 12" xfId="20216"/>
    <cellStyle name="Normal 24 2 13" xfId="20217"/>
    <cellStyle name="Normal 24 2 2" xfId="20218"/>
    <cellStyle name="Normal 24 2 3" xfId="20219"/>
    <cellStyle name="Normal 24 2 4" xfId="20220"/>
    <cellStyle name="Normal 24 2 5" xfId="20221"/>
    <cellStyle name="Normal 24 2 6" xfId="20222"/>
    <cellStyle name="Normal 24 2 7" xfId="20223"/>
    <cellStyle name="Normal 24 2 8" xfId="20224"/>
    <cellStyle name="Normal 24 2 9" xfId="20225"/>
    <cellStyle name="Normal 24 20" xfId="20226"/>
    <cellStyle name="Normal 24 20 10" xfId="20227"/>
    <cellStyle name="Normal 24 20 11" xfId="20228"/>
    <cellStyle name="Normal 24 20 12" xfId="20229"/>
    <cellStyle name="Normal 24 20 13" xfId="20230"/>
    <cellStyle name="Normal 24 20 2" xfId="20231"/>
    <cellStyle name="Normal 24 20 3" xfId="20232"/>
    <cellStyle name="Normal 24 20 4" xfId="20233"/>
    <cellStyle name="Normal 24 20 5" xfId="20234"/>
    <cellStyle name="Normal 24 20 6" xfId="20235"/>
    <cellStyle name="Normal 24 20 7" xfId="20236"/>
    <cellStyle name="Normal 24 20 8" xfId="20237"/>
    <cellStyle name="Normal 24 20 9" xfId="20238"/>
    <cellStyle name="Normal 24 21" xfId="20239"/>
    <cellStyle name="Normal 24 21 10" xfId="20240"/>
    <cellStyle name="Normal 24 21 11" xfId="20241"/>
    <cellStyle name="Normal 24 21 12" xfId="20242"/>
    <cellStyle name="Normal 24 21 13" xfId="20243"/>
    <cellStyle name="Normal 24 21 2" xfId="20244"/>
    <cellStyle name="Normal 24 21 3" xfId="20245"/>
    <cellStyle name="Normal 24 21 4" xfId="20246"/>
    <cellStyle name="Normal 24 21 5" xfId="20247"/>
    <cellStyle name="Normal 24 21 6" xfId="20248"/>
    <cellStyle name="Normal 24 21 7" xfId="20249"/>
    <cellStyle name="Normal 24 21 8" xfId="20250"/>
    <cellStyle name="Normal 24 21 9" xfId="20251"/>
    <cellStyle name="Normal 24 22" xfId="20252"/>
    <cellStyle name="Normal 24 22 10" xfId="20253"/>
    <cellStyle name="Normal 24 22 11" xfId="20254"/>
    <cellStyle name="Normal 24 22 12" xfId="20255"/>
    <cellStyle name="Normal 24 22 13" xfId="20256"/>
    <cellStyle name="Normal 24 22 2" xfId="20257"/>
    <cellStyle name="Normal 24 22 3" xfId="20258"/>
    <cellStyle name="Normal 24 22 4" xfId="20259"/>
    <cellStyle name="Normal 24 22 5" xfId="20260"/>
    <cellStyle name="Normal 24 22 6" xfId="20261"/>
    <cellStyle name="Normal 24 22 7" xfId="20262"/>
    <cellStyle name="Normal 24 22 8" xfId="20263"/>
    <cellStyle name="Normal 24 22 9" xfId="20264"/>
    <cellStyle name="Normal 24 23" xfId="20265"/>
    <cellStyle name="Normal 24 23 10" xfId="20266"/>
    <cellStyle name="Normal 24 23 11" xfId="20267"/>
    <cellStyle name="Normal 24 23 12" xfId="20268"/>
    <cellStyle name="Normal 24 23 13" xfId="20269"/>
    <cellStyle name="Normal 24 23 2" xfId="20270"/>
    <cellStyle name="Normal 24 23 3" xfId="20271"/>
    <cellStyle name="Normal 24 23 4" xfId="20272"/>
    <cellStyle name="Normal 24 23 5" xfId="20273"/>
    <cellStyle name="Normal 24 23 6" xfId="20274"/>
    <cellStyle name="Normal 24 23 7" xfId="20275"/>
    <cellStyle name="Normal 24 23 8" xfId="20276"/>
    <cellStyle name="Normal 24 23 9" xfId="20277"/>
    <cellStyle name="Normal 24 24" xfId="20278"/>
    <cellStyle name="Normal 24 24 10" xfId="20279"/>
    <cellStyle name="Normal 24 24 11" xfId="20280"/>
    <cellStyle name="Normal 24 24 12" xfId="20281"/>
    <cellStyle name="Normal 24 24 13" xfId="20282"/>
    <cellStyle name="Normal 24 24 2" xfId="20283"/>
    <cellStyle name="Normal 24 24 3" xfId="20284"/>
    <cellStyle name="Normal 24 24 4" xfId="20285"/>
    <cellStyle name="Normal 24 24 5" xfId="20286"/>
    <cellStyle name="Normal 24 24 6" xfId="20287"/>
    <cellStyle name="Normal 24 24 7" xfId="20288"/>
    <cellStyle name="Normal 24 24 8" xfId="20289"/>
    <cellStyle name="Normal 24 24 9" xfId="20290"/>
    <cellStyle name="Normal 24 25" xfId="20291"/>
    <cellStyle name="Normal 24 25 10" xfId="20292"/>
    <cellStyle name="Normal 24 25 11" xfId="20293"/>
    <cellStyle name="Normal 24 25 12" xfId="20294"/>
    <cellStyle name="Normal 24 25 13" xfId="20295"/>
    <cellStyle name="Normal 24 25 2" xfId="20296"/>
    <cellStyle name="Normal 24 25 3" xfId="20297"/>
    <cellStyle name="Normal 24 25 4" xfId="20298"/>
    <cellStyle name="Normal 24 25 5" xfId="20299"/>
    <cellStyle name="Normal 24 25 6" xfId="20300"/>
    <cellStyle name="Normal 24 25 7" xfId="20301"/>
    <cellStyle name="Normal 24 25 8" xfId="20302"/>
    <cellStyle name="Normal 24 25 9" xfId="20303"/>
    <cellStyle name="Normal 24 26" xfId="20304"/>
    <cellStyle name="Normal 24 26 10" xfId="20305"/>
    <cellStyle name="Normal 24 26 11" xfId="20306"/>
    <cellStyle name="Normal 24 26 12" xfId="20307"/>
    <cellStyle name="Normal 24 26 13" xfId="20308"/>
    <cellStyle name="Normal 24 26 2" xfId="20309"/>
    <cellStyle name="Normal 24 26 3" xfId="20310"/>
    <cellStyle name="Normal 24 26 4" xfId="20311"/>
    <cellStyle name="Normal 24 26 5" xfId="20312"/>
    <cellStyle name="Normal 24 26 6" xfId="20313"/>
    <cellStyle name="Normal 24 26 7" xfId="20314"/>
    <cellStyle name="Normal 24 26 8" xfId="20315"/>
    <cellStyle name="Normal 24 26 9" xfId="20316"/>
    <cellStyle name="Normal 24 27" xfId="20317"/>
    <cellStyle name="Normal 24 27 10" xfId="20318"/>
    <cellStyle name="Normal 24 27 11" xfId="20319"/>
    <cellStyle name="Normal 24 27 12" xfId="20320"/>
    <cellStyle name="Normal 24 27 13" xfId="20321"/>
    <cellStyle name="Normal 24 27 2" xfId="20322"/>
    <cellStyle name="Normal 24 27 3" xfId="20323"/>
    <cellStyle name="Normal 24 27 4" xfId="20324"/>
    <cellStyle name="Normal 24 27 5" xfId="20325"/>
    <cellStyle name="Normal 24 27 6" xfId="20326"/>
    <cellStyle name="Normal 24 27 7" xfId="20327"/>
    <cellStyle name="Normal 24 27 8" xfId="20328"/>
    <cellStyle name="Normal 24 27 9" xfId="20329"/>
    <cellStyle name="Normal 24 28" xfId="20330"/>
    <cellStyle name="Normal 24 28 10" xfId="20331"/>
    <cellStyle name="Normal 24 28 11" xfId="20332"/>
    <cellStyle name="Normal 24 28 12" xfId="20333"/>
    <cellStyle name="Normal 24 28 13" xfId="20334"/>
    <cellStyle name="Normal 24 28 2" xfId="20335"/>
    <cellStyle name="Normal 24 28 3" xfId="20336"/>
    <cellStyle name="Normal 24 28 4" xfId="20337"/>
    <cellStyle name="Normal 24 28 5" xfId="20338"/>
    <cellStyle name="Normal 24 28 6" xfId="20339"/>
    <cellStyle name="Normal 24 28 7" xfId="20340"/>
    <cellStyle name="Normal 24 28 8" xfId="20341"/>
    <cellStyle name="Normal 24 28 9" xfId="20342"/>
    <cellStyle name="Normal 24 29" xfId="20343"/>
    <cellStyle name="Normal 24 29 10" xfId="20344"/>
    <cellStyle name="Normal 24 29 11" xfId="20345"/>
    <cellStyle name="Normal 24 29 12" xfId="20346"/>
    <cellStyle name="Normal 24 29 13" xfId="20347"/>
    <cellStyle name="Normal 24 29 2" xfId="20348"/>
    <cellStyle name="Normal 24 29 3" xfId="20349"/>
    <cellStyle name="Normal 24 29 4" xfId="20350"/>
    <cellStyle name="Normal 24 29 5" xfId="20351"/>
    <cellStyle name="Normal 24 29 6" xfId="20352"/>
    <cellStyle name="Normal 24 29 7" xfId="20353"/>
    <cellStyle name="Normal 24 29 8" xfId="20354"/>
    <cellStyle name="Normal 24 29 9" xfId="20355"/>
    <cellStyle name="Normal 24 3" xfId="20356"/>
    <cellStyle name="Normal 24 3 10" xfId="20357"/>
    <cellStyle name="Normal 24 3 11" xfId="20358"/>
    <cellStyle name="Normal 24 3 12" xfId="20359"/>
    <cellStyle name="Normal 24 3 13" xfId="20360"/>
    <cellStyle name="Normal 24 3 2" xfId="20361"/>
    <cellStyle name="Normal 24 3 3" xfId="20362"/>
    <cellStyle name="Normal 24 3 4" xfId="20363"/>
    <cellStyle name="Normal 24 3 5" xfId="20364"/>
    <cellStyle name="Normal 24 3 6" xfId="20365"/>
    <cellStyle name="Normal 24 3 7" xfId="20366"/>
    <cellStyle name="Normal 24 3 8" xfId="20367"/>
    <cellStyle name="Normal 24 3 9" xfId="20368"/>
    <cellStyle name="Normal 24 30" xfId="20369"/>
    <cellStyle name="Normal 24 30 10" xfId="20370"/>
    <cellStyle name="Normal 24 30 11" xfId="20371"/>
    <cellStyle name="Normal 24 30 12" xfId="20372"/>
    <cellStyle name="Normal 24 30 13" xfId="20373"/>
    <cellStyle name="Normal 24 30 2" xfId="20374"/>
    <cellStyle name="Normal 24 30 3" xfId="20375"/>
    <cellStyle name="Normal 24 30 4" xfId="20376"/>
    <cellStyle name="Normal 24 30 5" xfId="20377"/>
    <cellStyle name="Normal 24 30 6" xfId="20378"/>
    <cellStyle name="Normal 24 30 7" xfId="20379"/>
    <cellStyle name="Normal 24 30 8" xfId="20380"/>
    <cellStyle name="Normal 24 30 9" xfId="20381"/>
    <cellStyle name="Normal 24 31" xfId="20382"/>
    <cellStyle name="Normal 24 31 10" xfId="20383"/>
    <cellStyle name="Normal 24 31 11" xfId="20384"/>
    <cellStyle name="Normal 24 31 12" xfId="20385"/>
    <cellStyle name="Normal 24 31 13" xfId="20386"/>
    <cellStyle name="Normal 24 31 2" xfId="20387"/>
    <cellStyle name="Normal 24 31 3" xfId="20388"/>
    <cellStyle name="Normal 24 31 4" xfId="20389"/>
    <cellStyle name="Normal 24 31 5" xfId="20390"/>
    <cellStyle name="Normal 24 31 6" xfId="20391"/>
    <cellStyle name="Normal 24 31 7" xfId="20392"/>
    <cellStyle name="Normal 24 31 8" xfId="20393"/>
    <cellStyle name="Normal 24 31 9" xfId="20394"/>
    <cellStyle name="Normal 24 32" xfId="20395"/>
    <cellStyle name="Normal 24 32 10" xfId="20396"/>
    <cellStyle name="Normal 24 32 11" xfId="20397"/>
    <cellStyle name="Normal 24 32 12" xfId="20398"/>
    <cellStyle name="Normal 24 32 13" xfId="20399"/>
    <cellStyle name="Normal 24 32 2" xfId="20400"/>
    <cellStyle name="Normal 24 32 3" xfId="20401"/>
    <cellStyle name="Normal 24 32 4" xfId="20402"/>
    <cellStyle name="Normal 24 32 5" xfId="20403"/>
    <cellStyle name="Normal 24 32 6" xfId="20404"/>
    <cellStyle name="Normal 24 32 7" xfId="20405"/>
    <cellStyle name="Normal 24 32 8" xfId="20406"/>
    <cellStyle name="Normal 24 32 9" xfId="20407"/>
    <cellStyle name="Normal 24 33" xfId="20408"/>
    <cellStyle name="Normal 24 33 10" xfId="20409"/>
    <cellStyle name="Normal 24 33 11" xfId="20410"/>
    <cellStyle name="Normal 24 33 12" xfId="20411"/>
    <cellStyle name="Normal 24 33 13" xfId="20412"/>
    <cellStyle name="Normal 24 33 2" xfId="20413"/>
    <cellStyle name="Normal 24 33 3" xfId="20414"/>
    <cellStyle name="Normal 24 33 4" xfId="20415"/>
    <cellStyle name="Normal 24 33 5" xfId="20416"/>
    <cellStyle name="Normal 24 33 6" xfId="20417"/>
    <cellStyle name="Normal 24 33 7" xfId="20418"/>
    <cellStyle name="Normal 24 33 8" xfId="20419"/>
    <cellStyle name="Normal 24 33 9" xfId="20420"/>
    <cellStyle name="Normal 24 34" xfId="20421"/>
    <cellStyle name="Normal 24 34 10" xfId="20422"/>
    <cellStyle name="Normal 24 34 11" xfId="20423"/>
    <cellStyle name="Normal 24 34 12" xfId="20424"/>
    <cellStyle name="Normal 24 34 13" xfId="20425"/>
    <cellStyle name="Normal 24 34 2" xfId="20426"/>
    <cellStyle name="Normal 24 34 3" xfId="20427"/>
    <cellStyle name="Normal 24 34 4" xfId="20428"/>
    <cellStyle name="Normal 24 34 5" xfId="20429"/>
    <cellStyle name="Normal 24 34 6" xfId="20430"/>
    <cellStyle name="Normal 24 34 7" xfId="20431"/>
    <cellStyle name="Normal 24 34 8" xfId="20432"/>
    <cellStyle name="Normal 24 34 9" xfId="20433"/>
    <cellStyle name="Normal 24 35" xfId="20434"/>
    <cellStyle name="Normal 24 35 10" xfId="20435"/>
    <cellStyle name="Normal 24 35 11" xfId="20436"/>
    <cellStyle name="Normal 24 35 12" xfId="20437"/>
    <cellStyle name="Normal 24 35 13" xfId="20438"/>
    <cellStyle name="Normal 24 35 2" xfId="20439"/>
    <cellStyle name="Normal 24 35 3" xfId="20440"/>
    <cellStyle name="Normal 24 35 4" xfId="20441"/>
    <cellStyle name="Normal 24 35 5" xfId="20442"/>
    <cellStyle name="Normal 24 35 6" xfId="20443"/>
    <cellStyle name="Normal 24 35 7" xfId="20444"/>
    <cellStyle name="Normal 24 35 8" xfId="20445"/>
    <cellStyle name="Normal 24 35 9" xfId="20446"/>
    <cellStyle name="Normal 24 36" xfId="20447"/>
    <cellStyle name="Normal 24 36 10" xfId="20448"/>
    <cellStyle name="Normal 24 36 11" xfId="20449"/>
    <cellStyle name="Normal 24 36 12" xfId="20450"/>
    <cellStyle name="Normal 24 36 13" xfId="20451"/>
    <cellStyle name="Normal 24 36 2" xfId="20452"/>
    <cellStyle name="Normal 24 36 3" xfId="20453"/>
    <cellStyle name="Normal 24 36 4" xfId="20454"/>
    <cellStyle name="Normal 24 36 5" xfId="20455"/>
    <cellStyle name="Normal 24 36 6" xfId="20456"/>
    <cellStyle name="Normal 24 36 7" xfId="20457"/>
    <cellStyle name="Normal 24 36 8" xfId="20458"/>
    <cellStyle name="Normal 24 36 9" xfId="20459"/>
    <cellStyle name="Normal 24 37" xfId="20460"/>
    <cellStyle name="Normal 24 37 10" xfId="20461"/>
    <cellStyle name="Normal 24 37 11" xfId="20462"/>
    <cellStyle name="Normal 24 37 12" xfId="20463"/>
    <cellStyle name="Normal 24 37 13" xfId="20464"/>
    <cellStyle name="Normal 24 37 2" xfId="20465"/>
    <cellStyle name="Normal 24 37 3" xfId="20466"/>
    <cellStyle name="Normal 24 37 4" xfId="20467"/>
    <cellStyle name="Normal 24 37 5" xfId="20468"/>
    <cellStyle name="Normal 24 37 6" xfId="20469"/>
    <cellStyle name="Normal 24 37 7" xfId="20470"/>
    <cellStyle name="Normal 24 37 8" xfId="20471"/>
    <cellStyle name="Normal 24 37 9" xfId="20472"/>
    <cellStyle name="Normal 24 38" xfId="20473"/>
    <cellStyle name="Normal 24 38 10" xfId="20474"/>
    <cellStyle name="Normal 24 38 11" xfId="20475"/>
    <cellStyle name="Normal 24 38 12" xfId="20476"/>
    <cellStyle name="Normal 24 38 13" xfId="20477"/>
    <cellStyle name="Normal 24 38 2" xfId="20478"/>
    <cellStyle name="Normal 24 38 3" xfId="20479"/>
    <cellStyle name="Normal 24 38 4" xfId="20480"/>
    <cellStyle name="Normal 24 38 5" xfId="20481"/>
    <cellStyle name="Normal 24 38 6" xfId="20482"/>
    <cellStyle name="Normal 24 38 7" xfId="20483"/>
    <cellStyle name="Normal 24 38 8" xfId="20484"/>
    <cellStyle name="Normal 24 38 9" xfId="20485"/>
    <cellStyle name="Normal 24 39" xfId="20486"/>
    <cellStyle name="Normal 24 39 10" xfId="20487"/>
    <cellStyle name="Normal 24 39 11" xfId="20488"/>
    <cellStyle name="Normal 24 39 12" xfId="20489"/>
    <cellStyle name="Normal 24 39 13" xfId="20490"/>
    <cellStyle name="Normal 24 39 2" xfId="20491"/>
    <cellStyle name="Normal 24 39 3" xfId="20492"/>
    <cellStyle name="Normal 24 39 4" xfId="20493"/>
    <cellStyle name="Normal 24 39 5" xfId="20494"/>
    <cellStyle name="Normal 24 39 6" xfId="20495"/>
    <cellStyle name="Normal 24 39 7" xfId="20496"/>
    <cellStyle name="Normal 24 39 8" xfId="20497"/>
    <cellStyle name="Normal 24 39 9" xfId="20498"/>
    <cellStyle name="Normal 24 4" xfId="20499"/>
    <cellStyle name="Normal 24 4 10" xfId="20500"/>
    <cellStyle name="Normal 24 4 11" xfId="20501"/>
    <cellStyle name="Normal 24 4 12" xfId="20502"/>
    <cellStyle name="Normal 24 4 13" xfId="20503"/>
    <cellStyle name="Normal 24 4 2" xfId="20504"/>
    <cellStyle name="Normal 24 4 3" xfId="20505"/>
    <cellStyle name="Normal 24 4 4" xfId="20506"/>
    <cellStyle name="Normal 24 4 5" xfId="20507"/>
    <cellStyle name="Normal 24 4 6" xfId="20508"/>
    <cellStyle name="Normal 24 4 7" xfId="20509"/>
    <cellStyle name="Normal 24 4 8" xfId="20510"/>
    <cellStyle name="Normal 24 4 9" xfId="20511"/>
    <cellStyle name="Normal 24 40" xfId="20512"/>
    <cellStyle name="Normal 24 40 10" xfId="20513"/>
    <cellStyle name="Normal 24 40 11" xfId="20514"/>
    <cellStyle name="Normal 24 40 12" xfId="20515"/>
    <cellStyle name="Normal 24 40 13" xfId="20516"/>
    <cellStyle name="Normal 24 40 2" xfId="20517"/>
    <cellStyle name="Normal 24 40 3" xfId="20518"/>
    <cellStyle name="Normal 24 40 4" xfId="20519"/>
    <cellStyle name="Normal 24 40 5" xfId="20520"/>
    <cellStyle name="Normal 24 40 6" xfId="20521"/>
    <cellStyle name="Normal 24 40 7" xfId="20522"/>
    <cellStyle name="Normal 24 40 8" xfId="20523"/>
    <cellStyle name="Normal 24 40 9" xfId="20524"/>
    <cellStyle name="Normal 24 41" xfId="20525"/>
    <cellStyle name="Normal 24 41 10" xfId="20526"/>
    <cellStyle name="Normal 24 41 11" xfId="20527"/>
    <cellStyle name="Normal 24 41 12" xfId="20528"/>
    <cellStyle name="Normal 24 41 13" xfId="20529"/>
    <cellStyle name="Normal 24 41 2" xfId="20530"/>
    <cellStyle name="Normal 24 41 3" xfId="20531"/>
    <cellStyle name="Normal 24 41 4" xfId="20532"/>
    <cellStyle name="Normal 24 41 5" xfId="20533"/>
    <cellStyle name="Normal 24 41 6" xfId="20534"/>
    <cellStyle name="Normal 24 41 7" xfId="20535"/>
    <cellStyle name="Normal 24 41 8" xfId="20536"/>
    <cellStyle name="Normal 24 41 9" xfId="20537"/>
    <cellStyle name="Normal 24 42" xfId="20538"/>
    <cellStyle name="Normal 24 42 10" xfId="20539"/>
    <cellStyle name="Normal 24 42 11" xfId="20540"/>
    <cellStyle name="Normal 24 42 12" xfId="20541"/>
    <cellStyle name="Normal 24 42 13" xfId="20542"/>
    <cellStyle name="Normal 24 42 2" xfId="20543"/>
    <cellStyle name="Normal 24 42 3" xfId="20544"/>
    <cellStyle name="Normal 24 42 4" xfId="20545"/>
    <cellStyle name="Normal 24 42 5" xfId="20546"/>
    <cellStyle name="Normal 24 42 6" xfId="20547"/>
    <cellStyle name="Normal 24 42 7" xfId="20548"/>
    <cellStyle name="Normal 24 42 8" xfId="20549"/>
    <cellStyle name="Normal 24 42 9" xfId="20550"/>
    <cellStyle name="Normal 24 43" xfId="20551"/>
    <cellStyle name="Normal 24 43 10" xfId="20552"/>
    <cellStyle name="Normal 24 43 11" xfId="20553"/>
    <cellStyle name="Normal 24 43 12" xfId="20554"/>
    <cellStyle name="Normal 24 43 13" xfId="20555"/>
    <cellStyle name="Normal 24 43 2" xfId="20556"/>
    <cellStyle name="Normal 24 43 3" xfId="20557"/>
    <cellStyle name="Normal 24 43 4" xfId="20558"/>
    <cellStyle name="Normal 24 43 5" xfId="20559"/>
    <cellStyle name="Normal 24 43 6" xfId="20560"/>
    <cellStyle name="Normal 24 43 7" xfId="20561"/>
    <cellStyle name="Normal 24 43 8" xfId="20562"/>
    <cellStyle name="Normal 24 43 9" xfId="20563"/>
    <cellStyle name="Normal 24 44" xfId="20564"/>
    <cellStyle name="Normal 24 44 10" xfId="20565"/>
    <cellStyle name="Normal 24 44 11" xfId="20566"/>
    <cellStyle name="Normal 24 44 12" xfId="20567"/>
    <cellStyle name="Normal 24 44 13" xfId="20568"/>
    <cellStyle name="Normal 24 44 2" xfId="20569"/>
    <cellStyle name="Normal 24 44 3" xfId="20570"/>
    <cellStyle name="Normal 24 44 4" xfId="20571"/>
    <cellStyle name="Normal 24 44 5" xfId="20572"/>
    <cellStyle name="Normal 24 44 6" xfId="20573"/>
    <cellStyle name="Normal 24 44 7" xfId="20574"/>
    <cellStyle name="Normal 24 44 8" xfId="20575"/>
    <cellStyle name="Normal 24 44 9" xfId="20576"/>
    <cellStyle name="Normal 24 45" xfId="20577"/>
    <cellStyle name="Normal 24 45 10" xfId="20578"/>
    <cellStyle name="Normal 24 45 11" xfId="20579"/>
    <cellStyle name="Normal 24 45 12" xfId="20580"/>
    <cellStyle name="Normal 24 45 13" xfId="20581"/>
    <cellStyle name="Normal 24 45 2" xfId="20582"/>
    <cellStyle name="Normal 24 45 3" xfId="20583"/>
    <cellStyle name="Normal 24 45 4" xfId="20584"/>
    <cellStyle name="Normal 24 45 5" xfId="20585"/>
    <cellStyle name="Normal 24 45 6" xfId="20586"/>
    <cellStyle name="Normal 24 45 7" xfId="20587"/>
    <cellStyle name="Normal 24 45 8" xfId="20588"/>
    <cellStyle name="Normal 24 45 9" xfId="20589"/>
    <cellStyle name="Normal 24 46" xfId="20590"/>
    <cellStyle name="Normal 24 46 10" xfId="20591"/>
    <cellStyle name="Normal 24 46 11" xfId="20592"/>
    <cellStyle name="Normal 24 46 12" xfId="20593"/>
    <cellStyle name="Normal 24 46 13" xfId="20594"/>
    <cellStyle name="Normal 24 46 2" xfId="20595"/>
    <cellStyle name="Normal 24 46 3" xfId="20596"/>
    <cellStyle name="Normal 24 46 4" xfId="20597"/>
    <cellStyle name="Normal 24 46 5" xfId="20598"/>
    <cellStyle name="Normal 24 46 6" xfId="20599"/>
    <cellStyle name="Normal 24 46 7" xfId="20600"/>
    <cellStyle name="Normal 24 46 8" xfId="20601"/>
    <cellStyle name="Normal 24 46 9" xfId="20602"/>
    <cellStyle name="Normal 24 47" xfId="20603"/>
    <cellStyle name="Normal 24 47 10" xfId="20604"/>
    <cellStyle name="Normal 24 47 11" xfId="20605"/>
    <cellStyle name="Normal 24 47 12" xfId="20606"/>
    <cellStyle name="Normal 24 47 13" xfId="20607"/>
    <cellStyle name="Normal 24 47 2" xfId="20608"/>
    <cellStyle name="Normal 24 47 3" xfId="20609"/>
    <cellStyle name="Normal 24 47 4" xfId="20610"/>
    <cellStyle name="Normal 24 47 5" xfId="20611"/>
    <cellStyle name="Normal 24 47 6" xfId="20612"/>
    <cellStyle name="Normal 24 47 7" xfId="20613"/>
    <cellStyle name="Normal 24 47 8" xfId="20614"/>
    <cellStyle name="Normal 24 47 9" xfId="20615"/>
    <cellStyle name="Normal 24 48" xfId="20616"/>
    <cellStyle name="Normal 24 48 10" xfId="20617"/>
    <cellStyle name="Normal 24 48 11" xfId="20618"/>
    <cellStyle name="Normal 24 48 12" xfId="20619"/>
    <cellStyle name="Normal 24 48 13" xfId="20620"/>
    <cellStyle name="Normal 24 48 2" xfId="20621"/>
    <cellStyle name="Normal 24 48 3" xfId="20622"/>
    <cellStyle name="Normal 24 48 4" xfId="20623"/>
    <cellStyle name="Normal 24 48 5" xfId="20624"/>
    <cellStyle name="Normal 24 48 6" xfId="20625"/>
    <cellStyle name="Normal 24 48 7" xfId="20626"/>
    <cellStyle name="Normal 24 48 8" xfId="20627"/>
    <cellStyle name="Normal 24 48 9" xfId="20628"/>
    <cellStyle name="Normal 24 49" xfId="20629"/>
    <cellStyle name="Normal 24 49 10" xfId="20630"/>
    <cellStyle name="Normal 24 49 11" xfId="20631"/>
    <cellStyle name="Normal 24 49 12" xfId="20632"/>
    <cellStyle name="Normal 24 49 13" xfId="20633"/>
    <cellStyle name="Normal 24 49 2" xfId="20634"/>
    <cellStyle name="Normal 24 49 3" xfId="20635"/>
    <cellStyle name="Normal 24 49 4" xfId="20636"/>
    <cellStyle name="Normal 24 49 5" xfId="20637"/>
    <cellStyle name="Normal 24 49 6" xfId="20638"/>
    <cellStyle name="Normal 24 49 7" xfId="20639"/>
    <cellStyle name="Normal 24 49 8" xfId="20640"/>
    <cellStyle name="Normal 24 49 9" xfId="20641"/>
    <cellStyle name="Normal 24 5" xfId="20642"/>
    <cellStyle name="Normal 24 5 10" xfId="20643"/>
    <cellStyle name="Normal 24 5 11" xfId="20644"/>
    <cellStyle name="Normal 24 5 12" xfId="20645"/>
    <cellStyle name="Normal 24 5 13" xfId="20646"/>
    <cellStyle name="Normal 24 5 2" xfId="20647"/>
    <cellStyle name="Normal 24 5 3" xfId="20648"/>
    <cellStyle name="Normal 24 5 4" xfId="20649"/>
    <cellStyle name="Normal 24 5 5" xfId="20650"/>
    <cellStyle name="Normal 24 5 6" xfId="20651"/>
    <cellStyle name="Normal 24 5 7" xfId="20652"/>
    <cellStyle name="Normal 24 5 8" xfId="20653"/>
    <cellStyle name="Normal 24 5 9" xfId="20654"/>
    <cellStyle name="Normal 24 50" xfId="20655"/>
    <cellStyle name="Normal 24 50 10" xfId="20656"/>
    <cellStyle name="Normal 24 50 11" xfId="20657"/>
    <cellStyle name="Normal 24 50 12" xfId="20658"/>
    <cellStyle name="Normal 24 50 13" xfId="20659"/>
    <cellStyle name="Normal 24 50 2" xfId="20660"/>
    <cellStyle name="Normal 24 50 3" xfId="20661"/>
    <cellStyle name="Normal 24 50 4" xfId="20662"/>
    <cellStyle name="Normal 24 50 5" xfId="20663"/>
    <cellStyle name="Normal 24 50 6" xfId="20664"/>
    <cellStyle name="Normal 24 50 7" xfId="20665"/>
    <cellStyle name="Normal 24 50 8" xfId="20666"/>
    <cellStyle name="Normal 24 50 9" xfId="20667"/>
    <cellStyle name="Normal 24 51" xfId="20668"/>
    <cellStyle name="Normal 24 51 10" xfId="20669"/>
    <cellStyle name="Normal 24 51 11" xfId="20670"/>
    <cellStyle name="Normal 24 51 12" xfId="20671"/>
    <cellStyle name="Normal 24 51 13" xfId="20672"/>
    <cellStyle name="Normal 24 51 2" xfId="20673"/>
    <cellStyle name="Normal 24 51 3" xfId="20674"/>
    <cellStyle name="Normal 24 51 4" xfId="20675"/>
    <cellStyle name="Normal 24 51 5" xfId="20676"/>
    <cellStyle name="Normal 24 51 6" xfId="20677"/>
    <cellStyle name="Normal 24 51 7" xfId="20678"/>
    <cellStyle name="Normal 24 51 8" xfId="20679"/>
    <cellStyle name="Normal 24 51 9" xfId="20680"/>
    <cellStyle name="Normal 24 52" xfId="20681"/>
    <cellStyle name="Normal 24 52 10" xfId="20682"/>
    <cellStyle name="Normal 24 52 11" xfId="20683"/>
    <cellStyle name="Normal 24 52 12" xfId="20684"/>
    <cellStyle name="Normal 24 52 13" xfId="20685"/>
    <cellStyle name="Normal 24 52 2" xfId="20686"/>
    <cellStyle name="Normal 24 52 3" xfId="20687"/>
    <cellStyle name="Normal 24 52 4" xfId="20688"/>
    <cellStyle name="Normal 24 52 5" xfId="20689"/>
    <cellStyle name="Normal 24 52 6" xfId="20690"/>
    <cellStyle name="Normal 24 52 7" xfId="20691"/>
    <cellStyle name="Normal 24 52 8" xfId="20692"/>
    <cellStyle name="Normal 24 52 9" xfId="20693"/>
    <cellStyle name="Normal 24 53" xfId="20694"/>
    <cellStyle name="Normal 24 53 10" xfId="20695"/>
    <cellStyle name="Normal 24 53 11" xfId="20696"/>
    <cellStyle name="Normal 24 53 12" xfId="20697"/>
    <cellStyle name="Normal 24 53 13" xfId="20698"/>
    <cellStyle name="Normal 24 53 2" xfId="20699"/>
    <cellStyle name="Normal 24 53 3" xfId="20700"/>
    <cellStyle name="Normal 24 53 4" xfId="20701"/>
    <cellStyle name="Normal 24 53 5" xfId="20702"/>
    <cellStyle name="Normal 24 53 6" xfId="20703"/>
    <cellStyle name="Normal 24 53 7" xfId="20704"/>
    <cellStyle name="Normal 24 53 8" xfId="20705"/>
    <cellStyle name="Normal 24 53 9" xfId="20706"/>
    <cellStyle name="Normal 24 54" xfId="20707"/>
    <cellStyle name="Normal 24 54 10" xfId="20708"/>
    <cellStyle name="Normal 24 54 11" xfId="20709"/>
    <cellStyle name="Normal 24 54 12" xfId="20710"/>
    <cellStyle name="Normal 24 54 13" xfId="20711"/>
    <cellStyle name="Normal 24 54 2" xfId="20712"/>
    <cellStyle name="Normal 24 54 3" xfId="20713"/>
    <cellStyle name="Normal 24 54 4" xfId="20714"/>
    <cellStyle name="Normal 24 54 5" xfId="20715"/>
    <cellStyle name="Normal 24 54 6" xfId="20716"/>
    <cellStyle name="Normal 24 54 7" xfId="20717"/>
    <cellStyle name="Normal 24 54 8" xfId="20718"/>
    <cellStyle name="Normal 24 54 9" xfId="20719"/>
    <cellStyle name="Normal 24 55" xfId="20720"/>
    <cellStyle name="Normal 24 55 10" xfId="20721"/>
    <cellStyle name="Normal 24 55 11" xfId="20722"/>
    <cellStyle name="Normal 24 55 12" xfId="20723"/>
    <cellStyle name="Normal 24 55 13" xfId="20724"/>
    <cellStyle name="Normal 24 55 2" xfId="20725"/>
    <cellStyle name="Normal 24 55 3" xfId="20726"/>
    <cellStyle name="Normal 24 55 4" xfId="20727"/>
    <cellStyle name="Normal 24 55 5" xfId="20728"/>
    <cellStyle name="Normal 24 55 6" xfId="20729"/>
    <cellStyle name="Normal 24 55 7" xfId="20730"/>
    <cellStyle name="Normal 24 55 8" xfId="20731"/>
    <cellStyle name="Normal 24 55 9" xfId="20732"/>
    <cellStyle name="Normal 24 56" xfId="20733"/>
    <cellStyle name="Normal 24 56 10" xfId="20734"/>
    <cellStyle name="Normal 24 56 11" xfId="20735"/>
    <cellStyle name="Normal 24 56 12" xfId="20736"/>
    <cellStyle name="Normal 24 56 13" xfId="20737"/>
    <cellStyle name="Normal 24 56 2" xfId="20738"/>
    <cellStyle name="Normal 24 56 3" xfId="20739"/>
    <cellStyle name="Normal 24 56 4" xfId="20740"/>
    <cellStyle name="Normal 24 56 5" xfId="20741"/>
    <cellStyle name="Normal 24 56 6" xfId="20742"/>
    <cellStyle name="Normal 24 56 7" xfId="20743"/>
    <cellStyle name="Normal 24 56 8" xfId="20744"/>
    <cellStyle name="Normal 24 56 9" xfId="20745"/>
    <cellStyle name="Normal 24 57" xfId="20746"/>
    <cellStyle name="Normal 24 57 10" xfId="20747"/>
    <cellStyle name="Normal 24 57 11" xfId="20748"/>
    <cellStyle name="Normal 24 57 12" xfId="20749"/>
    <cellStyle name="Normal 24 57 13" xfId="20750"/>
    <cellStyle name="Normal 24 57 2" xfId="20751"/>
    <cellStyle name="Normal 24 57 3" xfId="20752"/>
    <cellStyle name="Normal 24 57 4" xfId="20753"/>
    <cellStyle name="Normal 24 57 5" xfId="20754"/>
    <cellStyle name="Normal 24 57 6" xfId="20755"/>
    <cellStyle name="Normal 24 57 7" xfId="20756"/>
    <cellStyle name="Normal 24 57 8" xfId="20757"/>
    <cellStyle name="Normal 24 57 9" xfId="20758"/>
    <cellStyle name="Normal 24 58" xfId="20759"/>
    <cellStyle name="Normal 24 58 10" xfId="20760"/>
    <cellStyle name="Normal 24 58 11" xfId="20761"/>
    <cellStyle name="Normal 24 58 12" xfId="20762"/>
    <cellStyle name="Normal 24 58 13" xfId="20763"/>
    <cellStyle name="Normal 24 58 2" xfId="20764"/>
    <cellStyle name="Normal 24 58 3" xfId="20765"/>
    <cellStyle name="Normal 24 58 4" xfId="20766"/>
    <cellStyle name="Normal 24 58 5" xfId="20767"/>
    <cellStyle name="Normal 24 58 6" xfId="20768"/>
    <cellStyle name="Normal 24 58 7" xfId="20769"/>
    <cellStyle name="Normal 24 58 8" xfId="20770"/>
    <cellStyle name="Normal 24 58 9" xfId="20771"/>
    <cellStyle name="Normal 24 59" xfId="20772"/>
    <cellStyle name="Normal 24 59 10" xfId="20773"/>
    <cellStyle name="Normal 24 59 11" xfId="20774"/>
    <cellStyle name="Normal 24 59 12" xfId="20775"/>
    <cellStyle name="Normal 24 59 13" xfId="20776"/>
    <cellStyle name="Normal 24 59 2" xfId="20777"/>
    <cellStyle name="Normal 24 59 3" xfId="20778"/>
    <cellStyle name="Normal 24 59 4" xfId="20779"/>
    <cellStyle name="Normal 24 59 5" xfId="20780"/>
    <cellStyle name="Normal 24 59 6" xfId="20781"/>
    <cellStyle name="Normal 24 59 7" xfId="20782"/>
    <cellStyle name="Normal 24 59 8" xfId="20783"/>
    <cellStyle name="Normal 24 59 9" xfId="20784"/>
    <cellStyle name="Normal 24 6" xfId="20785"/>
    <cellStyle name="Normal 24 6 10" xfId="20786"/>
    <cellStyle name="Normal 24 6 11" xfId="20787"/>
    <cellStyle name="Normal 24 6 12" xfId="20788"/>
    <cellStyle name="Normal 24 6 13" xfId="20789"/>
    <cellStyle name="Normal 24 6 2" xfId="20790"/>
    <cellStyle name="Normal 24 6 3" xfId="20791"/>
    <cellStyle name="Normal 24 6 4" xfId="20792"/>
    <cellStyle name="Normal 24 6 5" xfId="20793"/>
    <cellStyle name="Normal 24 6 6" xfId="20794"/>
    <cellStyle name="Normal 24 6 7" xfId="20795"/>
    <cellStyle name="Normal 24 6 8" xfId="20796"/>
    <cellStyle name="Normal 24 6 9" xfId="20797"/>
    <cellStyle name="Normal 24 60" xfId="20798"/>
    <cellStyle name="Normal 24 60 10" xfId="20799"/>
    <cellStyle name="Normal 24 60 11" xfId="20800"/>
    <cellStyle name="Normal 24 60 12" xfId="20801"/>
    <cellStyle name="Normal 24 60 13" xfId="20802"/>
    <cellStyle name="Normal 24 60 2" xfId="20803"/>
    <cellStyle name="Normal 24 60 3" xfId="20804"/>
    <cellStyle name="Normal 24 60 4" xfId="20805"/>
    <cellStyle name="Normal 24 60 5" xfId="20806"/>
    <cellStyle name="Normal 24 60 6" xfId="20807"/>
    <cellStyle name="Normal 24 60 7" xfId="20808"/>
    <cellStyle name="Normal 24 60 8" xfId="20809"/>
    <cellStyle name="Normal 24 60 9" xfId="20810"/>
    <cellStyle name="Normal 24 61" xfId="20811"/>
    <cellStyle name="Normal 24 61 10" xfId="20812"/>
    <cellStyle name="Normal 24 61 11" xfId="20813"/>
    <cellStyle name="Normal 24 61 12" xfId="20814"/>
    <cellStyle name="Normal 24 61 13" xfId="20815"/>
    <cellStyle name="Normal 24 61 2" xfId="20816"/>
    <cellStyle name="Normal 24 61 3" xfId="20817"/>
    <cellStyle name="Normal 24 61 4" xfId="20818"/>
    <cellStyle name="Normal 24 61 5" xfId="20819"/>
    <cellStyle name="Normal 24 61 6" xfId="20820"/>
    <cellStyle name="Normal 24 61 7" xfId="20821"/>
    <cellStyle name="Normal 24 61 8" xfId="20822"/>
    <cellStyle name="Normal 24 61 9" xfId="20823"/>
    <cellStyle name="Normal 24 62" xfId="20824"/>
    <cellStyle name="Normal 24 62 10" xfId="20825"/>
    <cellStyle name="Normal 24 62 11" xfId="20826"/>
    <cellStyle name="Normal 24 62 12" xfId="20827"/>
    <cellStyle name="Normal 24 62 13" xfId="20828"/>
    <cellStyle name="Normal 24 62 2" xfId="20829"/>
    <cellStyle name="Normal 24 62 3" xfId="20830"/>
    <cellStyle name="Normal 24 62 4" xfId="20831"/>
    <cellStyle name="Normal 24 62 5" xfId="20832"/>
    <cellStyle name="Normal 24 62 6" xfId="20833"/>
    <cellStyle name="Normal 24 62 7" xfId="20834"/>
    <cellStyle name="Normal 24 62 8" xfId="20835"/>
    <cellStyle name="Normal 24 62 9" xfId="20836"/>
    <cellStyle name="Normal 24 63" xfId="20837"/>
    <cellStyle name="Normal 24 63 10" xfId="20838"/>
    <cellStyle name="Normal 24 63 11" xfId="20839"/>
    <cellStyle name="Normal 24 63 12" xfId="20840"/>
    <cellStyle name="Normal 24 63 13" xfId="20841"/>
    <cellStyle name="Normal 24 63 2" xfId="20842"/>
    <cellStyle name="Normal 24 63 3" xfId="20843"/>
    <cellStyle name="Normal 24 63 4" xfId="20844"/>
    <cellStyle name="Normal 24 63 5" xfId="20845"/>
    <cellStyle name="Normal 24 63 6" xfId="20846"/>
    <cellStyle name="Normal 24 63 7" xfId="20847"/>
    <cellStyle name="Normal 24 63 8" xfId="20848"/>
    <cellStyle name="Normal 24 63 9" xfId="20849"/>
    <cellStyle name="Normal 24 64" xfId="20850"/>
    <cellStyle name="Normal 24 64 10" xfId="20851"/>
    <cellStyle name="Normal 24 64 11" xfId="20852"/>
    <cellStyle name="Normal 24 64 12" xfId="20853"/>
    <cellStyle name="Normal 24 64 13" xfId="20854"/>
    <cellStyle name="Normal 24 64 2" xfId="20855"/>
    <cellStyle name="Normal 24 64 3" xfId="20856"/>
    <cellStyle name="Normal 24 64 4" xfId="20857"/>
    <cellStyle name="Normal 24 64 5" xfId="20858"/>
    <cellStyle name="Normal 24 64 6" xfId="20859"/>
    <cellStyle name="Normal 24 64 7" xfId="20860"/>
    <cellStyle name="Normal 24 64 8" xfId="20861"/>
    <cellStyle name="Normal 24 64 9" xfId="20862"/>
    <cellStyle name="Normal 24 65" xfId="20863"/>
    <cellStyle name="Normal 24 65 10" xfId="20864"/>
    <cellStyle name="Normal 24 65 11" xfId="20865"/>
    <cellStyle name="Normal 24 65 12" xfId="20866"/>
    <cellStyle name="Normal 24 65 13" xfId="20867"/>
    <cellStyle name="Normal 24 65 2" xfId="20868"/>
    <cellStyle name="Normal 24 65 3" xfId="20869"/>
    <cellStyle name="Normal 24 65 4" xfId="20870"/>
    <cellStyle name="Normal 24 65 5" xfId="20871"/>
    <cellStyle name="Normal 24 65 6" xfId="20872"/>
    <cellStyle name="Normal 24 65 7" xfId="20873"/>
    <cellStyle name="Normal 24 65 8" xfId="20874"/>
    <cellStyle name="Normal 24 65 9" xfId="20875"/>
    <cellStyle name="Normal 24 66" xfId="20876"/>
    <cellStyle name="Normal 24 66 10" xfId="20877"/>
    <cellStyle name="Normal 24 66 11" xfId="20878"/>
    <cellStyle name="Normal 24 66 12" xfId="20879"/>
    <cellStyle name="Normal 24 66 13" xfId="20880"/>
    <cellStyle name="Normal 24 66 2" xfId="20881"/>
    <cellStyle name="Normal 24 66 3" xfId="20882"/>
    <cellStyle name="Normal 24 66 4" xfId="20883"/>
    <cellStyle name="Normal 24 66 5" xfId="20884"/>
    <cellStyle name="Normal 24 66 6" xfId="20885"/>
    <cellStyle name="Normal 24 66 7" xfId="20886"/>
    <cellStyle name="Normal 24 66 8" xfId="20887"/>
    <cellStyle name="Normal 24 66 9" xfId="20888"/>
    <cellStyle name="Normal 24 67" xfId="20889"/>
    <cellStyle name="Normal 24 67 10" xfId="20890"/>
    <cellStyle name="Normal 24 67 11" xfId="20891"/>
    <cellStyle name="Normal 24 67 12" xfId="20892"/>
    <cellStyle name="Normal 24 67 13" xfId="20893"/>
    <cellStyle name="Normal 24 67 2" xfId="20894"/>
    <cellStyle name="Normal 24 67 3" xfId="20895"/>
    <cellStyle name="Normal 24 67 4" xfId="20896"/>
    <cellStyle name="Normal 24 67 5" xfId="20897"/>
    <cellStyle name="Normal 24 67 6" xfId="20898"/>
    <cellStyle name="Normal 24 67 7" xfId="20899"/>
    <cellStyle name="Normal 24 67 8" xfId="20900"/>
    <cellStyle name="Normal 24 67 9" xfId="20901"/>
    <cellStyle name="Normal 24 68" xfId="20902"/>
    <cellStyle name="Normal 24 68 10" xfId="20903"/>
    <cellStyle name="Normal 24 68 11" xfId="20904"/>
    <cellStyle name="Normal 24 68 12" xfId="20905"/>
    <cellStyle name="Normal 24 68 13" xfId="20906"/>
    <cellStyle name="Normal 24 68 2" xfId="20907"/>
    <cellStyle name="Normal 24 68 3" xfId="20908"/>
    <cellStyle name="Normal 24 68 4" xfId="20909"/>
    <cellStyle name="Normal 24 68 5" xfId="20910"/>
    <cellStyle name="Normal 24 68 6" xfId="20911"/>
    <cellStyle name="Normal 24 68 7" xfId="20912"/>
    <cellStyle name="Normal 24 68 8" xfId="20913"/>
    <cellStyle name="Normal 24 68 9" xfId="20914"/>
    <cellStyle name="Normal 24 69" xfId="20915"/>
    <cellStyle name="Normal 24 69 10" xfId="20916"/>
    <cellStyle name="Normal 24 69 11" xfId="20917"/>
    <cellStyle name="Normal 24 69 12" xfId="20918"/>
    <cellStyle name="Normal 24 69 13" xfId="20919"/>
    <cellStyle name="Normal 24 69 2" xfId="20920"/>
    <cellStyle name="Normal 24 69 3" xfId="20921"/>
    <cellStyle name="Normal 24 69 4" xfId="20922"/>
    <cellStyle name="Normal 24 69 5" xfId="20923"/>
    <cellStyle name="Normal 24 69 6" xfId="20924"/>
    <cellStyle name="Normal 24 69 7" xfId="20925"/>
    <cellStyle name="Normal 24 69 8" xfId="20926"/>
    <cellStyle name="Normal 24 69 9" xfId="20927"/>
    <cellStyle name="Normal 24 7" xfId="20928"/>
    <cellStyle name="Normal 24 7 10" xfId="20929"/>
    <cellStyle name="Normal 24 7 11" xfId="20930"/>
    <cellStyle name="Normal 24 7 12" xfId="20931"/>
    <cellStyle name="Normal 24 7 13" xfId="20932"/>
    <cellStyle name="Normal 24 7 2" xfId="20933"/>
    <cellStyle name="Normal 24 7 3" xfId="20934"/>
    <cellStyle name="Normal 24 7 4" xfId="20935"/>
    <cellStyle name="Normal 24 7 5" xfId="20936"/>
    <cellStyle name="Normal 24 7 6" xfId="20937"/>
    <cellStyle name="Normal 24 7 7" xfId="20938"/>
    <cellStyle name="Normal 24 7 8" xfId="20939"/>
    <cellStyle name="Normal 24 7 9" xfId="20940"/>
    <cellStyle name="Normal 24 70" xfId="20941"/>
    <cellStyle name="Normal 24 70 10" xfId="20942"/>
    <cellStyle name="Normal 24 70 11" xfId="20943"/>
    <cellStyle name="Normal 24 70 12" xfId="20944"/>
    <cellStyle name="Normal 24 70 13" xfId="20945"/>
    <cellStyle name="Normal 24 70 2" xfId="20946"/>
    <cellStyle name="Normal 24 70 3" xfId="20947"/>
    <cellStyle name="Normal 24 70 4" xfId="20948"/>
    <cellStyle name="Normal 24 70 5" xfId="20949"/>
    <cellStyle name="Normal 24 70 6" xfId="20950"/>
    <cellStyle name="Normal 24 70 7" xfId="20951"/>
    <cellStyle name="Normal 24 70 8" xfId="20952"/>
    <cellStyle name="Normal 24 70 9" xfId="20953"/>
    <cellStyle name="Normal 24 71" xfId="20954"/>
    <cellStyle name="Normal 24 71 10" xfId="20955"/>
    <cellStyle name="Normal 24 71 11" xfId="20956"/>
    <cellStyle name="Normal 24 71 12" xfId="20957"/>
    <cellStyle name="Normal 24 71 13" xfId="20958"/>
    <cellStyle name="Normal 24 71 2" xfId="20959"/>
    <cellStyle name="Normal 24 71 3" xfId="20960"/>
    <cellStyle name="Normal 24 71 4" xfId="20961"/>
    <cellStyle name="Normal 24 71 5" xfId="20962"/>
    <cellStyle name="Normal 24 71 6" xfId="20963"/>
    <cellStyle name="Normal 24 71 7" xfId="20964"/>
    <cellStyle name="Normal 24 71 8" xfId="20965"/>
    <cellStyle name="Normal 24 71 9" xfId="20966"/>
    <cellStyle name="Normal 24 72" xfId="20967"/>
    <cellStyle name="Normal 24 73" xfId="20968"/>
    <cellStyle name="Normal 24 74" xfId="20969"/>
    <cellStyle name="Normal 24 75" xfId="20970"/>
    <cellStyle name="Normal 24 76" xfId="20971"/>
    <cellStyle name="Normal 24 77" xfId="20972"/>
    <cellStyle name="Normal 24 78" xfId="20973"/>
    <cellStyle name="Normal 24 79" xfId="20974"/>
    <cellStyle name="Normal 24 8" xfId="20975"/>
    <cellStyle name="Normal 24 8 10" xfId="20976"/>
    <cellStyle name="Normal 24 8 11" xfId="20977"/>
    <cellStyle name="Normal 24 8 12" xfId="20978"/>
    <cellStyle name="Normal 24 8 13" xfId="20979"/>
    <cellStyle name="Normal 24 8 2" xfId="20980"/>
    <cellStyle name="Normal 24 8 3" xfId="20981"/>
    <cellStyle name="Normal 24 8 4" xfId="20982"/>
    <cellStyle name="Normal 24 8 5" xfId="20983"/>
    <cellStyle name="Normal 24 8 6" xfId="20984"/>
    <cellStyle name="Normal 24 8 7" xfId="20985"/>
    <cellStyle name="Normal 24 8 8" xfId="20986"/>
    <cellStyle name="Normal 24 8 9" xfId="20987"/>
    <cellStyle name="Normal 24 80" xfId="20988"/>
    <cellStyle name="Normal 24 81" xfId="20989"/>
    <cellStyle name="Normal 24 82" xfId="20990"/>
    <cellStyle name="Normal 24 83" xfId="20991"/>
    <cellStyle name="Normal 24 9" xfId="20992"/>
    <cellStyle name="Normal 24 9 10" xfId="20993"/>
    <cellStyle name="Normal 24 9 11" xfId="20994"/>
    <cellStyle name="Normal 24 9 12" xfId="20995"/>
    <cellStyle name="Normal 24 9 13" xfId="20996"/>
    <cellStyle name="Normal 24 9 2" xfId="20997"/>
    <cellStyle name="Normal 24 9 3" xfId="20998"/>
    <cellStyle name="Normal 24 9 4" xfId="20999"/>
    <cellStyle name="Normal 24 9 5" xfId="21000"/>
    <cellStyle name="Normal 24 9 6" xfId="21001"/>
    <cellStyle name="Normal 24 9 7" xfId="21002"/>
    <cellStyle name="Normal 24 9 8" xfId="21003"/>
    <cellStyle name="Normal 24 9 9" xfId="21004"/>
    <cellStyle name="Normal 25" xfId="21005"/>
    <cellStyle name="Normal 25 10" xfId="21006"/>
    <cellStyle name="Normal 25 10 10" xfId="21007"/>
    <cellStyle name="Normal 25 10 11" xfId="21008"/>
    <cellStyle name="Normal 25 10 12" xfId="21009"/>
    <cellStyle name="Normal 25 10 13" xfId="21010"/>
    <cellStyle name="Normal 25 10 2" xfId="21011"/>
    <cellStyle name="Normal 25 10 3" xfId="21012"/>
    <cellStyle name="Normal 25 10 4" xfId="21013"/>
    <cellStyle name="Normal 25 10 5" xfId="21014"/>
    <cellStyle name="Normal 25 10 6" xfId="21015"/>
    <cellStyle name="Normal 25 10 7" xfId="21016"/>
    <cellStyle name="Normal 25 10 8" xfId="21017"/>
    <cellStyle name="Normal 25 10 9" xfId="21018"/>
    <cellStyle name="Normal 25 11" xfId="21019"/>
    <cellStyle name="Normal 25 11 10" xfId="21020"/>
    <cellStyle name="Normal 25 11 11" xfId="21021"/>
    <cellStyle name="Normal 25 11 12" xfId="21022"/>
    <cellStyle name="Normal 25 11 13" xfId="21023"/>
    <cellStyle name="Normal 25 11 2" xfId="21024"/>
    <cellStyle name="Normal 25 11 3" xfId="21025"/>
    <cellStyle name="Normal 25 11 4" xfId="21026"/>
    <cellStyle name="Normal 25 11 5" xfId="21027"/>
    <cellStyle name="Normal 25 11 6" xfId="21028"/>
    <cellStyle name="Normal 25 11 7" xfId="21029"/>
    <cellStyle name="Normal 25 11 8" xfId="21030"/>
    <cellStyle name="Normal 25 11 9" xfId="21031"/>
    <cellStyle name="Normal 25 12" xfId="21032"/>
    <cellStyle name="Normal 25 12 10" xfId="21033"/>
    <cellStyle name="Normal 25 12 11" xfId="21034"/>
    <cellStyle name="Normal 25 12 12" xfId="21035"/>
    <cellStyle name="Normal 25 12 13" xfId="21036"/>
    <cellStyle name="Normal 25 12 2" xfId="21037"/>
    <cellStyle name="Normal 25 12 3" xfId="21038"/>
    <cellStyle name="Normal 25 12 4" xfId="21039"/>
    <cellStyle name="Normal 25 12 5" xfId="21040"/>
    <cellStyle name="Normal 25 12 6" xfId="21041"/>
    <cellStyle name="Normal 25 12 7" xfId="21042"/>
    <cellStyle name="Normal 25 12 8" xfId="21043"/>
    <cellStyle name="Normal 25 12 9" xfId="21044"/>
    <cellStyle name="Normal 25 13" xfId="21045"/>
    <cellStyle name="Normal 25 13 10" xfId="21046"/>
    <cellStyle name="Normal 25 13 11" xfId="21047"/>
    <cellStyle name="Normal 25 13 12" xfId="21048"/>
    <cellStyle name="Normal 25 13 13" xfId="21049"/>
    <cellStyle name="Normal 25 13 2" xfId="21050"/>
    <cellStyle name="Normal 25 13 3" xfId="21051"/>
    <cellStyle name="Normal 25 13 4" xfId="21052"/>
    <cellStyle name="Normal 25 13 5" xfId="21053"/>
    <cellStyle name="Normal 25 13 6" xfId="21054"/>
    <cellStyle name="Normal 25 13 7" xfId="21055"/>
    <cellStyle name="Normal 25 13 8" xfId="21056"/>
    <cellStyle name="Normal 25 13 9" xfId="21057"/>
    <cellStyle name="Normal 25 14" xfId="21058"/>
    <cellStyle name="Normal 25 14 10" xfId="21059"/>
    <cellStyle name="Normal 25 14 11" xfId="21060"/>
    <cellStyle name="Normal 25 14 12" xfId="21061"/>
    <cellStyle name="Normal 25 14 13" xfId="21062"/>
    <cellStyle name="Normal 25 14 2" xfId="21063"/>
    <cellStyle name="Normal 25 14 3" xfId="21064"/>
    <cellStyle name="Normal 25 14 4" xfId="21065"/>
    <cellStyle name="Normal 25 14 5" xfId="21066"/>
    <cellStyle name="Normal 25 14 6" xfId="21067"/>
    <cellStyle name="Normal 25 14 7" xfId="21068"/>
    <cellStyle name="Normal 25 14 8" xfId="21069"/>
    <cellStyle name="Normal 25 14 9" xfId="21070"/>
    <cellStyle name="Normal 25 15" xfId="21071"/>
    <cellStyle name="Normal 25 15 10" xfId="21072"/>
    <cellStyle name="Normal 25 15 11" xfId="21073"/>
    <cellStyle name="Normal 25 15 12" xfId="21074"/>
    <cellStyle name="Normal 25 15 13" xfId="21075"/>
    <cellStyle name="Normal 25 15 2" xfId="21076"/>
    <cellStyle name="Normal 25 15 3" xfId="21077"/>
    <cellStyle name="Normal 25 15 4" xfId="21078"/>
    <cellStyle name="Normal 25 15 5" xfId="21079"/>
    <cellStyle name="Normal 25 15 6" xfId="21080"/>
    <cellStyle name="Normal 25 15 7" xfId="21081"/>
    <cellStyle name="Normal 25 15 8" xfId="21082"/>
    <cellStyle name="Normal 25 15 9" xfId="21083"/>
    <cellStyle name="Normal 25 16" xfId="21084"/>
    <cellStyle name="Normal 25 16 10" xfId="21085"/>
    <cellStyle name="Normal 25 16 11" xfId="21086"/>
    <cellStyle name="Normal 25 16 12" xfId="21087"/>
    <cellStyle name="Normal 25 16 13" xfId="21088"/>
    <cellStyle name="Normal 25 16 2" xfId="21089"/>
    <cellStyle name="Normal 25 16 3" xfId="21090"/>
    <cellStyle name="Normal 25 16 4" xfId="21091"/>
    <cellStyle name="Normal 25 16 5" xfId="21092"/>
    <cellStyle name="Normal 25 16 6" xfId="21093"/>
    <cellStyle name="Normal 25 16 7" xfId="21094"/>
    <cellStyle name="Normal 25 16 8" xfId="21095"/>
    <cellStyle name="Normal 25 16 9" xfId="21096"/>
    <cellStyle name="Normal 25 17" xfId="21097"/>
    <cellStyle name="Normal 25 17 10" xfId="21098"/>
    <cellStyle name="Normal 25 17 11" xfId="21099"/>
    <cellStyle name="Normal 25 17 12" xfId="21100"/>
    <cellStyle name="Normal 25 17 13" xfId="21101"/>
    <cellStyle name="Normal 25 17 2" xfId="21102"/>
    <cellStyle name="Normal 25 17 3" xfId="21103"/>
    <cellStyle name="Normal 25 17 4" xfId="21104"/>
    <cellStyle name="Normal 25 17 5" xfId="21105"/>
    <cellStyle name="Normal 25 17 6" xfId="21106"/>
    <cellStyle name="Normal 25 17 7" xfId="21107"/>
    <cellStyle name="Normal 25 17 8" xfId="21108"/>
    <cellStyle name="Normal 25 17 9" xfId="21109"/>
    <cellStyle name="Normal 25 18" xfId="21110"/>
    <cellStyle name="Normal 25 18 10" xfId="21111"/>
    <cellStyle name="Normal 25 18 11" xfId="21112"/>
    <cellStyle name="Normal 25 18 12" xfId="21113"/>
    <cellStyle name="Normal 25 18 13" xfId="21114"/>
    <cellStyle name="Normal 25 18 2" xfId="21115"/>
    <cellStyle name="Normal 25 18 3" xfId="21116"/>
    <cellStyle name="Normal 25 18 4" xfId="21117"/>
    <cellStyle name="Normal 25 18 5" xfId="21118"/>
    <cellStyle name="Normal 25 18 6" xfId="21119"/>
    <cellStyle name="Normal 25 18 7" xfId="21120"/>
    <cellStyle name="Normal 25 18 8" xfId="21121"/>
    <cellStyle name="Normal 25 18 9" xfId="21122"/>
    <cellStyle name="Normal 25 19" xfId="21123"/>
    <cellStyle name="Normal 25 19 10" xfId="21124"/>
    <cellStyle name="Normal 25 19 11" xfId="21125"/>
    <cellStyle name="Normal 25 19 12" xfId="21126"/>
    <cellStyle name="Normal 25 19 13" xfId="21127"/>
    <cellStyle name="Normal 25 19 2" xfId="21128"/>
    <cellStyle name="Normal 25 19 3" xfId="21129"/>
    <cellStyle name="Normal 25 19 4" xfId="21130"/>
    <cellStyle name="Normal 25 19 5" xfId="21131"/>
    <cellStyle name="Normal 25 19 6" xfId="21132"/>
    <cellStyle name="Normal 25 19 7" xfId="21133"/>
    <cellStyle name="Normal 25 19 8" xfId="21134"/>
    <cellStyle name="Normal 25 19 9" xfId="21135"/>
    <cellStyle name="Normal 25 2" xfId="21136"/>
    <cellStyle name="Normal 25 2 10" xfId="21137"/>
    <cellStyle name="Normal 25 2 11" xfId="21138"/>
    <cellStyle name="Normal 25 2 12" xfId="21139"/>
    <cellStyle name="Normal 25 2 13" xfId="21140"/>
    <cellStyle name="Normal 25 2 2" xfId="21141"/>
    <cellStyle name="Normal 25 2 3" xfId="21142"/>
    <cellStyle name="Normal 25 2 4" xfId="21143"/>
    <cellStyle name="Normal 25 2 5" xfId="21144"/>
    <cellStyle name="Normal 25 2 6" xfId="21145"/>
    <cellStyle name="Normal 25 2 7" xfId="21146"/>
    <cellStyle name="Normal 25 2 8" xfId="21147"/>
    <cellStyle name="Normal 25 2 9" xfId="21148"/>
    <cellStyle name="Normal 25 20" xfId="21149"/>
    <cellStyle name="Normal 25 20 10" xfId="21150"/>
    <cellStyle name="Normal 25 20 11" xfId="21151"/>
    <cellStyle name="Normal 25 20 12" xfId="21152"/>
    <cellStyle name="Normal 25 20 13" xfId="21153"/>
    <cellStyle name="Normal 25 20 2" xfId="21154"/>
    <cellStyle name="Normal 25 20 3" xfId="21155"/>
    <cellStyle name="Normal 25 20 4" xfId="21156"/>
    <cellStyle name="Normal 25 20 5" xfId="21157"/>
    <cellStyle name="Normal 25 20 6" xfId="21158"/>
    <cellStyle name="Normal 25 20 7" xfId="21159"/>
    <cellStyle name="Normal 25 20 8" xfId="21160"/>
    <cellStyle name="Normal 25 20 9" xfId="21161"/>
    <cellStyle name="Normal 25 21" xfId="21162"/>
    <cellStyle name="Normal 25 21 10" xfId="21163"/>
    <cellStyle name="Normal 25 21 11" xfId="21164"/>
    <cellStyle name="Normal 25 21 12" xfId="21165"/>
    <cellStyle name="Normal 25 21 13" xfId="21166"/>
    <cellStyle name="Normal 25 21 2" xfId="21167"/>
    <cellStyle name="Normal 25 21 3" xfId="21168"/>
    <cellStyle name="Normal 25 21 4" xfId="21169"/>
    <cellStyle name="Normal 25 21 5" xfId="21170"/>
    <cellStyle name="Normal 25 21 6" xfId="21171"/>
    <cellStyle name="Normal 25 21 7" xfId="21172"/>
    <cellStyle name="Normal 25 21 8" xfId="21173"/>
    <cellStyle name="Normal 25 21 9" xfId="21174"/>
    <cellStyle name="Normal 25 22" xfId="21175"/>
    <cellStyle name="Normal 25 22 10" xfId="21176"/>
    <cellStyle name="Normal 25 22 11" xfId="21177"/>
    <cellStyle name="Normal 25 22 12" xfId="21178"/>
    <cellStyle name="Normal 25 22 13" xfId="21179"/>
    <cellStyle name="Normal 25 22 2" xfId="21180"/>
    <cellStyle name="Normal 25 22 3" xfId="21181"/>
    <cellStyle name="Normal 25 22 4" xfId="21182"/>
    <cellStyle name="Normal 25 22 5" xfId="21183"/>
    <cellStyle name="Normal 25 22 6" xfId="21184"/>
    <cellStyle name="Normal 25 22 7" xfId="21185"/>
    <cellStyle name="Normal 25 22 8" xfId="21186"/>
    <cellStyle name="Normal 25 22 9" xfId="21187"/>
    <cellStyle name="Normal 25 23" xfId="21188"/>
    <cellStyle name="Normal 25 23 10" xfId="21189"/>
    <cellStyle name="Normal 25 23 11" xfId="21190"/>
    <cellStyle name="Normal 25 23 12" xfId="21191"/>
    <cellStyle name="Normal 25 23 13" xfId="21192"/>
    <cellStyle name="Normal 25 23 2" xfId="21193"/>
    <cellStyle name="Normal 25 23 3" xfId="21194"/>
    <cellStyle name="Normal 25 23 4" xfId="21195"/>
    <cellStyle name="Normal 25 23 5" xfId="21196"/>
    <cellStyle name="Normal 25 23 6" xfId="21197"/>
    <cellStyle name="Normal 25 23 7" xfId="21198"/>
    <cellStyle name="Normal 25 23 8" xfId="21199"/>
    <cellStyle name="Normal 25 23 9" xfId="21200"/>
    <cellStyle name="Normal 25 24" xfId="21201"/>
    <cellStyle name="Normal 25 24 10" xfId="21202"/>
    <cellStyle name="Normal 25 24 11" xfId="21203"/>
    <cellStyle name="Normal 25 24 12" xfId="21204"/>
    <cellStyle name="Normal 25 24 13" xfId="21205"/>
    <cellStyle name="Normal 25 24 2" xfId="21206"/>
    <cellStyle name="Normal 25 24 3" xfId="21207"/>
    <cellStyle name="Normal 25 24 4" xfId="21208"/>
    <cellStyle name="Normal 25 24 5" xfId="21209"/>
    <cellStyle name="Normal 25 24 6" xfId="21210"/>
    <cellStyle name="Normal 25 24 7" xfId="21211"/>
    <cellStyle name="Normal 25 24 8" xfId="21212"/>
    <cellStyle name="Normal 25 24 9" xfId="21213"/>
    <cellStyle name="Normal 25 25" xfId="21214"/>
    <cellStyle name="Normal 25 25 10" xfId="21215"/>
    <cellStyle name="Normal 25 25 11" xfId="21216"/>
    <cellStyle name="Normal 25 25 12" xfId="21217"/>
    <cellStyle name="Normal 25 25 13" xfId="21218"/>
    <cellStyle name="Normal 25 25 2" xfId="21219"/>
    <cellStyle name="Normal 25 25 3" xfId="21220"/>
    <cellStyle name="Normal 25 25 4" xfId="21221"/>
    <cellStyle name="Normal 25 25 5" xfId="21222"/>
    <cellStyle name="Normal 25 25 6" xfId="21223"/>
    <cellStyle name="Normal 25 25 7" xfId="21224"/>
    <cellStyle name="Normal 25 25 8" xfId="21225"/>
    <cellStyle name="Normal 25 25 9" xfId="21226"/>
    <cellStyle name="Normal 25 26" xfId="21227"/>
    <cellStyle name="Normal 25 26 10" xfId="21228"/>
    <cellStyle name="Normal 25 26 11" xfId="21229"/>
    <cellStyle name="Normal 25 26 12" xfId="21230"/>
    <cellStyle name="Normal 25 26 13" xfId="21231"/>
    <cellStyle name="Normal 25 26 2" xfId="21232"/>
    <cellStyle name="Normal 25 26 3" xfId="21233"/>
    <cellStyle name="Normal 25 26 4" xfId="21234"/>
    <cellStyle name="Normal 25 26 5" xfId="21235"/>
    <cellStyle name="Normal 25 26 6" xfId="21236"/>
    <cellStyle name="Normal 25 26 7" xfId="21237"/>
    <cellStyle name="Normal 25 26 8" xfId="21238"/>
    <cellStyle name="Normal 25 26 9" xfId="21239"/>
    <cellStyle name="Normal 25 27" xfId="21240"/>
    <cellStyle name="Normal 25 27 10" xfId="21241"/>
    <cellStyle name="Normal 25 27 11" xfId="21242"/>
    <cellStyle name="Normal 25 27 12" xfId="21243"/>
    <cellStyle name="Normal 25 27 13" xfId="21244"/>
    <cellStyle name="Normal 25 27 2" xfId="21245"/>
    <cellStyle name="Normal 25 27 3" xfId="21246"/>
    <cellStyle name="Normal 25 27 4" xfId="21247"/>
    <cellStyle name="Normal 25 27 5" xfId="21248"/>
    <cellStyle name="Normal 25 27 6" xfId="21249"/>
    <cellStyle name="Normal 25 27 7" xfId="21250"/>
    <cellStyle name="Normal 25 27 8" xfId="21251"/>
    <cellStyle name="Normal 25 27 9" xfId="21252"/>
    <cellStyle name="Normal 25 28" xfId="21253"/>
    <cellStyle name="Normal 25 28 10" xfId="21254"/>
    <cellStyle name="Normal 25 28 11" xfId="21255"/>
    <cellStyle name="Normal 25 28 12" xfId="21256"/>
    <cellStyle name="Normal 25 28 13" xfId="21257"/>
    <cellStyle name="Normal 25 28 2" xfId="21258"/>
    <cellStyle name="Normal 25 28 3" xfId="21259"/>
    <cellStyle name="Normal 25 28 4" xfId="21260"/>
    <cellStyle name="Normal 25 28 5" xfId="21261"/>
    <cellStyle name="Normal 25 28 6" xfId="21262"/>
    <cellStyle name="Normal 25 28 7" xfId="21263"/>
    <cellStyle name="Normal 25 28 8" xfId="21264"/>
    <cellStyle name="Normal 25 28 9" xfId="21265"/>
    <cellStyle name="Normal 25 29" xfId="21266"/>
    <cellStyle name="Normal 25 29 10" xfId="21267"/>
    <cellStyle name="Normal 25 29 11" xfId="21268"/>
    <cellStyle name="Normal 25 29 12" xfId="21269"/>
    <cellStyle name="Normal 25 29 13" xfId="21270"/>
    <cellStyle name="Normal 25 29 2" xfId="21271"/>
    <cellStyle name="Normal 25 29 3" xfId="21272"/>
    <cellStyle name="Normal 25 29 4" xfId="21273"/>
    <cellStyle name="Normal 25 29 5" xfId="21274"/>
    <cellStyle name="Normal 25 29 6" xfId="21275"/>
    <cellStyle name="Normal 25 29 7" xfId="21276"/>
    <cellStyle name="Normal 25 29 8" xfId="21277"/>
    <cellStyle name="Normal 25 29 9" xfId="21278"/>
    <cellStyle name="Normal 25 3" xfId="21279"/>
    <cellStyle name="Normal 25 3 10" xfId="21280"/>
    <cellStyle name="Normal 25 3 11" xfId="21281"/>
    <cellStyle name="Normal 25 3 12" xfId="21282"/>
    <cellStyle name="Normal 25 3 13" xfId="21283"/>
    <cellStyle name="Normal 25 3 2" xfId="21284"/>
    <cellStyle name="Normal 25 3 3" xfId="21285"/>
    <cellStyle name="Normal 25 3 4" xfId="21286"/>
    <cellStyle name="Normal 25 3 5" xfId="21287"/>
    <cellStyle name="Normal 25 3 6" xfId="21288"/>
    <cellStyle name="Normal 25 3 7" xfId="21289"/>
    <cellStyle name="Normal 25 3 8" xfId="21290"/>
    <cellStyle name="Normal 25 3 9" xfId="21291"/>
    <cellStyle name="Normal 25 30" xfId="21292"/>
    <cellStyle name="Normal 25 30 10" xfId="21293"/>
    <cellStyle name="Normal 25 30 11" xfId="21294"/>
    <cellStyle name="Normal 25 30 12" xfId="21295"/>
    <cellStyle name="Normal 25 30 13" xfId="21296"/>
    <cellStyle name="Normal 25 30 2" xfId="21297"/>
    <cellStyle name="Normal 25 30 3" xfId="21298"/>
    <cellStyle name="Normal 25 30 4" xfId="21299"/>
    <cellStyle name="Normal 25 30 5" xfId="21300"/>
    <cellStyle name="Normal 25 30 6" xfId="21301"/>
    <cellStyle name="Normal 25 30 7" xfId="21302"/>
    <cellStyle name="Normal 25 30 8" xfId="21303"/>
    <cellStyle name="Normal 25 30 9" xfId="21304"/>
    <cellStyle name="Normal 25 31" xfId="21305"/>
    <cellStyle name="Normal 25 31 10" xfId="21306"/>
    <cellStyle name="Normal 25 31 11" xfId="21307"/>
    <cellStyle name="Normal 25 31 12" xfId="21308"/>
    <cellStyle name="Normal 25 31 13" xfId="21309"/>
    <cellStyle name="Normal 25 31 2" xfId="21310"/>
    <cellStyle name="Normal 25 31 3" xfId="21311"/>
    <cellStyle name="Normal 25 31 4" xfId="21312"/>
    <cellStyle name="Normal 25 31 5" xfId="21313"/>
    <cellStyle name="Normal 25 31 6" xfId="21314"/>
    <cellStyle name="Normal 25 31 7" xfId="21315"/>
    <cellStyle name="Normal 25 31 8" xfId="21316"/>
    <cellStyle name="Normal 25 31 9" xfId="21317"/>
    <cellStyle name="Normal 25 32" xfId="21318"/>
    <cellStyle name="Normal 25 32 10" xfId="21319"/>
    <cellStyle name="Normal 25 32 11" xfId="21320"/>
    <cellStyle name="Normal 25 32 12" xfId="21321"/>
    <cellStyle name="Normal 25 32 13" xfId="21322"/>
    <cellStyle name="Normal 25 32 2" xfId="21323"/>
    <cellStyle name="Normal 25 32 3" xfId="21324"/>
    <cellStyle name="Normal 25 32 4" xfId="21325"/>
    <cellStyle name="Normal 25 32 5" xfId="21326"/>
    <cellStyle name="Normal 25 32 6" xfId="21327"/>
    <cellStyle name="Normal 25 32 7" xfId="21328"/>
    <cellStyle name="Normal 25 32 8" xfId="21329"/>
    <cellStyle name="Normal 25 32 9" xfId="21330"/>
    <cellStyle name="Normal 25 33" xfId="21331"/>
    <cellStyle name="Normal 25 33 10" xfId="21332"/>
    <cellStyle name="Normal 25 33 11" xfId="21333"/>
    <cellStyle name="Normal 25 33 12" xfId="21334"/>
    <cellStyle name="Normal 25 33 13" xfId="21335"/>
    <cellStyle name="Normal 25 33 2" xfId="21336"/>
    <cellStyle name="Normal 25 33 3" xfId="21337"/>
    <cellStyle name="Normal 25 33 4" xfId="21338"/>
    <cellStyle name="Normal 25 33 5" xfId="21339"/>
    <cellStyle name="Normal 25 33 6" xfId="21340"/>
    <cellStyle name="Normal 25 33 7" xfId="21341"/>
    <cellStyle name="Normal 25 33 8" xfId="21342"/>
    <cellStyle name="Normal 25 33 9" xfId="21343"/>
    <cellStyle name="Normal 25 34" xfId="21344"/>
    <cellStyle name="Normal 25 34 10" xfId="21345"/>
    <cellStyle name="Normal 25 34 11" xfId="21346"/>
    <cellStyle name="Normal 25 34 12" xfId="21347"/>
    <cellStyle name="Normal 25 34 13" xfId="21348"/>
    <cellStyle name="Normal 25 34 2" xfId="21349"/>
    <cellStyle name="Normal 25 34 3" xfId="21350"/>
    <cellStyle name="Normal 25 34 4" xfId="21351"/>
    <cellStyle name="Normal 25 34 5" xfId="21352"/>
    <cellStyle name="Normal 25 34 6" xfId="21353"/>
    <cellStyle name="Normal 25 34 7" xfId="21354"/>
    <cellStyle name="Normal 25 34 8" xfId="21355"/>
    <cellStyle name="Normal 25 34 9" xfId="21356"/>
    <cellStyle name="Normal 25 35" xfId="21357"/>
    <cellStyle name="Normal 25 35 10" xfId="21358"/>
    <cellStyle name="Normal 25 35 11" xfId="21359"/>
    <cellStyle name="Normal 25 35 12" xfId="21360"/>
    <cellStyle name="Normal 25 35 13" xfId="21361"/>
    <cellStyle name="Normal 25 35 2" xfId="21362"/>
    <cellStyle name="Normal 25 35 3" xfId="21363"/>
    <cellStyle name="Normal 25 35 4" xfId="21364"/>
    <cellStyle name="Normal 25 35 5" xfId="21365"/>
    <cellStyle name="Normal 25 35 6" xfId="21366"/>
    <cellStyle name="Normal 25 35 7" xfId="21367"/>
    <cellStyle name="Normal 25 35 8" xfId="21368"/>
    <cellStyle name="Normal 25 35 9" xfId="21369"/>
    <cellStyle name="Normal 25 36" xfId="21370"/>
    <cellStyle name="Normal 25 36 10" xfId="21371"/>
    <cellStyle name="Normal 25 36 11" xfId="21372"/>
    <cellStyle name="Normal 25 36 12" xfId="21373"/>
    <cellStyle name="Normal 25 36 13" xfId="21374"/>
    <cellStyle name="Normal 25 36 2" xfId="21375"/>
    <cellStyle name="Normal 25 36 3" xfId="21376"/>
    <cellStyle name="Normal 25 36 4" xfId="21377"/>
    <cellStyle name="Normal 25 36 5" xfId="21378"/>
    <cellStyle name="Normal 25 36 6" xfId="21379"/>
    <cellStyle name="Normal 25 36 7" xfId="21380"/>
    <cellStyle name="Normal 25 36 8" xfId="21381"/>
    <cellStyle name="Normal 25 36 9" xfId="21382"/>
    <cellStyle name="Normal 25 37" xfId="21383"/>
    <cellStyle name="Normal 25 37 10" xfId="21384"/>
    <cellStyle name="Normal 25 37 11" xfId="21385"/>
    <cellStyle name="Normal 25 37 12" xfId="21386"/>
    <cellStyle name="Normal 25 37 13" xfId="21387"/>
    <cellStyle name="Normal 25 37 2" xfId="21388"/>
    <cellStyle name="Normal 25 37 3" xfId="21389"/>
    <cellStyle name="Normal 25 37 4" xfId="21390"/>
    <cellStyle name="Normal 25 37 5" xfId="21391"/>
    <cellStyle name="Normal 25 37 6" xfId="21392"/>
    <cellStyle name="Normal 25 37 7" xfId="21393"/>
    <cellStyle name="Normal 25 37 8" xfId="21394"/>
    <cellStyle name="Normal 25 37 9" xfId="21395"/>
    <cellStyle name="Normal 25 38" xfId="21396"/>
    <cellStyle name="Normal 25 38 10" xfId="21397"/>
    <cellStyle name="Normal 25 38 11" xfId="21398"/>
    <cellStyle name="Normal 25 38 12" xfId="21399"/>
    <cellStyle name="Normal 25 38 13" xfId="21400"/>
    <cellStyle name="Normal 25 38 2" xfId="21401"/>
    <cellStyle name="Normal 25 38 3" xfId="21402"/>
    <cellStyle name="Normal 25 38 4" xfId="21403"/>
    <cellStyle name="Normal 25 38 5" xfId="21404"/>
    <cellStyle name="Normal 25 38 6" xfId="21405"/>
    <cellStyle name="Normal 25 38 7" xfId="21406"/>
    <cellStyle name="Normal 25 38 8" xfId="21407"/>
    <cellStyle name="Normal 25 38 9" xfId="21408"/>
    <cellStyle name="Normal 25 39" xfId="21409"/>
    <cellStyle name="Normal 25 39 10" xfId="21410"/>
    <cellStyle name="Normal 25 39 11" xfId="21411"/>
    <cellStyle name="Normal 25 39 12" xfId="21412"/>
    <cellStyle name="Normal 25 39 13" xfId="21413"/>
    <cellStyle name="Normal 25 39 2" xfId="21414"/>
    <cellStyle name="Normal 25 39 3" xfId="21415"/>
    <cellStyle name="Normal 25 39 4" xfId="21416"/>
    <cellStyle name="Normal 25 39 5" xfId="21417"/>
    <cellStyle name="Normal 25 39 6" xfId="21418"/>
    <cellStyle name="Normal 25 39 7" xfId="21419"/>
    <cellStyle name="Normal 25 39 8" xfId="21420"/>
    <cellStyle name="Normal 25 39 9" xfId="21421"/>
    <cellStyle name="Normal 25 4" xfId="21422"/>
    <cellStyle name="Normal 25 4 10" xfId="21423"/>
    <cellStyle name="Normal 25 4 11" xfId="21424"/>
    <cellStyle name="Normal 25 4 12" xfId="21425"/>
    <cellStyle name="Normal 25 4 13" xfId="21426"/>
    <cellStyle name="Normal 25 4 2" xfId="21427"/>
    <cellStyle name="Normal 25 4 3" xfId="21428"/>
    <cellStyle name="Normal 25 4 4" xfId="21429"/>
    <cellStyle name="Normal 25 4 5" xfId="21430"/>
    <cellStyle name="Normal 25 4 6" xfId="21431"/>
    <cellStyle name="Normal 25 4 7" xfId="21432"/>
    <cellStyle name="Normal 25 4 8" xfId="21433"/>
    <cellStyle name="Normal 25 4 9" xfId="21434"/>
    <cellStyle name="Normal 25 40" xfId="21435"/>
    <cellStyle name="Normal 25 40 10" xfId="21436"/>
    <cellStyle name="Normal 25 40 11" xfId="21437"/>
    <cellStyle name="Normal 25 40 12" xfId="21438"/>
    <cellStyle name="Normal 25 40 13" xfId="21439"/>
    <cellStyle name="Normal 25 40 2" xfId="21440"/>
    <cellStyle name="Normal 25 40 3" xfId="21441"/>
    <cellStyle name="Normal 25 40 4" xfId="21442"/>
    <cellStyle name="Normal 25 40 5" xfId="21443"/>
    <cellStyle name="Normal 25 40 6" xfId="21444"/>
    <cellStyle name="Normal 25 40 7" xfId="21445"/>
    <cellStyle name="Normal 25 40 8" xfId="21446"/>
    <cellStyle name="Normal 25 40 9" xfId="21447"/>
    <cellStyle name="Normal 25 41" xfId="21448"/>
    <cellStyle name="Normal 25 41 10" xfId="21449"/>
    <cellStyle name="Normal 25 41 11" xfId="21450"/>
    <cellStyle name="Normal 25 41 12" xfId="21451"/>
    <cellStyle name="Normal 25 41 13" xfId="21452"/>
    <cellStyle name="Normal 25 41 2" xfId="21453"/>
    <cellStyle name="Normal 25 41 3" xfId="21454"/>
    <cellStyle name="Normal 25 41 4" xfId="21455"/>
    <cellStyle name="Normal 25 41 5" xfId="21456"/>
    <cellStyle name="Normal 25 41 6" xfId="21457"/>
    <cellStyle name="Normal 25 41 7" xfId="21458"/>
    <cellStyle name="Normal 25 41 8" xfId="21459"/>
    <cellStyle name="Normal 25 41 9" xfId="21460"/>
    <cellStyle name="Normal 25 42" xfId="21461"/>
    <cellStyle name="Normal 25 42 10" xfId="21462"/>
    <cellStyle name="Normal 25 42 11" xfId="21463"/>
    <cellStyle name="Normal 25 42 12" xfId="21464"/>
    <cellStyle name="Normal 25 42 13" xfId="21465"/>
    <cellStyle name="Normal 25 42 2" xfId="21466"/>
    <cellStyle name="Normal 25 42 3" xfId="21467"/>
    <cellStyle name="Normal 25 42 4" xfId="21468"/>
    <cellStyle name="Normal 25 42 5" xfId="21469"/>
    <cellStyle name="Normal 25 42 6" xfId="21470"/>
    <cellStyle name="Normal 25 42 7" xfId="21471"/>
    <cellStyle name="Normal 25 42 8" xfId="21472"/>
    <cellStyle name="Normal 25 42 9" xfId="21473"/>
    <cellStyle name="Normal 25 43" xfId="21474"/>
    <cellStyle name="Normal 25 43 10" xfId="21475"/>
    <cellStyle name="Normal 25 43 11" xfId="21476"/>
    <cellStyle name="Normal 25 43 12" xfId="21477"/>
    <cellStyle name="Normal 25 43 13" xfId="21478"/>
    <cellStyle name="Normal 25 43 2" xfId="21479"/>
    <cellStyle name="Normal 25 43 3" xfId="21480"/>
    <cellStyle name="Normal 25 43 4" xfId="21481"/>
    <cellStyle name="Normal 25 43 5" xfId="21482"/>
    <cellStyle name="Normal 25 43 6" xfId="21483"/>
    <cellStyle name="Normal 25 43 7" xfId="21484"/>
    <cellStyle name="Normal 25 43 8" xfId="21485"/>
    <cellStyle name="Normal 25 43 9" xfId="21486"/>
    <cellStyle name="Normal 25 44" xfId="21487"/>
    <cellStyle name="Normal 25 44 10" xfId="21488"/>
    <cellStyle name="Normal 25 44 11" xfId="21489"/>
    <cellStyle name="Normal 25 44 12" xfId="21490"/>
    <cellStyle name="Normal 25 44 13" xfId="21491"/>
    <cellStyle name="Normal 25 44 2" xfId="21492"/>
    <cellStyle name="Normal 25 44 3" xfId="21493"/>
    <cellStyle name="Normal 25 44 4" xfId="21494"/>
    <cellStyle name="Normal 25 44 5" xfId="21495"/>
    <cellStyle name="Normal 25 44 6" xfId="21496"/>
    <cellStyle name="Normal 25 44 7" xfId="21497"/>
    <cellStyle name="Normal 25 44 8" xfId="21498"/>
    <cellStyle name="Normal 25 44 9" xfId="21499"/>
    <cellStyle name="Normal 25 45" xfId="21500"/>
    <cellStyle name="Normal 25 45 10" xfId="21501"/>
    <cellStyle name="Normal 25 45 11" xfId="21502"/>
    <cellStyle name="Normal 25 45 12" xfId="21503"/>
    <cellStyle name="Normal 25 45 13" xfId="21504"/>
    <cellStyle name="Normal 25 45 2" xfId="21505"/>
    <cellStyle name="Normal 25 45 3" xfId="21506"/>
    <cellStyle name="Normal 25 45 4" xfId="21507"/>
    <cellStyle name="Normal 25 45 5" xfId="21508"/>
    <cellStyle name="Normal 25 45 6" xfId="21509"/>
    <cellStyle name="Normal 25 45 7" xfId="21510"/>
    <cellStyle name="Normal 25 45 8" xfId="21511"/>
    <cellStyle name="Normal 25 45 9" xfId="21512"/>
    <cellStyle name="Normal 25 46" xfId="21513"/>
    <cellStyle name="Normal 25 46 10" xfId="21514"/>
    <cellStyle name="Normal 25 46 11" xfId="21515"/>
    <cellStyle name="Normal 25 46 12" xfId="21516"/>
    <cellStyle name="Normal 25 46 13" xfId="21517"/>
    <cellStyle name="Normal 25 46 2" xfId="21518"/>
    <cellStyle name="Normal 25 46 3" xfId="21519"/>
    <cellStyle name="Normal 25 46 4" xfId="21520"/>
    <cellStyle name="Normal 25 46 5" xfId="21521"/>
    <cellStyle name="Normal 25 46 6" xfId="21522"/>
    <cellStyle name="Normal 25 46 7" xfId="21523"/>
    <cellStyle name="Normal 25 46 8" xfId="21524"/>
    <cellStyle name="Normal 25 46 9" xfId="21525"/>
    <cellStyle name="Normal 25 47" xfId="21526"/>
    <cellStyle name="Normal 25 47 10" xfId="21527"/>
    <cellStyle name="Normal 25 47 11" xfId="21528"/>
    <cellStyle name="Normal 25 47 12" xfId="21529"/>
    <cellStyle name="Normal 25 47 13" xfId="21530"/>
    <cellStyle name="Normal 25 47 2" xfId="21531"/>
    <cellStyle name="Normal 25 47 3" xfId="21532"/>
    <cellStyle name="Normal 25 47 4" xfId="21533"/>
    <cellStyle name="Normal 25 47 5" xfId="21534"/>
    <cellStyle name="Normal 25 47 6" xfId="21535"/>
    <cellStyle name="Normal 25 47 7" xfId="21536"/>
    <cellStyle name="Normal 25 47 8" xfId="21537"/>
    <cellStyle name="Normal 25 47 9" xfId="21538"/>
    <cellStyle name="Normal 25 48" xfId="21539"/>
    <cellStyle name="Normal 25 48 10" xfId="21540"/>
    <cellStyle name="Normal 25 48 11" xfId="21541"/>
    <cellStyle name="Normal 25 48 12" xfId="21542"/>
    <cellStyle name="Normal 25 48 13" xfId="21543"/>
    <cellStyle name="Normal 25 48 2" xfId="21544"/>
    <cellStyle name="Normal 25 48 3" xfId="21545"/>
    <cellStyle name="Normal 25 48 4" xfId="21546"/>
    <cellStyle name="Normal 25 48 5" xfId="21547"/>
    <cellStyle name="Normal 25 48 6" xfId="21548"/>
    <cellStyle name="Normal 25 48 7" xfId="21549"/>
    <cellStyle name="Normal 25 48 8" xfId="21550"/>
    <cellStyle name="Normal 25 48 9" xfId="21551"/>
    <cellStyle name="Normal 25 49" xfId="21552"/>
    <cellStyle name="Normal 25 49 10" xfId="21553"/>
    <cellStyle name="Normal 25 49 11" xfId="21554"/>
    <cellStyle name="Normal 25 49 12" xfId="21555"/>
    <cellStyle name="Normal 25 49 13" xfId="21556"/>
    <cellStyle name="Normal 25 49 2" xfId="21557"/>
    <cellStyle name="Normal 25 49 3" xfId="21558"/>
    <cellStyle name="Normal 25 49 4" xfId="21559"/>
    <cellStyle name="Normal 25 49 5" xfId="21560"/>
    <cellStyle name="Normal 25 49 6" xfId="21561"/>
    <cellStyle name="Normal 25 49 7" xfId="21562"/>
    <cellStyle name="Normal 25 49 8" xfId="21563"/>
    <cellStyle name="Normal 25 49 9" xfId="21564"/>
    <cellStyle name="Normal 25 5" xfId="21565"/>
    <cellStyle name="Normal 25 5 10" xfId="21566"/>
    <cellStyle name="Normal 25 5 11" xfId="21567"/>
    <cellStyle name="Normal 25 5 12" xfId="21568"/>
    <cellStyle name="Normal 25 5 13" xfId="21569"/>
    <cellStyle name="Normal 25 5 2" xfId="21570"/>
    <cellStyle name="Normal 25 5 3" xfId="21571"/>
    <cellStyle name="Normal 25 5 4" xfId="21572"/>
    <cellStyle name="Normal 25 5 5" xfId="21573"/>
    <cellStyle name="Normal 25 5 6" xfId="21574"/>
    <cellStyle name="Normal 25 5 7" xfId="21575"/>
    <cellStyle name="Normal 25 5 8" xfId="21576"/>
    <cellStyle name="Normal 25 5 9" xfId="21577"/>
    <cellStyle name="Normal 25 50" xfId="21578"/>
    <cellStyle name="Normal 25 50 10" xfId="21579"/>
    <cellStyle name="Normal 25 50 11" xfId="21580"/>
    <cellStyle name="Normal 25 50 12" xfId="21581"/>
    <cellStyle name="Normal 25 50 13" xfId="21582"/>
    <cellStyle name="Normal 25 50 2" xfId="21583"/>
    <cellStyle name="Normal 25 50 3" xfId="21584"/>
    <cellStyle name="Normal 25 50 4" xfId="21585"/>
    <cellStyle name="Normal 25 50 5" xfId="21586"/>
    <cellStyle name="Normal 25 50 6" xfId="21587"/>
    <cellStyle name="Normal 25 50 7" xfId="21588"/>
    <cellStyle name="Normal 25 50 8" xfId="21589"/>
    <cellStyle name="Normal 25 50 9" xfId="21590"/>
    <cellStyle name="Normal 25 51" xfId="21591"/>
    <cellStyle name="Normal 25 51 10" xfId="21592"/>
    <cellStyle name="Normal 25 51 11" xfId="21593"/>
    <cellStyle name="Normal 25 51 12" xfId="21594"/>
    <cellStyle name="Normal 25 51 13" xfId="21595"/>
    <cellStyle name="Normal 25 51 2" xfId="21596"/>
    <cellStyle name="Normal 25 51 3" xfId="21597"/>
    <cellStyle name="Normal 25 51 4" xfId="21598"/>
    <cellStyle name="Normal 25 51 5" xfId="21599"/>
    <cellStyle name="Normal 25 51 6" xfId="21600"/>
    <cellStyle name="Normal 25 51 7" xfId="21601"/>
    <cellStyle name="Normal 25 51 8" xfId="21602"/>
    <cellStyle name="Normal 25 51 9" xfId="21603"/>
    <cellStyle name="Normal 25 52" xfId="21604"/>
    <cellStyle name="Normal 25 52 10" xfId="21605"/>
    <cellStyle name="Normal 25 52 11" xfId="21606"/>
    <cellStyle name="Normal 25 52 12" xfId="21607"/>
    <cellStyle name="Normal 25 52 13" xfId="21608"/>
    <cellStyle name="Normal 25 52 2" xfId="21609"/>
    <cellStyle name="Normal 25 52 3" xfId="21610"/>
    <cellStyle name="Normal 25 52 4" xfId="21611"/>
    <cellStyle name="Normal 25 52 5" xfId="21612"/>
    <cellStyle name="Normal 25 52 6" xfId="21613"/>
    <cellStyle name="Normal 25 52 7" xfId="21614"/>
    <cellStyle name="Normal 25 52 8" xfId="21615"/>
    <cellStyle name="Normal 25 52 9" xfId="21616"/>
    <cellStyle name="Normal 25 53" xfId="21617"/>
    <cellStyle name="Normal 25 53 10" xfId="21618"/>
    <cellStyle name="Normal 25 53 11" xfId="21619"/>
    <cellStyle name="Normal 25 53 12" xfId="21620"/>
    <cellStyle name="Normal 25 53 13" xfId="21621"/>
    <cellStyle name="Normal 25 53 2" xfId="21622"/>
    <cellStyle name="Normal 25 53 3" xfId="21623"/>
    <cellStyle name="Normal 25 53 4" xfId="21624"/>
    <cellStyle name="Normal 25 53 5" xfId="21625"/>
    <cellStyle name="Normal 25 53 6" xfId="21626"/>
    <cellStyle name="Normal 25 53 7" xfId="21627"/>
    <cellStyle name="Normal 25 53 8" xfId="21628"/>
    <cellStyle name="Normal 25 53 9" xfId="21629"/>
    <cellStyle name="Normal 25 54" xfId="21630"/>
    <cellStyle name="Normal 25 54 10" xfId="21631"/>
    <cellStyle name="Normal 25 54 11" xfId="21632"/>
    <cellStyle name="Normal 25 54 12" xfId="21633"/>
    <cellStyle name="Normal 25 54 13" xfId="21634"/>
    <cellStyle name="Normal 25 54 2" xfId="21635"/>
    <cellStyle name="Normal 25 54 3" xfId="21636"/>
    <cellStyle name="Normal 25 54 4" xfId="21637"/>
    <cellStyle name="Normal 25 54 5" xfId="21638"/>
    <cellStyle name="Normal 25 54 6" xfId="21639"/>
    <cellStyle name="Normal 25 54 7" xfId="21640"/>
    <cellStyle name="Normal 25 54 8" xfId="21641"/>
    <cellStyle name="Normal 25 54 9" xfId="21642"/>
    <cellStyle name="Normal 25 55" xfId="21643"/>
    <cellStyle name="Normal 25 55 10" xfId="21644"/>
    <cellStyle name="Normal 25 55 11" xfId="21645"/>
    <cellStyle name="Normal 25 55 12" xfId="21646"/>
    <cellStyle name="Normal 25 55 13" xfId="21647"/>
    <cellStyle name="Normal 25 55 2" xfId="21648"/>
    <cellStyle name="Normal 25 55 3" xfId="21649"/>
    <cellStyle name="Normal 25 55 4" xfId="21650"/>
    <cellStyle name="Normal 25 55 5" xfId="21651"/>
    <cellStyle name="Normal 25 55 6" xfId="21652"/>
    <cellStyle name="Normal 25 55 7" xfId="21653"/>
    <cellStyle name="Normal 25 55 8" xfId="21654"/>
    <cellStyle name="Normal 25 55 9" xfId="21655"/>
    <cellStyle name="Normal 25 56" xfId="21656"/>
    <cellStyle name="Normal 25 56 10" xfId="21657"/>
    <cellStyle name="Normal 25 56 11" xfId="21658"/>
    <cellStyle name="Normal 25 56 12" xfId="21659"/>
    <cellStyle name="Normal 25 56 13" xfId="21660"/>
    <cellStyle name="Normal 25 56 2" xfId="21661"/>
    <cellStyle name="Normal 25 56 3" xfId="21662"/>
    <cellStyle name="Normal 25 56 4" xfId="21663"/>
    <cellStyle name="Normal 25 56 5" xfId="21664"/>
    <cellStyle name="Normal 25 56 6" xfId="21665"/>
    <cellStyle name="Normal 25 56 7" xfId="21666"/>
    <cellStyle name="Normal 25 56 8" xfId="21667"/>
    <cellStyle name="Normal 25 56 9" xfId="21668"/>
    <cellStyle name="Normal 25 57" xfId="21669"/>
    <cellStyle name="Normal 25 57 10" xfId="21670"/>
    <cellStyle name="Normal 25 57 11" xfId="21671"/>
    <cellStyle name="Normal 25 57 12" xfId="21672"/>
    <cellStyle name="Normal 25 57 13" xfId="21673"/>
    <cellStyle name="Normal 25 57 2" xfId="21674"/>
    <cellStyle name="Normal 25 57 3" xfId="21675"/>
    <cellStyle name="Normal 25 57 4" xfId="21676"/>
    <cellStyle name="Normal 25 57 5" xfId="21677"/>
    <cellStyle name="Normal 25 57 6" xfId="21678"/>
    <cellStyle name="Normal 25 57 7" xfId="21679"/>
    <cellStyle name="Normal 25 57 8" xfId="21680"/>
    <cellStyle name="Normal 25 57 9" xfId="21681"/>
    <cellStyle name="Normal 25 58" xfId="21682"/>
    <cellStyle name="Normal 25 58 10" xfId="21683"/>
    <cellStyle name="Normal 25 58 11" xfId="21684"/>
    <cellStyle name="Normal 25 58 12" xfId="21685"/>
    <cellStyle name="Normal 25 58 13" xfId="21686"/>
    <cellStyle name="Normal 25 58 2" xfId="21687"/>
    <cellStyle name="Normal 25 58 3" xfId="21688"/>
    <cellStyle name="Normal 25 58 4" xfId="21689"/>
    <cellStyle name="Normal 25 58 5" xfId="21690"/>
    <cellStyle name="Normal 25 58 6" xfId="21691"/>
    <cellStyle name="Normal 25 58 7" xfId="21692"/>
    <cellStyle name="Normal 25 58 8" xfId="21693"/>
    <cellStyle name="Normal 25 58 9" xfId="21694"/>
    <cellStyle name="Normal 25 59" xfId="21695"/>
    <cellStyle name="Normal 25 59 10" xfId="21696"/>
    <cellStyle name="Normal 25 59 11" xfId="21697"/>
    <cellStyle name="Normal 25 59 12" xfId="21698"/>
    <cellStyle name="Normal 25 59 13" xfId="21699"/>
    <cellStyle name="Normal 25 59 2" xfId="21700"/>
    <cellStyle name="Normal 25 59 3" xfId="21701"/>
    <cellStyle name="Normal 25 59 4" xfId="21702"/>
    <cellStyle name="Normal 25 59 5" xfId="21703"/>
    <cellStyle name="Normal 25 59 6" xfId="21704"/>
    <cellStyle name="Normal 25 59 7" xfId="21705"/>
    <cellStyle name="Normal 25 59 8" xfId="21706"/>
    <cellStyle name="Normal 25 59 9" xfId="21707"/>
    <cellStyle name="Normal 25 6" xfId="21708"/>
    <cellStyle name="Normal 25 6 10" xfId="21709"/>
    <cellStyle name="Normal 25 6 11" xfId="21710"/>
    <cellStyle name="Normal 25 6 12" xfId="21711"/>
    <cellStyle name="Normal 25 6 13" xfId="21712"/>
    <cellStyle name="Normal 25 6 2" xfId="21713"/>
    <cellStyle name="Normal 25 6 3" xfId="21714"/>
    <cellStyle name="Normal 25 6 4" xfId="21715"/>
    <cellStyle name="Normal 25 6 5" xfId="21716"/>
    <cellStyle name="Normal 25 6 6" xfId="21717"/>
    <cellStyle name="Normal 25 6 7" xfId="21718"/>
    <cellStyle name="Normal 25 6 8" xfId="21719"/>
    <cellStyle name="Normal 25 6 9" xfId="21720"/>
    <cellStyle name="Normal 25 60" xfId="21721"/>
    <cellStyle name="Normal 25 60 10" xfId="21722"/>
    <cellStyle name="Normal 25 60 11" xfId="21723"/>
    <cellStyle name="Normal 25 60 12" xfId="21724"/>
    <cellStyle name="Normal 25 60 13" xfId="21725"/>
    <cellStyle name="Normal 25 60 2" xfId="21726"/>
    <cellStyle name="Normal 25 60 3" xfId="21727"/>
    <cellStyle name="Normal 25 60 4" xfId="21728"/>
    <cellStyle name="Normal 25 60 5" xfId="21729"/>
    <cellStyle name="Normal 25 60 6" xfId="21730"/>
    <cellStyle name="Normal 25 60 7" xfId="21731"/>
    <cellStyle name="Normal 25 60 8" xfId="21732"/>
    <cellStyle name="Normal 25 60 9" xfId="21733"/>
    <cellStyle name="Normal 25 61" xfId="21734"/>
    <cellStyle name="Normal 25 61 10" xfId="21735"/>
    <cellStyle name="Normal 25 61 11" xfId="21736"/>
    <cellStyle name="Normal 25 61 12" xfId="21737"/>
    <cellStyle name="Normal 25 61 13" xfId="21738"/>
    <cellStyle name="Normal 25 61 2" xfId="21739"/>
    <cellStyle name="Normal 25 61 3" xfId="21740"/>
    <cellStyle name="Normal 25 61 4" xfId="21741"/>
    <cellStyle name="Normal 25 61 5" xfId="21742"/>
    <cellStyle name="Normal 25 61 6" xfId="21743"/>
    <cellStyle name="Normal 25 61 7" xfId="21744"/>
    <cellStyle name="Normal 25 61 8" xfId="21745"/>
    <cellStyle name="Normal 25 61 9" xfId="21746"/>
    <cellStyle name="Normal 25 62" xfId="21747"/>
    <cellStyle name="Normal 25 62 10" xfId="21748"/>
    <cellStyle name="Normal 25 62 11" xfId="21749"/>
    <cellStyle name="Normal 25 62 12" xfId="21750"/>
    <cellStyle name="Normal 25 62 13" xfId="21751"/>
    <cellStyle name="Normal 25 62 2" xfId="21752"/>
    <cellStyle name="Normal 25 62 3" xfId="21753"/>
    <cellStyle name="Normal 25 62 4" xfId="21754"/>
    <cellStyle name="Normal 25 62 5" xfId="21755"/>
    <cellStyle name="Normal 25 62 6" xfId="21756"/>
    <cellStyle name="Normal 25 62 7" xfId="21757"/>
    <cellStyle name="Normal 25 62 8" xfId="21758"/>
    <cellStyle name="Normal 25 62 9" xfId="21759"/>
    <cellStyle name="Normal 25 63" xfId="21760"/>
    <cellStyle name="Normal 25 63 10" xfId="21761"/>
    <cellStyle name="Normal 25 63 11" xfId="21762"/>
    <cellStyle name="Normal 25 63 12" xfId="21763"/>
    <cellStyle name="Normal 25 63 13" xfId="21764"/>
    <cellStyle name="Normal 25 63 2" xfId="21765"/>
    <cellStyle name="Normal 25 63 3" xfId="21766"/>
    <cellStyle name="Normal 25 63 4" xfId="21767"/>
    <cellStyle name="Normal 25 63 5" xfId="21768"/>
    <cellStyle name="Normal 25 63 6" xfId="21769"/>
    <cellStyle name="Normal 25 63 7" xfId="21770"/>
    <cellStyle name="Normal 25 63 8" xfId="21771"/>
    <cellStyle name="Normal 25 63 9" xfId="21772"/>
    <cellStyle name="Normal 25 64" xfId="21773"/>
    <cellStyle name="Normal 25 64 10" xfId="21774"/>
    <cellStyle name="Normal 25 64 11" xfId="21775"/>
    <cellStyle name="Normal 25 64 12" xfId="21776"/>
    <cellStyle name="Normal 25 64 13" xfId="21777"/>
    <cellStyle name="Normal 25 64 2" xfId="21778"/>
    <cellStyle name="Normal 25 64 3" xfId="21779"/>
    <cellStyle name="Normal 25 64 4" xfId="21780"/>
    <cellStyle name="Normal 25 64 5" xfId="21781"/>
    <cellStyle name="Normal 25 64 6" xfId="21782"/>
    <cellStyle name="Normal 25 64 7" xfId="21783"/>
    <cellStyle name="Normal 25 64 8" xfId="21784"/>
    <cellStyle name="Normal 25 64 9" xfId="21785"/>
    <cellStyle name="Normal 25 65" xfId="21786"/>
    <cellStyle name="Normal 25 65 10" xfId="21787"/>
    <cellStyle name="Normal 25 65 11" xfId="21788"/>
    <cellStyle name="Normal 25 65 12" xfId="21789"/>
    <cellStyle name="Normal 25 65 13" xfId="21790"/>
    <cellStyle name="Normal 25 65 2" xfId="21791"/>
    <cellStyle name="Normal 25 65 3" xfId="21792"/>
    <cellStyle name="Normal 25 65 4" xfId="21793"/>
    <cellStyle name="Normal 25 65 5" xfId="21794"/>
    <cellStyle name="Normal 25 65 6" xfId="21795"/>
    <cellStyle name="Normal 25 65 7" xfId="21796"/>
    <cellStyle name="Normal 25 65 8" xfId="21797"/>
    <cellStyle name="Normal 25 65 9" xfId="21798"/>
    <cellStyle name="Normal 25 66" xfId="21799"/>
    <cellStyle name="Normal 25 66 10" xfId="21800"/>
    <cellStyle name="Normal 25 66 11" xfId="21801"/>
    <cellStyle name="Normal 25 66 12" xfId="21802"/>
    <cellStyle name="Normal 25 66 13" xfId="21803"/>
    <cellStyle name="Normal 25 66 2" xfId="21804"/>
    <cellStyle name="Normal 25 66 3" xfId="21805"/>
    <cellStyle name="Normal 25 66 4" xfId="21806"/>
    <cellStyle name="Normal 25 66 5" xfId="21807"/>
    <cellStyle name="Normal 25 66 6" xfId="21808"/>
    <cellStyle name="Normal 25 66 7" xfId="21809"/>
    <cellStyle name="Normal 25 66 8" xfId="21810"/>
    <cellStyle name="Normal 25 66 9" xfId="21811"/>
    <cellStyle name="Normal 25 67" xfId="21812"/>
    <cellStyle name="Normal 25 67 10" xfId="21813"/>
    <cellStyle name="Normal 25 67 11" xfId="21814"/>
    <cellStyle name="Normal 25 67 12" xfId="21815"/>
    <cellStyle name="Normal 25 67 13" xfId="21816"/>
    <cellStyle name="Normal 25 67 2" xfId="21817"/>
    <cellStyle name="Normal 25 67 3" xfId="21818"/>
    <cellStyle name="Normal 25 67 4" xfId="21819"/>
    <cellStyle name="Normal 25 67 5" xfId="21820"/>
    <cellStyle name="Normal 25 67 6" xfId="21821"/>
    <cellStyle name="Normal 25 67 7" xfId="21822"/>
    <cellStyle name="Normal 25 67 8" xfId="21823"/>
    <cellStyle name="Normal 25 67 9" xfId="21824"/>
    <cellStyle name="Normal 25 68" xfId="21825"/>
    <cellStyle name="Normal 25 68 10" xfId="21826"/>
    <cellStyle name="Normal 25 68 11" xfId="21827"/>
    <cellStyle name="Normal 25 68 12" xfId="21828"/>
    <cellStyle name="Normal 25 68 13" xfId="21829"/>
    <cellStyle name="Normal 25 68 2" xfId="21830"/>
    <cellStyle name="Normal 25 68 3" xfId="21831"/>
    <cellStyle name="Normal 25 68 4" xfId="21832"/>
    <cellStyle name="Normal 25 68 5" xfId="21833"/>
    <cellStyle name="Normal 25 68 6" xfId="21834"/>
    <cellStyle name="Normal 25 68 7" xfId="21835"/>
    <cellStyle name="Normal 25 68 8" xfId="21836"/>
    <cellStyle name="Normal 25 68 9" xfId="21837"/>
    <cellStyle name="Normal 25 69" xfId="21838"/>
    <cellStyle name="Normal 25 69 10" xfId="21839"/>
    <cellStyle name="Normal 25 69 11" xfId="21840"/>
    <cellStyle name="Normal 25 69 12" xfId="21841"/>
    <cellStyle name="Normal 25 69 13" xfId="21842"/>
    <cellStyle name="Normal 25 69 2" xfId="21843"/>
    <cellStyle name="Normal 25 69 3" xfId="21844"/>
    <cellStyle name="Normal 25 69 4" xfId="21845"/>
    <cellStyle name="Normal 25 69 5" xfId="21846"/>
    <cellStyle name="Normal 25 69 6" xfId="21847"/>
    <cellStyle name="Normal 25 69 7" xfId="21848"/>
    <cellStyle name="Normal 25 69 8" xfId="21849"/>
    <cellStyle name="Normal 25 69 9" xfId="21850"/>
    <cellStyle name="Normal 25 7" xfId="21851"/>
    <cellStyle name="Normal 25 7 10" xfId="21852"/>
    <cellStyle name="Normal 25 7 11" xfId="21853"/>
    <cellStyle name="Normal 25 7 12" xfId="21854"/>
    <cellStyle name="Normal 25 7 13" xfId="21855"/>
    <cellStyle name="Normal 25 7 2" xfId="21856"/>
    <cellStyle name="Normal 25 7 3" xfId="21857"/>
    <cellStyle name="Normal 25 7 4" xfId="21858"/>
    <cellStyle name="Normal 25 7 5" xfId="21859"/>
    <cellStyle name="Normal 25 7 6" xfId="21860"/>
    <cellStyle name="Normal 25 7 7" xfId="21861"/>
    <cellStyle name="Normal 25 7 8" xfId="21862"/>
    <cellStyle name="Normal 25 7 9" xfId="21863"/>
    <cellStyle name="Normal 25 70" xfId="21864"/>
    <cellStyle name="Normal 25 70 10" xfId="21865"/>
    <cellStyle name="Normal 25 70 11" xfId="21866"/>
    <cellStyle name="Normal 25 70 12" xfId="21867"/>
    <cellStyle name="Normal 25 70 13" xfId="21868"/>
    <cellStyle name="Normal 25 70 2" xfId="21869"/>
    <cellStyle name="Normal 25 70 3" xfId="21870"/>
    <cellStyle name="Normal 25 70 4" xfId="21871"/>
    <cellStyle name="Normal 25 70 5" xfId="21872"/>
    <cellStyle name="Normal 25 70 6" xfId="21873"/>
    <cellStyle name="Normal 25 70 7" xfId="21874"/>
    <cellStyle name="Normal 25 70 8" xfId="21875"/>
    <cellStyle name="Normal 25 70 9" xfId="21876"/>
    <cellStyle name="Normal 25 71" xfId="21877"/>
    <cellStyle name="Normal 25 71 10" xfId="21878"/>
    <cellStyle name="Normal 25 71 11" xfId="21879"/>
    <cellStyle name="Normal 25 71 12" xfId="21880"/>
    <cellStyle name="Normal 25 71 13" xfId="21881"/>
    <cellStyle name="Normal 25 71 2" xfId="21882"/>
    <cellStyle name="Normal 25 71 3" xfId="21883"/>
    <cellStyle name="Normal 25 71 4" xfId="21884"/>
    <cellStyle name="Normal 25 71 5" xfId="21885"/>
    <cellStyle name="Normal 25 71 6" xfId="21886"/>
    <cellStyle name="Normal 25 71 7" xfId="21887"/>
    <cellStyle name="Normal 25 71 8" xfId="21888"/>
    <cellStyle name="Normal 25 71 9" xfId="21889"/>
    <cellStyle name="Normal 25 72" xfId="21890"/>
    <cellStyle name="Normal 25 73" xfId="21891"/>
    <cellStyle name="Normal 25 74" xfId="21892"/>
    <cellStyle name="Normal 25 75" xfId="21893"/>
    <cellStyle name="Normal 25 76" xfId="21894"/>
    <cellStyle name="Normal 25 77" xfId="21895"/>
    <cellStyle name="Normal 25 78" xfId="21896"/>
    <cellStyle name="Normal 25 79" xfId="21897"/>
    <cellStyle name="Normal 25 8" xfId="21898"/>
    <cellStyle name="Normal 25 8 10" xfId="21899"/>
    <cellStyle name="Normal 25 8 11" xfId="21900"/>
    <cellStyle name="Normal 25 8 12" xfId="21901"/>
    <cellStyle name="Normal 25 8 13" xfId="21902"/>
    <cellStyle name="Normal 25 8 2" xfId="21903"/>
    <cellStyle name="Normal 25 8 3" xfId="21904"/>
    <cellStyle name="Normal 25 8 4" xfId="21905"/>
    <cellStyle name="Normal 25 8 5" xfId="21906"/>
    <cellStyle name="Normal 25 8 6" xfId="21907"/>
    <cellStyle name="Normal 25 8 7" xfId="21908"/>
    <cellStyle name="Normal 25 8 8" xfId="21909"/>
    <cellStyle name="Normal 25 8 9" xfId="21910"/>
    <cellStyle name="Normal 25 80" xfId="21911"/>
    <cellStyle name="Normal 25 81" xfId="21912"/>
    <cellStyle name="Normal 25 82" xfId="21913"/>
    <cellStyle name="Normal 25 83" xfId="21914"/>
    <cellStyle name="Normal 25 9" xfId="21915"/>
    <cellStyle name="Normal 25 9 10" xfId="21916"/>
    <cellStyle name="Normal 25 9 11" xfId="21917"/>
    <cellStyle name="Normal 25 9 12" xfId="21918"/>
    <cellStyle name="Normal 25 9 13" xfId="21919"/>
    <cellStyle name="Normal 25 9 2" xfId="21920"/>
    <cellStyle name="Normal 25 9 3" xfId="21921"/>
    <cellStyle name="Normal 25 9 4" xfId="21922"/>
    <cellStyle name="Normal 25 9 5" xfId="21923"/>
    <cellStyle name="Normal 25 9 6" xfId="21924"/>
    <cellStyle name="Normal 25 9 7" xfId="21925"/>
    <cellStyle name="Normal 25 9 8" xfId="21926"/>
    <cellStyle name="Normal 25 9 9" xfId="21927"/>
    <cellStyle name="Normal 26" xfId="21928"/>
    <cellStyle name="Normal 26 10" xfId="21929"/>
    <cellStyle name="Normal 26 10 10" xfId="21930"/>
    <cellStyle name="Normal 26 10 11" xfId="21931"/>
    <cellStyle name="Normal 26 10 12" xfId="21932"/>
    <cellStyle name="Normal 26 10 13" xfId="21933"/>
    <cellStyle name="Normal 26 10 2" xfId="21934"/>
    <cellStyle name="Normal 26 10 3" xfId="21935"/>
    <cellStyle name="Normal 26 10 4" xfId="21936"/>
    <cellStyle name="Normal 26 10 5" xfId="21937"/>
    <cellStyle name="Normal 26 10 6" xfId="21938"/>
    <cellStyle name="Normal 26 10 7" xfId="21939"/>
    <cellStyle name="Normal 26 10 8" xfId="21940"/>
    <cellStyle name="Normal 26 10 9" xfId="21941"/>
    <cellStyle name="Normal 26 11" xfId="21942"/>
    <cellStyle name="Normal 26 11 10" xfId="21943"/>
    <cellStyle name="Normal 26 11 11" xfId="21944"/>
    <cellStyle name="Normal 26 11 12" xfId="21945"/>
    <cellStyle name="Normal 26 11 13" xfId="21946"/>
    <cellStyle name="Normal 26 11 2" xfId="21947"/>
    <cellStyle name="Normal 26 11 3" xfId="21948"/>
    <cellStyle name="Normal 26 11 4" xfId="21949"/>
    <cellStyle name="Normal 26 11 5" xfId="21950"/>
    <cellStyle name="Normal 26 11 6" xfId="21951"/>
    <cellStyle name="Normal 26 11 7" xfId="21952"/>
    <cellStyle name="Normal 26 11 8" xfId="21953"/>
    <cellStyle name="Normal 26 11 9" xfId="21954"/>
    <cellStyle name="Normal 26 12" xfId="21955"/>
    <cellStyle name="Normal 26 12 10" xfId="21956"/>
    <cellStyle name="Normal 26 12 11" xfId="21957"/>
    <cellStyle name="Normal 26 12 12" xfId="21958"/>
    <cellStyle name="Normal 26 12 13" xfId="21959"/>
    <cellStyle name="Normal 26 12 2" xfId="21960"/>
    <cellStyle name="Normal 26 12 3" xfId="21961"/>
    <cellStyle name="Normal 26 12 4" xfId="21962"/>
    <cellStyle name="Normal 26 12 5" xfId="21963"/>
    <cellStyle name="Normal 26 12 6" xfId="21964"/>
    <cellStyle name="Normal 26 12 7" xfId="21965"/>
    <cellStyle name="Normal 26 12 8" xfId="21966"/>
    <cellStyle name="Normal 26 12 9" xfId="21967"/>
    <cellStyle name="Normal 26 13" xfId="21968"/>
    <cellStyle name="Normal 26 13 10" xfId="21969"/>
    <cellStyle name="Normal 26 13 11" xfId="21970"/>
    <cellStyle name="Normal 26 13 12" xfId="21971"/>
    <cellStyle name="Normal 26 13 13" xfId="21972"/>
    <cellStyle name="Normal 26 13 2" xfId="21973"/>
    <cellStyle name="Normal 26 13 3" xfId="21974"/>
    <cellStyle name="Normal 26 13 4" xfId="21975"/>
    <cellStyle name="Normal 26 13 5" xfId="21976"/>
    <cellStyle name="Normal 26 13 6" xfId="21977"/>
    <cellStyle name="Normal 26 13 7" xfId="21978"/>
    <cellStyle name="Normal 26 13 8" xfId="21979"/>
    <cellStyle name="Normal 26 13 9" xfId="21980"/>
    <cellStyle name="Normal 26 14" xfId="21981"/>
    <cellStyle name="Normal 26 14 10" xfId="21982"/>
    <cellStyle name="Normal 26 14 11" xfId="21983"/>
    <cellStyle name="Normal 26 14 12" xfId="21984"/>
    <cellStyle name="Normal 26 14 13" xfId="21985"/>
    <cellStyle name="Normal 26 14 2" xfId="21986"/>
    <cellStyle name="Normal 26 14 3" xfId="21987"/>
    <cellStyle name="Normal 26 14 4" xfId="21988"/>
    <cellStyle name="Normal 26 14 5" xfId="21989"/>
    <cellStyle name="Normal 26 14 6" xfId="21990"/>
    <cellStyle name="Normal 26 14 7" xfId="21991"/>
    <cellStyle name="Normal 26 14 8" xfId="21992"/>
    <cellStyle name="Normal 26 14 9" xfId="21993"/>
    <cellStyle name="Normal 26 15" xfId="21994"/>
    <cellStyle name="Normal 26 15 10" xfId="21995"/>
    <cellStyle name="Normal 26 15 11" xfId="21996"/>
    <cellStyle name="Normal 26 15 12" xfId="21997"/>
    <cellStyle name="Normal 26 15 13" xfId="21998"/>
    <cellStyle name="Normal 26 15 2" xfId="21999"/>
    <cellStyle name="Normal 26 15 3" xfId="22000"/>
    <cellStyle name="Normal 26 15 4" xfId="22001"/>
    <cellStyle name="Normal 26 15 5" xfId="22002"/>
    <cellStyle name="Normal 26 15 6" xfId="22003"/>
    <cellStyle name="Normal 26 15 7" xfId="22004"/>
    <cellStyle name="Normal 26 15 8" xfId="22005"/>
    <cellStyle name="Normal 26 15 9" xfId="22006"/>
    <cellStyle name="Normal 26 16" xfId="22007"/>
    <cellStyle name="Normal 26 16 10" xfId="22008"/>
    <cellStyle name="Normal 26 16 11" xfId="22009"/>
    <cellStyle name="Normal 26 16 12" xfId="22010"/>
    <cellStyle name="Normal 26 16 13" xfId="22011"/>
    <cellStyle name="Normal 26 16 2" xfId="22012"/>
    <cellStyle name="Normal 26 16 3" xfId="22013"/>
    <cellStyle name="Normal 26 16 4" xfId="22014"/>
    <cellStyle name="Normal 26 16 5" xfId="22015"/>
    <cellStyle name="Normal 26 16 6" xfId="22016"/>
    <cellStyle name="Normal 26 16 7" xfId="22017"/>
    <cellStyle name="Normal 26 16 8" xfId="22018"/>
    <cellStyle name="Normal 26 16 9" xfId="22019"/>
    <cellStyle name="Normal 26 17" xfId="22020"/>
    <cellStyle name="Normal 26 17 10" xfId="22021"/>
    <cellStyle name="Normal 26 17 11" xfId="22022"/>
    <cellStyle name="Normal 26 17 12" xfId="22023"/>
    <cellStyle name="Normal 26 17 13" xfId="22024"/>
    <cellStyle name="Normal 26 17 2" xfId="22025"/>
    <cellStyle name="Normal 26 17 3" xfId="22026"/>
    <cellStyle name="Normal 26 17 4" xfId="22027"/>
    <cellStyle name="Normal 26 17 5" xfId="22028"/>
    <cellStyle name="Normal 26 17 6" xfId="22029"/>
    <cellStyle name="Normal 26 17 7" xfId="22030"/>
    <cellStyle name="Normal 26 17 8" xfId="22031"/>
    <cellStyle name="Normal 26 17 9" xfId="22032"/>
    <cellStyle name="Normal 26 18" xfId="22033"/>
    <cellStyle name="Normal 26 18 10" xfId="22034"/>
    <cellStyle name="Normal 26 18 11" xfId="22035"/>
    <cellStyle name="Normal 26 18 12" xfId="22036"/>
    <cellStyle name="Normal 26 18 13" xfId="22037"/>
    <cellStyle name="Normal 26 18 2" xfId="22038"/>
    <cellStyle name="Normal 26 18 3" xfId="22039"/>
    <cellStyle name="Normal 26 18 4" xfId="22040"/>
    <cellStyle name="Normal 26 18 5" xfId="22041"/>
    <cellStyle name="Normal 26 18 6" xfId="22042"/>
    <cellStyle name="Normal 26 18 7" xfId="22043"/>
    <cellStyle name="Normal 26 18 8" xfId="22044"/>
    <cellStyle name="Normal 26 18 9" xfId="22045"/>
    <cellStyle name="Normal 26 19" xfId="22046"/>
    <cellStyle name="Normal 26 19 10" xfId="22047"/>
    <cellStyle name="Normal 26 19 11" xfId="22048"/>
    <cellStyle name="Normal 26 19 12" xfId="22049"/>
    <cellStyle name="Normal 26 19 13" xfId="22050"/>
    <cellStyle name="Normal 26 19 2" xfId="22051"/>
    <cellStyle name="Normal 26 19 3" xfId="22052"/>
    <cellStyle name="Normal 26 19 4" xfId="22053"/>
    <cellStyle name="Normal 26 19 5" xfId="22054"/>
    <cellStyle name="Normal 26 19 6" xfId="22055"/>
    <cellStyle name="Normal 26 19 7" xfId="22056"/>
    <cellStyle name="Normal 26 19 8" xfId="22057"/>
    <cellStyle name="Normal 26 19 9" xfId="22058"/>
    <cellStyle name="Normal 26 2" xfId="22059"/>
    <cellStyle name="Normal 26 2 10" xfId="22060"/>
    <cellStyle name="Normal 26 2 11" xfId="22061"/>
    <cellStyle name="Normal 26 2 12" xfId="22062"/>
    <cellStyle name="Normal 26 2 13" xfId="22063"/>
    <cellStyle name="Normal 26 2 2" xfId="22064"/>
    <cellStyle name="Normal 26 2 3" xfId="22065"/>
    <cellStyle name="Normal 26 2 4" xfId="22066"/>
    <cellStyle name="Normal 26 2 5" xfId="22067"/>
    <cellStyle name="Normal 26 2 6" xfId="22068"/>
    <cellStyle name="Normal 26 2 7" xfId="22069"/>
    <cellStyle name="Normal 26 2 8" xfId="22070"/>
    <cellStyle name="Normal 26 2 9" xfId="22071"/>
    <cellStyle name="Normal 26 20" xfId="22072"/>
    <cellStyle name="Normal 26 20 10" xfId="22073"/>
    <cellStyle name="Normal 26 20 11" xfId="22074"/>
    <cellStyle name="Normal 26 20 12" xfId="22075"/>
    <cellStyle name="Normal 26 20 13" xfId="22076"/>
    <cellStyle name="Normal 26 20 2" xfId="22077"/>
    <cellStyle name="Normal 26 20 3" xfId="22078"/>
    <cellStyle name="Normal 26 20 4" xfId="22079"/>
    <cellStyle name="Normal 26 20 5" xfId="22080"/>
    <cellStyle name="Normal 26 20 6" xfId="22081"/>
    <cellStyle name="Normal 26 20 7" xfId="22082"/>
    <cellStyle name="Normal 26 20 8" xfId="22083"/>
    <cellStyle name="Normal 26 20 9" xfId="22084"/>
    <cellStyle name="Normal 26 21" xfId="22085"/>
    <cellStyle name="Normal 26 21 10" xfId="22086"/>
    <cellStyle name="Normal 26 21 11" xfId="22087"/>
    <cellStyle name="Normal 26 21 12" xfId="22088"/>
    <cellStyle name="Normal 26 21 13" xfId="22089"/>
    <cellStyle name="Normal 26 21 2" xfId="22090"/>
    <cellStyle name="Normal 26 21 3" xfId="22091"/>
    <cellStyle name="Normal 26 21 4" xfId="22092"/>
    <cellStyle name="Normal 26 21 5" xfId="22093"/>
    <cellStyle name="Normal 26 21 6" xfId="22094"/>
    <cellStyle name="Normal 26 21 7" xfId="22095"/>
    <cellStyle name="Normal 26 21 8" xfId="22096"/>
    <cellStyle name="Normal 26 21 9" xfId="22097"/>
    <cellStyle name="Normal 26 22" xfId="22098"/>
    <cellStyle name="Normal 26 22 10" xfId="22099"/>
    <cellStyle name="Normal 26 22 11" xfId="22100"/>
    <cellStyle name="Normal 26 22 12" xfId="22101"/>
    <cellStyle name="Normal 26 22 13" xfId="22102"/>
    <cellStyle name="Normal 26 22 2" xfId="22103"/>
    <cellStyle name="Normal 26 22 3" xfId="22104"/>
    <cellStyle name="Normal 26 22 4" xfId="22105"/>
    <cellStyle name="Normal 26 22 5" xfId="22106"/>
    <cellStyle name="Normal 26 22 6" xfId="22107"/>
    <cellStyle name="Normal 26 22 7" xfId="22108"/>
    <cellStyle name="Normal 26 22 8" xfId="22109"/>
    <cellStyle name="Normal 26 22 9" xfId="22110"/>
    <cellStyle name="Normal 26 23" xfId="22111"/>
    <cellStyle name="Normal 26 23 10" xfId="22112"/>
    <cellStyle name="Normal 26 23 11" xfId="22113"/>
    <cellStyle name="Normal 26 23 12" xfId="22114"/>
    <cellStyle name="Normal 26 23 13" xfId="22115"/>
    <cellStyle name="Normal 26 23 2" xfId="22116"/>
    <cellStyle name="Normal 26 23 3" xfId="22117"/>
    <cellStyle name="Normal 26 23 4" xfId="22118"/>
    <cellStyle name="Normal 26 23 5" xfId="22119"/>
    <cellStyle name="Normal 26 23 6" xfId="22120"/>
    <cellStyle name="Normal 26 23 7" xfId="22121"/>
    <cellStyle name="Normal 26 23 8" xfId="22122"/>
    <cellStyle name="Normal 26 23 9" xfId="22123"/>
    <cellStyle name="Normal 26 24" xfId="22124"/>
    <cellStyle name="Normal 26 24 10" xfId="22125"/>
    <cellStyle name="Normal 26 24 11" xfId="22126"/>
    <cellStyle name="Normal 26 24 12" xfId="22127"/>
    <cellStyle name="Normal 26 24 13" xfId="22128"/>
    <cellStyle name="Normal 26 24 2" xfId="22129"/>
    <cellStyle name="Normal 26 24 3" xfId="22130"/>
    <cellStyle name="Normal 26 24 4" xfId="22131"/>
    <cellStyle name="Normal 26 24 5" xfId="22132"/>
    <cellStyle name="Normal 26 24 6" xfId="22133"/>
    <cellStyle name="Normal 26 24 7" xfId="22134"/>
    <cellStyle name="Normal 26 24 8" xfId="22135"/>
    <cellStyle name="Normal 26 24 9" xfId="22136"/>
    <cellStyle name="Normal 26 25" xfId="22137"/>
    <cellStyle name="Normal 26 25 10" xfId="22138"/>
    <cellStyle name="Normal 26 25 11" xfId="22139"/>
    <cellStyle name="Normal 26 25 12" xfId="22140"/>
    <cellStyle name="Normal 26 25 13" xfId="22141"/>
    <cellStyle name="Normal 26 25 2" xfId="22142"/>
    <cellStyle name="Normal 26 25 3" xfId="22143"/>
    <cellStyle name="Normal 26 25 4" xfId="22144"/>
    <cellStyle name="Normal 26 25 5" xfId="22145"/>
    <cellStyle name="Normal 26 25 6" xfId="22146"/>
    <cellStyle name="Normal 26 25 7" xfId="22147"/>
    <cellStyle name="Normal 26 25 8" xfId="22148"/>
    <cellStyle name="Normal 26 25 9" xfId="22149"/>
    <cellStyle name="Normal 26 26" xfId="22150"/>
    <cellStyle name="Normal 26 26 10" xfId="22151"/>
    <cellStyle name="Normal 26 26 11" xfId="22152"/>
    <cellStyle name="Normal 26 26 12" xfId="22153"/>
    <cellStyle name="Normal 26 26 13" xfId="22154"/>
    <cellStyle name="Normal 26 26 2" xfId="22155"/>
    <cellStyle name="Normal 26 26 3" xfId="22156"/>
    <cellStyle name="Normal 26 26 4" xfId="22157"/>
    <cellStyle name="Normal 26 26 5" xfId="22158"/>
    <cellStyle name="Normal 26 26 6" xfId="22159"/>
    <cellStyle name="Normal 26 26 7" xfId="22160"/>
    <cellStyle name="Normal 26 26 8" xfId="22161"/>
    <cellStyle name="Normal 26 26 9" xfId="22162"/>
    <cellStyle name="Normal 26 27" xfId="22163"/>
    <cellStyle name="Normal 26 27 10" xfId="22164"/>
    <cellStyle name="Normal 26 27 11" xfId="22165"/>
    <cellStyle name="Normal 26 27 12" xfId="22166"/>
    <cellStyle name="Normal 26 27 13" xfId="22167"/>
    <cellStyle name="Normal 26 27 2" xfId="22168"/>
    <cellStyle name="Normal 26 27 3" xfId="22169"/>
    <cellStyle name="Normal 26 27 4" xfId="22170"/>
    <cellStyle name="Normal 26 27 5" xfId="22171"/>
    <cellStyle name="Normal 26 27 6" xfId="22172"/>
    <cellStyle name="Normal 26 27 7" xfId="22173"/>
    <cellStyle name="Normal 26 27 8" xfId="22174"/>
    <cellStyle name="Normal 26 27 9" xfId="22175"/>
    <cellStyle name="Normal 26 28" xfId="22176"/>
    <cellStyle name="Normal 26 28 10" xfId="22177"/>
    <cellStyle name="Normal 26 28 11" xfId="22178"/>
    <cellStyle name="Normal 26 28 12" xfId="22179"/>
    <cellStyle name="Normal 26 28 13" xfId="22180"/>
    <cellStyle name="Normal 26 28 2" xfId="22181"/>
    <cellStyle name="Normal 26 28 3" xfId="22182"/>
    <cellStyle name="Normal 26 28 4" xfId="22183"/>
    <cellStyle name="Normal 26 28 5" xfId="22184"/>
    <cellStyle name="Normal 26 28 6" xfId="22185"/>
    <cellStyle name="Normal 26 28 7" xfId="22186"/>
    <cellStyle name="Normal 26 28 8" xfId="22187"/>
    <cellStyle name="Normal 26 28 9" xfId="22188"/>
    <cellStyle name="Normal 26 29" xfId="22189"/>
    <cellStyle name="Normal 26 29 10" xfId="22190"/>
    <cellStyle name="Normal 26 29 11" xfId="22191"/>
    <cellStyle name="Normal 26 29 12" xfId="22192"/>
    <cellStyle name="Normal 26 29 13" xfId="22193"/>
    <cellStyle name="Normal 26 29 2" xfId="22194"/>
    <cellStyle name="Normal 26 29 3" xfId="22195"/>
    <cellStyle name="Normal 26 29 4" xfId="22196"/>
    <cellStyle name="Normal 26 29 5" xfId="22197"/>
    <cellStyle name="Normal 26 29 6" xfId="22198"/>
    <cellStyle name="Normal 26 29 7" xfId="22199"/>
    <cellStyle name="Normal 26 29 8" xfId="22200"/>
    <cellStyle name="Normal 26 29 9" xfId="22201"/>
    <cellStyle name="Normal 26 3" xfId="22202"/>
    <cellStyle name="Normal 26 3 10" xfId="22203"/>
    <cellStyle name="Normal 26 3 11" xfId="22204"/>
    <cellStyle name="Normal 26 3 12" xfId="22205"/>
    <cellStyle name="Normal 26 3 13" xfId="22206"/>
    <cellStyle name="Normal 26 3 2" xfId="22207"/>
    <cellStyle name="Normal 26 3 3" xfId="22208"/>
    <cellStyle name="Normal 26 3 4" xfId="22209"/>
    <cellStyle name="Normal 26 3 5" xfId="22210"/>
    <cellStyle name="Normal 26 3 6" xfId="22211"/>
    <cellStyle name="Normal 26 3 7" xfId="22212"/>
    <cellStyle name="Normal 26 3 8" xfId="22213"/>
    <cellStyle name="Normal 26 3 9" xfId="22214"/>
    <cellStyle name="Normal 26 30" xfId="22215"/>
    <cellStyle name="Normal 26 30 10" xfId="22216"/>
    <cellStyle name="Normal 26 30 11" xfId="22217"/>
    <cellStyle name="Normal 26 30 12" xfId="22218"/>
    <cellStyle name="Normal 26 30 13" xfId="22219"/>
    <cellStyle name="Normal 26 30 2" xfId="22220"/>
    <cellStyle name="Normal 26 30 3" xfId="22221"/>
    <cellStyle name="Normal 26 30 4" xfId="22222"/>
    <cellStyle name="Normal 26 30 5" xfId="22223"/>
    <cellStyle name="Normal 26 30 6" xfId="22224"/>
    <cellStyle name="Normal 26 30 7" xfId="22225"/>
    <cellStyle name="Normal 26 30 8" xfId="22226"/>
    <cellStyle name="Normal 26 30 9" xfId="22227"/>
    <cellStyle name="Normal 26 31" xfId="22228"/>
    <cellStyle name="Normal 26 31 10" xfId="22229"/>
    <cellStyle name="Normal 26 31 11" xfId="22230"/>
    <cellStyle name="Normal 26 31 12" xfId="22231"/>
    <cellStyle name="Normal 26 31 13" xfId="22232"/>
    <cellStyle name="Normal 26 31 2" xfId="22233"/>
    <cellStyle name="Normal 26 31 3" xfId="22234"/>
    <cellStyle name="Normal 26 31 4" xfId="22235"/>
    <cellStyle name="Normal 26 31 5" xfId="22236"/>
    <cellStyle name="Normal 26 31 6" xfId="22237"/>
    <cellStyle name="Normal 26 31 7" xfId="22238"/>
    <cellStyle name="Normal 26 31 8" xfId="22239"/>
    <cellStyle name="Normal 26 31 9" xfId="22240"/>
    <cellStyle name="Normal 26 32" xfId="22241"/>
    <cellStyle name="Normal 26 32 10" xfId="22242"/>
    <cellStyle name="Normal 26 32 11" xfId="22243"/>
    <cellStyle name="Normal 26 32 12" xfId="22244"/>
    <cellStyle name="Normal 26 32 13" xfId="22245"/>
    <cellStyle name="Normal 26 32 2" xfId="22246"/>
    <cellStyle name="Normal 26 32 3" xfId="22247"/>
    <cellStyle name="Normal 26 32 4" xfId="22248"/>
    <cellStyle name="Normal 26 32 5" xfId="22249"/>
    <cellStyle name="Normal 26 32 6" xfId="22250"/>
    <cellStyle name="Normal 26 32 7" xfId="22251"/>
    <cellStyle name="Normal 26 32 8" xfId="22252"/>
    <cellStyle name="Normal 26 32 9" xfId="22253"/>
    <cellStyle name="Normal 26 33" xfId="22254"/>
    <cellStyle name="Normal 26 33 10" xfId="22255"/>
    <cellStyle name="Normal 26 33 11" xfId="22256"/>
    <cellStyle name="Normal 26 33 12" xfId="22257"/>
    <cellStyle name="Normal 26 33 13" xfId="22258"/>
    <cellStyle name="Normal 26 33 2" xfId="22259"/>
    <cellStyle name="Normal 26 33 3" xfId="22260"/>
    <cellStyle name="Normal 26 33 4" xfId="22261"/>
    <cellStyle name="Normal 26 33 5" xfId="22262"/>
    <cellStyle name="Normal 26 33 6" xfId="22263"/>
    <cellStyle name="Normal 26 33 7" xfId="22264"/>
    <cellStyle name="Normal 26 33 8" xfId="22265"/>
    <cellStyle name="Normal 26 33 9" xfId="22266"/>
    <cellStyle name="Normal 26 34" xfId="22267"/>
    <cellStyle name="Normal 26 34 10" xfId="22268"/>
    <cellStyle name="Normal 26 34 11" xfId="22269"/>
    <cellStyle name="Normal 26 34 12" xfId="22270"/>
    <cellStyle name="Normal 26 34 13" xfId="22271"/>
    <cellStyle name="Normal 26 34 2" xfId="22272"/>
    <cellStyle name="Normal 26 34 3" xfId="22273"/>
    <cellStyle name="Normal 26 34 4" xfId="22274"/>
    <cellStyle name="Normal 26 34 5" xfId="22275"/>
    <cellStyle name="Normal 26 34 6" xfId="22276"/>
    <cellStyle name="Normal 26 34 7" xfId="22277"/>
    <cellStyle name="Normal 26 34 8" xfId="22278"/>
    <cellStyle name="Normal 26 34 9" xfId="22279"/>
    <cellStyle name="Normal 26 35" xfId="22280"/>
    <cellStyle name="Normal 26 35 10" xfId="22281"/>
    <cellStyle name="Normal 26 35 11" xfId="22282"/>
    <cellStyle name="Normal 26 35 12" xfId="22283"/>
    <cellStyle name="Normal 26 35 13" xfId="22284"/>
    <cellStyle name="Normal 26 35 2" xfId="22285"/>
    <cellStyle name="Normal 26 35 3" xfId="22286"/>
    <cellStyle name="Normal 26 35 4" xfId="22287"/>
    <cellStyle name="Normal 26 35 5" xfId="22288"/>
    <cellStyle name="Normal 26 35 6" xfId="22289"/>
    <cellStyle name="Normal 26 35 7" xfId="22290"/>
    <cellStyle name="Normal 26 35 8" xfId="22291"/>
    <cellStyle name="Normal 26 35 9" xfId="22292"/>
    <cellStyle name="Normal 26 36" xfId="22293"/>
    <cellStyle name="Normal 26 36 10" xfId="22294"/>
    <cellStyle name="Normal 26 36 11" xfId="22295"/>
    <cellStyle name="Normal 26 36 12" xfId="22296"/>
    <cellStyle name="Normal 26 36 13" xfId="22297"/>
    <cellStyle name="Normal 26 36 2" xfId="22298"/>
    <cellStyle name="Normal 26 36 3" xfId="22299"/>
    <cellStyle name="Normal 26 36 4" xfId="22300"/>
    <cellStyle name="Normal 26 36 5" xfId="22301"/>
    <cellStyle name="Normal 26 36 6" xfId="22302"/>
    <cellStyle name="Normal 26 36 7" xfId="22303"/>
    <cellStyle name="Normal 26 36 8" xfId="22304"/>
    <cellStyle name="Normal 26 36 9" xfId="22305"/>
    <cellStyle name="Normal 26 37" xfId="22306"/>
    <cellStyle name="Normal 26 37 10" xfId="22307"/>
    <cellStyle name="Normal 26 37 11" xfId="22308"/>
    <cellStyle name="Normal 26 37 12" xfId="22309"/>
    <cellStyle name="Normal 26 37 13" xfId="22310"/>
    <cellStyle name="Normal 26 37 2" xfId="22311"/>
    <cellStyle name="Normal 26 37 3" xfId="22312"/>
    <cellStyle name="Normal 26 37 4" xfId="22313"/>
    <cellStyle name="Normal 26 37 5" xfId="22314"/>
    <cellStyle name="Normal 26 37 6" xfId="22315"/>
    <cellStyle name="Normal 26 37 7" xfId="22316"/>
    <cellStyle name="Normal 26 37 8" xfId="22317"/>
    <cellStyle name="Normal 26 37 9" xfId="22318"/>
    <cellStyle name="Normal 26 38" xfId="22319"/>
    <cellStyle name="Normal 26 38 10" xfId="22320"/>
    <cellStyle name="Normal 26 38 11" xfId="22321"/>
    <cellStyle name="Normal 26 38 12" xfId="22322"/>
    <cellStyle name="Normal 26 38 13" xfId="22323"/>
    <cellStyle name="Normal 26 38 2" xfId="22324"/>
    <cellStyle name="Normal 26 38 3" xfId="22325"/>
    <cellStyle name="Normal 26 38 4" xfId="22326"/>
    <cellStyle name="Normal 26 38 5" xfId="22327"/>
    <cellStyle name="Normal 26 38 6" xfId="22328"/>
    <cellStyle name="Normal 26 38 7" xfId="22329"/>
    <cellStyle name="Normal 26 38 8" xfId="22330"/>
    <cellStyle name="Normal 26 38 9" xfId="22331"/>
    <cellStyle name="Normal 26 39" xfId="22332"/>
    <cellStyle name="Normal 26 39 10" xfId="22333"/>
    <cellStyle name="Normal 26 39 11" xfId="22334"/>
    <cellStyle name="Normal 26 39 12" xfId="22335"/>
    <cellStyle name="Normal 26 39 13" xfId="22336"/>
    <cellStyle name="Normal 26 39 2" xfId="22337"/>
    <cellStyle name="Normal 26 39 3" xfId="22338"/>
    <cellStyle name="Normal 26 39 4" xfId="22339"/>
    <cellStyle name="Normal 26 39 5" xfId="22340"/>
    <cellStyle name="Normal 26 39 6" xfId="22341"/>
    <cellStyle name="Normal 26 39 7" xfId="22342"/>
    <cellStyle name="Normal 26 39 8" xfId="22343"/>
    <cellStyle name="Normal 26 39 9" xfId="22344"/>
    <cellStyle name="Normal 26 4" xfId="22345"/>
    <cellStyle name="Normal 26 4 10" xfId="22346"/>
    <cellStyle name="Normal 26 4 11" xfId="22347"/>
    <cellStyle name="Normal 26 4 12" xfId="22348"/>
    <cellStyle name="Normal 26 4 13" xfId="22349"/>
    <cellStyle name="Normal 26 4 2" xfId="22350"/>
    <cellStyle name="Normal 26 4 3" xfId="22351"/>
    <cellStyle name="Normal 26 4 4" xfId="22352"/>
    <cellStyle name="Normal 26 4 5" xfId="22353"/>
    <cellStyle name="Normal 26 4 6" xfId="22354"/>
    <cellStyle name="Normal 26 4 7" xfId="22355"/>
    <cellStyle name="Normal 26 4 8" xfId="22356"/>
    <cellStyle name="Normal 26 4 9" xfId="22357"/>
    <cellStyle name="Normal 26 40" xfId="22358"/>
    <cellStyle name="Normal 26 40 10" xfId="22359"/>
    <cellStyle name="Normal 26 40 11" xfId="22360"/>
    <cellStyle name="Normal 26 40 12" xfId="22361"/>
    <cellStyle name="Normal 26 40 13" xfId="22362"/>
    <cellStyle name="Normal 26 40 2" xfId="22363"/>
    <cellStyle name="Normal 26 40 3" xfId="22364"/>
    <cellStyle name="Normal 26 40 4" xfId="22365"/>
    <cellStyle name="Normal 26 40 5" xfId="22366"/>
    <cellStyle name="Normal 26 40 6" xfId="22367"/>
    <cellStyle name="Normal 26 40 7" xfId="22368"/>
    <cellStyle name="Normal 26 40 8" xfId="22369"/>
    <cellStyle name="Normal 26 40 9" xfId="22370"/>
    <cellStyle name="Normal 26 41" xfId="22371"/>
    <cellStyle name="Normal 26 41 10" xfId="22372"/>
    <cellStyle name="Normal 26 41 11" xfId="22373"/>
    <cellStyle name="Normal 26 41 12" xfId="22374"/>
    <cellStyle name="Normal 26 41 13" xfId="22375"/>
    <cellStyle name="Normal 26 41 2" xfId="22376"/>
    <cellStyle name="Normal 26 41 3" xfId="22377"/>
    <cellStyle name="Normal 26 41 4" xfId="22378"/>
    <cellStyle name="Normal 26 41 5" xfId="22379"/>
    <cellStyle name="Normal 26 41 6" xfId="22380"/>
    <cellStyle name="Normal 26 41 7" xfId="22381"/>
    <cellStyle name="Normal 26 41 8" xfId="22382"/>
    <cellStyle name="Normal 26 41 9" xfId="22383"/>
    <cellStyle name="Normal 26 42" xfId="22384"/>
    <cellStyle name="Normal 26 42 10" xfId="22385"/>
    <cellStyle name="Normal 26 42 11" xfId="22386"/>
    <cellStyle name="Normal 26 42 12" xfId="22387"/>
    <cellStyle name="Normal 26 42 13" xfId="22388"/>
    <cellStyle name="Normal 26 42 2" xfId="22389"/>
    <cellStyle name="Normal 26 42 3" xfId="22390"/>
    <cellStyle name="Normal 26 42 4" xfId="22391"/>
    <cellStyle name="Normal 26 42 5" xfId="22392"/>
    <cellStyle name="Normal 26 42 6" xfId="22393"/>
    <cellStyle name="Normal 26 42 7" xfId="22394"/>
    <cellStyle name="Normal 26 42 8" xfId="22395"/>
    <cellStyle name="Normal 26 42 9" xfId="22396"/>
    <cellStyle name="Normal 26 43" xfId="22397"/>
    <cellStyle name="Normal 26 43 10" xfId="22398"/>
    <cellStyle name="Normal 26 43 11" xfId="22399"/>
    <cellStyle name="Normal 26 43 12" xfId="22400"/>
    <cellStyle name="Normal 26 43 13" xfId="22401"/>
    <cellStyle name="Normal 26 43 2" xfId="22402"/>
    <cellStyle name="Normal 26 43 3" xfId="22403"/>
    <cellStyle name="Normal 26 43 4" xfId="22404"/>
    <cellStyle name="Normal 26 43 5" xfId="22405"/>
    <cellStyle name="Normal 26 43 6" xfId="22406"/>
    <cellStyle name="Normal 26 43 7" xfId="22407"/>
    <cellStyle name="Normal 26 43 8" xfId="22408"/>
    <cellStyle name="Normal 26 43 9" xfId="22409"/>
    <cellStyle name="Normal 26 44" xfId="22410"/>
    <cellStyle name="Normal 26 44 10" xfId="22411"/>
    <cellStyle name="Normal 26 44 11" xfId="22412"/>
    <cellStyle name="Normal 26 44 12" xfId="22413"/>
    <cellStyle name="Normal 26 44 13" xfId="22414"/>
    <cellStyle name="Normal 26 44 2" xfId="22415"/>
    <cellStyle name="Normal 26 44 3" xfId="22416"/>
    <cellStyle name="Normal 26 44 4" xfId="22417"/>
    <cellStyle name="Normal 26 44 5" xfId="22418"/>
    <cellStyle name="Normal 26 44 6" xfId="22419"/>
    <cellStyle name="Normal 26 44 7" xfId="22420"/>
    <cellStyle name="Normal 26 44 8" xfId="22421"/>
    <cellStyle name="Normal 26 44 9" xfId="22422"/>
    <cellStyle name="Normal 26 45" xfId="22423"/>
    <cellStyle name="Normal 26 45 10" xfId="22424"/>
    <cellStyle name="Normal 26 45 11" xfId="22425"/>
    <cellStyle name="Normal 26 45 12" xfId="22426"/>
    <cellStyle name="Normal 26 45 13" xfId="22427"/>
    <cellStyle name="Normal 26 45 2" xfId="22428"/>
    <cellStyle name="Normal 26 45 3" xfId="22429"/>
    <cellStyle name="Normal 26 45 4" xfId="22430"/>
    <cellStyle name="Normal 26 45 5" xfId="22431"/>
    <cellStyle name="Normal 26 45 6" xfId="22432"/>
    <cellStyle name="Normal 26 45 7" xfId="22433"/>
    <cellStyle name="Normal 26 45 8" xfId="22434"/>
    <cellStyle name="Normal 26 45 9" xfId="22435"/>
    <cellStyle name="Normal 26 46" xfId="22436"/>
    <cellStyle name="Normal 26 46 10" xfId="22437"/>
    <cellStyle name="Normal 26 46 11" xfId="22438"/>
    <cellStyle name="Normal 26 46 12" xfId="22439"/>
    <cellStyle name="Normal 26 46 13" xfId="22440"/>
    <cellStyle name="Normal 26 46 2" xfId="22441"/>
    <cellStyle name="Normal 26 46 3" xfId="22442"/>
    <cellStyle name="Normal 26 46 4" xfId="22443"/>
    <cellStyle name="Normal 26 46 5" xfId="22444"/>
    <cellStyle name="Normal 26 46 6" xfId="22445"/>
    <cellStyle name="Normal 26 46 7" xfId="22446"/>
    <cellStyle name="Normal 26 46 8" xfId="22447"/>
    <cellStyle name="Normal 26 46 9" xfId="22448"/>
    <cellStyle name="Normal 26 47" xfId="22449"/>
    <cellStyle name="Normal 26 47 10" xfId="22450"/>
    <cellStyle name="Normal 26 47 11" xfId="22451"/>
    <cellStyle name="Normal 26 47 12" xfId="22452"/>
    <cellStyle name="Normal 26 47 13" xfId="22453"/>
    <cellStyle name="Normal 26 47 2" xfId="22454"/>
    <cellStyle name="Normal 26 47 3" xfId="22455"/>
    <cellStyle name="Normal 26 47 4" xfId="22456"/>
    <cellStyle name="Normal 26 47 5" xfId="22457"/>
    <cellStyle name="Normal 26 47 6" xfId="22458"/>
    <cellStyle name="Normal 26 47 7" xfId="22459"/>
    <cellStyle name="Normal 26 47 8" xfId="22460"/>
    <cellStyle name="Normal 26 47 9" xfId="22461"/>
    <cellStyle name="Normal 26 48" xfId="22462"/>
    <cellStyle name="Normal 26 48 10" xfId="22463"/>
    <cellStyle name="Normal 26 48 11" xfId="22464"/>
    <cellStyle name="Normal 26 48 12" xfId="22465"/>
    <cellStyle name="Normal 26 48 13" xfId="22466"/>
    <cellStyle name="Normal 26 48 2" xfId="22467"/>
    <cellStyle name="Normal 26 48 3" xfId="22468"/>
    <cellStyle name="Normal 26 48 4" xfId="22469"/>
    <cellStyle name="Normal 26 48 5" xfId="22470"/>
    <cellStyle name="Normal 26 48 6" xfId="22471"/>
    <cellStyle name="Normal 26 48 7" xfId="22472"/>
    <cellStyle name="Normal 26 48 8" xfId="22473"/>
    <cellStyle name="Normal 26 48 9" xfId="22474"/>
    <cellStyle name="Normal 26 49" xfId="22475"/>
    <cellStyle name="Normal 26 49 10" xfId="22476"/>
    <cellStyle name="Normal 26 49 11" xfId="22477"/>
    <cellStyle name="Normal 26 49 12" xfId="22478"/>
    <cellStyle name="Normal 26 49 13" xfId="22479"/>
    <cellStyle name="Normal 26 49 2" xfId="22480"/>
    <cellStyle name="Normal 26 49 3" xfId="22481"/>
    <cellStyle name="Normal 26 49 4" xfId="22482"/>
    <cellStyle name="Normal 26 49 5" xfId="22483"/>
    <cellStyle name="Normal 26 49 6" xfId="22484"/>
    <cellStyle name="Normal 26 49 7" xfId="22485"/>
    <cellStyle name="Normal 26 49 8" xfId="22486"/>
    <cellStyle name="Normal 26 49 9" xfId="22487"/>
    <cellStyle name="Normal 26 5" xfId="22488"/>
    <cellStyle name="Normal 26 5 10" xfId="22489"/>
    <cellStyle name="Normal 26 5 11" xfId="22490"/>
    <cellStyle name="Normal 26 5 12" xfId="22491"/>
    <cellStyle name="Normal 26 5 13" xfId="22492"/>
    <cellStyle name="Normal 26 5 2" xfId="22493"/>
    <cellStyle name="Normal 26 5 3" xfId="22494"/>
    <cellStyle name="Normal 26 5 4" xfId="22495"/>
    <cellStyle name="Normal 26 5 5" xfId="22496"/>
    <cellStyle name="Normal 26 5 6" xfId="22497"/>
    <cellStyle name="Normal 26 5 7" xfId="22498"/>
    <cellStyle name="Normal 26 5 8" xfId="22499"/>
    <cellStyle name="Normal 26 5 9" xfId="22500"/>
    <cellStyle name="Normal 26 50" xfId="22501"/>
    <cellStyle name="Normal 26 50 10" xfId="22502"/>
    <cellStyle name="Normal 26 50 11" xfId="22503"/>
    <cellStyle name="Normal 26 50 12" xfId="22504"/>
    <cellStyle name="Normal 26 50 13" xfId="22505"/>
    <cellStyle name="Normal 26 50 2" xfId="22506"/>
    <cellStyle name="Normal 26 50 3" xfId="22507"/>
    <cellStyle name="Normal 26 50 4" xfId="22508"/>
    <cellStyle name="Normal 26 50 5" xfId="22509"/>
    <cellStyle name="Normal 26 50 6" xfId="22510"/>
    <cellStyle name="Normal 26 50 7" xfId="22511"/>
    <cellStyle name="Normal 26 50 8" xfId="22512"/>
    <cellStyle name="Normal 26 50 9" xfId="22513"/>
    <cellStyle name="Normal 26 51" xfId="22514"/>
    <cellStyle name="Normal 26 51 10" xfId="22515"/>
    <cellStyle name="Normal 26 51 11" xfId="22516"/>
    <cellStyle name="Normal 26 51 12" xfId="22517"/>
    <cellStyle name="Normal 26 51 13" xfId="22518"/>
    <cellStyle name="Normal 26 51 2" xfId="22519"/>
    <cellStyle name="Normal 26 51 3" xfId="22520"/>
    <cellStyle name="Normal 26 51 4" xfId="22521"/>
    <cellStyle name="Normal 26 51 5" xfId="22522"/>
    <cellStyle name="Normal 26 51 6" xfId="22523"/>
    <cellStyle name="Normal 26 51 7" xfId="22524"/>
    <cellStyle name="Normal 26 51 8" xfId="22525"/>
    <cellStyle name="Normal 26 51 9" xfId="22526"/>
    <cellStyle name="Normal 26 52" xfId="22527"/>
    <cellStyle name="Normal 26 52 10" xfId="22528"/>
    <cellStyle name="Normal 26 52 11" xfId="22529"/>
    <cellStyle name="Normal 26 52 12" xfId="22530"/>
    <cellStyle name="Normal 26 52 13" xfId="22531"/>
    <cellStyle name="Normal 26 52 2" xfId="22532"/>
    <cellStyle name="Normal 26 52 3" xfId="22533"/>
    <cellStyle name="Normal 26 52 4" xfId="22534"/>
    <cellStyle name="Normal 26 52 5" xfId="22535"/>
    <cellStyle name="Normal 26 52 6" xfId="22536"/>
    <cellStyle name="Normal 26 52 7" xfId="22537"/>
    <cellStyle name="Normal 26 52 8" xfId="22538"/>
    <cellStyle name="Normal 26 52 9" xfId="22539"/>
    <cellStyle name="Normal 26 53" xfId="22540"/>
    <cellStyle name="Normal 26 53 10" xfId="22541"/>
    <cellStyle name="Normal 26 53 11" xfId="22542"/>
    <cellStyle name="Normal 26 53 12" xfId="22543"/>
    <cellStyle name="Normal 26 53 13" xfId="22544"/>
    <cellStyle name="Normal 26 53 2" xfId="22545"/>
    <cellStyle name="Normal 26 53 3" xfId="22546"/>
    <cellStyle name="Normal 26 53 4" xfId="22547"/>
    <cellStyle name="Normal 26 53 5" xfId="22548"/>
    <cellStyle name="Normal 26 53 6" xfId="22549"/>
    <cellStyle name="Normal 26 53 7" xfId="22550"/>
    <cellStyle name="Normal 26 53 8" xfId="22551"/>
    <cellStyle name="Normal 26 53 9" xfId="22552"/>
    <cellStyle name="Normal 26 54" xfId="22553"/>
    <cellStyle name="Normal 26 54 10" xfId="22554"/>
    <cellStyle name="Normal 26 54 11" xfId="22555"/>
    <cellStyle name="Normal 26 54 12" xfId="22556"/>
    <cellStyle name="Normal 26 54 13" xfId="22557"/>
    <cellStyle name="Normal 26 54 2" xfId="22558"/>
    <cellStyle name="Normal 26 54 3" xfId="22559"/>
    <cellStyle name="Normal 26 54 4" xfId="22560"/>
    <cellStyle name="Normal 26 54 5" xfId="22561"/>
    <cellStyle name="Normal 26 54 6" xfId="22562"/>
    <cellStyle name="Normal 26 54 7" xfId="22563"/>
    <cellStyle name="Normal 26 54 8" xfId="22564"/>
    <cellStyle name="Normal 26 54 9" xfId="22565"/>
    <cellStyle name="Normal 26 55" xfId="22566"/>
    <cellStyle name="Normal 26 55 10" xfId="22567"/>
    <cellStyle name="Normal 26 55 11" xfId="22568"/>
    <cellStyle name="Normal 26 55 12" xfId="22569"/>
    <cellStyle name="Normal 26 55 13" xfId="22570"/>
    <cellStyle name="Normal 26 55 2" xfId="22571"/>
    <cellStyle name="Normal 26 55 3" xfId="22572"/>
    <cellStyle name="Normal 26 55 4" xfId="22573"/>
    <cellStyle name="Normal 26 55 5" xfId="22574"/>
    <cellStyle name="Normal 26 55 6" xfId="22575"/>
    <cellStyle name="Normal 26 55 7" xfId="22576"/>
    <cellStyle name="Normal 26 55 8" xfId="22577"/>
    <cellStyle name="Normal 26 55 9" xfId="22578"/>
    <cellStyle name="Normal 26 56" xfId="22579"/>
    <cellStyle name="Normal 26 56 10" xfId="22580"/>
    <cellStyle name="Normal 26 56 11" xfId="22581"/>
    <cellStyle name="Normal 26 56 12" xfId="22582"/>
    <cellStyle name="Normal 26 56 13" xfId="22583"/>
    <cellStyle name="Normal 26 56 2" xfId="22584"/>
    <cellStyle name="Normal 26 56 3" xfId="22585"/>
    <cellStyle name="Normal 26 56 4" xfId="22586"/>
    <cellStyle name="Normal 26 56 5" xfId="22587"/>
    <cellStyle name="Normal 26 56 6" xfId="22588"/>
    <cellStyle name="Normal 26 56 7" xfId="22589"/>
    <cellStyle name="Normal 26 56 8" xfId="22590"/>
    <cellStyle name="Normal 26 56 9" xfId="22591"/>
    <cellStyle name="Normal 26 57" xfId="22592"/>
    <cellStyle name="Normal 26 57 10" xfId="22593"/>
    <cellStyle name="Normal 26 57 11" xfId="22594"/>
    <cellStyle name="Normal 26 57 12" xfId="22595"/>
    <cellStyle name="Normal 26 57 13" xfId="22596"/>
    <cellStyle name="Normal 26 57 2" xfId="22597"/>
    <cellStyle name="Normal 26 57 3" xfId="22598"/>
    <cellStyle name="Normal 26 57 4" xfId="22599"/>
    <cellStyle name="Normal 26 57 5" xfId="22600"/>
    <cellStyle name="Normal 26 57 6" xfId="22601"/>
    <cellStyle name="Normal 26 57 7" xfId="22602"/>
    <cellStyle name="Normal 26 57 8" xfId="22603"/>
    <cellStyle name="Normal 26 57 9" xfId="22604"/>
    <cellStyle name="Normal 26 58" xfId="22605"/>
    <cellStyle name="Normal 26 58 10" xfId="22606"/>
    <cellStyle name="Normal 26 58 11" xfId="22607"/>
    <cellStyle name="Normal 26 58 12" xfId="22608"/>
    <cellStyle name="Normal 26 58 13" xfId="22609"/>
    <cellStyle name="Normal 26 58 2" xfId="22610"/>
    <cellStyle name="Normal 26 58 3" xfId="22611"/>
    <cellStyle name="Normal 26 58 4" xfId="22612"/>
    <cellStyle name="Normal 26 58 5" xfId="22613"/>
    <cellStyle name="Normal 26 58 6" xfId="22614"/>
    <cellStyle name="Normal 26 58 7" xfId="22615"/>
    <cellStyle name="Normal 26 58 8" xfId="22616"/>
    <cellStyle name="Normal 26 58 9" xfId="22617"/>
    <cellStyle name="Normal 26 59" xfId="22618"/>
    <cellStyle name="Normal 26 59 10" xfId="22619"/>
    <cellStyle name="Normal 26 59 11" xfId="22620"/>
    <cellStyle name="Normal 26 59 12" xfId="22621"/>
    <cellStyle name="Normal 26 59 13" xfId="22622"/>
    <cellStyle name="Normal 26 59 2" xfId="22623"/>
    <cellStyle name="Normal 26 59 3" xfId="22624"/>
    <cellStyle name="Normal 26 59 4" xfId="22625"/>
    <cellStyle name="Normal 26 59 5" xfId="22626"/>
    <cellStyle name="Normal 26 59 6" xfId="22627"/>
    <cellStyle name="Normal 26 59 7" xfId="22628"/>
    <cellStyle name="Normal 26 59 8" xfId="22629"/>
    <cellStyle name="Normal 26 59 9" xfId="22630"/>
    <cellStyle name="Normal 26 6" xfId="22631"/>
    <cellStyle name="Normal 26 6 10" xfId="22632"/>
    <cellStyle name="Normal 26 6 11" xfId="22633"/>
    <cellStyle name="Normal 26 6 12" xfId="22634"/>
    <cellStyle name="Normal 26 6 13" xfId="22635"/>
    <cellStyle name="Normal 26 6 2" xfId="22636"/>
    <cellStyle name="Normal 26 6 3" xfId="22637"/>
    <cellStyle name="Normal 26 6 4" xfId="22638"/>
    <cellStyle name="Normal 26 6 5" xfId="22639"/>
    <cellStyle name="Normal 26 6 6" xfId="22640"/>
    <cellStyle name="Normal 26 6 7" xfId="22641"/>
    <cellStyle name="Normal 26 6 8" xfId="22642"/>
    <cellStyle name="Normal 26 6 9" xfId="22643"/>
    <cellStyle name="Normal 26 60" xfId="22644"/>
    <cellStyle name="Normal 26 60 10" xfId="22645"/>
    <cellStyle name="Normal 26 60 11" xfId="22646"/>
    <cellStyle name="Normal 26 60 12" xfId="22647"/>
    <cellStyle name="Normal 26 60 13" xfId="22648"/>
    <cellStyle name="Normal 26 60 2" xfId="22649"/>
    <cellStyle name="Normal 26 60 3" xfId="22650"/>
    <cellStyle name="Normal 26 60 4" xfId="22651"/>
    <cellStyle name="Normal 26 60 5" xfId="22652"/>
    <cellStyle name="Normal 26 60 6" xfId="22653"/>
    <cellStyle name="Normal 26 60 7" xfId="22654"/>
    <cellStyle name="Normal 26 60 8" xfId="22655"/>
    <cellStyle name="Normal 26 60 9" xfId="22656"/>
    <cellStyle name="Normal 26 61" xfId="22657"/>
    <cellStyle name="Normal 26 61 10" xfId="22658"/>
    <cellStyle name="Normal 26 61 11" xfId="22659"/>
    <cellStyle name="Normal 26 61 12" xfId="22660"/>
    <cellStyle name="Normal 26 61 13" xfId="22661"/>
    <cellStyle name="Normal 26 61 2" xfId="22662"/>
    <cellStyle name="Normal 26 61 3" xfId="22663"/>
    <cellStyle name="Normal 26 61 4" xfId="22664"/>
    <cellStyle name="Normal 26 61 5" xfId="22665"/>
    <cellStyle name="Normal 26 61 6" xfId="22666"/>
    <cellStyle name="Normal 26 61 7" xfId="22667"/>
    <cellStyle name="Normal 26 61 8" xfId="22668"/>
    <cellStyle name="Normal 26 61 9" xfId="22669"/>
    <cellStyle name="Normal 26 62" xfId="22670"/>
    <cellStyle name="Normal 26 62 10" xfId="22671"/>
    <cellStyle name="Normal 26 62 11" xfId="22672"/>
    <cellStyle name="Normal 26 62 12" xfId="22673"/>
    <cellStyle name="Normal 26 62 13" xfId="22674"/>
    <cellStyle name="Normal 26 62 2" xfId="22675"/>
    <cellStyle name="Normal 26 62 3" xfId="22676"/>
    <cellStyle name="Normal 26 62 4" xfId="22677"/>
    <cellStyle name="Normal 26 62 5" xfId="22678"/>
    <cellStyle name="Normal 26 62 6" xfId="22679"/>
    <cellStyle name="Normal 26 62 7" xfId="22680"/>
    <cellStyle name="Normal 26 62 8" xfId="22681"/>
    <cellStyle name="Normal 26 62 9" xfId="22682"/>
    <cellStyle name="Normal 26 63" xfId="22683"/>
    <cellStyle name="Normal 26 63 10" xfId="22684"/>
    <cellStyle name="Normal 26 63 11" xfId="22685"/>
    <cellStyle name="Normal 26 63 12" xfId="22686"/>
    <cellStyle name="Normal 26 63 13" xfId="22687"/>
    <cellStyle name="Normal 26 63 2" xfId="22688"/>
    <cellStyle name="Normal 26 63 3" xfId="22689"/>
    <cellStyle name="Normal 26 63 4" xfId="22690"/>
    <cellStyle name="Normal 26 63 5" xfId="22691"/>
    <cellStyle name="Normal 26 63 6" xfId="22692"/>
    <cellStyle name="Normal 26 63 7" xfId="22693"/>
    <cellStyle name="Normal 26 63 8" xfId="22694"/>
    <cellStyle name="Normal 26 63 9" xfId="22695"/>
    <cellStyle name="Normal 26 64" xfId="22696"/>
    <cellStyle name="Normal 26 64 10" xfId="22697"/>
    <cellStyle name="Normal 26 64 11" xfId="22698"/>
    <cellStyle name="Normal 26 64 12" xfId="22699"/>
    <cellStyle name="Normal 26 64 13" xfId="22700"/>
    <cellStyle name="Normal 26 64 2" xfId="22701"/>
    <cellStyle name="Normal 26 64 3" xfId="22702"/>
    <cellStyle name="Normal 26 64 4" xfId="22703"/>
    <cellStyle name="Normal 26 64 5" xfId="22704"/>
    <cellStyle name="Normal 26 64 6" xfId="22705"/>
    <cellStyle name="Normal 26 64 7" xfId="22706"/>
    <cellStyle name="Normal 26 64 8" xfId="22707"/>
    <cellStyle name="Normal 26 64 9" xfId="22708"/>
    <cellStyle name="Normal 26 65" xfId="22709"/>
    <cellStyle name="Normal 26 65 10" xfId="22710"/>
    <cellStyle name="Normal 26 65 11" xfId="22711"/>
    <cellStyle name="Normal 26 65 12" xfId="22712"/>
    <cellStyle name="Normal 26 65 13" xfId="22713"/>
    <cellStyle name="Normal 26 65 2" xfId="22714"/>
    <cellStyle name="Normal 26 65 3" xfId="22715"/>
    <cellStyle name="Normal 26 65 4" xfId="22716"/>
    <cellStyle name="Normal 26 65 5" xfId="22717"/>
    <cellStyle name="Normal 26 65 6" xfId="22718"/>
    <cellStyle name="Normal 26 65 7" xfId="22719"/>
    <cellStyle name="Normal 26 65 8" xfId="22720"/>
    <cellStyle name="Normal 26 65 9" xfId="22721"/>
    <cellStyle name="Normal 26 66" xfId="22722"/>
    <cellStyle name="Normal 26 66 10" xfId="22723"/>
    <cellStyle name="Normal 26 66 11" xfId="22724"/>
    <cellStyle name="Normal 26 66 12" xfId="22725"/>
    <cellStyle name="Normal 26 66 13" xfId="22726"/>
    <cellStyle name="Normal 26 66 2" xfId="22727"/>
    <cellStyle name="Normal 26 66 3" xfId="22728"/>
    <cellStyle name="Normal 26 66 4" xfId="22729"/>
    <cellStyle name="Normal 26 66 5" xfId="22730"/>
    <cellStyle name="Normal 26 66 6" xfId="22731"/>
    <cellStyle name="Normal 26 66 7" xfId="22732"/>
    <cellStyle name="Normal 26 66 8" xfId="22733"/>
    <cellStyle name="Normal 26 66 9" xfId="22734"/>
    <cellStyle name="Normal 26 67" xfId="22735"/>
    <cellStyle name="Normal 26 67 10" xfId="22736"/>
    <cellStyle name="Normal 26 67 11" xfId="22737"/>
    <cellStyle name="Normal 26 67 12" xfId="22738"/>
    <cellStyle name="Normal 26 67 13" xfId="22739"/>
    <cellStyle name="Normal 26 67 2" xfId="22740"/>
    <cellStyle name="Normal 26 67 3" xfId="22741"/>
    <cellStyle name="Normal 26 67 4" xfId="22742"/>
    <cellStyle name="Normal 26 67 5" xfId="22743"/>
    <cellStyle name="Normal 26 67 6" xfId="22744"/>
    <cellStyle name="Normal 26 67 7" xfId="22745"/>
    <cellStyle name="Normal 26 67 8" xfId="22746"/>
    <cellStyle name="Normal 26 67 9" xfId="22747"/>
    <cellStyle name="Normal 26 68" xfId="22748"/>
    <cellStyle name="Normal 26 68 10" xfId="22749"/>
    <cellStyle name="Normal 26 68 11" xfId="22750"/>
    <cellStyle name="Normal 26 68 12" xfId="22751"/>
    <cellStyle name="Normal 26 68 13" xfId="22752"/>
    <cellStyle name="Normal 26 68 2" xfId="22753"/>
    <cellStyle name="Normal 26 68 3" xfId="22754"/>
    <cellStyle name="Normal 26 68 4" xfId="22755"/>
    <cellStyle name="Normal 26 68 5" xfId="22756"/>
    <cellStyle name="Normal 26 68 6" xfId="22757"/>
    <cellStyle name="Normal 26 68 7" xfId="22758"/>
    <cellStyle name="Normal 26 68 8" xfId="22759"/>
    <cellStyle name="Normal 26 68 9" xfId="22760"/>
    <cellStyle name="Normal 26 69" xfId="22761"/>
    <cellStyle name="Normal 26 69 10" xfId="22762"/>
    <cellStyle name="Normal 26 69 11" xfId="22763"/>
    <cellStyle name="Normal 26 69 12" xfId="22764"/>
    <cellStyle name="Normal 26 69 13" xfId="22765"/>
    <cellStyle name="Normal 26 69 2" xfId="22766"/>
    <cellStyle name="Normal 26 69 3" xfId="22767"/>
    <cellStyle name="Normal 26 69 4" xfId="22768"/>
    <cellStyle name="Normal 26 69 5" xfId="22769"/>
    <cellStyle name="Normal 26 69 6" xfId="22770"/>
    <cellStyle name="Normal 26 69 7" xfId="22771"/>
    <cellStyle name="Normal 26 69 8" xfId="22772"/>
    <cellStyle name="Normal 26 69 9" xfId="22773"/>
    <cellStyle name="Normal 26 7" xfId="22774"/>
    <cellStyle name="Normal 26 7 10" xfId="22775"/>
    <cellStyle name="Normal 26 7 11" xfId="22776"/>
    <cellStyle name="Normal 26 7 12" xfId="22777"/>
    <cellStyle name="Normal 26 7 13" xfId="22778"/>
    <cellStyle name="Normal 26 7 2" xfId="22779"/>
    <cellStyle name="Normal 26 7 3" xfId="22780"/>
    <cellStyle name="Normal 26 7 4" xfId="22781"/>
    <cellStyle name="Normal 26 7 5" xfId="22782"/>
    <cellStyle name="Normal 26 7 6" xfId="22783"/>
    <cellStyle name="Normal 26 7 7" xfId="22784"/>
    <cellStyle name="Normal 26 7 8" xfId="22785"/>
    <cellStyle name="Normal 26 7 9" xfId="22786"/>
    <cellStyle name="Normal 26 70" xfId="22787"/>
    <cellStyle name="Normal 26 70 10" xfId="22788"/>
    <cellStyle name="Normal 26 70 11" xfId="22789"/>
    <cellStyle name="Normal 26 70 12" xfId="22790"/>
    <cellStyle name="Normal 26 70 13" xfId="22791"/>
    <cellStyle name="Normal 26 70 2" xfId="22792"/>
    <cellStyle name="Normal 26 70 3" xfId="22793"/>
    <cellStyle name="Normal 26 70 4" xfId="22794"/>
    <cellStyle name="Normal 26 70 5" xfId="22795"/>
    <cellStyle name="Normal 26 70 6" xfId="22796"/>
    <cellStyle name="Normal 26 70 7" xfId="22797"/>
    <cellStyle name="Normal 26 70 8" xfId="22798"/>
    <cellStyle name="Normal 26 70 9" xfId="22799"/>
    <cellStyle name="Normal 26 71" xfId="22800"/>
    <cellStyle name="Normal 26 71 10" xfId="22801"/>
    <cellStyle name="Normal 26 71 11" xfId="22802"/>
    <cellStyle name="Normal 26 71 12" xfId="22803"/>
    <cellStyle name="Normal 26 71 13" xfId="22804"/>
    <cellStyle name="Normal 26 71 2" xfId="22805"/>
    <cellStyle name="Normal 26 71 3" xfId="22806"/>
    <cellStyle name="Normal 26 71 4" xfId="22807"/>
    <cellStyle name="Normal 26 71 5" xfId="22808"/>
    <cellStyle name="Normal 26 71 6" xfId="22809"/>
    <cellStyle name="Normal 26 71 7" xfId="22810"/>
    <cellStyle name="Normal 26 71 8" xfId="22811"/>
    <cellStyle name="Normal 26 71 9" xfId="22812"/>
    <cellStyle name="Normal 26 72" xfId="22813"/>
    <cellStyle name="Normal 26 73" xfId="22814"/>
    <cellStyle name="Normal 26 74" xfId="22815"/>
    <cellStyle name="Normal 26 75" xfId="22816"/>
    <cellStyle name="Normal 26 76" xfId="22817"/>
    <cellStyle name="Normal 26 77" xfId="22818"/>
    <cellStyle name="Normal 26 78" xfId="22819"/>
    <cellStyle name="Normal 26 79" xfId="22820"/>
    <cellStyle name="Normal 26 8" xfId="22821"/>
    <cellStyle name="Normal 26 8 10" xfId="22822"/>
    <cellStyle name="Normal 26 8 11" xfId="22823"/>
    <cellStyle name="Normal 26 8 12" xfId="22824"/>
    <cellStyle name="Normal 26 8 13" xfId="22825"/>
    <cellStyle name="Normal 26 8 2" xfId="22826"/>
    <cellStyle name="Normal 26 8 3" xfId="22827"/>
    <cellStyle name="Normal 26 8 4" xfId="22828"/>
    <cellStyle name="Normal 26 8 5" xfId="22829"/>
    <cellStyle name="Normal 26 8 6" xfId="22830"/>
    <cellStyle name="Normal 26 8 7" xfId="22831"/>
    <cellStyle name="Normal 26 8 8" xfId="22832"/>
    <cellStyle name="Normal 26 8 9" xfId="22833"/>
    <cellStyle name="Normal 26 80" xfId="22834"/>
    <cellStyle name="Normal 26 81" xfId="22835"/>
    <cellStyle name="Normal 26 82" xfId="22836"/>
    <cellStyle name="Normal 26 83" xfId="22837"/>
    <cellStyle name="Normal 26 9" xfId="22838"/>
    <cellStyle name="Normal 26 9 10" xfId="22839"/>
    <cellStyle name="Normal 26 9 11" xfId="22840"/>
    <cellStyle name="Normal 26 9 12" xfId="22841"/>
    <cellStyle name="Normal 26 9 13" xfId="22842"/>
    <cellStyle name="Normal 26 9 2" xfId="22843"/>
    <cellStyle name="Normal 26 9 3" xfId="22844"/>
    <cellStyle name="Normal 26 9 4" xfId="22845"/>
    <cellStyle name="Normal 26 9 5" xfId="22846"/>
    <cellStyle name="Normal 26 9 6" xfId="22847"/>
    <cellStyle name="Normal 26 9 7" xfId="22848"/>
    <cellStyle name="Normal 26 9 8" xfId="22849"/>
    <cellStyle name="Normal 26 9 9" xfId="22850"/>
    <cellStyle name="Normal 27" xfId="22851"/>
    <cellStyle name="Normal 27 10" xfId="22852"/>
    <cellStyle name="Normal 27 10 10" xfId="22853"/>
    <cellStyle name="Normal 27 10 11" xfId="22854"/>
    <cellStyle name="Normal 27 10 12" xfId="22855"/>
    <cellStyle name="Normal 27 10 13" xfId="22856"/>
    <cellStyle name="Normal 27 10 2" xfId="22857"/>
    <cellStyle name="Normal 27 10 3" xfId="22858"/>
    <cellStyle name="Normal 27 10 4" xfId="22859"/>
    <cellStyle name="Normal 27 10 5" xfId="22860"/>
    <cellStyle name="Normal 27 10 6" xfId="22861"/>
    <cellStyle name="Normal 27 10 7" xfId="22862"/>
    <cellStyle name="Normal 27 10 8" xfId="22863"/>
    <cellStyle name="Normal 27 10 9" xfId="22864"/>
    <cellStyle name="Normal 27 11" xfId="22865"/>
    <cellStyle name="Normal 27 11 10" xfId="22866"/>
    <cellStyle name="Normal 27 11 11" xfId="22867"/>
    <cellStyle name="Normal 27 11 12" xfId="22868"/>
    <cellStyle name="Normal 27 11 13" xfId="22869"/>
    <cellStyle name="Normal 27 11 2" xfId="22870"/>
    <cellStyle name="Normal 27 11 3" xfId="22871"/>
    <cellStyle name="Normal 27 11 4" xfId="22872"/>
    <cellStyle name="Normal 27 11 5" xfId="22873"/>
    <cellStyle name="Normal 27 11 6" xfId="22874"/>
    <cellStyle name="Normal 27 11 7" xfId="22875"/>
    <cellStyle name="Normal 27 11 8" xfId="22876"/>
    <cellStyle name="Normal 27 11 9" xfId="22877"/>
    <cellStyle name="Normal 27 12" xfId="22878"/>
    <cellStyle name="Normal 27 12 10" xfId="22879"/>
    <cellStyle name="Normal 27 12 11" xfId="22880"/>
    <cellStyle name="Normal 27 12 12" xfId="22881"/>
    <cellStyle name="Normal 27 12 13" xfId="22882"/>
    <cellStyle name="Normal 27 12 2" xfId="22883"/>
    <cellStyle name="Normal 27 12 3" xfId="22884"/>
    <cellStyle name="Normal 27 12 4" xfId="22885"/>
    <cellStyle name="Normal 27 12 5" xfId="22886"/>
    <cellStyle name="Normal 27 12 6" xfId="22887"/>
    <cellStyle name="Normal 27 12 7" xfId="22888"/>
    <cellStyle name="Normal 27 12 8" xfId="22889"/>
    <cellStyle name="Normal 27 12 9" xfId="22890"/>
    <cellStyle name="Normal 27 13" xfId="22891"/>
    <cellStyle name="Normal 27 13 10" xfId="22892"/>
    <cellStyle name="Normal 27 13 11" xfId="22893"/>
    <cellStyle name="Normal 27 13 12" xfId="22894"/>
    <cellStyle name="Normal 27 13 13" xfId="22895"/>
    <cellStyle name="Normal 27 13 2" xfId="22896"/>
    <cellStyle name="Normal 27 13 3" xfId="22897"/>
    <cellStyle name="Normal 27 13 4" xfId="22898"/>
    <cellStyle name="Normal 27 13 5" xfId="22899"/>
    <cellStyle name="Normal 27 13 6" xfId="22900"/>
    <cellStyle name="Normal 27 13 7" xfId="22901"/>
    <cellStyle name="Normal 27 13 8" xfId="22902"/>
    <cellStyle name="Normal 27 13 9" xfId="22903"/>
    <cellStyle name="Normal 27 14" xfId="22904"/>
    <cellStyle name="Normal 27 14 10" xfId="22905"/>
    <cellStyle name="Normal 27 14 11" xfId="22906"/>
    <cellStyle name="Normal 27 14 12" xfId="22907"/>
    <cellStyle name="Normal 27 14 13" xfId="22908"/>
    <cellStyle name="Normal 27 14 2" xfId="22909"/>
    <cellStyle name="Normal 27 14 3" xfId="22910"/>
    <cellStyle name="Normal 27 14 4" xfId="22911"/>
    <cellStyle name="Normal 27 14 5" xfId="22912"/>
    <cellStyle name="Normal 27 14 6" xfId="22913"/>
    <cellStyle name="Normal 27 14 7" xfId="22914"/>
    <cellStyle name="Normal 27 14 8" xfId="22915"/>
    <cellStyle name="Normal 27 14 9" xfId="22916"/>
    <cellStyle name="Normal 27 15" xfId="22917"/>
    <cellStyle name="Normal 27 15 10" xfId="22918"/>
    <cellStyle name="Normal 27 15 11" xfId="22919"/>
    <cellStyle name="Normal 27 15 12" xfId="22920"/>
    <cellStyle name="Normal 27 15 13" xfId="22921"/>
    <cellStyle name="Normal 27 15 2" xfId="22922"/>
    <cellStyle name="Normal 27 15 3" xfId="22923"/>
    <cellStyle name="Normal 27 15 4" xfId="22924"/>
    <cellStyle name="Normal 27 15 5" xfId="22925"/>
    <cellStyle name="Normal 27 15 6" xfId="22926"/>
    <cellStyle name="Normal 27 15 7" xfId="22927"/>
    <cellStyle name="Normal 27 15 8" xfId="22928"/>
    <cellStyle name="Normal 27 15 9" xfId="22929"/>
    <cellStyle name="Normal 27 16" xfId="22930"/>
    <cellStyle name="Normal 27 16 10" xfId="22931"/>
    <cellStyle name="Normal 27 16 11" xfId="22932"/>
    <cellStyle name="Normal 27 16 12" xfId="22933"/>
    <cellStyle name="Normal 27 16 13" xfId="22934"/>
    <cellStyle name="Normal 27 16 2" xfId="22935"/>
    <cellStyle name="Normal 27 16 3" xfId="22936"/>
    <cellStyle name="Normal 27 16 4" xfId="22937"/>
    <cellStyle name="Normal 27 16 5" xfId="22938"/>
    <cellStyle name="Normal 27 16 6" xfId="22939"/>
    <cellStyle name="Normal 27 16 7" xfId="22940"/>
    <cellStyle name="Normal 27 16 8" xfId="22941"/>
    <cellStyle name="Normal 27 16 9" xfId="22942"/>
    <cellStyle name="Normal 27 17" xfId="22943"/>
    <cellStyle name="Normal 27 17 10" xfId="22944"/>
    <cellStyle name="Normal 27 17 11" xfId="22945"/>
    <cellStyle name="Normal 27 17 12" xfId="22946"/>
    <cellStyle name="Normal 27 17 13" xfId="22947"/>
    <cellStyle name="Normal 27 17 2" xfId="22948"/>
    <cellStyle name="Normal 27 17 3" xfId="22949"/>
    <cellStyle name="Normal 27 17 4" xfId="22950"/>
    <cellStyle name="Normal 27 17 5" xfId="22951"/>
    <cellStyle name="Normal 27 17 6" xfId="22952"/>
    <cellStyle name="Normal 27 17 7" xfId="22953"/>
    <cellStyle name="Normal 27 17 8" xfId="22954"/>
    <cellStyle name="Normal 27 17 9" xfId="22955"/>
    <cellStyle name="Normal 27 18" xfId="22956"/>
    <cellStyle name="Normal 27 18 10" xfId="22957"/>
    <cellStyle name="Normal 27 18 11" xfId="22958"/>
    <cellStyle name="Normal 27 18 12" xfId="22959"/>
    <cellStyle name="Normal 27 18 13" xfId="22960"/>
    <cellStyle name="Normal 27 18 2" xfId="22961"/>
    <cellStyle name="Normal 27 18 3" xfId="22962"/>
    <cellStyle name="Normal 27 18 4" xfId="22963"/>
    <cellStyle name="Normal 27 18 5" xfId="22964"/>
    <cellStyle name="Normal 27 18 6" xfId="22965"/>
    <cellStyle name="Normal 27 18 7" xfId="22966"/>
    <cellStyle name="Normal 27 18 8" xfId="22967"/>
    <cellStyle name="Normal 27 18 9" xfId="22968"/>
    <cellStyle name="Normal 27 19" xfId="22969"/>
    <cellStyle name="Normal 27 19 10" xfId="22970"/>
    <cellStyle name="Normal 27 19 11" xfId="22971"/>
    <cellStyle name="Normal 27 19 12" xfId="22972"/>
    <cellStyle name="Normal 27 19 13" xfId="22973"/>
    <cellStyle name="Normal 27 19 2" xfId="22974"/>
    <cellStyle name="Normal 27 19 3" xfId="22975"/>
    <cellStyle name="Normal 27 19 4" xfId="22976"/>
    <cellStyle name="Normal 27 19 5" xfId="22977"/>
    <cellStyle name="Normal 27 19 6" xfId="22978"/>
    <cellStyle name="Normal 27 19 7" xfId="22979"/>
    <cellStyle name="Normal 27 19 8" xfId="22980"/>
    <cellStyle name="Normal 27 19 9" xfId="22981"/>
    <cellStyle name="Normal 27 2" xfId="22982"/>
    <cellStyle name="Normal 27 2 10" xfId="22983"/>
    <cellStyle name="Normal 27 2 11" xfId="22984"/>
    <cellStyle name="Normal 27 2 12" xfId="22985"/>
    <cellStyle name="Normal 27 2 13" xfId="22986"/>
    <cellStyle name="Normal 27 2 2" xfId="22987"/>
    <cellStyle name="Normal 27 2 3" xfId="22988"/>
    <cellStyle name="Normal 27 2 4" xfId="22989"/>
    <cellStyle name="Normal 27 2 5" xfId="22990"/>
    <cellStyle name="Normal 27 2 6" xfId="22991"/>
    <cellStyle name="Normal 27 2 7" xfId="22992"/>
    <cellStyle name="Normal 27 2 8" xfId="22993"/>
    <cellStyle name="Normal 27 2 9" xfId="22994"/>
    <cellStyle name="Normal 27 20" xfId="22995"/>
    <cellStyle name="Normal 27 20 10" xfId="22996"/>
    <cellStyle name="Normal 27 20 11" xfId="22997"/>
    <cellStyle name="Normal 27 20 12" xfId="22998"/>
    <cellStyle name="Normal 27 20 13" xfId="22999"/>
    <cellStyle name="Normal 27 20 2" xfId="23000"/>
    <cellStyle name="Normal 27 20 3" xfId="23001"/>
    <cellStyle name="Normal 27 20 4" xfId="23002"/>
    <cellStyle name="Normal 27 20 5" xfId="23003"/>
    <cellStyle name="Normal 27 20 6" xfId="23004"/>
    <cellStyle name="Normal 27 20 7" xfId="23005"/>
    <cellStyle name="Normal 27 20 8" xfId="23006"/>
    <cellStyle name="Normal 27 20 9" xfId="23007"/>
    <cellStyle name="Normal 27 21" xfId="23008"/>
    <cellStyle name="Normal 27 21 10" xfId="23009"/>
    <cellStyle name="Normal 27 21 11" xfId="23010"/>
    <cellStyle name="Normal 27 21 12" xfId="23011"/>
    <cellStyle name="Normal 27 21 13" xfId="23012"/>
    <cellStyle name="Normal 27 21 2" xfId="23013"/>
    <cellStyle name="Normal 27 21 3" xfId="23014"/>
    <cellStyle name="Normal 27 21 4" xfId="23015"/>
    <cellStyle name="Normal 27 21 5" xfId="23016"/>
    <cellStyle name="Normal 27 21 6" xfId="23017"/>
    <cellStyle name="Normal 27 21 7" xfId="23018"/>
    <cellStyle name="Normal 27 21 8" xfId="23019"/>
    <cellStyle name="Normal 27 21 9" xfId="23020"/>
    <cellStyle name="Normal 27 22" xfId="23021"/>
    <cellStyle name="Normal 27 22 10" xfId="23022"/>
    <cellStyle name="Normal 27 22 11" xfId="23023"/>
    <cellStyle name="Normal 27 22 12" xfId="23024"/>
    <cellStyle name="Normal 27 22 13" xfId="23025"/>
    <cellStyle name="Normal 27 22 2" xfId="23026"/>
    <cellStyle name="Normal 27 22 3" xfId="23027"/>
    <cellStyle name="Normal 27 22 4" xfId="23028"/>
    <cellStyle name="Normal 27 22 5" xfId="23029"/>
    <cellStyle name="Normal 27 22 6" xfId="23030"/>
    <cellStyle name="Normal 27 22 7" xfId="23031"/>
    <cellStyle name="Normal 27 22 8" xfId="23032"/>
    <cellStyle name="Normal 27 22 9" xfId="23033"/>
    <cellStyle name="Normal 27 23" xfId="23034"/>
    <cellStyle name="Normal 27 23 10" xfId="23035"/>
    <cellStyle name="Normal 27 23 11" xfId="23036"/>
    <cellStyle name="Normal 27 23 12" xfId="23037"/>
    <cellStyle name="Normal 27 23 13" xfId="23038"/>
    <cellStyle name="Normal 27 23 2" xfId="23039"/>
    <cellStyle name="Normal 27 23 3" xfId="23040"/>
    <cellStyle name="Normal 27 23 4" xfId="23041"/>
    <cellStyle name="Normal 27 23 5" xfId="23042"/>
    <cellStyle name="Normal 27 23 6" xfId="23043"/>
    <cellStyle name="Normal 27 23 7" xfId="23044"/>
    <cellStyle name="Normal 27 23 8" xfId="23045"/>
    <cellStyle name="Normal 27 23 9" xfId="23046"/>
    <cellStyle name="Normal 27 24" xfId="23047"/>
    <cellStyle name="Normal 27 24 10" xfId="23048"/>
    <cellStyle name="Normal 27 24 11" xfId="23049"/>
    <cellStyle name="Normal 27 24 12" xfId="23050"/>
    <cellStyle name="Normal 27 24 13" xfId="23051"/>
    <cellStyle name="Normal 27 24 2" xfId="23052"/>
    <cellStyle name="Normal 27 24 3" xfId="23053"/>
    <cellStyle name="Normal 27 24 4" xfId="23054"/>
    <cellStyle name="Normal 27 24 5" xfId="23055"/>
    <cellStyle name="Normal 27 24 6" xfId="23056"/>
    <cellStyle name="Normal 27 24 7" xfId="23057"/>
    <cellStyle name="Normal 27 24 8" xfId="23058"/>
    <cellStyle name="Normal 27 24 9" xfId="23059"/>
    <cellStyle name="Normal 27 25" xfId="23060"/>
    <cellStyle name="Normal 27 25 10" xfId="23061"/>
    <cellStyle name="Normal 27 25 11" xfId="23062"/>
    <cellStyle name="Normal 27 25 12" xfId="23063"/>
    <cellStyle name="Normal 27 25 13" xfId="23064"/>
    <cellStyle name="Normal 27 25 2" xfId="23065"/>
    <cellStyle name="Normal 27 25 3" xfId="23066"/>
    <cellStyle name="Normal 27 25 4" xfId="23067"/>
    <cellStyle name="Normal 27 25 5" xfId="23068"/>
    <cellStyle name="Normal 27 25 6" xfId="23069"/>
    <cellStyle name="Normal 27 25 7" xfId="23070"/>
    <cellStyle name="Normal 27 25 8" xfId="23071"/>
    <cellStyle name="Normal 27 25 9" xfId="23072"/>
    <cellStyle name="Normal 27 26" xfId="23073"/>
    <cellStyle name="Normal 27 26 10" xfId="23074"/>
    <cellStyle name="Normal 27 26 11" xfId="23075"/>
    <cellStyle name="Normal 27 26 12" xfId="23076"/>
    <cellStyle name="Normal 27 26 13" xfId="23077"/>
    <cellStyle name="Normal 27 26 2" xfId="23078"/>
    <cellStyle name="Normal 27 26 3" xfId="23079"/>
    <cellStyle name="Normal 27 26 4" xfId="23080"/>
    <cellStyle name="Normal 27 26 5" xfId="23081"/>
    <cellStyle name="Normal 27 26 6" xfId="23082"/>
    <cellStyle name="Normal 27 26 7" xfId="23083"/>
    <cellStyle name="Normal 27 26 8" xfId="23084"/>
    <cellStyle name="Normal 27 26 9" xfId="23085"/>
    <cellStyle name="Normal 27 27" xfId="23086"/>
    <cellStyle name="Normal 27 27 10" xfId="23087"/>
    <cellStyle name="Normal 27 27 11" xfId="23088"/>
    <cellStyle name="Normal 27 27 12" xfId="23089"/>
    <cellStyle name="Normal 27 27 13" xfId="23090"/>
    <cellStyle name="Normal 27 27 2" xfId="23091"/>
    <cellStyle name="Normal 27 27 3" xfId="23092"/>
    <cellStyle name="Normal 27 27 4" xfId="23093"/>
    <cellStyle name="Normal 27 27 5" xfId="23094"/>
    <cellStyle name="Normal 27 27 6" xfId="23095"/>
    <cellStyle name="Normal 27 27 7" xfId="23096"/>
    <cellStyle name="Normal 27 27 8" xfId="23097"/>
    <cellStyle name="Normal 27 27 9" xfId="23098"/>
    <cellStyle name="Normal 27 28" xfId="23099"/>
    <cellStyle name="Normal 27 28 10" xfId="23100"/>
    <cellStyle name="Normal 27 28 11" xfId="23101"/>
    <cellStyle name="Normal 27 28 12" xfId="23102"/>
    <cellStyle name="Normal 27 28 13" xfId="23103"/>
    <cellStyle name="Normal 27 28 2" xfId="23104"/>
    <cellStyle name="Normal 27 28 3" xfId="23105"/>
    <cellStyle name="Normal 27 28 4" xfId="23106"/>
    <cellStyle name="Normal 27 28 5" xfId="23107"/>
    <cellStyle name="Normal 27 28 6" xfId="23108"/>
    <cellStyle name="Normal 27 28 7" xfId="23109"/>
    <cellStyle name="Normal 27 28 8" xfId="23110"/>
    <cellStyle name="Normal 27 28 9" xfId="23111"/>
    <cellStyle name="Normal 27 29" xfId="23112"/>
    <cellStyle name="Normal 27 29 10" xfId="23113"/>
    <cellStyle name="Normal 27 29 11" xfId="23114"/>
    <cellStyle name="Normal 27 29 12" xfId="23115"/>
    <cellStyle name="Normal 27 29 13" xfId="23116"/>
    <cellStyle name="Normal 27 29 2" xfId="23117"/>
    <cellStyle name="Normal 27 29 3" xfId="23118"/>
    <cellStyle name="Normal 27 29 4" xfId="23119"/>
    <cellStyle name="Normal 27 29 5" xfId="23120"/>
    <cellStyle name="Normal 27 29 6" xfId="23121"/>
    <cellStyle name="Normal 27 29 7" xfId="23122"/>
    <cellStyle name="Normal 27 29 8" xfId="23123"/>
    <cellStyle name="Normal 27 29 9" xfId="23124"/>
    <cellStyle name="Normal 27 3" xfId="23125"/>
    <cellStyle name="Normal 27 3 10" xfId="23126"/>
    <cellStyle name="Normal 27 3 11" xfId="23127"/>
    <cellStyle name="Normal 27 3 12" xfId="23128"/>
    <cellStyle name="Normal 27 3 13" xfId="23129"/>
    <cellStyle name="Normal 27 3 2" xfId="23130"/>
    <cellStyle name="Normal 27 3 3" xfId="23131"/>
    <cellStyle name="Normal 27 3 4" xfId="23132"/>
    <cellStyle name="Normal 27 3 5" xfId="23133"/>
    <cellStyle name="Normal 27 3 6" xfId="23134"/>
    <cellStyle name="Normal 27 3 7" xfId="23135"/>
    <cellStyle name="Normal 27 3 8" xfId="23136"/>
    <cellStyle name="Normal 27 3 9" xfId="23137"/>
    <cellStyle name="Normal 27 30" xfId="23138"/>
    <cellStyle name="Normal 27 30 10" xfId="23139"/>
    <cellStyle name="Normal 27 30 11" xfId="23140"/>
    <cellStyle name="Normal 27 30 12" xfId="23141"/>
    <cellStyle name="Normal 27 30 13" xfId="23142"/>
    <cellStyle name="Normal 27 30 2" xfId="23143"/>
    <cellStyle name="Normal 27 30 3" xfId="23144"/>
    <cellStyle name="Normal 27 30 4" xfId="23145"/>
    <cellStyle name="Normal 27 30 5" xfId="23146"/>
    <cellStyle name="Normal 27 30 6" xfId="23147"/>
    <cellStyle name="Normal 27 30 7" xfId="23148"/>
    <cellStyle name="Normal 27 30 8" xfId="23149"/>
    <cellStyle name="Normal 27 30 9" xfId="23150"/>
    <cellStyle name="Normal 27 31" xfId="23151"/>
    <cellStyle name="Normal 27 31 10" xfId="23152"/>
    <cellStyle name="Normal 27 31 11" xfId="23153"/>
    <cellStyle name="Normal 27 31 12" xfId="23154"/>
    <cellStyle name="Normal 27 31 13" xfId="23155"/>
    <cellStyle name="Normal 27 31 2" xfId="23156"/>
    <cellStyle name="Normal 27 31 3" xfId="23157"/>
    <cellStyle name="Normal 27 31 4" xfId="23158"/>
    <cellStyle name="Normal 27 31 5" xfId="23159"/>
    <cellStyle name="Normal 27 31 6" xfId="23160"/>
    <cellStyle name="Normal 27 31 7" xfId="23161"/>
    <cellStyle name="Normal 27 31 8" xfId="23162"/>
    <cellStyle name="Normal 27 31 9" xfId="23163"/>
    <cellStyle name="Normal 27 32" xfId="23164"/>
    <cellStyle name="Normal 27 32 10" xfId="23165"/>
    <cellStyle name="Normal 27 32 11" xfId="23166"/>
    <cellStyle name="Normal 27 32 12" xfId="23167"/>
    <cellStyle name="Normal 27 32 13" xfId="23168"/>
    <cellStyle name="Normal 27 32 2" xfId="23169"/>
    <cellStyle name="Normal 27 32 3" xfId="23170"/>
    <cellStyle name="Normal 27 32 4" xfId="23171"/>
    <cellStyle name="Normal 27 32 5" xfId="23172"/>
    <cellStyle name="Normal 27 32 6" xfId="23173"/>
    <cellStyle name="Normal 27 32 7" xfId="23174"/>
    <cellStyle name="Normal 27 32 8" xfId="23175"/>
    <cellStyle name="Normal 27 32 9" xfId="23176"/>
    <cellStyle name="Normal 27 33" xfId="23177"/>
    <cellStyle name="Normal 27 33 10" xfId="23178"/>
    <cellStyle name="Normal 27 33 11" xfId="23179"/>
    <cellStyle name="Normal 27 33 12" xfId="23180"/>
    <cellStyle name="Normal 27 33 13" xfId="23181"/>
    <cellStyle name="Normal 27 33 2" xfId="23182"/>
    <cellStyle name="Normal 27 33 3" xfId="23183"/>
    <cellStyle name="Normal 27 33 4" xfId="23184"/>
    <cellStyle name="Normal 27 33 5" xfId="23185"/>
    <cellStyle name="Normal 27 33 6" xfId="23186"/>
    <cellStyle name="Normal 27 33 7" xfId="23187"/>
    <cellStyle name="Normal 27 33 8" xfId="23188"/>
    <cellStyle name="Normal 27 33 9" xfId="23189"/>
    <cellStyle name="Normal 27 34" xfId="23190"/>
    <cellStyle name="Normal 27 34 10" xfId="23191"/>
    <cellStyle name="Normal 27 34 11" xfId="23192"/>
    <cellStyle name="Normal 27 34 12" xfId="23193"/>
    <cellStyle name="Normal 27 34 13" xfId="23194"/>
    <cellStyle name="Normal 27 34 2" xfId="23195"/>
    <cellStyle name="Normal 27 34 3" xfId="23196"/>
    <cellStyle name="Normal 27 34 4" xfId="23197"/>
    <cellStyle name="Normal 27 34 5" xfId="23198"/>
    <cellStyle name="Normal 27 34 6" xfId="23199"/>
    <cellStyle name="Normal 27 34 7" xfId="23200"/>
    <cellStyle name="Normal 27 34 8" xfId="23201"/>
    <cellStyle name="Normal 27 34 9" xfId="23202"/>
    <cellStyle name="Normal 27 35" xfId="23203"/>
    <cellStyle name="Normal 27 35 10" xfId="23204"/>
    <cellStyle name="Normal 27 35 11" xfId="23205"/>
    <cellStyle name="Normal 27 35 12" xfId="23206"/>
    <cellStyle name="Normal 27 35 13" xfId="23207"/>
    <cellStyle name="Normal 27 35 2" xfId="23208"/>
    <cellStyle name="Normal 27 35 3" xfId="23209"/>
    <cellStyle name="Normal 27 35 4" xfId="23210"/>
    <cellStyle name="Normal 27 35 5" xfId="23211"/>
    <cellStyle name="Normal 27 35 6" xfId="23212"/>
    <cellStyle name="Normal 27 35 7" xfId="23213"/>
    <cellStyle name="Normal 27 35 8" xfId="23214"/>
    <cellStyle name="Normal 27 35 9" xfId="23215"/>
    <cellStyle name="Normal 27 36" xfId="23216"/>
    <cellStyle name="Normal 27 36 10" xfId="23217"/>
    <cellStyle name="Normal 27 36 11" xfId="23218"/>
    <cellStyle name="Normal 27 36 12" xfId="23219"/>
    <cellStyle name="Normal 27 36 13" xfId="23220"/>
    <cellStyle name="Normal 27 36 2" xfId="23221"/>
    <cellStyle name="Normal 27 36 3" xfId="23222"/>
    <cellStyle name="Normal 27 36 4" xfId="23223"/>
    <cellStyle name="Normal 27 36 5" xfId="23224"/>
    <cellStyle name="Normal 27 36 6" xfId="23225"/>
    <cellStyle name="Normal 27 36 7" xfId="23226"/>
    <cellStyle name="Normal 27 36 8" xfId="23227"/>
    <cellStyle name="Normal 27 36 9" xfId="23228"/>
    <cellStyle name="Normal 27 37" xfId="23229"/>
    <cellStyle name="Normal 27 37 10" xfId="23230"/>
    <cellStyle name="Normal 27 37 11" xfId="23231"/>
    <cellStyle name="Normal 27 37 12" xfId="23232"/>
    <cellStyle name="Normal 27 37 13" xfId="23233"/>
    <cellStyle name="Normal 27 37 2" xfId="23234"/>
    <cellStyle name="Normal 27 37 3" xfId="23235"/>
    <cellStyle name="Normal 27 37 4" xfId="23236"/>
    <cellStyle name="Normal 27 37 5" xfId="23237"/>
    <cellStyle name="Normal 27 37 6" xfId="23238"/>
    <cellStyle name="Normal 27 37 7" xfId="23239"/>
    <cellStyle name="Normal 27 37 8" xfId="23240"/>
    <cellStyle name="Normal 27 37 9" xfId="23241"/>
    <cellStyle name="Normal 27 38" xfId="23242"/>
    <cellStyle name="Normal 27 38 10" xfId="23243"/>
    <cellStyle name="Normal 27 38 11" xfId="23244"/>
    <cellStyle name="Normal 27 38 12" xfId="23245"/>
    <cellStyle name="Normal 27 38 13" xfId="23246"/>
    <cellStyle name="Normal 27 38 2" xfId="23247"/>
    <cellStyle name="Normal 27 38 3" xfId="23248"/>
    <cellStyle name="Normal 27 38 4" xfId="23249"/>
    <cellStyle name="Normal 27 38 5" xfId="23250"/>
    <cellStyle name="Normal 27 38 6" xfId="23251"/>
    <cellStyle name="Normal 27 38 7" xfId="23252"/>
    <cellStyle name="Normal 27 38 8" xfId="23253"/>
    <cellStyle name="Normal 27 38 9" xfId="23254"/>
    <cellStyle name="Normal 27 39" xfId="23255"/>
    <cellStyle name="Normal 27 39 10" xfId="23256"/>
    <cellStyle name="Normal 27 39 11" xfId="23257"/>
    <cellStyle name="Normal 27 39 12" xfId="23258"/>
    <cellStyle name="Normal 27 39 13" xfId="23259"/>
    <cellStyle name="Normal 27 39 2" xfId="23260"/>
    <cellStyle name="Normal 27 39 3" xfId="23261"/>
    <cellStyle name="Normal 27 39 4" xfId="23262"/>
    <cellStyle name="Normal 27 39 5" xfId="23263"/>
    <cellStyle name="Normal 27 39 6" xfId="23264"/>
    <cellStyle name="Normal 27 39 7" xfId="23265"/>
    <cellStyle name="Normal 27 39 8" xfId="23266"/>
    <cellStyle name="Normal 27 39 9" xfId="23267"/>
    <cellStyle name="Normal 27 4" xfId="23268"/>
    <cellStyle name="Normal 27 4 10" xfId="23269"/>
    <cellStyle name="Normal 27 4 11" xfId="23270"/>
    <cellStyle name="Normal 27 4 12" xfId="23271"/>
    <cellStyle name="Normal 27 4 13" xfId="23272"/>
    <cellStyle name="Normal 27 4 2" xfId="23273"/>
    <cellStyle name="Normal 27 4 3" xfId="23274"/>
    <cellStyle name="Normal 27 4 4" xfId="23275"/>
    <cellStyle name="Normal 27 4 5" xfId="23276"/>
    <cellStyle name="Normal 27 4 6" xfId="23277"/>
    <cellStyle name="Normal 27 4 7" xfId="23278"/>
    <cellStyle name="Normal 27 4 8" xfId="23279"/>
    <cellStyle name="Normal 27 4 9" xfId="23280"/>
    <cellStyle name="Normal 27 40" xfId="23281"/>
    <cellStyle name="Normal 27 40 10" xfId="23282"/>
    <cellStyle name="Normal 27 40 11" xfId="23283"/>
    <cellStyle name="Normal 27 40 12" xfId="23284"/>
    <cellStyle name="Normal 27 40 13" xfId="23285"/>
    <cellStyle name="Normal 27 40 2" xfId="23286"/>
    <cellStyle name="Normal 27 40 3" xfId="23287"/>
    <cellStyle name="Normal 27 40 4" xfId="23288"/>
    <cellStyle name="Normal 27 40 5" xfId="23289"/>
    <cellStyle name="Normal 27 40 6" xfId="23290"/>
    <cellStyle name="Normal 27 40 7" xfId="23291"/>
    <cellStyle name="Normal 27 40 8" xfId="23292"/>
    <cellStyle name="Normal 27 40 9" xfId="23293"/>
    <cellStyle name="Normal 27 41" xfId="23294"/>
    <cellStyle name="Normal 27 41 10" xfId="23295"/>
    <cellStyle name="Normal 27 41 11" xfId="23296"/>
    <cellStyle name="Normal 27 41 12" xfId="23297"/>
    <cellStyle name="Normal 27 41 13" xfId="23298"/>
    <cellStyle name="Normal 27 41 2" xfId="23299"/>
    <cellStyle name="Normal 27 41 3" xfId="23300"/>
    <cellStyle name="Normal 27 41 4" xfId="23301"/>
    <cellStyle name="Normal 27 41 5" xfId="23302"/>
    <cellStyle name="Normal 27 41 6" xfId="23303"/>
    <cellStyle name="Normal 27 41 7" xfId="23304"/>
    <cellStyle name="Normal 27 41 8" xfId="23305"/>
    <cellStyle name="Normal 27 41 9" xfId="23306"/>
    <cellStyle name="Normal 27 42" xfId="23307"/>
    <cellStyle name="Normal 27 42 10" xfId="23308"/>
    <cellStyle name="Normal 27 42 11" xfId="23309"/>
    <cellStyle name="Normal 27 42 12" xfId="23310"/>
    <cellStyle name="Normal 27 42 13" xfId="23311"/>
    <cellStyle name="Normal 27 42 2" xfId="23312"/>
    <cellStyle name="Normal 27 42 3" xfId="23313"/>
    <cellStyle name="Normal 27 42 4" xfId="23314"/>
    <cellStyle name="Normal 27 42 5" xfId="23315"/>
    <cellStyle name="Normal 27 42 6" xfId="23316"/>
    <cellStyle name="Normal 27 42 7" xfId="23317"/>
    <cellStyle name="Normal 27 42 8" xfId="23318"/>
    <cellStyle name="Normal 27 42 9" xfId="23319"/>
    <cellStyle name="Normal 27 43" xfId="23320"/>
    <cellStyle name="Normal 27 43 10" xfId="23321"/>
    <cellStyle name="Normal 27 43 11" xfId="23322"/>
    <cellStyle name="Normal 27 43 12" xfId="23323"/>
    <cellStyle name="Normal 27 43 13" xfId="23324"/>
    <cellStyle name="Normal 27 43 2" xfId="23325"/>
    <cellStyle name="Normal 27 43 3" xfId="23326"/>
    <cellStyle name="Normal 27 43 4" xfId="23327"/>
    <cellStyle name="Normal 27 43 5" xfId="23328"/>
    <cellStyle name="Normal 27 43 6" xfId="23329"/>
    <cellStyle name="Normal 27 43 7" xfId="23330"/>
    <cellStyle name="Normal 27 43 8" xfId="23331"/>
    <cellStyle name="Normal 27 43 9" xfId="23332"/>
    <cellStyle name="Normal 27 44" xfId="23333"/>
    <cellStyle name="Normal 27 44 10" xfId="23334"/>
    <cellStyle name="Normal 27 44 11" xfId="23335"/>
    <cellStyle name="Normal 27 44 12" xfId="23336"/>
    <cellStyle name="Normal 27 44 13" xfId="23337"/>
    <cellStyle name="Normal 27 44 2" xfId="23338"/>
    <cellStyle name="Normal 27 44 3" xfId="23339"/>
    <cellStyle name="Normal 27 44 4" xfId="23340"/>
    <cellStyle name="Normal 27 44 5" xfId="23341"/>
    <cellStyle name="Normal 27 44 6" xfId="23342"/>
    <cellStyle name="Normal 27 44 7" xfId="23343"/>
    <cellStyle name="Normal 27 44 8" xfId="23344"/>
    <cellStyle name="Normal 27 44 9" xfId="23345"/>
    <cellStyle name="Normal 27 45" xfId="23346"/>
    <cellStyle name="Normal 27 45 10" xfId="23347"/>
    <cellStyle name="Normal 27 45 11" xfId="23348"/>
    <cellStyle name="Normal 27 45 12" xfId="23349"/>
    <cellStyle name="Normal 27 45 13" xfId="23350"/>
    <cellStyle name="Normal 27 45 2" xfId="23351"/>
    <cellStyle name="Normal 27 45 3" xfId="23352"/>
    <cellStyle name="Normal 27 45 4" xfId="23353"/>
    <cellStyle name="Normal 27 45 5" xfId="23354"/>
    <cellStyle name="Normal 27 45 6" xfId="23355"/>
    <cellStyle name="Normal 27 45 7" xfId="23356"/>
    <cellStyle name="Normal 27 45 8" xfId="23357"/>
    <cellStyle name="Normal 27 45 9" xfId="23358"/>
    <cellStyle name="Normal 27 46" xfId="23359"/>
    <cellStyle name="Normal 27 46 10" xfId="23360"/>
    <cellStyle name="Normal 27 46 11" xfId="23361"/>
    <cellStyle name="Normal 27 46 12" xfId="23362"/>
    <cellStyle name="Normal 27 46 13" xfId="23363"/>
    <cellStyle name="Normal 27 46 2" xfId="23364"/>
    <cellStyle name="Normal 27 46 3" xfId="23365"/>
    <cellStyle name="Normal 27 46 4" xfId="23366"/>
    <cellStyle name="Normal 27 46 5" xfId="23367"/>
    <cellStyle name="Normal 27 46 6" xfId="23368"/>
    <cellStyle name="Normal 27 46 7" xfId="23369"/>
    <cellStyle name="Normal 27 46 8" xfId="23370"/>
    <cellStyle name="Normal 27 46 9" xfId="23371"/>
    <cellStyle name="Normal 27 47" xfId="23372"/>
    <cellStyle name="Normal 27 47 10" xfId="23373"/>
    <cellStyle name="Normal 27 47 11" xfId="23374"/>
    <cellStyle name="Normal 27 47 12" xfId="23375"/>
    <cellStyle name="Normal 27 47 13" xfId="23376"/>
    <cellStyle name="Normal 27 47 2" xfId="23377"/>
    <cellStyle name="Normal 27 47 3" xfId="23378"/>
    <cellStyle name="Normal 27 47 4" xfId="23379"/>
    <cellStyle name="Normal 27 47 5" xfId="23380"/>
    <cellStyle name="Normal 27 47 6" xfId="23381"/>
    <cellStyle name="Normal 27 47 7" xfId="23382"/>
    <cellStyle name="Normal 27 47 8" xfId="23383"/>
    <cellStyle name="Normal 27 47 9" xfId="23384"/>
    <cellStyle name="Normal 27 48" xfId="23385"/>
    <cellStyle name="Normal 27 48 10" xfId="23386"/>
    <cellStyle name="Normal 27 48 11" xfId="23387"/>
    <cellStyle name="Normal 27 48 12" xfId="23388"/>
    <cellStyle name="Normal 27 48 13" xfId="23389"/>
    <cellStyle name="Normal 27 48 2" xfId="23390"/>
    <cellStyle name="Normal 27 48 3" xfId="23391"/>
    <cellStyle name="Normal 27 48 4" xfId="23392"/>
    <cellStyle name="Normal 27 48 5" xfId="23393"/>
    <cellStyle name="Normal 27 48 6" xfId="23394"/>
    <cellStyle name="Normal 27 48 7" xfId="23395"/>
    <cellStyle name="Normal 27 48 8" xfId="23396"/>
    <cellStyle name="Normal 27 48 9" xfId="23397"/>
    <cellStyle name="Normal 27 49" xfId="23398"/>
    <cellStyle name="Normal 27 49 10" xfId="23399"/>
    <cellStyle name="Normal 27 49 11" xfId="23400"/>
    <cellStyle name="Normal 27 49 12" xfId="23401"/>
    <cellStyle name="Normal 27 49 13" xfId="23402"/>
    <cellStyle name="Normal 27 49 2" xfId="23403"/>
    <cellStyle name="Normal 27 49 3" xfId="23404"/>
    <cellStyle name="Normal 27 49 4" xfId="23405"/>
    <cellStyle name="Normal 27 49 5" xfId="23406"/>
    <cellStyle name="Normal 27 49 6" xfId="23407"/>
    <cellStyle name="Normal 27 49 7" xfId="23408"/>
    <cellStyle name="Normal 27 49 8" xfId="23409"/>
    <cellStyle name="Normal 27 49 9" xfId="23410"/>
    <cellStyle name="Normal 27 5" xfId="23411"/>
    <cellStyle name="Normal 27 5 10" xfId="23412"/>
    <cellStyle name="Normal 27 5 11" xfId="23413"/>
    <cellStyle name="Normal 27 5 12" xfId="23414"/>
    <cellStyle name="Normal 27 5 13" xfId="23415"/>
    <cellStyle name="Normal 27 5 2" xfId="23416"/>
    <cellStyle name="Normal 27 5 3" xfId="23417"/>
    <cellStyle name="Normal 27 5 4" xfId="23418"/>
    <cellStyle name="Normal 27 5 5" xfId="23419"/>
    <cellStyle name="Normal 27 5 6" xfId="23420"/>
    <cellStyle name="Normal 27 5 7" xfId="23421"/>
    <cellStyle name="Normal 27 5 8" xfId="23422"/>
    <cellStyle name="Normal 27 5 9" xfId="23423"/>
    <cellStyle name="Normal 27 50" xfId="23424"/>
    <cellStyle name="Normal 27 50 10" xfId="23425"/>
    <cellStyle name="Normal 27 50 11" xfId="23426"/>
    <cellStyle name="Normal 27 50 12" xfId="23427"/>
    <cellStyle name="Normal 27 50 13" xfId="23428"/>
    <cellStyle name="Normal 27 50 2" xfId="23429"/>
    <cellStyle name="Normal 27 50 3" xfId="23430"/>
    <cellStyle name="Normal 27 50 4" xfId="23431"/>
    <cellStyle name="Normal 27 50 5" xfId="23432"/>
    <cellStyle name="Normal 27 50 6" xfId="23433"/>
    <cellStyle name="Normal 27 50 7" xfId="23434"/>
    <cellStyle name="Normal 27 50 8" xfId="23435"/>
    <cellStyle name="Normal 27 50 9" xfId="23436"/>
    <cellStyle name="Normal 27 51" xfId="23437"/>
    <cellStyle name="Normal 27 51 10" xfId="23438"/>
    <cellStyle name="Normal 27 51 11" xfId="23439"/>
    <cellStyle name="Normal 27 51 12" xfId="23440"/>
    <cellStyle name="Normal 27 51 13" xfId="23441"/>
    <cellStyle name="Normal 27 51 2" xfId="23442"/>
    <cellStyle name="Normal 27 51 3" xfId="23443"/>
    <cellStyle name="Normal 27 51 4" xfId="23444"/>
    <cellStyle name="Normal 27 51 5" xfId="23445"/>
    <cellStyle name="Normal 27 51 6" xfId="23446"/>
    <cellStyle name="Normal 27 51 7" xfId="23447"/>
    <cellStyle name="Normal 27 51 8" xfId="23448"/>
    <cellStyle name="Normal 27 51 9" xfId="23449"/>
    <cellStyle name="Normal 27 52" xfId="23450"/>
    <cellStyle name="Normal 27 52 10" xfId="23451"/>
    <cellStyle name="Normal 27 52 11" xfId="23452"/>
    <cellStyle name="Normal 27 52 12" xfId="23453"/>
    <cellStyle name="Normal 27 52 13" xfId="23454"/>
    <cellStyle name="Normal 27 52 2" xfId="23455"/>
    <cellStyle name="Normal 27 52 3" xfId="23456"/>
    <cellStyle name="Normal 27 52 4" xfId="23457"/>
    <cellStyle name="Normal 27 52 5" xfId="23458"/>
    <cellStyle name="Normal 27 52 6" xfId="23459"/>
    <cellStyle name="Normal 27 52 7" xfId="23460"/>
    <cellStyle name="Normal 27 52 8" xfId="23461"/>
    <cellStyle name="Normal 27 52 9" xfId="23462"/>
    <cellStyle name="Normal 27 53" xfId="23463"/>
    <cellStyle name="Normal 27 53 10" xfId="23464"/>
    <cellStyle name="Normal 27 53 11" xfId="23465"/>
    <cellStyle name="Normal 27 53 12" xfId="23466"/>
    <cellStyle name="Normal 27 53 13" xfId="23467"/>
    <cellStyle name="Normal 27 53 2" xfId="23468"/>
    <cellStyle name="Normal 27 53 3" xfId="23469"/>
    <cellStyle name="Normal 27 53 4" xfId="23470"/>
    <cellStyle name="Normal 27 53 5" xfId="23471"/>
    <cellStyle name="Normal 27 53 6" xfId="23472"/>
    <cellStyle name="Normal 27 53 7" xfId="23473"/>
    <cellStyle name="Normal 27 53 8" xfId="23474"/>
    <cellStyle name="Normal 27 53 9" xfId="23475"/>
    <cellStyle name="Normal 27 54" xfId="23476"/>
    <cellStyle name="Normal 27 54 10" xfId="23477"/>
    <cellStyle name="Normal 27 54 11" xfId="23478"/>
    <cellStyle name="Normal 27 54 12" xfId="23479"/>
    <cellStyle name="Normal 27 54 13" xfId="23480"/>
    <cellStyle name="Normal 27 54 2" xfId="23481"/>
    <cellStyle name="Normal 27 54 3" xfId="23482"/>
    <cellStyle name="Normal 27 54 4" xfId="23483"/>
    <cellStyle name="Normal 27 54 5" xfId="23484"/>
    <cellStyle name="Normal 27 54 6" xfId="23485"/>
    <cellStyle name="Normal 27 54 7" xfId="23486"/>
    <cellStyle name="Normal 27 54 8" xfId="23487"/>
    <cellStyle name="Normal 27 54 9" xfId="23488"/>
    <cellStyle name="Normal 27 55" xfId="23489"/>
    <cellStyle name="Normal 27 55 10" xfId="23490"/>
    <cellStyle name="Normal 27 55 11" xfId="23491"/>
    <cellStyle name="Normal 27 55 12" xfId="23492"/>
    <cellStyle name="Normal 27 55 13" xfId="23493"/>
    <cellStyle name="Normal 27 55 2" xfId="23494"/>
    <cellStyle name="Normal 27 55 3" xfId="23495"/>
    <cellStyle name="Normal 27 55 4" xfId="23496"/>
    <cellStyle name="Normal 27 55 5" xfId="23497"/>
    <cellStyle name="Normal 27 55 6" xfId="23498"/>
    <cellStyle name="Normal 27 55 7" xfId="23499"/>
    <cellStyle name="Normal 27 55 8" xfId="23500"/>
    <cellStyle name="Normal 27 55 9" xfId="23501"/>
    <cellStyle name="Normal 27 56" xfId="23502"/>
    <cellStyle name="Normal 27 56 10" xfId="23503"/>
    <cellStyle name="Normal 27 56 11" xfId="23504"/>
    <cellStyle name="Normal 27 56 12" xfId="23505"/>
    <cellStyle name="Normal 27 56 13" xfId="23506"/>
    <cellStyle name="Normal 27 56 2" xfId="23507"/>
    <cellStyle name="Normal 27 56 3" xfId="23508"/>
    <cellStyle name="Normal 27 56 4" xfId="23509"/>
    <cellStyle name="Normal 27 56 5" xfId="23510"/>
    <cellStyle name="Normal 27 56 6" xfId="23511"/>
    <cellStyle name="Normal 27 56 7" xfId="23512"/>
    <cellStyle name="Normal 27 56 8" xfId="23513"/>
    <cellStyle name="Normal 27 56 9" xfId="23514"/>
    <cellStyle name="Normal 27 57" xfId="23515"/>
    <cellStyle name="Normal 27 57 10" xfId="23516"/>
    <cellStyle name="Normal 27 57 11" xfId="23517"/>
    <cellStyle name="Normal 27 57 12" xfId="23518"/>
    <cellStyle name="Normal 27 57 13" xfId="23519"/>
    <cellStyle name="Normal 27 57 2" xfId="23520"/>
    <cellStyle name="Normal 27 57 3" xfId="23521"/>
    <cellStyle name="Normal 27 57 4" xfId="23522"/>
    <cellStyle name="Normal 27 57 5" xfId="23523"/>
    <cellStyle name="Normal 27 57 6" xfId="23524"/>
    <cellStyle name="Normal 27 57 7" xfId="23525"/>
    <cellStyle name="Normal 27 57 8" xfId="23526"/>
    <cellStyle name="Normal 27 57 9" xfId="23527"/>
    <cellStyle name="Normal 27 58" xfId="23528"/>
    <cellStyle name="Normal 27 58 10" xfId="23529"/>
    <cellStyle name="Normal 27 58 11" xfId="23530"/>
    <cellStyle name="Normal 27 58 12" xfId="23531"/>
    <cellStyle name="Normal 27 58 13" xfId="23532"/>
    <cellStyle name="Normal 27 58 2" xfId="23533"/>
    <cellStyle name="Normal 27 58 3" xfId="23534"/>
    <cellStyle name="Normal 27 58 4" xfId="23535"/>
    <cellStyle name="Normal 27 58 5" xfId="23536"/>
    <cellStyle name="Normal 27 58 6" xfId="23537"/>
    <cellStyle name="Normal 27 58 7" xfId="23538"/>
    <cellStyle name="Normal 27 58 8" xfId="23539"/>
    <cellStyle name="Normal 27 58 9" xfId="23540"/>
    <cellStyle name="Normal 27 59" xfId="23541"/>
    <cellStyle name="Normal 27 59 10" xfId="23542"/>
    <cellStyle name="Normal 27 59 11" xfId="23543"/>
    <cellStyle name="Normal 27 59 12" xfId="23544"/>
    <cellStyle name="Normal 27 59 13" xfId="23545"/>
    <cellStyle name="Normal 27 59 2" xfId="23546"/>
    <cellStyle name="Normal 27 59 3" xfId="23547"/>
    <cellStyle name="Normal 27 59 4" xfId="23548"/>
    <cellStyle name="Normal 27 59 5" xfId="23549"/>
    <cellStyle name="Normal 27 59 6" xfId="23550"/>
    <cellStyle name="Normal 27 59 7" xfId="23551"/>
    <cellStyle name="Normal 27 59 8" xfId="23552"/>
    <cellStyle name="Normal 27 59 9" xfId="23553"/>
    <cellStyle name="Normal 27 6" xfId="23554"/>
    <cellStyle name="Normal 27 6 10" xfId="23555"/>
    <cellStyle name="Normal 27 6 11" xfId="23556"/>
    <cellStyle name="Normal 27 6 12" xfId="23557"/>
    <cellStyle name="Normal 27 6 13" xfId="23558"/>
    <cellStyle name="Normal 27 6 2" xfId="23559"/>
    <cellStyle name="Normal 27 6 3" xfId="23560"/>
    <cellStyle name="Normal 27 6 4" xfId="23561"/>
    <cellStyle name="Normal 27 6 5" xfId="23562"/>
    <cellStyle name="Normal 27 6 6" xfId="23563"/>
    <cellStyle name="Normal 27 6 7" xfId="23564"/>
    <cellStyle name="Normal 27 6 8" xfId="23565"/>
    <cellStyle name="Normal 27 6 9" xfId="23566"/>
    <cellStyle name="Normal 27 60" xfId="23567"/>
    <cellStyle name="Normal 27 60 10" xfId="23568"/>
    <cellStyle name="Normal 27 60 11" xfId="23569"/>
    <cellStyle name="Normal 27 60 12" xfId="23570"/>
    <cellStyle name="Normal 27 60 13" xfId="23571"/>
    <cellStyle name="Normal 27 60 2" xfId="23572"/>
    <cellStyle name="Normal 27 60 3" xfId="23573"/>
    <cellStyle name="Normal 27 60 4" xfId="23574"/>
    <cellStyle name="Normal 27 60 5" xfId="23575"/>
    <cellStyle name="Normal 27 60 6" xfId="23576"/>
    <cellStyle name="Normal 27 60 7" xfId="23577"/>
    <cellStyle name="Normal 27 60 8" xfId="23578"/>
    <cellStyle name="Normal 27 60 9" xfId="23579"/>
    <cellStyle name="Normal 27 61" xfId="23580"/>
    <cellStyle name="Normal 27 61 10" xfId="23581"/>
    <cellStyle name="Normal 27 61 11" xfId="23582"/>
    <cellStyle name="Normal 27 61 12" xfId="23583"/>
    <cellStyle name="Normal 27 61 13" xfId="23584"/>
    <cellStyle name="Normal 27 61 2" xfId="23585"/>
    <cellStyle name="Normal 27 61 3" xfId="23586"/>
    <cellStyle name="Normal 27 61 4" xfId="23587"/>
    <cellStyle name="Normal 27 61 5" xfId="23588"/>
    <cellStyle name="Normal 27 61 6" xfId="23589"/>
    <cellStyle name="Normal 27 61 7" xfId="23590"/>
    <cellStyle name="Normal 27 61 8" xfId="23591"/>
    <cellStyle name="Normal 27 61 9" xfId="23592"/>
    <cellStyle name="Normal 27 62" xfId="23593"/>
    <cellStyle name="Normal 27 62 10" xfId="23594"/>
    <cellStyle name="Normal 27 62 11" xfId="23595"/>
    <cellStyle name="Normal 27 62 12" xfId="23596"/>
    <cellStyle name="Normal 27 62 13" xfId="23597"/>
    <cellStyle name="Normal 27 62 2" xfId="23598"/>
    <cellStyle name="Normal 27 62 3" xfId="23599"/>
    <cellStyle name="Normal 27 62 4" xfId="23600"/>
    <cellStyle name="Normal 27 62 5" xfId="23601"/>
    <cellStyle name="Normal 27 62 6" xfId="23602"/>
    <cellStyle name="Normal 27 62 7" xfId="23603"/>
    <cellStyle name="Normal 27 62 8" xfId="23604"/>
    <cellStyle name="Normal 27 62 9" xfId="23605"/>
    <cellStyle name="Normal 27 63" xfId="23606"/>
    <cellStyle name="Normal 27 63 10" xfId="23607"/>
    <cellStyle name="Normal 27 63 11" xfId="23608"/>
    <cellStyle name="Normal 27 63 12" xfId="23609"/>
    <cellStyle name="Normal 27 63 13" xfId="23610"/>
    <cellStyle name="Normal 27 63 2" xfId="23611"/>
    <cellStyle name="Normal 27 63 3" xfId="23612"/>
    <cellStyle name="Normal 27 63 4" xfId="23613"/>
    <cellStyle name="Normal 27 63 5" xfId="23614"/>
    <cellStyle name="Normal 27 63 6" xfId="23615"/>
    <cellStyle name="Normal 27 63 7" xfId="23616"/>
    <cellStyle name="Normal 27 63 8" xfId="23617"/>
    <cellStyle name="Normal 27 63 9" xfId="23618"/>
    <cellStyle name="Normal 27 64" xfId="23619"/>
    <cellStyle name="Normal 27 64 10" xfId="23620"/>
    <cellStyle name="Normal 27 64 11" xfId="23621"/>
    <cellStyle name="Normal 27 64 12" xfId="23622"/>
    <cellStyle name="Normal 27 64 13" xfId="23623"/>
    <cellStyle name="Normal 27 64 2" xfId="23624"/>
    <cellStyle name="Normal 27 64 3" xfId="23625"/>
    <cellStyle name="Normal 27 64 4" xfId="23626"/>
    <cellStyle name="Normal 27 64 5" xfId="23627"/>
    <cellStyle name="Normal 27 64 6" xfId="23628"/>
    <cellStyle name="Normal 27 64 7" xfId="23629"/>
    <cellStyle name="Normal 27 64 8" xfId="23630"/>
    <cellStyle name="Normal 27 64 9" xfId="23631"/>
    <cellStyle name="Normal 27 65" xfId="23632"/>
    <cellStyle name="Normal 27 65 10" xfId="23633"/>
    <cellStyle name="Normal 27 65 11" xfId="23634"/>
    <cellStyle name="Normal 27 65 12" xfId="23635"/>
    <cellStyle name="Normal 27 65 13" xfId="23636"/>
    <cellStyle name="Normal 27 65 2" xfId="23637"/>
    <cellStyle name="Normal 27 65 3" xfId="23638"/>
    <cellStyle name="Normal 27 65 4" xfId="23639"/>
    <cellStyle name="Normal 27 65 5" xfId="23640"/>
    <cellStyle name="Normal 27 65 6" xfId="23641"/>
    <cellStyle name="Normal 27 65 7" xfId="23642"/>
    <cellStyle name="Normal 27 65 8" xfId="23643"/>
    <cellStyle name="Normal 27 65 9" xfId="23644"/>
    <cellStyle name="Normal 27 66" xfId="23645"/>
    <cellStyle name="Normal 27 66 10" xfId="23646"/>
    <cellStyle name="Normal 27 66 11" xfId="23647"/>
    <cellStyle name="Normal 27 66 12" xfId="23648"/>
    <cellStyle name="Normal 27 66 13" xfId="23649"/>
    <cellStyle name="Normal 27 66 2" xfId="23650"/>
    <cellStyle name="Normal 27 66 3" xfId="23651"/>
    <cellStyle name="Normal 27 66 4" xfId="23652"/>
    <cellStyle name="Normal 27 66 5" xfId="23653"/>
    <cellStyle name="Normal 27 66 6" xfId="23654"/>
    <cellStyle name="Normal 27 66 7" xfId="23655"/>
    <cellStyle name="Normal 27 66 8" xfId="23656"/>
    <cellStyle name="Normal 27 66 9" xfId="23657"/>
    <cellStyle name="Normal 27 67" xfId="23658"/>
    <cellStyle name="Normal 27 67 10" xfId="23659"/>
    <cellStyle name="Normal 27 67 11" xfId="23660"/>
    <cellStyle name="Normal 27 67 12" xfId="23661"/>
    <cellStyle name="Normal 27 67 13" xfId="23662"/>
    <cellStyle name="Normal 27 67 2" xfId="23663"/>
    <cellStyle name="Normal 27 67 3" xfId="23664"/>
    <cellStyle name="Normal 27 67 4" xfId="23665"/>
    <cellStyle name="Normal 27 67 5" xfId="23666"/>
    <cellStyle name="Normal 27 67 6" xfId="23667"/>
    <cellStyle name="Normal 27 67 7" xfId="23668"/>
    <cellStyle name="Normal 27 67 8" xfId="23669"/>
    <cellStyle name="Normal 27 67 9" xfId="23670"/>
    <cellStyle name="Normal 27 68" xfId="23671"/>
    <cellStyle name="Normal 27 68 10" xfId="23672"/>
    <cellStyle name="Normal 27 68 11" xfId="23673"/>
    <cellStyle name="Normal 27 68 12" xfId="23674"/>
    <cellStyle name="Normal 27 68 13" xfId="23675"/>
    <cellStyle name="Normal 27 68 2" xfId="23676"/>
    <cellStyle name="Normal 27 68 3" xfId="23677"/>
    <cellStyle name="Normal 27 68 4" xfId="23678"/>
    <cellStyle name="Normal 27 68 5" xfId="23679"/>
    <cellStyle name="Normal 27 68 6" xfId="23680"/>
    <cellStyle name="Normal 27 68 7" xfId="23681"/>
    <cellStyle name="Normal 27 68 8" xfId="23682"/>
    <cellStyle name="Normal 27 68 9" xfId="23683"/>
    <cellStyle name="Normal 27 69" xfId="23684"/>
    <cellStyle name="Normal 27 69 10" xfId="23685"/>
    <cellStyle name="Normal 27 69 11" xfId="23686"/>
    <cellStyle name="Normal 27 69 12" xfId="23687"/>
    <cellStyle name="Normal 27 69 13" xfId="23688"/>
    <cellStyle name="Normal 27 69 2" xfId="23689"/>
    <cellStyle name="Normal 27 69 3" xfId="23690"/>
    <cellStyle name="Normal 27 69 4" xfId="23691"/>
    <cellStyle name="Normal 27 69 5" xfId="23692"/>
    <cellStyle name="Normal 27 69 6" xfId="23693"/>
    <cellStyle name="Normal 27 69 7" xfId="23694"/>
    <cellStyle name="Normal 27 69 8" xfId="23695"/>
    <cellStyle name="Normal 27 69 9" xfId="23696"/>
    <cellStyle name="Normal 27 7" xfId="23697"/>
    <cellStyle name="Normal 27 7 10" xfId="23698"/>
    <cellStyle name="Normal 27 7 11" xfId="23699"/>
    <cellStyle name="Normal 27 7 12" xfId="23700"/>
    <cellStyle name="Normal 27 7 13" xfId="23701"/>
    <cellStyle name="Normal 27 7 2" xfId="23702"/>
    <cellStyle name="Normal 27 7 3" xfId="23703"/>
    <cellStyle name="Normal 27 7 4" xfId="23704"/>
    <cellStyle name="Normal 27 7 5" xfId="23705"/>
    <cellStyle name="Normal 27 7 6" xfId="23706"/>
    <cellStyle name="Normal 27 7 7" xfId="23707"/>
    <cellStyle name="Normal 27 7 8" xfId="23708"/>
    <cellStyle name="Normal 27 7 9" xfId="23709"/>
    <cellStyle name="Normal 27 70" xfId="23710"/>
    <cellStyle name="Normal 27 70 10" xfId="23711"/>
    <cellStyle name="Normal 27 70 11" xfId="23712"/>
    <cellStyle name="Normal 27 70 12" xfId="23713"/>
    <cellStyle name="Normal 27 70 13" xfId="23714"/>
    <cellStyle name="Normal 27 70 2" xfId="23715"/>
    <cellStyle name="Normal 27 70 3" xfId="23716"/>
    <cellStyle name="Normal 27 70 4" xfId="23717"/>
    <cellStyle name="Normal 27 70 5" xfId="23718"/>
    <cellStyle name="Normal 27 70 6" xfId="23719"/>
    <cellStyle name="Normal 27 70 7" xfId="23720"/>
    <cellStyle name="Normal 27 70 8" xfId="23721"/>
    <cellStyle name="Normal 27 70 9" xfId="23722"/>
    <cellStyle name="Normal 27 71" xfId="23723"/>
    <cellStyle name="Normal 27 71 10" xfId="23724"/>
    <cellStyle name="Normal 27 71 11" xfId="23725"/>
    <cellStyle name="Normal 27 71 12" xfId="23726"/>
    <cellStyle name="Normal 27 71 13" xfId="23727"/>
    <cellStyle name="Normal 27 71 2" xfId="23728"/>
    <cellStyle name="Normal 27 71 3" xfId="23729"/>
    <cellStyle name="Normal 27 71 4" xfId="23730"/>
    <cellStyle name="Normal 27 71 5" xfId="23731"/>
    <cellStyle name="Normal 27 71 6" xfId="23732"/>
    <cellStyle name="Normal 27 71 7" xfId="23733"/>
    <cellStyle name="Normal 27 71 8" xfId="23734"/>
    <cellStyle name="Normal 27 71 9" xfId="23735"/>
    <cellStyle name="Normal 27 72" xfId="23736"/>
    <cellStyle name="Normal 27 73" xfId="23737"/>
    <cellStyle name="Normal 27 74" xfId="23738"/>
    <cellStyle name="Normal 27 75" xfId="23739"/>
    <cellStyle name="Normal 27 76" xfId="23740"/>
    <cellStyle name="Normal 27 77" xfId="23741"/>
    <cellStyle name="Normal 27 78" xfId="23742"/>
    <cellStyle name="Normal 27 79" xfId="23743"/>
    <cellStyle name="Normal 27 8" xfId="23744"/>
    <cellStyle name="Normal 27 8 10" xfId="23745"/>
    <cellStyle name="Normal 27 8 11" xfId="23746"/>
    <cellStyle name="Normal 27 8 12" xfId="23747"/>
    <cellStyle name="Normal 27 8 13" xfId="23748"/>
    <cellStyle name="Normal 27 8 2" xfId="23749"/>
    <cellStyle name="Normal 27 8 3" xfId="23750"/>
    <cellStyle name="Normal 27 8 4" xfId="23751"/>
    <cellStyle name="Normal 27 8 5" xfId="23752"/>
    <cellStyle name="Normal 27 8 6" xfId="23753"/>
    <cellStyle name="Normal 27 8 7" xfId="23754"/>
    <cellStyle name="Normal 27 8 8" xfId="23755"/>
    <cellStyle name="Normal 27 8 9" xfId="23756"/>
    <cellStyle name="Normal 27 80" xfId="23757"/>
    <cellStyle name="Normal 27 81" xfId="23758"/>
    <cellStyle name="Normal 27 82" xfId="23759"/>
    <cellStyle name="Normal 27 83" xfId="23760"/>
    <cellStyle name="Normal 27 9" xfId="23761"/>
    <cellStyle name="Normal 27 9 10" xfId="23762"/>
    <cellStyle name="Normal 27 9 11" xfId="23763"/>
    <cellStyle name="Normal 27 9 12" xfId="23764"/>
    <cellStyle name="Normal 27 9 13" xfId="23765"/>
    <cellStyle name="Normal 27 9 2" xfId="23766"/>
    <cellStyle name="Normal 27 9 3" xfId="23767"/>
    <cellStyle name="Normal 27 9 4" xfId="23768"/>
    <cellStyle name="Normal 27 9 5" xfId="23769"/>
    <cellStyle name="Normal 27 9 6" xfId="23770"/>
    <cellStyle name="Normal 27 9 7" xfId="23771"/>
    <cellStyle name="Normal 27 9 8" xfId="23772"/>
    <cellStyle name="Normal 27 9 9" xfId="23773"/>
    <cellStyle name="Normal 28" xfId="23774"/>
    <cellStyle name="Normal 28 10" xfId="23775"/>
    <cellStyle name="Normal 28 10 10" xfId="23776"/>
    <cellStyle name="Normal 28 10 11" xfId="23777"/>
    <cellStyle name="Normal 28 10 12" xfId="23778"/>
    <cellStyle name="Normal 28 10 13" xfId="23779"/>
    <cellStyle name="Normal 28 10 2" xfId="23780"/>
    <cellStyle name="Normal 28 10 3" xfId="23781"/>
    <cellStyle name="Normal 28 10 4" xfId="23782"/>
    <cellStyle name="Normal 28 10 5" xfId="23783"/>
    <cellStyle name="Normal 28 10 6" xfId="23784"/>
    <cellStyle name="Normal 28 10 7" xfId="23785"/>
    <cellStyle name="Normal 28 10 8" xfId="23786"/>
    <cellStyle name="Normal 28 10 9" xfId="23787"/>
    <cellStyle name="Normal 28 11" xfId="23788"/>
    <cellStyle name="Normal 28 11 10" xfId="23789"/>
    <cellStyle name="Normal 28 11 11" xfId="23790"/>
    <cellStyle name="Normal 28 11 12" xfId="23791"/>
    <cellStyle name="Normal 28 11 13" xfId="23792"/>
    <cellStyle name="Normal 28 11 2" xfId="23793"/>
    <cellStyle name="Normal 28 11 3" xfId="23794"/>
    <cellStyle name="Normal 28 11 4" xfId="23795"/>
    <cellStyle name="Normal 28 11 5" xfId="23796"/>
    <cellStyle name="Normal 28 11 6" xfId="23797"/>
    <cellStyle name="Normal 28 11 7" xfId="23798"/>
    <cellStyle name="Normal 28 11 8" xfId="23799"/>
    <cellStyle name="Normal 28 11 9" xfId="23800"/>
    <cellStyle name="Normal 28 12" xfId="23801"/>
    <cellStyle name="Normal 28 12 10" xfId="23802"/>
    <cellStyle name="Normal 28 12 11" xfId="23803"/>
    <cellStyle name="Normal 28 12 12" xfId="23804"/>
    <cellStyle name="Normal 28 12 13" xfId="23805"/>
    <cellStyle name="Normal 28 12 2" xfId="23806"/>
    <cellStyle name="Normal 28 12 3" xfId="23807"/>
    <cellStyle name="Normal 28 12 4" xfId="23808"/>
    <cellStyle name="Normal 28 12 5" xfId="23809"/>
    <cellStyle name="Normal 28 12 6" xfId="23810"/>
    <cellStyle name="Normal 28 12 7" xfId="23811"/>
    <cellStyle name="Normal 28 12 8" xfId="23812"/>
    <cellStyle name="Normal 28 12 9" xfId="23813"/>
    <cellStyle name="Normal 28 13" xfId="23814"/>
    <cellStyle name="Normal 28 13 10" xfId="23815"/>
    <cellStyle name="Normal 28 13 11" xfId="23816"/>
    <cellStyle name="Normal 28 13 12" xfId="23817"/>
    <cellStyle name="Normal 28 13 13" xfId="23818"/>
    <cellStyle name="Normal 28 13 2" xfId="23819"/>
    <cellStyle name="Normal 28 13 3" xfId="23820"/>
    <cellStyle name="Normal 28 13 4" xfId="23821"/>
    <cellStyle name="Normal 28 13 5" xfId="23822"/>
    <cellStyle name="Normal 28 13 6" xfId="23823"/>
    <cellStyle name="Normal 28 13 7" xfId="23824"/>
    <cellStyle name="Normal 28 13 8" xfId="23825"/>
    <cellStyle name="Normal 28 13 9" xfId="23826"/>
    <cellStyle name="Normal 28 14" xfId="23827"/>
    <cellStyle name="Normal 28 14 10" xfId="23828"/>
    <cellStyle name="Normal 28 14 11" xfId="23829"/>
    <cellStyle name="Normal 28 14 12" xfId="23830"/>
    <cellStyle name="Normal 28 14 13" xfId="23831"/>
    <cellStyle name="Normal 28 14 2" xfId="23832"/>
    <cellStyle name="Normal 28 14 3" xfId="23833"/>
    <cellStyle name="Normal 28 14 4" xfId="23834"/>
    <cellStyle name="Normal 28 14 5" xfId="23835"/>
    <cellStyle name="Normal 28 14 6" xfId="23836"/>
    <cellStyle name="Normal 28 14 7" xfId="23837"/>
    <cellStyle name="Normal 28 14 8" xfId="23838"/>
    <cellStyle name="Normal 28 14 9" xfId="23839"/>
    <cellStyle name="Normal 28 15" xfId="23840"/>
    <cellStyle name="Normal 28 15 10" xfId="23841"/>
    <cellStyle name="Normal 28 15 11" xfId="23842"/>
    <cellStyle name="Normal 28 15 12" xfId="23843"/>
    <cellStyle name="Normal 28 15 13" xfId="23844"/>
    <cellStyle name="Normal 28 15 2" xfId="23845"/>
    <cellStyle name="Normal 28 15 3" xfId="23846"/>
    <cellStyle name="Normal 28 15 4" xfId="23847"/>
    <cellStyle name="Normal 28 15 5" xfId="23848"/>
    <cellStyle name="Normal 28 15 6" xfId="23849"/>
    <cellStyle name="Normal 28 15 7" xfId="23850"/>
    <cellStyle name="Normal 28 15 8" xfId="23851"/>
    <cellStyle name="Normal 28 15 9" xfId="23852"/>
    <cellStyle name="Normal 28 16" xfId="23853"/>
    <cellStyle name="Normal 28 16 10" xfId="23854"/>
    <cellStyle name="Normal 28 16 11" xfId="23855"/>
    <cellStyle name="Normal 28 16 12" xfId="23856"/>
    <cellStyle name="Normal 28 16 13" xfId="23857"/>
    <cellStyle name="Normal 28 16 2" xfId="23858"/>
    <cellStyle name="Normal 28 16 3" xfId="23859"/>
    <cellStyle name="Normal 28 16 4" xfId="23860"/>
    <cellStyle name="Normal 28 16 5" xfId="23861"/>
    <cellStyle name="Normal 28 16 6" xfId="23862"/>
    <cellStyle name="Normal 28 16 7" xfId="23863"/>
    <cellStyle name="Normal 28 16 8" xfId="23864"/>
    <cellStyle name="Normal 28 16 9" xfId="23865"/>
    <cellStyle name="Normal 28 17" xfId="23866"/>
    <cellStyle name="Normal 28 17 10" xfId="23867"/>
    <cellStyle name="Normal 28 17 11" xfId="23868"/>
    <cellStyle name="Normal 28 17 12" xfId="23869"/>
    <cellStyle name="Normal 28 17 13" xfId="23870"/>
    <cellStyle name="Normal 28 17 2" xfId="23871"/>
    <cellStyle name="Normal 28 17 3" xfId="23872"/>
    <cellStyle name="Normal 28 17 4" xfId="23873"/>
    <cellStyle name="Normal 28 17 5" xfId="23874"/>
    <cellStyle name="Normal 28 17 6" xfId="23875"/>
    <cellStyle name="Normal 28 17 7" xfId="23876"/>
    <cellStyle name="Normal 28 17 8" xfId="23877"/>
    <cellStyle name="Normal 28 17 9" xfId="23878"/>
    <cellStyle name="Normal 28 18" xfId="23879"/>
    <cellStyle name="Normal 28 18 10" xfId="23880"/>
    <cellStyle name="Normal 28 18 11" xfId="23881"/>
    <cellStyle name="Normal 28 18 12" xfId="23882"/>
    <cellStyle name="Normal 28 18 13" xfId="23883"/>
    <cellStyle name="Normal 28 18 2" xfId="23884"/>
    <cellStyle name="Normal 28 18 3" xfId="23885"/>
    <cellStyle name="Normal 28 18 4" xfId="23886"/>
    <cellStyle name="Normal 28 18 5" xfId="23887"/>
    <cellStyle name="Normal 28 18 6" xfId="23888"/>
    <cellStyle name="Normal 28 18 7" xfId="23889"/>
    <cellStyle name="Normal 28 18 8" xfId="23890"/>
    <cellStyle name="Normal 28 18 9" xfId="23891"/>
    <cellStyle name="Normal 28 19" xfId="23892"/>
    <cellStyle name="Normal 28 19 10" xfId="23893"/>
    <cellStyle name="Normal 28 19 11" xfId="23894"/>
    <cellStyle name="Normal 28 19 12" xfId="23895"/>
    <cellStyle name="Normal 28 19 13" xfId="23896"/>
    <cellStyle name="Normal 28 19 2" xfId="23897"/>
    <cellStyle name="Normal 28 19 3" xfId="23898"/>
    <cellStyle name="Normal 28 19 4" xfId="23899"/>
    <cellStyle name="Normal 28 19 5" xfId="23900"/>
    <cellStyle name="Normal 28 19 6" xfId="23901"/>
    <cellStyle name="Normal 28 19 7" xfId="23902"/>
    <cellStyle name="Normal 28 19 8" xfId="23903"/>
    <cellStyle name="Normal 28 19 9" xfId="23904"/>
    <cellStyle name="Normal 28 2" xfId="23905"/>
    <cellStyle name="Normal 28 2 10" xfId="23906"/>
    <cellStyle name="Normal 28 2 11" xfId="23907"/>
    <cellStyle name="Normal 28 2 12" xfId="23908"/>
    <cellStyle name="Normal 28 2 13" xfId="23909"/>
    <cellStyle name="Normal 28 2 2" xfId="23910"/>
    <cellStyle name="Normal 28 2 3" xfId="23911"/>
    <cellStyle name="Normal 28 2 4" xfId="23912"/>
    <cellStyle name="Normal 28 2 5" xfId="23913"/>
    <cellStyle name="Normal 28 2 6" xfId="23914"/>
    <cellStyle name="Normal 28 2 7" xfId="23915"/>
    <cellStyle name="Normal 28 2 8" xfId="23916"/>
    <cellStyle name="Normal 28 2 9" xfId="23917"/>
    <cellStyle name="Normal 28 20" xfId="23918"/>
    <cellStyle name="Normal 28 20 10" xfId="23919"/>
    <cellStyle name="Normal 28 20 11" xfId="23920"/>
    <cellStyle name="Normal 28 20 12" xfId="23921"/>
    <cellStyle name="Normal 28 20 13" xfId="23922"/>
    <cellStyle name="Normal 28 20 2" xfId="23923"/>
    <cellStyle name="Normal 28 20 3" xfId="23924"/>
    <cellStyle name="Normal 28 20 4" xfId="23925"/>
    <cellStyle name="Normal 28 20 5" xfId="23926"/>
    <cellStyle name="Normal 28 20 6" xfId="23927"/>
    <cellStyle name="Normal 28 20 7" xfId="23928"/>
    <cellStyle name="Normal 28 20 8" xfId="23929"/>
    <cellStyle name="Normal 28 20 9" xfId="23930"/>
    <cellStyle name="Normal 28 21" xfId="23931"/>
    <cellStyle name="Normal 28 21 10" xfId="23932"/>
    <cellStyle name="Normal 28 21 11" xfId="23933"/>
    <cellStyle name="Normal 28 21 12" xfId="23934"/>
    <cellStyle name="Normal 28 21 13" xfId="23935"/>
    <cellStyle name="Normal 28 21 2" xfId="23936"/>
    <cellStyle name="Normal 28 21 3" xfId="23937"/>
    <cellStyle name="Normal 28 21 4" xfId="23938"/>
    <cellStyle name="Normal 28 21 5" xfId="23939"/>
    <cellStyle name="Normal 28 21 6" xfId="23940"/>
    <cellStyle name="Normal 28 21 7" xfId="23941"/>
    <cellStyle name="Normal 28 21 8" xfId="23942"/>
    <cellStyle name="Normal 28 21 9" xfId="23943"/>
    <cellStyle name="Normal 28 22" xfId="23944"/>
    <cellStyle name="Normal 28 22 10" xfId="23945"/>
    <cellStyle name="Normal 28 22 11" xfId="23946"/>
    <cellStyle name="Normal 28 22 12" xfId="23947"/>
    <cellStyle name="Normal 28 22 13" xfId="23948"/>
    <cellStyle name="Normal 28 22 2" xfId="23949"/>
    <cellStyle name="Normal 28 22 3" xfId="23950"/>
    <cellStyle name="Normal 28 22 4" xfId="23951"/>
    <cellStyle name="Normal 28 22 5" xfId="23952"/>
    <cellStyle name="Normal 28 22 6" xfId="23953"/>
    <cellStyle name="Normal 28 22 7" xfId="23954"/>
    <cellStyle name="Normal 28 22 8" xfId="23955"/>
    <cellStyle name="Normal 28 22 9" xfId="23956"/>
    <cellStyle name="Normal 28 23" xfId="23957"/>
    <cellStyle name="Normal 28 23 10" xfId="23958"/>
    <cellStyle name="Normal 28 23 11" xfId="23959"/>
    <cellStyle name="Normal 28 23 12" xfId="23960"/>
    <cellStyle name="Normal 28 23 13" xfId="23961"/>
    <cellStyle name="Normal 28 23 2" xfId="23962"/>
    <cellStyle name="Normal 28 23 3" xfId="23963"/>
    <cellStyle name="Normal 28 23 4" xfId="23964"/>
    <cellStyle name="Normal 28 23 5" xfId="23965"/>
    <cellStyle name="Normal 28 23 6" xfId="23966"/>
    <cellStyle name="Normal 28 23 7" xfId="23967"/>
    <cellStyle name="Normal 28 23 8" xfId="23968"/>
    <cellStyle name="Normal 28 23 9" xfId="23969"/>
    <cellStyle name="Normal 28 24" xfId="23970"/>
    <cellStyle name="Normal 28 24 10" xfId="23971"/>
    <cellStyle name="Normal 28 24 11" xfId="23972"/>
    <cellStyle name="Normal 28 24 12" xfId="23973"/>
    <cellStyle name="Normal 28 24 13" xfId="23974"/>
    <cellStyle name="Normal 28 24 2" xfId="23975"/>
    <cellStyle name="Normal 28 24 3" xfId="23976"/>
    <cellStyle name="Normal 28 24 4" xfId="23977"/>
    <cellStyle name="Normal 28 24 5" xfId="23978"/>
    <cellStyle name="Normal 28 24 6" xfId="23979"/>
    <cellStyle name="Normal 28 24 7" xfId="23980"/>
    <cellStyle name="Normal 28 24 8" xfId="23981"/>
    <cellStyle name="Normal 28 24 9" xfId="23982"/>
    <cellStyle name="Normal 28 25" xfId="23983"/>
    <cellStyle name="Normal 28 25 10" xfId="23984"/>
    <cellStyle name="Normal 28 25 11" xfId="23985"/>
    <cellStyle name="Normal 28 25 12" xfId="23986"/>
    <cellStyle name="Normal 28 25 13" xfId="23987"/>
    <cellStyle name="Normal 28 25 2" xfId="23988"/>
    <cellStyle name="Normal 28 25 3" xfId="23989"/>
    <cellStyle name="Normal 28 25 4" xfId="23990"/>
    <cellStyle name="Normal 28 25 5" xfId="23991"/>
    <cellStyle name="Normal 28 25 6" xfId="23992"/>
    <cellStyle name="Normal 28 25 7" xfId="23993"/>
    <cellStyle name="Normal 28 25 8" xfId="23994"/>
    <cellStyle name="Normal 28 25 9" xfId="23995"/>
    <cellStyle name="Normal 28 26" xfId="23996"/>
    <cellStyle name="Normal 28 26 10" xfId="23997"/>
    <cellStyle name="Normal 28 26 11" xfId="23998"/>
    <cellStyle name="Normal 28 26 12" xfId="23999"/>
    <cellStyle name="Normal 28 26 13" xfId="24000"/>
    <cellStyle name="Normal 28 26 2" xfId="24001"/>
    <cellStyle name="Normal 28 26 3" xfId="24002"/>
    <cellStyle name="Normal 28 26 4" xfId="24003"/>
    <cellStyle name="Normal 28 26 5" xfId="24004"/>
    <cellStyle name="Normal 28 26 6" xfId="24005"/>
    <cellStyle name="Normal 28 26 7" xfId="24006"/>
    <cellStyle name="Normal 28 26 8" xfId="24007"/>
    <cellStyle name="Normal 28 26 9" xfId="24008"/>
    <cellStyle name="Normal 28 27" xfId="24009"/>
    <cellStyle name="Normal 28 27 10" xfId="24010"/>
    <cellStyle name="Normal 28 27 11" xfId="24011"/>
    <cellStyle name="Normal 28 27 12" xfId="24012"/>
    <cellStyle name="Normal 28 27 13" xfId="24013"/>
    <cellStyle name="Normal 28 27 2" xfId="24014"/>
    <cellStyle name="Normal 28 27 3" xfId="24015"/>
    <cellStyle name="Normal 28 27 4" xfId="24016"/>
    <cellStyle name="Normal 28 27 5" xfId="24017"/>
    <cellStyle name="Normal 28 27 6" xfId="24018"/>
    <cellStyle name="Normal 28 27 7" xfId="24019"/>
    <cellStyle name="Normal 28 27 8" xfId="24020"/>
    <cellStyle name="Normal 28 27 9" xfId="24021"/>
    <cellStyle name="Normal 28 28" xfId="24022"/>
    <cellStyle name="Normal 28 28 10" xfId="24023"/>
    <cellStyle name="Normal 28 28 11" xfId="24024"/>
    <cellStyle name="Normal 28 28 12" xfId="24025"/>
    <cellStyle name="Normal 28 28 13" xfId="24026"/>
    <cellStyle name="Normal 28 28 2" xfId="24027"/>
    <cellStyle name="Normal 28 28 3" xfId="24028"/>
    <cellStyle name="Normal 28 28 4" xfId="24029"/>
    <cellStyle name="Normal 28 28 5" xfId="24030"/>
    <cellStyle name="Normal 28 28 6" xfId="24031"/>
    <cellStyle name="Normal 28 28 7" xfId="24032"/>
    <cellStyle name="Normal 28 28 8" xfId="24033"/>
    <cellStyle name="Normal 28 28 9" xfId="24034"/>
    <cellStyle name="Normal 28 29" xfId="24035"/>
    <cellStyle name="Normal 28 29 10" xfId="24036"/>
    <cellStyle name="Normal 28 29 11" xfId="24037"/>
    <cellStyle name="Normal 28 29 12" xfId="24038"/>
    <cellStyle name="Normal 28 29 13" xfId="24039"/>
    <cellStyle name="Normal 28 29 2" xfId="24040"/>
    <cellStyle name="Normal 28 29 3" xfId="24041"/>
    <cellStyle name="Normal 28 29 4" xfId="24042"/>
    <cellStyle name="Normal 28 29 5" xfId="24043"/>
    <cellStyle name="Normal 28 29 6" xfId="24044"/>
    <cellStyle name="Normal 28 29 7" xfId="24045"/>
    <cellStyle name="Normal 28 29 8" xfId="24046"/>
    <cellStyle name="Normal 28 29 9" xfId="24047"/>
    <cellStyle name="Normal 28 3" xfId="24048"/>
    <cellStyle name="Normal 28 3 10" xfId="24049"/>
    <cellStyle name="Normal 28 3 11" xfId="24050"/>
    <cellStyle name="Normal 28 3 12" xfId="24051"/>
    <cellStyle name="Normal 28 3 13" xfId="24052"/>
    <cellStyle name="Normal 28 3 2" xfId="24053"/>
    <cellStyle name="Normal 28 3 3" xfId="24054"/>
    <cellStyle name="Normal 28 3 4" xfId="24055"/>
    <cellStyle name="Normal 28 3 5" xfId="24056"/>
    <cellStyle name="Normal 28 3 6" xfId="24057"/>
    <cellStyle name="Normal 28 3 7" xfId="24058"/>
    <cellStyle name="Normal 28 3 8" xfId="24059"/>
    <cellStyle name="Normal 28 3 9" xfId="24060"/>
    <cellStyle name="Normal 28 30" xfId="24061"/>
    <cellStyle name="Normal 28 30 10" xfId="24062"/>
    <cellStyle name="Normal 28 30 11" xfId="24063"/>
    <cellStyle name="Normal 28 30 12" xfId="24064"/>
    <cellStyle name="Normal 28 30 13" xfId="24065"/>
    <cellStyle name="Normal 28 30 2" xfId="24066"/>
    <cellStyle name="Normal 28 30 3" xfId="24067"/>
    <cellStyle name="Normal 28 30 4" xfId="24068"/>
    <cellStyle name="Normal 28 30 5" xfId="24069"/>
    <cellStyle name="Normal 28 30 6" xfId="24070"/>
    <cellStyle name="Normal 28 30 7" xfId="24071"/>
    <cellStyle name="Normal 28 30 8" xfId="24072"/>
    <cellStyle name="Normal 28 30 9" xfId="24073"/>
    <cellStyle name="Normal 28 31" xfId="24074"/>
    <cellStyle name="Normal 28 31 10" xfId="24075"/>
    <cellStyle name="Normal 28 31 11" xfId="24076"/>
    <cellStyle name="Normal 28 31 12" xfId="24077"/>
    <cellStyle name="Normal 28 31 13" xfId="24078"/>
    <cellStyle name="Normal 28 31 2" xfId="24079"/>
    <cellStyle name="Normal 28 31 3" xfId="24080"/>
    <cellStyle name="Normal 28 31 4" xfId="24081"/>
    <cellStyle name="Normal 28 31 5" xfId="24082"/>
    <cellStyle name="Normal 28 31 6" xfId="24083"/>
    <cellStyle name="Normal 28 31 7" xfId="24084"/>
    <cellStyle name="Normal 28 31 8" xfId="24085"/>
    <cellStyle name="Normal 28 31 9" xfId="24086"/>
    <cellStyle name="Normal 28 32" xfId="24087"/>
    <cellStyle name="Normal 28 32 10" xfId="24088"/>
    <cellStyle name="Normal 28 32 11" xfId="24089"/>
    <cellStyle name="Normal 28 32 12" xfId="24090"/>
    <cellStyle name="Normal 28 32 13" xfId="24091"/>
    <cellStyle name="Normal 28 32 2" xfId="24092"/>
    <cellStyle name="Normal 28 32 3" xfId="24093"/>
    <cellStyle name="Normal 28 32 4" xfId="24094"/>
    <cellStyle name="Normal 28 32 5" xfId="24095"/>
    <cellStyle name="Normal 28 32 6" xfId="24096"/>
    <cellStyle name="Normal 28 32 7" xfId="24097"/>
    <cellStyle name="Normal 28 32 8" xfId="24098"/>
    <cellStyle name="Normal 28 32 9" xfId="24099"/>
    <cellStyle name="Normal 28 33" xfId="24100"/>
    <cellStyle name="Normal 28 33 10" xfId="24101"/>
    <cellStyle name="Normal 28 33 11" xfId="24102"/>
    <cellStyle name="Normal 28 33 12" xfId="24103"/>
    <cellStyle name="Normal 28 33 13" xfId="24104"/>
    <cellStyle name="Normal 28 33 2" xfId="24105"/>
    <cellStyle name="Normal 28 33 3" xfId="24106"/>
    <cellStyle name="Normal 28 33 4" xfId="24107"/>
    <cellStyle name="Normal 28 33 5" xfId="24108"/>
    <cellStyle name="Normal 28 33 6" xfId="24109"/>
    <cellStyle name="Normal 28 33 7" xfId="24110"/>
    <cellStyle name="Normal 28 33 8" xfId="24111"/>
    <cellStyle name="Normal 28 33 9" xfId="24112"/>
    <cellStyle name="Normal 28 34" xfId="24113"/>
    <cellStyle name="Normal 28 34 10" xfId="24114"/>
    <cellStyle name="Normal 28 34 11" xfId="24115"/>
    <cellStyle name="Normal 28 34 12" xfId="24116"/>
    <cellStyle name="Normal 28 34 13" xfId="24117"/>
    <cellStyle name="Normal 28 34 2" xfId="24118"/>
    <cellStyle name="Normal 28 34 3" xfId="24119"/>
    <cellStyle name="Normal 28 34 4" xfId="24120"/>
    <cellStyle name="Normal 28 34 5" xfId="24121"/>
    <cellStyle name="Normal 28 34 6" xfId="24122"/>
    <cellStyle name="Normal 28 34 7" xfId="24123"/>
    <cellStyle name="Normal 28 34 8" xfId="24124"/>
    <cellStyle name="Normal 28 34 9" xfId="24125"/>
    <cellStyle name="Normal 28 35" xfId="24126"/>
    <cellStyle name="Normal 28 35 10" xfId="24127"/>
    <cellStyle name="Normal 28 35 11" xfId="24128"/>
    <cellStyle name="Normal 28 35 12" xfId="24129"/>
    <cellStyle name="Normal 28 35 13" xfId="24130"/>
    <cellStyle name="Normal 28 35 2" xfId="24131"/>
    <cellStyle name="Normal 28 35 3" xfId="24132"/>
    <cellStyle name="Normal 28 35 4" xfId="24133"/>
    <cellStyle name="Normal 28 35 5" xfId="24134"/>
    <cellStyle name="Normal 28 35 6" xfId="24135"/>
    <cellStyle name="Normal 28 35 7" xfId="24136"/>
    <cellStyle name="Normal 28 35 8" xfId="24137"/>
    <cellStyle name="Normal 28 35 9" xfId="24138"/>
    <cellStyle name="Normal 28 36" xfId="24139"/>
    <cellStyle name="Normal 28 36 10" xfId="24140"/>
    <cellStyle name="Normal 28 36 11" xfId="24141"/>
    <cellStyle name="Normal 28 36 12" xfId="24142"/>
    <cellStyle name="Normal 28 36 13" xfId="24143"/>
    <cellStyle name="Normal 28 36 2" xfId="24144"/>
    <cellStyle name="Normal 28 36 3" xfId="24145"/>
    <cellStyle name="Normal 28 36 4" xfId="24146"/>
    <cellStyle name="Normal 28 36 5" xfId="24147"/>
    <cellStyle name="Normal 28 36 6" xfId="24148"/>
    <cellStyle name="Normal 28 36 7" xfId="24149"/>
    <cellStyle name="Normal 28 36 8" xfId="24150"/>
    <cellStyle name="Normal 28 36 9" xfId="24151"/>
    <cellStyle name="Normal 28 37" xfId="24152"/>
    <cellStyle name="Normal 28 37 10" xfId="24153"/>
    <cellStyle name="Normal 28 37 11" xfId="24154"/>
    <cellStyle name="Normal 28 37 12" xfId="24155"/>
    <cellStyle name="Normal 28 37 13" xfId="24156"/>
    <cellStyle name="Normal 28 37 2" xfId="24157"/>
    <cellStyle name="Normal 28 37 3" xfId="24158"/>
    <cellStyle name="Normal 28 37 4" xfId="24159"/>
    <cellStyle name="Normal 28 37 5" xfId="24160"/>
    <cellStyle name="Normal 28 37 6" xfId="24161"/>
    <cellStyle name="Normal 28 37 7" xfId="24162"/>
    <cellStyle name="Normal 28 37 8" xfId="24163"/>
    <cellStyle name="Normal 28 37 9" xfId="24164"/>
    <cellStyle name="Normal 28 38" xfId="24165"/>
    <cellStyle name="Normal 28 38 10" xfId="24166"/>
    <cellStyle name="Normal 28 38 11" xfId="24167"/>
    <cellStyle name="Normal 28 38 12" xfId="24168"/>
    <cellStyle name="Normal 28 38 13" xfId="24169"/>
    <cellStyle name="Normal 28 38 2" xfId="24170"/>
    <cellStyle name="Normal 28 38 3" xfId="24171"/>
    <cellStyle name="Normal 28 38 4" xfId="24172"/>
    <cellStyle name="Normal 28 38 5" xfId="24173"/>
    <cellStyle name="Normal 28 38 6" xfId="24174"/>
    <cellStyle name="Normal 28 38 7" xfId="24175"/>
    <cellStyle name="Normal 28 38 8" xfId="24176"/>
    <cellStyle name="Normal 28 38 9" xfId="24177"/>
    <cellStyle name="Normal 28 39" xfId="24178"/>
    <cellStyle name="Normal 28 39 10" xfId="24179"/>
    <cellStyle name="Normal 28 39 11" xfId="24180"/>
    <cellStyle name="Normal 28 39 12" xfId="24181"/>
    <cellStyle name="Normal 28 39 13" xfId="24182"/>
    <cellStyle name="Normal 28 39 2" xfId="24183"/>
    <cellStyle name="Normal 28 39 3" xfId="24184"/>
    <cellStyle name="Normal 28 39 4" xfId="24185"/>
    <cellStyle name="Normal 28 39 5" xfId="24186"/>
    <cellStyle name="Normal 28 39 6" xfId="24187"/>
    <cellStyle name="Normal 28 39 7" xfId="24188"/>
    <cellStyle name="Normal 28 39 8" xfId="24189"/>
    <cellStyle name="Normal 28 39 9" xfId="24190"/>
    <cellStyle name="Normal 28 4" xfId="24191"/>
    <cellStyle name="Normal 28 4 10" xfId="24192"/>
    <cellStyle name="Normal 28 4 11" xfId="24193"/>
    <cellStyle name="Normal 28 4 12" xfId="24194"/>
    <cellStyle name="Normal 28 4 13" xfId="24195"/>
    <cellStyle name="Normal 28 4 2" xfId="24196"/>
    <cellStyle name="Normal 28 4 3" xfId="24197"/>
    <cellStyle name="Normal 28 4 4" xfId="24198"/>
    <cellStyle name="Normal 28 4 5" xfId="24199"/>
    <cellStyle name="Normal 28 4 6" xfId="24200"/>
    <cellStyle name="Normal 28 4 7" xfId="24201"/>
    <cellStyle name="Normal 28 4 8" xfId="24202"/>
    <cellStyle name="Normal 28 4 9" xfId="24203"/>
    <cellStyle name="Normal 28 40" xfId="24204"/>
    <cellStyle name="Normal 28 40 10" xfId="24205"/>
    <cellStyle name="Normal 28 40 11" xfId="24206"/>
    <cellStyle name="Normal 28 40 12" xfId="24207"/>
    <cellStyle name="Normal 28 40 13" xfId="24208"/>
    <cellStyle name="Normal 28 40 2" xfId="24209"/>
    <cellStyle name="Normal 28 40 3" xfId="24210"/>
    <cellStyle name="Normal 28 40 4" xfId="24211"/>
    <cellStyle name="Normal 28 40 5" xfId="24212"/>
    <cellStyle name="Normal 28 40 6" xfId="24213"/>
    <cellStyle name="Normal 28 40 7" xfId="24214"/>
    <cellStyle name="Normal 28 40 8" xfId="24215"/>
    <cellStyle name="Normal 28 40 9" xfId="24216"/>
    <cellStyle name="Normal 28 41" xfId="24217"/>
    <cellStyle name="Normal 28 41 10" xfId="24218"/>
    <cellStyle name="Normal 28 41 11" xfId="24219"/>
    <cellStyle name="Normal 28 41 12" xfId="24220"/>
    <cellStyle name="Normal 28 41 13" xfId="24221"/>
    <cellStyle name="Normal 28 41 2" xfId="24222"/>
    <cellStyle name="Normal 28 41 3" xfId="24223"/>
    <cellStyle name="Normal 28 41 4" xfId="24224"/>
    <cellStyle name="Normal 28 41 5" xfId="24225"/>
    <cellStyle name="Normal 28 41 6" xfId="24226"/>
    <cellStyle name="Normal 28 41 7" xfId="24227"/>
    <cellStyle name="Normal 28 41 8" xfId="24228"/>
    <cellStyle name="Normal 28 41 9" xfId="24229"/>
    <cellStyle name="Normal 28 42" xfId="24230"/>
    <cellStyle name="Normal 28 42 10" xfId="24231"/>
    <cellStyle name="Normal 28 42 11" xfId="24232"/>
    <cellStyle name="Normal 28 42 12" xfId="24233"/>
    <cellStyle name="Normal 28 42 13" xfId="24234"/>
    <cellStyle name="Normal 28 42 2" xfId="24235"/>
    <cellStyle name="Normal 28 42 3" xfId="24236"/>
    <cellStyle name="Normal 28 42 4" xfId="24237"/>
    <cellStyle name="Normal 28 42 5" xfId="24238"/>
    <cellStyle name="Normal 28 42 6" xfId="24239"/>
    <cellStyle name="Normal 28 42 7" xfId="24240"/>
    <cellStyle name="Normal 28 42 8" xfId="24241"/>
    <cellStyle name="Normal 28 42 9" xfId="24242"/>
    <cellStyle name="Normal 28 43" xfId="24243"/>
    <cellStyle name="Normal 28 43 10" xfId="24244"/>
    <cellStyle name="Normal 28 43 11" xfId="24245"/>
    <cellStyle name="Normal 28 43 12" xfId="24246"/>
    <cellStyle name="Normal 28 43 13" xfId="24247"/>
    <cellStyle name="Normal 28 43 2" xfId="24248"/>
    <cellStyle name="Normal 28 43 3" xfId="24249"/>
    <cellStyle name="Normal 28 43 4" xfId="24250"/>
    <cellStyle name="Normal 28 43 5" xfId="24251"/>
    <cellStyle name="Normal 28 43 6" xfId="24252"/>
    <cellStyle name="Normal 28 43 7" xfId="24253"/>
    <cellStyle name="Normal 28 43 8" xfId="24254"/>
    <cellStyle name="Normal 28 43 9" xfId="24255"/>
    <cellStyle name="Normal 28 44" xfId="24256"/>
    <cellStyle name="Normal 28 44 10" xfId="24257"/>
    <cellStyle name="Normal 28 44 11" xfId="24258"/>
    <cellStyle name="Normal 28 44 12" xfId="24259"/>
    <cellStyle name="Normal 28 44 13" xfId="24260"/>
    <cellStyle name="Normal 28 44 2" xfId="24261"/>
    <cellStyle name="Normal 28 44 3" xfId="24262"/>
    <cellStyle name="Normal 28 44 4" xfId="24263"/>
    <cellStyle name="Normal 28 44 5" xfId="24264"/>
    <cellStyle name="Normal 28 44 6" xfId="24265"/>
    <cellStyle name="Normal 28 44 7" xfId="24266"/>
    <cellStyle name="Normal 28 44 8" xfId="24267"/>
    <cellStyle name="Normal 28 44 9" xfId="24268"/>
    <cellStyle name="Normal 28 45" xfId="24269"/>
    <cellStyle name="Normal 28 45 10" xfId="24270"/>
    <cellStyle name="Normal 28 45 11" xfId="24271"/>
    <cellStyle name="Normal 28 45 12" xfId="24272"/>
    <cellStyle name="Normal 28 45 13" xfId="24273"/>
    <cellStyle name="Normal 28 45 2" xfId="24274"/>
    <cellStyle name="Normal 28 45 3" xfId="24275"/>
    <cellStyle name="Normal 28 45 4" xfId="24276"/>
    <cellStyle name="Normal 28 45 5" xfId="24277"/>
    <cellStyle name="Normal 28 45 6" xfId="24278"/>
    <cellStyle name="Normal 28 45 7" xfId="24279"/>
    <cellStyle name="Normal 28 45 8" xfId="24280"/>
    <cellStyle name="Normal 28 45 9" xfId="24281"/>
    <cellStyle name="Normal 28 46" xfId="24282"/>
    <cellStyle name="Normal 28 46 10" xfId="24283"/>
    <cellStyle name="Normal 28 46 11" xfId="24284"/>
    <cellStyle name="Normal 28 46 12" xfId="24285"/>
    <cellStyle name="Normal 28 46 13" xfId="24286"/>
    <cellStyle name="Normal 28 46 2" xfId="24287"/>
    <cellStyle name="Normal 28 46 3" xfId="24288"/>
    <cellStyle name="Normal 28 46 4" xfId="24289"/>
    <cellStyle name="Normal 28 46 5" xfId="24290"/>
    <cellStyle name="Normal 28 46 6" xfId="24291"/>
    <cellStyle name="Normal 28 46 7" xfId="24292"/>
    <cellStyle name="Normal 28 46 8" xfId="24293"/>
    <cellStyle name="Normal 28 46 9" xfId="24294"/>
    <cellStyle name="Normal 28 47" xfId="24295"/>
    <cellStyle name="Normal 28 47 10" xfId="24296"/>
    <cellStyle name="Normal 28 47 11" xfId="24297"/>
    <cellStyle name="Normal 28 47 12" xfId="24298"/>
    <cellStyle name="Normal 28 47 13" xfId="24299"/>
    <cellStyle name="Normal 28 47 2" xfId="24300"/>
    <cellStyle name="Normal 28 47 3" xfId="24301"/>
    <cellStyle name="Normal 28 47 4" xfId="24302"/>
    <cellStyle name="Normal 28 47 5" xfId="24303"/>
    <cellStyle name="Normal 28 47 6" xfId="24304"/>
    <cellStyle name="Normal 28 47 7" xfId="24305"/>
    <cellStyle name="Normal 28 47 8" xfId="24306"/>
    <cellStyle name="Normal 28 47 9" xfId="24307"/>
    <cellStyle name="Normal 28 48" xfId="24308"/>
    <cellStyle name="Normal 28 48 10" xfId="24309"/>
    <cellStyle name="Normal 28 48 11" xfId="24310"/>
    <cellStyle name="Normal 28 48 12" xfId="24311"/>
    <cellStyle name="Normal 28 48 13" xfId="24312"/>
    <cellStyle name="Normal 28 48 2" xfId="24313"/>
    <cellStyle name="Normal 28 48 3" xfId="24314"/>
    <cellStyle name="Normal 28 48 4" xfId="24315"/>
    <cellStyle name="Normal 28 48 5" xfId="24316"/>
    <cellStyle name="Normal 28 48 6" xfId="24317"/>
    <cellStyle name="Normal 28 48 7" xfId="24318"/>
    <cellStyle name="Normal 28 48 8" xfId="24319"/>
    <cellStyle name="Normal 28 48 9" xfId="24320"/>
    <cellStyle name="Normal 28 49" xfId="24321"/>
    <cellStyle name="Normal 28 49 10" xfId="24322"/>
    <cellStyle name="Normal 28 49 11" xfId="24323"/>
    <cellStyle name="Normal 28 49 12" xfId="24324"/>
    <cellStyle name="Normal 28 49 13" xfId="24325"/>
    <cellStyle name="Normal 28 49 2" xfId="24326"/>
    <cellStyle name="Normal 28 49 3" xfId="24327"/>
    <cellStyle name="Normal 28 49 4" xfId="24328"/>
    <cellStyle name="Normal 28 49 5" xfId="24329"/>
    <cellStyle name="Normal 28 49 6" xfId="24330"/>
    <cellStyle name="Normal 28 49 7" xfId="24331"/>
    <cellStyle name="Normal 28 49 8" xfId="24332"/>
    <cellStyle name="Normal 28 49 9" xfId="24333"/>
    <cellStyle name="Normal 28 5" xfId="24334"/>
    <cellStyle name="Normal 28 5 10" xfId="24335"/>
    <cellStyle name="Normal 28 5 11" xfId="24336"/>
    <cellStyle name="Normal 28 5 12" xfId="24337"/>
    <cellStyle name="Normal 28 5 13" xfId="24338"/>
    <cellStyle name="Normal 28 5 2" xfId="24339"/>
    <cellStyle name="Normal 28 5 3" xfId="24340"/>
    <cellStyle name="Normal 28 5 4" xfId="24341"/>
    <cellStyle name="Normal 28 5 5" xfId="24342"/>
    <cellStyle name="Normal 28 5 6" xfId="24343"/>
    <cellStyle name="Normal 28 5 7" xfId="24344"/>
    <cellStyle name="Normal 28 5 8" xfId="24345"/>
    <cellStyle name="Normal 28 5 9" xfId="24346"/>
    <cellStyle name="Normal 28 50" xfId="24347"/>
    <cellStyle name="Normal 28 50 10" xfId="24348"/>
    <cellStyle name="Normal 28 50 11" xfId="24349"/>
    <cellStyle name="Normal 28 50 12" xfId="24350"/>
    <cellStyle name="Normal 28 50 13" xfId="24351"/>
    <cellStyle name="Normal 28 50 2" xfId="24352"/>
    <cellStyle name="Normal 28 50 3" xfId="24353"/>
    <cellStyle name="Normal 28 50 4" xfId="24354"/>
    <cellStyle name="Normal 28 50 5" xfId="24355"/>
    <cellStyle name="Normal 28 50 6" xfId="24356"/>
    <cellStyle name="Normal 28 50 7" xfId="24357"/>
    <cellStyle name="Normal 28 50 8" xfId="24358"/>
    <cellStyle name="Normal 28 50 9" xfId="24359"/>
    <cellStyle name="Normal 28 51" xfId="24360"/>
    <cellStyle name="Normal 28 51 10" xfId="24361"/>
    <cellStyle name="Normal 28 51 11" xfId="24362"/>
    <cellStyle name="Normal 28 51 12" xfId="24363"/>
    <cellStyle name="Normal 28 51 13" xfId="24364"/>
    <cellStyle name="Normal 28 51 2" xfId="24365"/>
    <cellStyle name="Normal 28 51 3" xfId="24366"/>
    <cellStyle name="Normal 28 51 4" xfId="24367"/>
    <cellStyle name="Normal 28 51 5" xfId="24368"/>
    <cellStyle name="Normal 28 51 6" xfId="24369"/>
    <cellStyle name="Normal 28 51 7" xfId="24370"/>
    <cellStyle name="Normal 28 51 8" xfId="24371"/>
    <cellStyle name="Normal 28 51 9" xfId="24372"/>
    <cellStyle name="Normal 28 52" xfId="24373"/>
    <cellStyle name="Normal 28 52 10" xfId="24374"/>
    <cellStyle name="Normal 28 52 11" xfId="24375"/>
    <cellStyle name="Normal 28 52 12" xfId="24376"/>
    <cellStyle name="Normal 28 52 13" xfId="24377"/>
    <cellStyle name="Normal 28 52 2" xfId="24378"/>
    <cellStyle name="Normal 28 52 3" xfId="24379"/>
    <cellStyle name="Normal 28 52 4" xfId="24380"/>
    <cellStyle name="Normal 28 52 5" xfId="24381"/>
    <cellStyle name="Normal 28 52 6" xfId="24382"/>
    <cellStyle name="Normal 28 52 7" xfId="24383"/>
    <cellStyle name="Normal 28 52 8" xfId="24384"/>
    <cellStyle name="Normal 28 52 9" xfId="24385"/>
    <cellStyle name="Normal 28 53" xfId="24386"/>
    <cellStyle name="Normal 28 53 10" xfId="24387"/>
    <cellStyle name="Normal 28 53 11" xfId="24388"/>
    <cellStyle name="Normal 28 53 12" xfId="24389"/>
    <cellStyle name="Normal 28 53 13" xfId="24390"/>
    <cellStyle name="Normal 28 53 2" xfId="24391"/>
    <cellStyle name="Normal 28 53 3" xfId="24392"/>
    <cellStyle name="Normal 28 53 4" xfId="24393"/>
    <cellStyle name="Normal 28 53 5" xfId="24394"/>
    <cellStyle name="Normal 28 53 6" xfId="24395"/>
    <cellStyle name="Normal 28 53 7" xfId="24396"/>
    <cellStyle name="Normal 28 53 8" xfId="24397"/>
    <cellStyle name="Normal 28 53 9" xfId="24398"/>
    <cellStyle name="Normal 28 54" xfId="24399"/>
    <cellStyle name="Normal 28 54 10" xfId="24400"/>
    <cellStyle name="Normal 28 54 11" xfId="24401"/>
    <cellStyle name="Normal 28 54 12" xfId="24402"/>
    <cellStyle name="Normal 28 54 13" xfId="24403"/>
    <cellStyle name="Normal 28 54 2" xfId="24404"/>
    <cellStyle name="Normal 28 54 3" xfId="24405"/>
    <cellStyle name="Normal 28 54 4" xfId="24406"/>
    <cellStyle name="Normal 28 54 5" xfId="24407"/>
    <cellStyle name="Normal 28 54 6" xfId="24408"/>
    <cellStyle name="Normal 28 54 7" xfId="24409"/>
    <cellStyle name="Normal 28 54 8" xfId="24410"/>
    <cellStyle name="Normal 28 54 9" xfId="24411"/>
    <cellStyle name="Normal 28 55" xfId="24412"/>
    <cellStyle name="Normal 28 55 10" xfId="24413"/>
    <cellStyle name="Normal 28 55 11" xfId="24414"/>
    <cellStyle name="Normal 28 55 12" xfId="24415"/>
    <cellStyle name="Normal 28 55 13" xfId="24416"/>
    <cellStyle name="Normal 28 55 2" xfId="24417"/>
    <cellStyle name="Normal 28 55 3" xfId="24418"/>
    <cellStyle name="Normal 28 55 4" xfId="24419"/>
    <cellStyle name="Normal 28 55 5" xfId="24420"/>
    <cellStyle name="Normal 28 55 6" xfId="24421"/>
    <cellStyle name="Normal 28 55 7" xfId="24422"/>
    <cellStyle name="Normal 28 55 8" xfId="24423"/>
    <cellStyle name="Normal 28 55 9" xfId="24424"/>
    <cellStyle name="Normal 28 56" xfId="24425"/>
    <cellStyle name="Normal 28 56 10" xfId="24426"/>
    <cellStyle name="Normal 28 56 11" xfId="24427"/>
    <cellStyle name="Normal 28 56 12" xfId="24428"/>
    <cellStyle name="Normal 28 56 13" xfId="24429"/>
    <cellStyle name="Normal 28 56 2" xfId="24430"/>
    <cellStyle name="Normal 28 56 3" xfId="24431"/>
    <cellStyle name="Normal 28 56 4" xfId="24432"/>
    <cellStyle name="Normal 28 56 5" xfId="24433"/>
    <cellStyle name="Normal 28 56 6" xfId="24434"/>
    <cellStyle name="Normal 28 56 7" xfId="24435"/>
    <cellStyle name="Normal 28 56 8" xfId="24436"/>
    <cellStyle name="Normal 28 56 9" xfId="24437"/>
    <cellStyle name="Normal 28 57" xfId="24438"/>
    <cellStyle name="Normal 28 57 10" xfId="24439"/>
    <cellStyle name="Normal 28 57 11" xfId="24440"/>
    <cellStyle name="Normal 28 57 12" xfId="24441"/>
    <cellStyle name="Normal 28 57 13" xfId="24442"/>
    <cellStyle name="Normal 28 57 2" xfId="24443"/>
    <cellStyle name="Normal 28 57 3" xfId="24444"/>
    <cellStyle name="Normal 28 57 4" xfId="24445"/>
    <cellStyle name="Normal 28 57 5" xfId="24446"/>
    <cellStyle name="Normal 28 57 6" xfId="24447"/>
    <cellStyle name="Normal 28 57 7" xfId="24448"/>
    <cellStyle name="Normal 28 57 8" xfId="24449"/>
    <cellStyle name="Normal 28 57 9" xfId="24450"/>
    <cellStyle name="Normal 28 58" xfId="24451"/>
    <cellStyle name="Normal 28 58 10" xfId="24452"/>
    <cellStyle name="Normal 28 58 11" xfId="24453"/>
    <cellStyle name="Normal 28 58 12" xfId="24454"/>
    <cellStyle name="Normal 28 58 13" xfId="24455"/>
    <cellStyle name="Normal 28 58 2" xfId="24456"/>
    <cellStyle name="Normal 28 58 3" xfId="24457"/>
    <cellStyle name="Normal 28 58 4" xfId="24458"/>
    <cellStyle name="Normal 28 58 5" xfId="24459"/>
    <cellStyle name="Normal 28 58 6" xfId="24460"/>
    <cellStyle name="Normal 28 58 7" xfId="24461"/>
    <cellStyle name="Normal 28 58 8" xfId="24462"/>
    <cellStyle name="Normal 28 58 9" xfId="24463"/>
    <cellStyle name="Normal 28 59" xfId="24464"/>
    <cellStyle name="Normal 28 59 10" xfId="24465"/>
    <cellStyle name="Normal 28 59 11" xfId="24466"/>
    <cellStyle name="Normal 28 59 12" xfId="24467"/>
    <cellStyle name="Normal 28 59 13" xfId="24468"/>
    <cellStyle name="Normal 28 59 2" xfId="24469"/>
    <cellStyle name="Normal 28 59 3" xfId="24470"/>
    <cellStyle name="Normal 28 59 4" xfId="24471"/>
    <cellStyle name="Normal 28 59 5" xfId="24472"/>
    <cellStyle name="Normal 28 59 6" xfId="24473"/>
    <cellStyle name="Normal 28 59 7" xfId="24474"/>
    <cellStyle name="Normal 28 59 8" xfId="24475"/>
    <cellStyle name="Normal 28 59 9" xfId="24476"/>
    <cellStyle name="Normal 28 6" xfId="24477"/>
    <cellStyle name="Normal 28 6 10" xfId="24478"/>
    <cellStyle name="Normal 28 6 11" xfId="24479"/>
    <cellStyle name="Normal 28 6 12" xfId="24480"/>
    <cellStyle name="Normal 28 6 13" xfId="24481"/>
    <cellStyle name="Normal 28 6 2" xfId="24482"/>
    <cellStyle name="Normal 28 6 3" xfId="24483"/>
    <cellStyle name="Normal 28 6 4" xfId="24484"/>
    <cellStyle name="Normal 28 6 5" xfId="24485"/>
    <cellStyle name="Normal 28 6 6" xfId="24486"/>
    <cellStyle name="Normal 28 6 7" xfId="24487"/>
    <cellStyle name="Normal 28 6 8" xfId="24488"/>
    <cellStyle name="Normal 28 6 9" xfId="24489"/>
    <cellStyle name="Normal 28 60" xfId="24490"/>
    <cellStyle name="Normal 28 60 10" xfId="24491"/>
    <cellStyle name="Normal 28 60 11" xfId="24492"/>
    <cellStyle name="Normal 28 60 12" xfId="24493"/>
    <cellStyle name="Normal 28 60 13" xfId="24494"/>
    <cellStyle name="Normal 28 60 2" xfId="24495"/>
    <cellStyle name="Normal 28 60 3" xfId="24496"/>
    <cellStyle name="Normal 28 60 4" xfId="24497"/>
    <cellStyle name="Normal 28 60 5" xfId="24498"/>
    <cellStyle name="Normal 28 60 6" xfId="24499"/>
    <cellStyle name="Normal 28 60 7" xfId="24500"/>
    <cellStyle name="Normal 28 60 8" xfId="24501"/>
    <cellStyle name="Normal 28 60 9" xfId="24502"/>
    <cellStyle name="Normal 28 61" xfId="24503"/>
    <cellStyle name="Normal 28 61 10" xfId="24504"/>
    <cellStyle name="Normal 28 61 11" xfId="24505"/>
    <cellStyle name="Normal 28 61 12" xfId="24506"/>
    <cellStyle name="Normal 28 61 13" xfId="24507"/>
    <cellStyle name="Normal 28 61 2" xfId="24508"/>
    <cellStyle name="Normal 28 61 3" xfId="24509"/>
    <cellStyle name="Normal 28 61 4" xfId="24510"/>
    <cellStyle name="Normal 28 61 5" xfId="24511"/>
    <cellStyle name="Normal 28 61 6" xfId="24512"/>
    <cellStyle name="Normal 28 61 7" xfId="24513"/>
    <cellStyle name="Normal 28 61 8" xfId="24514"/>
    <cellStyle name="Normal 28 61 9" xfId="24515"/>
    <cellStyle name="Normal 28 62" xfId="24516"/>
    <cellStyle name="Normal 28 62 10" xfId="24517"/>
    <cellStyle name="Normal 28 62 11" xfId="24518"/>
    <cellStyle name="Normal 28 62 12" xfId="24519"/>
    <cellStyle name="Normal 28 62 13" xfId="24520"/>
    <cellStyle name="Normal 28 62 2" xfId="24521"/>
    <cellStyle name="Normal 28 62 3" xfId="24522"/>
    <cellStyle name="Normal 28 62 4" xfId="24523"/>
    <cellStyle name="Normal 28 62 5" xfId="24524"/>
    <cellStyle name="Normal 28 62 6" xfId="24525"/>
    <cellStyle name="Normal 28 62 7" xfId="24526"/>
    <cellStyle name="Normal 28 62 8" xfId="24527"/>
    <cellStyle name="Normal 28 62 9" xfId="24528"/>
    <cellStyle name="Normal 28 63" xfId="24529"/>
    <cellStyle name="Normal 28 63 10" xfId="24530"/>
    <cellStyle name="Normal 28 63 11" xfId="24531"/>
    <cellStyle name="Normal 28 63 12" xfId="24532"/>
    <cellStyle name="Normal 28 63 13" xfId="24533"/>
    <cellStyle name="Normal 28 63 2" xfId="24534"/>
    <cellStyle name="Normal 28 63 3" xfId="24535"/>
    <cellStyle name="Normal 28 63 4" xfId="24536"/>
    <cellStyle name="Normal 28 63 5" xfId="24537"/>
    <cellStyle name="Normal 28 63 6" xfId="24538"/>
    <cellStyle name="Normal 28 63 7" xfId="24539"/>
    <cellStyle name="Normal 28 63 8" xfId="24540"/>
    <cellStyle name="Normal 28 63 9" xfId="24541"/>
    <cellStyle name="Normal 28 64" xfId="24542"/>
    <cellStyle name="Normal 28 64 10" xfId="24543"/>
    <cellStyle name="Normal 28 64 11" xfId="24544"/>
    <cellStyle name="Normal 28 64 12" xfId="24545"/>
    <cellStyle name="Normal 28 64 13" xfId="24546"/>
    <cellStyle name="Normal 28 64 2" xfId="24547"/>
    <cellStyle name="Normal 28 64 3" xfId="24548"/>
    <cellStyle name="Normal 28 64 4" xfId="24549"/>
    <cellStyle name="Normal 28 64 5" xfId="24550"/>
    <cellStyle name="Normal 28 64 6" xfId="24551"/>
    <cellStyle name="Normal 28 64 7" xfId="24552"/>
    <cellStyle name="Normal 28 64 8" xfId="24553"/>
    <cellStyle name="Normal 28 64 9" xfId="24554"/>
    <cellStyle name="Normal 28 65" xfId="24555"/>
    <cellStyle name="Normal 28 65 10" xfId="24556"/>
    <cellStyle name="Normal 28 65 11" xfId="24557"/>
    <cellStyle name="Normal 28 65 12" xfId="24558"/>
    <cellStyle name="Normal 28 65 13" xfId="24559"/>
    <cellStyle name="Normal 28 65 2" xfId="24560"/>
    <cellStyle name="Normal 28 65 3" xfId="24561"/>
    <cellStyle name="Normal 28 65 4" xfId="24562"/>
    <cellStyle name="Normal 28 65 5" xfId="24563"/>
    <cellStyle name="Normal 28 65 6" xfId="24564"/>
    <cellStyle name="Normal 28 65 7" xfId="24565"/>
    <cellStyle name="Normal 28 65 8" xfId="24566"/>
    <cellStyle name="Normal 28 65 9" xfId="24567"/>
    <cellStyle name="Normal 28 66" xfId="24568"/>
    <cellStyle name="Normal 28 66 10" xfId="24569"/>
    <cellStyle name="Normal 28 66 11" xfId="24570"/>
    <cellStyle name="Normal 28 66 12" xfId="24571"/>
    <cellStyle name="Normal 28 66 13" xfId="24572"/>
    <cellStyle name="Normal 28 66 2" xfId="24573"/>
    <cellStyle name="Normal 28 66 3" xfId="24574"/>
    <cellStyle name="Normal 28 66 4" xfId="24575"/>
    <cellStyle name="Normal 28 66 5" xfId="24576"/>
    <cellStyle name="Normal 28 66 6" xfId="24577"/>
    <cellStyle name="Normal 28 66 7" xfId="24578"/>
    <cellStyle name="Normal 28 66 8" xfId="24579"/>
    <cellStyle name="Normal 28 66 9" xfId="24580"/>
    <cellStyle name="Normal 28 67" xfId="24581"/>
    <cellStyle name="Normal 28 67 10" xfId="24582"/>
    <cellStyle name="Normal 28 67 11" xfId="24583"/>
    <cellStyle name="Normal 28 67 12" xfId="24584"/>
    <cellStyle name="Normal 28 67 13" xfId="24585"/>
    <cellStyle name="Normal 28 67 2" xfId="24586"/>
    <cellStyle name="Normal 28 67 3" xfId="24587"/>
    <cellStyle name="Normal 28 67 4" xfId="24588"/>
    <cellStyle name="Normal 28 67 5" xfId="24589"/>
    <cellStyle name="Normal 28 67 6" xfId="24590"/>
    <cellStyle name="Normal 28 67 7" xfId="24591"/>
    <cellStyle name="Normal 28 67 8" xfId="24592"/>
    <cellStyle name="Normal 28 67 9" xfId="24593"/>
    <cellStyle name="Normal 28 68" xfId="24594"/>
    <cellStyle name="Normal 28 68 10" xfId="24595"/>
    <cellStyle name="Normal 28 68 11" xfId="24596"/>
    <cellStyle name="Normal 28 68 12" xfId="24597"/>
    <cellStyle name="Normal 28 68 13" xfId="24598"/>
    <cellStyle name="Normal 28 68 2" xfId="24599"/>
    <cellStyle name="Normal 28 68 3" xfId="24600"/>
    <cellStyle name="Normal 28 68 4" xfId="24601"/>
    <cellStyle name="Normal 28 68 5" xfId="24602"/>
    <cellStyle name="Normal 28 68 6" xfId="24603"/>
    <cellStyle name="Normal 28 68 7" xfId="24604"/>
    <cellStyle name="Normal 28 68 8" xfId="24605"/>
    <cellStyle name="Normal 28 68 9" xfId="24606"/>
    <cellStyle name="Normal 28 69" xfId="24607"/>
    <cellStyle name="Normal 28 69 10" xfId="24608"/>
    <cellStyle name="Normal 28 69 11" xfId="24609"/>
    <cellStyle name="Normal 28 69 12" xfId="24610"/>
    <cellStyle name="Normal 28 69 13" xfId="24611"/>
    <cellStyle name="Normal 28 69 2" xfId="24612"/>
    <cellStyle name="Normal 28 69 3" xfId="24613"/>
    <cellStyle name="Normal 28 69 4" xfId="24614"/>
    <cellStyle name="Normal 28 69 5" xfId="24615"/>
    <cellStyle name="Normal 28 69 6" xfId="24616"/>
    <cellStyle name="Normal 28 69 7" xfId="24617"/>
    <cellStyle name="Normal 28 69 8" xfId="24618"/>
    <cellStyle name="Normal 28 69 9" xfId="24619"/>
    <cellStyle name="Normal 28 7" xfId="24620"/>
    <cellStyle name="Normal 28 7 10" xfId="24621"/>
    <cellStyle name="Normal 28 7 11" xfId="24622"/>
    <cellStyle name="Normal 28 7 12" xfId="24623"/>
    <cellStyle name="Normal 28 7 13" xfId="24624"/>
    <cellStyle name="Normal 28 7 2" xfId="24625"/>
    <cellStyle name="Normal 28 7 3" xfId="24626"/>
    <cellStyle name="Normal 28 7 4" xfId="24627"/>
    <cellStyle name="Normal 28 7 5" xfId="24628"/>
    <cellStyle name="Normal 28 7 6" xfId="24629"/>
    <cellStyle name="Normal 28 7 7" xfId="24630"/>
    <cellStyle name="Normal 28 7 8" xfId="24631"/>
    <cellStyle name="Normal 28 7 9" xfId="24632"/>
    <cellStyle name="Normal 28 70" xfId="24633"/>
    <cellStyle name="Normal 28 70 10" xfId="24634"/>
    <cellStyle name="Normal 28 70 11" xfId="24635"/>
    <cellStyle name="Normal 28 70 12" xfId="24636"/>
    <cellStyle name="Normal 28 70 13" xfId="24637"/>
    <cellStyle name="Normal 28 70 2" xfId="24638"/>
    <cellStyle name="Normal 28 70 3" xfId="24639"/>
    <cellStyle name="Normal 28 70 4" xfId="24640"/>
    <cellStyle name="Normal 28 70 5" xfId="24641"/>
    <cellStyle name="Normal 28 70 6" xfId="24642"/>
    <cellStyle name="Normal 28 70 7" xfId="24643"/>
    <cellStyle name="Normal 28 70 8" xfId="24644"/>
    <cellStyle name="Normal 28 70 9" xfId="24645"/>
    <cellStyle name="Normal 28 71" xfId="24646"/>
    <cellStyle name="Normal 28 71 10" xfId="24647"/>
    <cellStyle name="Normal 28 71 11" xfId="24648"/>
    <cellStyle name="Normal 28 71 12" xfId="24649"/>
    <cellStyle name="Normal 28 71 13" xfId="24650"/>
    <cellStyle name="Normal 28 71 2" xfId="24651"/>
    <cellStyle name="Normal 28 71 3" xfId="24652"/>
    <cellStyle name="Normal 28 71 4" xfId="24653"/>
    <cellStyle name="Normal 28 71 5" xfId="24654"/>
    <cellStyle name="Normal 28 71 6" xfId="24655"/>
    <cellStyle name="Normal 28 71 7" xfId="24656"/>
    <cellStyle name="Normal 28 71 8" xfId="24657"/>
    <cellStyle name="Normal 28 71 9" xfId="24658"/>
    <cellStyle name="Normal 28 72" xfId="24659"/>
    <cellStyle name="Normal 28 73" xfId="24660"/>
    <cellStyle name="Normal 28 74" xfId="24661"/>
    <cellStyle name="Normal 28 75" xfId="24662"/>
    <cellStyle name="Normal 28 76" xfId="24663"/>
    <cellStyle name="Normal 28 77" xfId="24664"/>
    <cellStyle name="Normal 28 78" xfId="24665"/>
    <cellStyle name="Normal 28 79" xfId="24666"/>
    <cellStyle name="Normal 28 8" xfId="24667"/>
    <cellStyle name="Normal 28 8 10" xfId="24668"/>
    <cellStyle name="Normal 28 8 11" xfId="24669"/>
    <cellStyle name="Normal 28 8 12" xfId="24670"/>
    <cellStyle name="Normal 28 8 13" xfId="24671"/>
    <cellStyle name="Normal 28 8 2" xfId="24672"/>
    <cellStyle name="Normal 28 8 3" xfId="24673"/>
    <cellStyle name="Normal 28 8 4" xfId="24674"/>
    <cellStyle name="Normal 28 8 5" xfId="24675"/>
    <cellStyle name="Normal 28 8 6" xfId="24676"/>
    <cellStyle name="Normal 28 8 7" xfId="24677"/>
    <cellStyle name="Normal 28 8 8" xfId="24678"/>
    <cellStyle name="Normal 28 8 9" xfId="24679"/>
    <cellStyle name="Normal 28 80" xfId="24680"/>
    <cellStyle name="Normal 28 81" xfId="24681"/>
    <cellStyle name="Normal 28 82" xfId="24682"/>
    <cellStyle name="Normal 28 83" xfId="24683"/>
    <cellStyle name="Normal 28 9" xfId="24684"/>
    <cellStyle name="Normal 28 9 10" xfId="24685"/>
    <cellStyle name="Normal 28 9 11" xfId="24686"/>
    <cellStyle name="Normal 28 9 12" xfId="24687"/>
    <cellStyle name="Normal 28 9 13" xfId="24688"/>
    <cellStyle name="Normal 28 9 2" xfId="24689"/>
    <cellStyle name="Normal 28 9 3" xfId="24690"/>
    <cellStyle name="Normal 28 9 4" xfId="24691"/>
    <cellStyle name="Normal 28 9 5" xfId="24692"/>
    <cellStyle name="Normal 28 9 6" xfId="24693"/>
    <cellStyle name="Normal 28 9 7" xfId="24694"/>
    <cellStyle name="Normal 28 9 8" xfId="24695"/>
    <cellStyle name="Normal 28 9 9" xfId="24696"/>
    <cellStyle name="Normal 29" xfId="24697"/>
    <cellStyle name="Normal 29 10" xfId="24698"/>
    <cellStyle name="Normal 29 10 10" xfId="24699"/>
    <cellStyle name="Normal 29 10 11" xfId="24700"/>
    <cellStyle name="Normal 29 10 12" xfId="24701"/>
    <cellStyle name="Normal 29 10 13" xfId="24702"/>
    <cellStyle name="Normal 29 10 2" xfId="24703"/>
    <cellStyle name="Normal 29 10 3" xfId="24704"/>
    <cellStyle name="Normal 29 10 4" xfId="24705"/>
    <cellStyle name="Normal 29 10 5" xfId="24706"/>
    <cellStyle name="Normal 29 10 6" xfId="24707"/>
    <cellStyle name="Normal 29 10 7" xfId="24708"/>
    <cellStyle name="Normal 29 10 8" xfId="24709"/>
    <cellStyle name="Normal 29 10 9" xfId="24710"/>
    <cellStyle name="Normal 29 11" xfId="24711"/>
    <cellStyle name="Normal 29 11 10" xfId="24712"/>
    <cellStyle name="Normal 29 11 11" xfId="24713"/>
    <cellStyle name="Normal 29 11 12" xfId="24714"/>
    <cellStyle name="Normal 29 11 13" xfId="24715"/>
    <cellStyle name="Normal 29 11 2" xfId="24716"/>
    <cellStyle name="Normal 29 11 3" xfId="24717"/>
    <cellStyle name="Normal 29 11 4" xfId="24718"/>
    <cellStyle name="Normal 29 11 5" xfId="24719"/>
    <cellStyle name="Normal 29 11 6" xfId="24720"/>
    <cellStyle name="Normal 29 11 7" xfId="24721"/>
    <cellStyle name="Normal 29 11 8" xfId="24722"/>
    <cellStyle name="Normal 29 11 9" xfId="24723"/>
    <cellStyle name="Normal 29 12" xfId="24724"/>
    <cellStyle name="Normal 29 12 10" xfId="24725"/>
    <cellStyle name="Normal 29 12 11" xfId="24726"/>
    <cellStyle name="Normal 29 12 12" xfId="24727"/>
    <cellStyle name="Normal 29 12 13" xfId="24728"/>
    <cellStyle name="Normal 29 12 2" xfId="24729"/>
    <cellStyle name="Normal 29 12 3" xfId="24730"/>
    <cellStyle name="Normal 29 12 4" xfId="24731"/>
    <cellStyle name="Normal 29 12 5" xfId="24732"/>
    <cellStyle name="Normal 29 12 6" xfId="24733"/>
    <cellStyle name="Normal 29 12 7" xfId="24734"/>
    <cellStyle name="Normal 29 12 8" xfId="24735"/>
    <cellStyle name="Normal 29 12 9" xfId="24736"/>
    <cellStyle name="Normal 29 13" xfId="24737"/>
    <cellStyle name="Normal 29 13 10" xfId="24738"/>
    <cellStyle name="Normal 29 13 11" xfId="24739"/>
    <cellStyle name="Normal 29 13 12" xfId="24740"/>
    <cellStyle name="Normal 29 13 13" xfId="24741"/>
    <cellStyle name="Normal 29 13 2" xfId="24742"/>
    <cellStyle name="Normal 29 13 3" xfId="24743"/>
    <cellStyle name="Normal 29 13 4" xfId="24744"/>
    <cellStyle name="Normal 29 13 5" xfId="24745"/>
    <cellStyle name="Normal 29 13 6" xfId="24746"/>
    <cellStyle name="Normal 29 13 7" xfId="24747"/>
    <cellStyle name="Normal 29 13 8" xfId="24748"/>
    <cellStyle name="Normal 29 13 9" xfId="24749"/>
    <cellStyle name="Normal 29 14" xfId="24750"/>
    <cellStyle name="Normal 29 14 10" xfId="24751"/>
    <cellStyle name="Normal 29 14 11" xfId="24752"/>
    <cellStyle name="Normal 29 14 12" xfId="24753"/>
    <cellStyle name="Normal 29 14 13" xfId="24754"/>
    <cellStyle name="Normal 29 14 2" xfId="24755"/>
    <cellStyle name="Normal 29 14 3" xfId="24756"/>
    <cellStyle name="Normal 29 14 4" xfId="24757"/>
    <cellStyle name="Normal 29 14 5" xfId="24758"/>
    <cellStyle name="Normal 29 14 6" xfId="24759"/>
    <cellStyle name="Normal 29 14 7" xfId="24760"/>
    <cellStyle name="Normal 29 14 8" xfId="24761"/>
    <cellStyle name="Normal 29 14 9" xfId="24762"/>
    <cellStyle name="Normal 29 15" xfId="24763"/>
    <cellStyle name="Normal 29 15 10" xfId="24764"/>
    <cellStyle name="Normal 29 15 11" xfId="24765"/>
    <cellStyle name="Normal 29 15 12" xfId="24766"/>
    <cellStyle name="Normal 29 15 13" xfId="24767"/>
    <cellStyle name="Normal 29 15 2" xfId="24768"/>
    <cellStyle name="Normal 29 15 3" xfId="24769"/>
    <cellStyle name="Normal 29 15 4" xfId="24770"/>
    <cellStyle name="Normal 29 15 5" xfId="24771"/>
    <cellStyle name="Normal 29 15 6" xfId="24772"/>
    <cellStyle name="Normal 29 15 7" xfId="24773"/>
    <cellStyle name="Normal 29 15 8" xfId="24774"/>
    <cellStyle name="Normal 29 15 9" xfId="24775"/>
    <cellStyle name="Normal 29 16" xfId="24776"/>
    <cellStyle name="Normal 29 16 10" xfId="24777"/>
    <cellStyle name="Normal 29 16 11" xfId="24778"/>
    <cellStyle name="Normal 29 16 12" xfId="24779"/>
    <cellStyle name="Normal 29 16 13" xfId="24780"/>
    <cellStyle name="Normal 29 16 2" xfId="24781"/>
    <cellStyle name="Normal 29 16 3" xfId="24782"/>
    <cellStyle name="Normal 29 16 4" xfId="24783"/>
    <cellStyle name="Normal 29 16 5" xfId="24784"/>
    <cellStyle name="Normal 29 16 6" xfId="24785"/>
    <cellStyle name="Normal 29 16 7" xfId="24786"/>
    <cellStyle name="Normal 29 16 8" xfId="24787"/>
    <cellStyle name="Normal 29 16 9" xfId="24788"/>
    <cellStyle name="Normal 29 17" xfId="24789"/>
    <cellStyle name="Normal 29 17 10" xfId="24790"/>
    <cellStyle name="Normal 29 17 11" xfId="24791"/>
    <cellStyle name="Normal 29 17 12" xfId="24792"/>
    <cellStyle name="Normal 29 17 13" xfId="24793"/>
    <cellStyle name="Normal 29 17 2" xfId="24794"/>
    <cellStyle name="Normal 29 17 3" xfId="24795"/>
    <cellStyle name="Normal 29 17 4" xfId="24796"/>
    <cellStyle name="Normal 29 17 5" xfId="24797"/>
    <cellStyle name="Normal 29 17 6" xfId="24798"/>
    <cellStyle name="Normal 29 17 7" xfId="24799"/>
    <cellStyle name="Normal 29 17 8" xfId="24800"/>
    <cellStyle name="Normal 29 17 9" xfId="24801"/>
    <cellStyle name="Normal 29 18" xfId="24802"/>
    <cellStyle name="Normal 29 18 10" xfId="24803"/>
    <cellStyle name="Normal 29 18 11" xfId="24804"/>
    <cellStyle name="Normal 29 18 12" xfId="24805"/>
    <cellStyle name="Normal 29 18 13" xfId="24806"/>
    <cellStyle name="Normal 29 18 2" xfId="24807"/>
    <cellStyle name="Normal 29 18 3" xfId="24808"/>
    <cellStyle name="Normal 29 18 4" xfId="24809"/>
    <cellStyle name="Normal 29 18 5" xfId="24810"/>
    <cellStyle name="Normal 29 18 6" xfId="24811"/>
    <cellStyle name="Normal 29 18 7" xfId="24812"/>
    <cellStyle name="Normal 29 18 8" xfId="24813"/>
    <cellStyle name="Normal 29 18 9" xfId="24814"/>
    <cellStyle name="Normal 29 19" xfId="24815"/>
    <cellStyle name="Normal 29 19 10" xfId="24816"/>
    <cellStyle name="Normal 29 19 11" xfId="24817"/>
    <cellStyle name="Normal 29 19 12" xfId="24818"/>
    <cellStyle name="Normal 29 19 13" xfId="24819"/>
    <cellStyle name="Normal 29 19 2" xfId="24820"/>
    <cellStyle name="Normal 29 19 3" xfId="24821"/>
    <cellStyle name="Normal 29 19 4" xfId="24822"/>
    <cellStyle name="Normal 29 19 5" xfId="24823"/>
    <cellStyle name="Normal 29 19 6" xfId="24824"/>
    <cellStyle name="Normal 29 19 7" xfId="24825"/>
    <cellStyle name="Normal 29 19 8" xfId="24826"/>
    <cellStyle name="Normal 29 19 9" xfId="24827"/>
    <cellStyle name="Normal 29 2" xfId="24828"/>
    <cellStyle name="Normal 29 2 10" xfId="24829"/>
    <cellStyle name="Normal 29 2 10 10" xfId="24830"/>
    <cellStyle name="Normal 29 2 10 11" xfId="24831"/>
    <cellStyle name="Normal 29 2 10 12" xfId="24832"/>
    <cellStyle name="Normal 29 2 10 13" xfId="24833"/>
    <cellStyle name="Normal 29 2 10 2" xfId="24834"/>
    <cellStyle name="Normal 29 2 10 3" xfId="24835"/>
    <cellStyle name="Normal 29 2 10 4" xfId="24836"/>
    <cellStyle name="Normal 29 2 10 5" xfId="24837"/>
    <cellStyle name="Normal 29 2 10 6" xfId="24838"/>
    <cellStyle name="Normal 29 2 10 7" xfId="24839"/>
    <cellStyle name="Normal 29 2 10 8" xfId="24840"/>
    <cellStyle name="Normal 29 2 10 9" xfId="24841"/>
    <cellStyle name="Normal 29 2 11" xfId="24842"/>
    <cellStyle name="Normal 29 2 11 10" xfId="24843"/>
    <cellStyle name="Normal 29 2 11 11" xfId="24844"/>
    <cellStyle name="Normal 29 2 11 12" xfId="24845"/>
    <cellStyle name="Normal 29 2 11 13" xfId="24846"/>
    <cellStyle name="Normal 29 2 11 2" xfId="24847"/>
    <cellStyle name="Normal 29 2 11 3" xfId="24848"/>
    <cellStyle name="Normal 29 2 11 4" xfId="24849"/>
    <cellStyle name="Normal 29 2 11 5" xfId="24850"/>
    <cellStyle name="Normal 29 2 11 6" xfId="24851"/>
    <cellStyle name="Normal 29 2 11 7" xfId="24852"/>
    <cellStyle name="Normal 29 2 11 8" xfId="24853"/>
    <cellStyle name="Normal 29 2 11 9" xfId="24854"/>
    <cellStyle name="Normal 29 2 12" xfId="24855"/>
    <cellStyle name="Normal 29 2 12 10" xfId="24856"/>
    <cellStyle name="Normal 29 2 12 11" xfId="24857"/>
    <cellStyle name="Normal 29 2 12 12" xfId="24858"/>
    <cellStyle name="Normal 29 2 12 13" xfId="24859"/>
    <cellStyle name="Normal 29 2 12 2" xfId="24860"/>
    <cellStyle name="Normal 29 2 12 3" xfId="24861"/>
    <cellStyle name="Normal 29 2 12 4" xfId="24862"/>
    <cellStyle name="Normal 29 2 12 5" xfId="24863"/>
    <cellStyle name="Normal 29 2 12 6" xfId="24864"/>
    <cellStyle name="Normal 29 2 12 7" xfId="24865"/>
    <cellStyle name="Normal 29 2 12 8" xfId="24866"/>
    <cellStyle name="Normal 29 2 12 9" xfId="24867"/>
    <cellStyle name="Normal 29 2 13" xfId="24868"/>
    <cellStyle name="Normal 29 2 13 10" xfId="24869"/>
    <cellStyle name="Normal 29 2 13 11" xfId="24870"/>
    <cellStyle name="Normal 29 2 13 12" xfId="24871"/>
    <cellStyle name="Normal 29 2 13 13" xfId="24872"/>
    <cellStyle name="Normal 29 2 13 2" xfId="24873"/>
    <cellStyle name="Normal 29 2 13 3" xfId="24874"/>
    <cellStyle name="Normal 29 2 13 4" xfId="24875"/>
    <cellStyle name="Normal 29 2 13 5" xfId="24876"/>
    <cellStyle name="Normal 29 2 13 6" xfId="24877"/>
    <cellStyle name="Normal 29 2 13 7" xfId="24878"/>
    <cellStyle name="Normal 29 2 13 8" xfId="24879"/>
    <cellStyle name="Normal 29 2 13 9" xfId="24880"/>
    <cellStyle name="Normal 29 2 14" xfId="24881"/>
    <cellStyle name="Normal 29 2 14 10" xfId="24882"/>
    <cellStyle name="Normal 29 2 14 11" xfId="24883"/>
    <cellStyle name="Normal 29 2 14 12" xfId="24884"/>
    <cellStyle name="Normal 29 2 14 13" xfId="24885"/>
    <cellStyle name="Normal 29 2 14 2" xfId="24886"/>
    <cellStyle name="Normal 29 2 14 3" xfId="24887"/>
    <cellStyle name="Normal 29 2 14 4" xfId="24888"/>
    <cellStyle name="Normal 29 2 14 5" xfId="24889"/>
    <cellStyle name="Normal 29 2 14 6" xfId="24890"/>
    <cellStyle name="Normal 29 2 14 7" xfId="24891"/>
    <cellStyle name="Normal 29 2 14 8" xfId="24892"/>
    <cellStyle name="Normal 29 2 14 9" xfId="24893"/>
    <cellStyle name="Normal 29 2 15" xfId="24894"/>
    <cellStyle name="Normal 29 2 15 10" xfId="24895"/>
    <cellStyle name="Normal 29 2 15 11" xfId="24896"/>
    <cellStyle name="Normal 29 2 15 12" xfId="24897"/>
    <cellStyle name="Normal 29 2 15 13" xfId="24898"/>
    <cellStyle name="Normal 29 2 15 2" xfId="24899"/>
    <cellStyle name="Normal 29 2 15 3" xfId="24900"/>
    <cellStyle name="Normal 29 2 15 4" xfId="24901"/>
    <cellStyle name="Normal 29 2 15 5" xfId="24902"/>
    <cellStyle name="Normal 29 2 15 6" xfId="24903"/>
    <cellStyle name="Normal 29 2 15 7" xfId="24904"/>
    <cellStyle name="Normal 29 2 15 8" xfId="24905"/>
    <cellStyle name="Normal 29 2 15 9" xfId="24906"/>
    <cellStyle name="Normal 29 2 16" xfId="24907"/>
    <cellStyle name="Normal 29 2 16 10" xfId="24908"/>
    <cellStyle name="Normal 29 2 16 11" xfId="24909"/>
    <cellStyle name="Normal 29 2 16 12" xfId="24910"/>
    <cellStyle name="Normal 29 2 16 13" xfId="24911"/>
    <cellStyle name="Normal 29 2 16 2" xfId="24912"/>
    <cellStyle name="Normal 29 2 16 3" xfId="24913"/>
    <cellStyle name="Normal 29 2 16 4" xfId="24914"/>
    <cellStyle name="Normal 29 2 16 5" xfId="24915"/>
    <cellStyle name="Normal 29 2 16 6" xfId="24916"/>
    <cellStyle name="Normal 29 2 16 7" xfId="24917"/>
    <cellStyle name="Normal 29 2 16 8" xfId="24918"/>
    <cellStyle name="Normal 29 2 16 9" xfId="24919"/>
    <cellStyle name="Normal 29 2 17" xfId="24920"/>
    <cellStyle name="Normal 29 2 17 10" xfId="24921"/>
    <cellStyle name="Normal 29 2 17 11" xfId="24922"/>
    <cellStyle name="Normal 29 2 17 12" xfId="24923"/>
    <cellStyle name="Normal 29 2 17 13" xfId="24924"/>
    <cellStyle name="Normal 29 2 17 2" xfId="24925"/>
    <cellStyle name="Normal 29 2 17 3" xfId="24926"/>
    <cellStyle name="Normal 29 2 17 4" xfId="24927"/>
    <cellStyle name="Normal 29 2 17 5" xfId="24928"/>
    <cellStyle name="Normal 29 2 17 6" xfId="24929"/>
    <cellStyle name="Normal 29 2 17 7" xfId="24930"/>
    <cellStyle name="Normal 29 2 17 8" xfId="24931"/>
    <cellStyle name="Normal 29 2 17 9" xfId="24932"/>
    <cellStyle name="Normal 29 2 18" xfId="24933"/>
    <cellStyle name="Normal 29 2 18 10" xfId="24934"/>
    <cellStyle name="Normal 29 2 18 11" xfId="24935"/>
    <cellStyle name="Normal 29 2 18 12" xfId="24936"/>
    <cellStyle name="Normal 29 2 18 13" xfId="24937"/>
    <cellStyle name="Normal 29 2 18 2" xfId="24938"/>
    <cellStyle name="Normal 29 2 18 3" xfId="24939"/>
    <cellStyle name="Normal 29 2 18 4" xfId="24940"/>
    <cellStyle name="Normal 29 2 18 5" xfId="24941"/>
    <cellStyle name="Normal 29 2 18 6" xfId="24942"/>
    <cellStyle name="Normal 29 2 18 7" xfId="24943"/>
    <cellStyle name="Normal 29 2 18 8" xfId="24944"/>
    <cellStyle name="Normal 29 2 18 9" xfId="24945"/>
    <cellStyle name="Normal 29 2 19" xfId="24946"/>
    <cellStyle name="Normal 29 2 19 10" xfId="24947"/>
    <cellStyle name="Normal 29 2 19 11" xfId="24948"/>
    <cellStyle name="Normal 29 2 19 12" xfId="24949"/>
    <cellStyle name="Normal 29 2 19 13" xfId="24950"/>
    <cellStyle name="Normal 29 2 19 2" xfId="24951"/>
    <cellStyle name="Normal 29 2 19 3" xfId="24952"/>
    <cellStyle name="Normal 29 2 19 4" xfId="24953"/>
    <cellStyle name="Normal 29 2 19 5" xfId="24954"/>
    <cellStyle name="Normal 29 2 19 6" xfId="24955"/>
    <cellStyle name="Normal 29 2 19 7" xfId="24956"/>
    <cellStyle name="Normal 29 2 19 8" xfId="24957"/>
    <cellStyle name="Normal 29 2 19 9" xfId="24958"/>
    <cellStyle name="Normal 29 2 2" xfId="24959"/>
    <cellStyle name="Normal 29 2 2 10" xfId="24960"/>
    <cellStyle name="Normal 29 2 2 11" xfId="24961"/>
    <cellStyle name="Normal 29 2 2 12" xfId="24962"/>
    <cellStyle name="Normal 29 2 2 13" xfId="24963"/>
    <cellStyle name="Normal 29 2 2 2" xfId="24964"/>
    <cellStyle name="Normal 29 2 2 3" xfId="24965"/>
    <cellStyle name="Normal 29 2 2 4" xfId="24966"/>
    <cellStyle name="Normal 29 2 2 5" xfId="24967"/>
    <cellStyle name="Normal 29 2 2 6" xfId="24968"/>
    <cellStyle name="Normal 29 2 2 7" xfId="24969"/>
    <cellStyle name="Normal 29 2 2 8" xfId="24970"/>
    <cellStyle name="Normal 29 2 2 9" xfId="24971"/>
    <cellStyle name="Normal 29 2 20" xfId="24972"/>
    <cellStyle name="Normal 29 2 20 10" xfId="24973"/>
    <cellStyle name="Normal 29 2 20 11" xfId="24974"/>
    <cellStyle name="Normal 29 2 20 12" xfId="24975"/>
    <cellStyle name="Normal 29 2 20 13" xfId="24976"/>
    <cellStyle name="Normal 29 2 20 2" xfId="24977"/>
    <cellStyle name="Normal 29 2 20 3" xfId="24978"/>
    <cellStyle name="Normal 29 2 20 4" xfId="24979"/>
    <cellStyle name="Normal 29 2 20 5" xfId="24980"/>
    <cellStyle name="Normal 29 2 20 6" xfId="24981"/>
    <cellStyle name="Normal 29 2 20 7" xfId="24982"/>
    <cellStyle name="Normal 29 2 20 8" xfId="24983"/>
    <cellStyle name="Normal 29 2 20 9" xfId="24984"/>
    <cellStyle name="Normal 29 2 21" xfId="24985"/>
    <cellStyle name="Normal 29 2 21 10" xfId="24986"/>
    <cellStyle name="Normal 29 2 21 11" xfId="24987"/>
    <cellStyle name="Normal 29 2 21 12" xfId="24988"/>
    <cellStyle name="Normal 29 2 21 13" xfId="24989"/>
    <cellStyle name="Normal 29 2 21 2" xfId="24990"/>
    <cellStyle name="Normal 29 2 21 3" xfId="24991"/>
    <cellStyle name="Normal 29 2 21 4" xfId="24992"/>
    <cellStyle name="Normal 29 2 21 5" xfId="24993"/>
    <cellStyle name="Normal 29 2 21 6" xfId="24994"/>
    <cellStyle name="Normal 29 2 21 7" xfId="24995"/>
    <cellStyle name="Normal 29 2 21 8" xfId="24996"/>
    <cellStyle name="Normal 29 2 21 9" xfId="24997"/>
    <cellStyle name="Normal 29 2 22" xfId="24998"/>
    <cellStyle name="Normal 29 2 22 10" xfId="24999"/>
    <cellStyle name="Normal 29 2 22 11" xfId="25000"/>
    <cellStyle name="Normal 29 2 22 12" xfId="25001"/>
    <cellStyle name="Normal 29 2 22 13" xfId="25002"/>
    <cellStyle name="Normal 29 2 22 2" xfId="25003"/>
    <cellStyle name="Normal 29 2 22 3" xfId="25004"/>
    <cellStyle name="Normal 29 2 22 4" xfId="25005"/>
    <cellStyle name="Normal 29 2 22 5" xfId="25006"/>
    <cellStyle name="Normal 29 2 22 6" xfId="25007"/>
    <cellStyle name="Normal 29 2 22 7" xfId="25008"/>
    <cellStyle name="Normal 29 2 22 8" xfId="25009"/>
    <cellStyle name="Normal 29 2 22 9" xfId="25010"/>
    <cellStyle name="Normal 29 2 23" xfId="25011"/>
    <cellStyle name="Normal 29 2 23 10" xfId="25012"/>
    <cellStyle name="Normal 29 2 23 11" xfId="25013"/>
    <cellStyle name="Normal 29 2 23 12" xfId="25014"/>
    <cellStyle name="Normal 29 2 23 13" xfId="25015"/>
    <cellStyle name="Normal 29 2 23 2" xfId="25016"/>
    <cellStyle name="Normal 29 2 23 3" xfId="25017"/>
    <cellStyle name="Normal 29 2 23 4" xfId="25018"/>
    <cellStyle name="Normal 29 2 23 5" xfId="25019"/>
    <cellStyle name="Normal 29 2 23 6" xfId="25020"/>
    <cellStyle name="Normal 29 2 23 7" xfId="25021"/>
    <cellStyle name="Normal 29 2 23 8" xfId="25022"/>
    <cellStyle name="Normal 29 2 23 9" xfId="25023"/>
    <cellStyle name="Normal 29 2 24" xfId="25024"/>
    <cellStyle name="Normal 29 2 24 10" xfId="25025"/>
    <cellStyle name="Normal 29 2 24 11" xfId="25026"/>
    <cellStyle name="Normal 29 2 24 12" xfId="25027"/>
    <cellStyle name="Normal 29 2 24 13" xfId="25028"/>
    <cellStyle name="Normal 29 2 24 2" xfId="25029"/>
    <cellStyle name="Normal 29 2 24 3" xfId="25030"/>
    <cellStyle name="Normal 29 2 24 4" xfId="25031"/>
    <cellStyle name="Normal 29 2 24 5" xfId="25032"/>
    <cellStyle name="Normal 29 2 24 6" xfId="25033"/>
    <cellStyle name="Normal 29 2 24 7" xfId="25034"/>
    <cellStyle name="Normal 29 2 24 8" xfId="25035"/>
    <cellStyle name="Normal 29 2 24 9" xfId="25036"/>
    <cellStyle name="Normal 29 2 25" xfId="25037"/>
    <cellStyle name="Normal 29 2 25 10" xfId="25038"/>
    <cellStyle name="Normal 29 2 25 11" xfId="25039"/>
    <cellStyle name="Normal 29 2 25 12" xfId="25040"/>
    <cellStyle name="Normal 29 2 25 13" xfId="25041"/>
    <cellStyle name="Normal 29 2 25 2" xfId="25042"/>
    <cellStyle name="Normal 29 2 25 3" xfId="25043"/>
    <cellStyle name="Normal 29 2 25 4" xfId="25044"/>
    <cellStyle name="Normal 29 2 25 5" xfId="25045"/>
    <cellStyle name="Normal 29 2 25 6" xfId="25046"/>
    <cellStyle name="Normal 29 2 25 7" xfId="25047"/>
    <cellStyle name="Normal 29 2 25 8" xfId="25048"/>
    <cellStyle name="Normal 29 2 25 9" xfId="25049"/>
    <cellStyle name="Normal 29 2 26" xfId="25050"/>
    <cellStyle name="Normal 29 2 26 10" xfId="25051"/>
    <cellStyle name="Normal 29 2 26 11" xfId="25052"/>
    <cellStyle name="Normal 29 2 26 12" xfId="25053"/>
    <cellStyle name="Normal 29 2 26 13" xfId="25054"/>
    <cellStyle name="Normal 29 2 26 2" xfId="25055"/>
    <cellStyle name="Normal 29 2 26 3" xfId="25056"/>
    <cellStyle name="Normal 29 2 26 4" xfId="25057"/>
    <cellStyle name="Normal 29 2 26 5" xfId="25058"/>
    <cellStyle name="Normal 29 2 26 6" xfId="25059"/>
    <cellStyle name="Normal 29 2 26 7" xfId="25060"/>
    <cellStyle name="Normal 29 2 26 8" xfId="25061"/>
    <cellStyle name="Normal 29 2 26 9" xfId="25062"/>
    <cellStyle name="Normal 29 2 27" xfId="25063"/>
    <cellStyle name="Normal 29 2 27 10" xfId="25064"/>
    <cellStyle name="Normal 29 2 27 11" xfId="25065"/>
    <cellStyle name="Normal 29 2 27 12" xfId="25066"/>
    <cellStyle name="Normal 29 2 27 13" xfId="25067"/>
    <cellStyle name="Normal 29 2 27 2" xfId="25068"/>
    <cellStyle name="Normal 29 2 27 3" xfId="25069"/>
    <cellStyle name="Normal 29 2 27 4" xfId="25070"/>
    <cellStyle name="Normal 29 2 27 5" xfId="25071"/>
    <cellStyle name="Normal 29 2 27 6" xfId="25072"/>
    <cellStyle name="Normal 29 2 27 7" xfId="25073"/>
    <cellStyle name="Normal 29 2 27 8" xfId="25074"/>
    <cellStyle name="Normal 29 2 27 9" xfId="25075"/>
    <cellStyle name="Normal 29 2 28" xfId="25076"/>
    <cellStyle name="Normal 29 2 28 10" xfId="25077"/>
    <cellStyle name="Normal 29 2 28 11" xfId="25078"/>
    <cellStyle name="Normal 29 2 28 12" xfId="25079"/>
    <cellStyle name="Normal 29 2 28 13" xfId="25080"/>
    <cellStyle name="Normal 29 2 28 2" xfId="25081"/>
    <cellStyle name="Normal 29 2 28 3" xfId="25082"/>
    <cellStyle name="Normal 29 2 28 4" xfId="25083"/>
    <cellStyle name="Normal 29 2 28 5" xfId="25084"/>
    <cellStyle name="Normal 29 2 28 6" xfId="25085"/>
    <cellStyle name="Normal 29 2 28 7" xfId="25086"/>
    <cellStyle name="Normal 29 2 28 8" xfId="25087"/>
    <cellStyle name="Normal 29 2 28 9" xfId="25088"/>
    <cellStyle name="Normal 29 2 29" xfId="25089"/>
    <cellStyle name="Normal 29 2 29 10" xfId="25090"/>
    <cellStyle name="Normal 29 2 29 11" xfId="25091"/>
    <cellStyle name="Normal 29 2 29 12" xfId="25092"/>
    <cellStyle name="Normal 29 2 29 13" xfId="25093"/>
    <cellStyle name="Normal 29 2 29 2" xfId="25094"/>
    <cellStyle name="Normal 29 2 29 3" xfId="25095"/>
    <cellStyle name="Normal 29 2 29 4" xfId="25096"/>
    <cellStyle name="Normal 29 2 29 5" xfId="25097"/>
    <cellStyle name="Normal 29 2 29 6" xfId="25098"/>
    <cellStyle name="Normal 29 2 29 7" xfId="25099"/>
    <cellStyle name="Normal 29 2 29 8" xfId="25100"/>
    <cellStyle name="Normal 29 2 29 9" xfId="25101"/>
    <cellStyle name="Normal 29 2 3" xfId="25102"/>
    <cellStyle name="Normal 29 2 3 10" xfId="25103"/>
    <cellStyle name="Normal 29 2 3 11" xfId="25104"/>
    <cellStyle name="Normal 29 2 3 12" xfId="25105"/>
    <cellStyle name="Normal 29 2 3 13" xfId="25106"/>
    <cellStyle name="Normal 29 2 3 2" xfId="25107"/>
    <cellStyle name="Normal 29 2 3 3" xfId="25108"/>
    <cellStyle name="Normal 29 2 3 4" xfId="25109"/>
    <cellStyle name="Normal 29 2 3 5" xfId="25110"/>
    <cellStyle name="Normal 29 2 3 6" xfId="25111"/>
    <cellStyle name="Normal 29 2 3 7" xfId="25112"/>
    <cellStyle name="Normal 29 2 3 8" xfId="25113"/>
    <cellStyle name="Normal 29 2 3 9" xfId="25114"/>
    <cellStyle name="Normal 29 2 30" xfId="25115"/>
    <cellStyle name="Normal 29 2 30 10" xfId="25116"/>
    <cellStyle name="Normal 29 2 30 11" xfId="25117"/>
    <cellStyle name="Normal 29 2 30 12" xfId="25118"/>
    <cellStyle name="Normal 29 2 30 13" xfId="25119"/>
    <cellStyle name="Normal 29 2 30 2" xfId="25120"/>
    <cellStyle name="Normal 29 2 30 3" xfId="25121"/>
    <cellStyle name="Normal 29 2 30 4" xfId="25122"/>
    <cellStyle name="Normal 29 2 30 5" xfId="25123"/>
    <cellStyle name="Normal 29 2 30 6" xfId="25124"/>
    <cellStyle name="Normal 29 2 30 7" xfId="25125"/>
    <cellStyle name="Normal 29 2 30 8" xfId="25126"/>
    <cellStyle name="Normal 29 2 30 9" xfId="25127"/>
    <cellStyle name="Normal 29 2 31" xfId="25128"/>
    <cellStyle name="Normal 29 2 31 10" xfId="25129"/>
    <cellStyle name="Normal 29 2 31 11" xfId="25130"/>
    <cellStyle name="Normal 29 2 31 12" xfId="25131"/>
    <cellStyle name="Normal 29 2 31 13" xfId="25132"/>
    <cellStyle name="Normal 29 2 31 2" xfId="25133"/>
    <cellStyle name="Normal 29 2 31 3" xfId="25134"/>
    <cellStyle name="Normal 29 2 31 4" xfId="25135"/>
    <cellStyle name="Normal 29 2 31 5" xfId="25136"/>
    <cellStyle name="Normal 29 2 31 6" xfId="25137"/>
    <cellStyle name="Normal 29 2 31 7" xfId="25138"/>
    <cellStyle name="Normal 29 2 31 8" xfId="25139"/>
    <cellStyle name="Normal 29 2 31 9" xfId="25140"/>
    <cellStyle name="Normal 29 2 32" xfId="25141"/>
    <cellStyle name="Normal 29 2 32 10" xfId="25142"/>
    <cellStyle name="Normal 29 2 32 11" xfId="25143"/>
    <cellStyle name="Normal 29 2 32 12" xfId="25144"/>
    <cellStyle name="Normal 29 2 32 13" xfId="25145"/>
    <cellStyle name="Normal 29 2 32 2" xfId="25146"/>
    <cellStyle name="Normal 29 2 32 3" xfId="25147"/>
    <cellStyle name="Normal 29 2 32 4" xfId="25148"/>
    <cellStyle name="Normal 29 2 32 5" xfId="25149"/>
    <cellStyle name="Normal 29 2 32 6" xfId="25150"/>
    <cellStyle name="Normal 29 2 32 7" xfId="25151"/>
    <cellStyle name="Normal 29 2 32 8" xfId="25152"/>
    <cellStyle name="Normal 29 2 32 9" xfId="25153"/>
    <cellStyle name="Normal 29 2 33" xfId="25154"/>
    <cellStyle name="Normal 29 2 33 10" xfId="25155"/>
    <cellStyle name="Normal 29 2 33 11" xfId="25156"/>
    <cellStyle name="Normal 29 2 33 12" xfId="25157"/>
    <cellStyle name="Normal 29 2 33 13" xfId="25158"/>
    <cellStyle name="Normal 29 2 33 2" xfId="25159"/>
    <cellStyle name="Normal 29 2 33 3" xfId="25160"/>
    <cellStyle name="Normal 29 2 33 4" xfId="25161"/>
    <cellStyle name="Normal 29 2 33 5" xfId="25162"/>
    <cellStyle name="Normal 29 2 33 6" xfId="25163"/>
    <cellStyle name="Normal 29 2 33 7" xfId="25164"/>
    <cellStyle name="Normal 29 2 33 8" xfId="25165"/>
    <cellStyle name="Normal 29 2 33 9" xfId="25166"/>
    <cellStyle name="Normal 29 2 34" xfId="25167"/>
    <cellStyle name="Normal 29 2 34 10" xfId="25168"/>
    <cellStyle name="Normal 29 2 34 11" xfId="25169"/>
    <cellStyle name="Normal 29 2 34 12" xfId="25170"/>
    <cellStyle name="Normal 29 2 34 13" xfId="25171"/>
    <cellStyle name="Normal 29 2 34 2" xfId="25172"/>
    <cellStyle name="Normal 29 2 34 3" xfId="25173"/>
    <cellStyle name="Normal 29 2 34 4" xfId="25174"/>
    <cellStyle name="Normal 29 2 34 5" xfId="25175"/>
    <cellStyle name="Normal 29 2 34 6" xfId="25176"/>
    <cellStyle name="Normal 29 2 34 7" xfId="25177"/>
    <cellStyle name="Normal 29 2 34 8" xfId="25178"/>
    <cellStyle name="Normal 29 2 34 9" xfId="25179"/>
    <cellStyle name="Normal 29 2 35" xfId="25180"/>
    <cellStyle name="Normal 29 2 35 10" xfId="25181"/>
    <cellStyle name="Normal 29 2 35 11" xfId="25182"/>
    <cellStyle name="Normal 29 2 35 12" xfId="25183"/>
    <cellStyle name="Normal 29 2 35 13" xfId="25184"/>
    <cellStyle name="Normal 29 2 35 2" xfId="25185"/>
    <cellStyle name="Normal 29 2 35 3" xfId="25186"/>
    <cellStyle name="Normal 29 2 35 4" xfId="25187"/>
    <cellStyle name="Normal 29 2 35 5" xfId="25188"/>
    <cellStyle name="Normal 29 2 35 6" xfId="25189"/>
    <cellStyle name="Normal 29 2 35 7" xfId="25190"/>
    <cellStyle name="Normal 29 2 35 8" xfId="25191"/>
    <cellStyle name="Normal 29 2 35 9" xfId="25192"/>
    <cellStyle name="Normal 29 2 36" xfId="25193"/>
    <cellStyle name="Normal 29 2 36 10" xfId="25194"/>
    <cellStyle name="Normal 29 2 36 11" xfId="25195"/>
    <cellStyle name="Normal 29 2 36 12" xfId="25196"/>
    <cellStyle name="Normal 29 2 36 13" xfId="25197"/>
    <cellStyle name="Normal 29 2 36 2" xfId="25198"/>
    <cellStyle name="Normal 29 2 36 3" xfId="25199"/>
    <cellStyle name="Normal 29 2 36 4" xfId="25200"/>
    <cellStyle name="Normal 29 2 36 5" xfId="25201"/>
    <cellStyle name="Normal 29 2 36 6" xfId="25202"/>
    <cellStyle name="Normal 29 2 36 7" xfId="25203"/>
    <cellStyle name="Normal 29 2 36 8" xfId="25204"/>
    <cellStyle name="Normal 29 2 36 9" xfId="25205"/>
    <cellStyle name="Normal 29 2 37" xfId="25206"/>
    <cellStyle name="Normal 29 2 37 10" xfId="25207"/>
    <cellStyle name="Normal 29 2 37 11" xfId="25208"/>
    <cellStyle name="Normal 29 2 37 12" xfId="25209"/>
    <cellStyle name="Normal 29 2 37 13" xfId="25210"/>
    <cellStyle name="Normal 29 2 37 2" xfId="25211"/>
    <cellStyle name="Normal 29 2 37 3" xfId="25212"/>
    <cellStyle name="Normal 29 2 37 4" xfId="25213"/>
    <cellStyle name="Normal 29 2 37 5" xfId="25214"/>
    <cellStyle name="Normal 29 2 37 6" xfId="25215"/>
    <cellStyle name="Normal 29 2 37 7" xfId="25216"/>
    <cellStyle name="Normal 29 2 37 8" xfId="25217"/>
    <cellStyle name="Normal 29 2 37 9" xfId="25218"/>
    <cellStyle name="Normal 29 2 38" xfId="25219"/>
    <cellStyle name="Normal 29 2 38 10" xfId="25220"/>
    <cellStyle name="Normal 29 2 38 11" xfId="25221"/>
    <cellStyle name="Normal 29 2 38 12" xfId="25222"/>
    <cellStyle name="Normal 29 2 38 13" xfId="25223"/>
    <cellStyle name="Normal 29 2 38 2" xfId="25224"/>
    <cellStyle name="Normal 29 2 38 3" xfId="25225"/>
    <cellStyle name="Normal 29 2 38 4" xfId="25226"/>
    <cellStyle name="Normal 29 2 38 5" xfId="25227"/>
    <cellStyle name="Normal 29 2 38 6" xfId="25228"/>
    <cellStyle name="Normal 29 2 38 7" xfId="25229"/>
    <cellStyle name="Normal 29 2 38 8" xfId="25230"/>
    <cellStyle name="Normal 29 2 38 9" xfId="25231"/>
    <cellStyle name="Normal 29 2 39" xfId="25232"/>
    <cellStyle name="Normal 29 2 39 10" xfId="25233"/>
    <cellStyle name="Normal 29 2 39 11" xfId="25234"/>
    <cellStyle name="Normal 29 2 39 12" xfId="25235"/>
    <cellStyle name="Normal 29 2 39 13" xfId="25236"/>
    <cellStyle name="Normal 29 2 39 2" xfId="25237"/>
    <cellStyle name="Normal 29 2 39 3" xfId="25238"/>
    <cellStyle name="Normal 29 2 39 4" xfId="25239"/>
    <cellStyle name="Normal 29 2 39 5" xfId="25240"/>
    <cellStyle name="Normal 29 2 39 6" xfId="25241"/>
    <cellStyle name="Normal 29 2 39 7" xfId="25242"/>
    <cellStyle name="Normal 29 2 39 8" xfId="25243"/>
    <cellStyle name="Normal 29 2 39 9" xfId="25244"/>
    <cellStyle name="Normal 29 2 4" xfId="25245"/>
    <cellStyle name="Normal 29 2 4 10" xfId="25246"/>
    <cellStyle name="Normal 29 2 4 11" xfId="25247"/>
    <cellStyle name="Normal 29 2 4 12" xfId="25248"/>
    <cellStyle name="Normal 29 2 4 13" xfId="25249"/>
    <cellStyle name="Normal 29 2 4 2" xfId="25250"/>
    <cellStyle name="Normal 29 2 4 3" xfId="25251"/>
    <cellStyle name="Normal 29 2 4 4" xfId="25252"/>
    <cellStyle name="Normal 29 2 4 5" xfId="25253"/>
    <cellStyle name="Normal 29 2 4 6" xfId="25254"/>
    <cellStyle name="Normal 29 2 4 7" xfId="25255"/>
    <cellStyle name="Normal 29 2 4 8" xfId="25256"/>
    <cellStyle name="Normal 29 2 4 9" xfId="25257"/>
    <cellStyle name="Normal 29 2 40" xfId="25258"/>
    <cellStyle name="Normal 29 2 40 10" xfId="25259"/>
    <cellStyle name="Normal 29 2 40 11" xfId="25260"/>
    <cellStyle name="Normal 29 2 40 12" xfId="25261"/>
    <cellStyle name="Normal 29 2 40 13" xfId="25262"/>
    <cellStyle name="Normal 29 2 40 2" xfId="25263"/>
    <cellStyle name="Normal 29 2 40 3" xfId="25264"/>
    <cellStyle name="Normal 29 2 40 4" xfId="25265"/>
    <cellStyle name="Normal 29 2 40 5" xfId="25266"/>
    <cellStyle name="Normal 29 2 40 6" xfId="25267"/>
    <cellStyle name="Normal 29 2 40 7" xfId="25268"/>
    <cellStyle name="Normal 29 2 40 8" xfId="25269"/>
    <cellStyle name="Normal 29 2 40 9" xfId="25270"/>
    <cellStyle name="Normal 29 2 41" xfId="25271"/>
    <cellStyle name="Normal 29 2 41 10" xfId="25272"/>
    <cellStyle name="Normal 29 2 41 11" xfId="25273"/>
    <cellStyle name="Normal 29 2 41 12" xfId="25274"/>
    <cellStyle name="Normal 29 2 41 13" xfId="25275"/>
    <cellStyle name="Normal 29 2 41 2" xfId="25276"/>
    <cellStyle name="Normal 29 2 41 3" xfId="25277"/>
    <cellStyle name="Normal 29 2 41 4" xfId="25278"/>
    <cellStyle name="Normal 29 2 41 5" xfId="25279"/>
    <cellStyle name="Normal 29 2 41 6" xfId="25280"/>
    <cellStyle name="Normal 29 2 41 7" xfId="25281"/>
    <cellStyle name="Normal 29 2 41 8" xfId="25282"/>
    <cellStyle name="Normal 29 2 41 9" xfId="25283"/>
    <cellStyle name="Normal 29 2 42" xfId="25284"/>
    <cellStyle name="Normal 29 2 42 10" xfId="25285"/>
    <cellStyle name="Normal 29 2 42 11" xfId="25286"/>
    <cellStyle name="Normal 29 2 42 12" xfId="25287"/>
    <cellStyle name="Normal 29 2 42 13" xfId="25288"/>
    <cellStyle name="Normal 29 2 42 2" xfId="25289"/>
    <cellStyle name="Normal 29 2 42 3" xfId="25290"/>
    <cellStyle name="Normal 29 2 42 4" xfId="25291"/>
    <cellStyle name="Normal 29 2 42 5" xfId="25292"/>
    <cellStyle name="Normal 29 2 42 6" xfId="25293"/>
    <cellStyle name="Normal 29 2 42 7" xfId="25294"/>
    <cellStyle name="Normal 29 2 42 8" xfId="25295"/>
    <cellStyle name="Normal 29 2 42 9" xfId="25296"/>
    <cellStyle name="Normal 29 2 43" xfId="25297"/>
    <cellStyle name="Normal 29 2 43 10" xfId="25298"/>
    <cellStyle name="Normal 29 2 43 11" xfId="25299"/>
    <cellStyle name="Normal 29 2 43 12" xfId="25300"/>
    <cellStyle name="Normal 29 2 43 13" xfId="25301"/>
    <cellStyle name="Normal 29 2 43 2" xfId="25302"/>
    <cellStyle name="Normal 29 2 43 3" xfId="25303"/>
    <cellStyle name="Normal 29 2 43 4" xfId="25304"/>
    <cellStyle name="Normal 29 2 43 5" xfId="25305"/>
    <cellStyle name="Normal 29 2 43 6" xfId="25306"/>
    <cellStyle name="Normal 29 2 43 7" xfId="25307"/>
    <cellStyle name="Normal 29 2 43 8" xfId="25308"/>
    <cellStyle name="Normal 29 2 43 9" xfId="25309"/>
    <cellStyle name="Normal 29 2 44" xfId="25310"/>
    <cellStyle name="Normal 29 2 44 10" xfId="25311"/>
    <cellStyle name="Normal 29 2 44 11" xfId="25312"/>
    <cellStyle name="Normal 29 2 44 12" xfId="25313"/>
    <cellStyle name="Normal 29 2 44 13" xfId="25314"/>
    <cellStyle name="Normal 29 2 44 2" xfId="25315"/>
    <cellStyle name="Normal 29 2 44 3" xfId="25316"/>
    <cellStyle name="Normal 29 2 44 4" xfId="25317"/>
    <cellStyle name="Normal 29 2 44 5" xfId="25318"/>
    <cellStyle name="Normal 29 2 44 6" xfId="25319"/>
    <cellStyle name="Normal 29 2 44 7" xfId="25320"/>
    <cellStyle name="Normal 29 2 44 8" xfId="25321"/>
    <cellStyle name="Normal 29 2 44 9" xfId="25322"/>
    <cellStyle name="Normal 29 2 45" xfId="25323"/>
    <cellStyle name="Normal 29 2 45 10" xfId="25324"/>
    <cellStyle name="Normal 29 2 45 11" xfId="25325"/>
    <cellStyle name="Normal 29 2 45 12" xfId="25326"/>
    <cellStyle name="Normal 29 2 45 13" xfId="25327"/>
    <cellStyle name="Normal 29 2 45 2" xfId="25328"/>
    <cellStyle name="Normal 29 2 45 3" xfId="25329"/>
    <cellStyle name="Normal 29 2 45 4" xfId="25330"/>
    <cellStyle name="Normal 29 2 45 5" xfId="25331"/>
    <cellStyle name="Normal 29 2 45 6" xfId="25332"/>
    <cellStyle name="Normal 29 2 45 7" xfId="25333"/>
    <cellStyle name="Normal 29 2 45 8" xfId="25334"/>
    <cellStyle name="Normal 29 2 45 9" xfId="25335"/>
    <cellStyle name="Normal 29 2 46" xfId="25336"/>
    <cellStyle name="Normal 29 2 46 10" xfId="25337"/>
    <cellStyle name="Normal 29 2 46 11" xfId="25338"/>
    <cellStyle name="Normal 29 2 46 12" xfId="25339"/>
    <cellStyle name="Normal 29 2 46 13" xfId="25340"/>
    <cellStyle name="Normal 29 2 46 2" xfId="25341"/>
    <cellStyle name="Normal 29 2 46 3" xfId="25342"/>
    <cellStyle name="Normal 29 2 46 4" xfId="25343"/>
    <cellStyle name="Normal 29 2 46 5" xfId="25344"/>
    <cellStyle name="Normal 29 2 46 6" xfId="25345"/>
    <cellStyle name="Normal 29 2 46 7" xfId="25346"/>
    <cellStyle name="Normal 29 2 46 8" xfId="25347"/>
    <cellStyle name="Normal 29 2 46 9" xfId="25348"/>
    <cellStyle name="Normal 29 2 47" xfId="25349"/>
    <cellStyle name="Normal 29 2 47 10" xfId="25350"/>
    <cellStyle name="Normal 29 2 47 11" xfId="25351"/>
    <cellStyle name="Normal 29 2 47 12" xfId="25352"/>
    <cellStyle name="Normal 29 2 47 13" xfId="25353"/>
    <cellStyle name="Normal 29 2 47 2" xfId="25354"/>
    <cellStyle name="Normal 29 2 47 3" xfId="25355"/>
    <cellStyle name="Normal 29 2 47 4" xfId="25356"/>
    <cellStyle name="Normal 29 2 47 5" xfId="25357"/>
    <cellStyle name="Normal 29 2 47 6" xfId="25358"/>
    <cellStyle name="Normal 29 2 47 7" xfId="25359"/>
    <cellStyle name="Normal 29 2 47 8" xfId="25360"/>
    <cellStyle name="Normal 29 2 47 9" xfId="25361"/>
    <cellStyle name="Normal 29 2 48" xfId="25362"/>
    <cellStyle name="Normal 29 2 48 10" xfId="25363"/>
    <cellStyle name="Normal 29 2 48 11" xfId="25364"/>
    <cellStyle name="Normal 29 2 48 12" xfId="25365"/>
    <cellStyle name="Normal 29 2 48 13" xfId="25366"/>
    <cellStyle name="Normal 29 2 48 2" xfId="25367"/>
    <cellStyle name="Normal 29 2 48 3" xfId="25368"/>
    <cellStyle name="Normal 29 2 48 4" xfId="25369"/>
    <cellStyle name="Normal 29 2 48 5" xfId="25370"/>
    <cellStyle name="Normal 29 2 48 6" xfId="25371"/>
    <cellStyle name="Normal 29 2 48 7" xfId="25372"/>
    <cellStyle name="Normal 29 2 48 8" xfId="25373"/>
    <cellStyle name="Normal 29 2 48 9" xfId="25374"/>
    <cellStyle name="Normal 29 2 49" xfId="25375"/>
    <cellStyle name="Normal 29 2 49 10" xfId="25376"/>
    <cellStyle name="Normal 29 2 49 11" xfId="25377"/>
    <cellStyle name="Normal 29 2 49 12" xfId="25378"/>
    <cellStyle name="Normal 29 2 49 13" xfId="25379"/>
    <cellStyle name="Normal 29 2 49 2" xfId="25380"/>
    <cellStyle name="Normal 29 2 49 3" xfId="25381"/>
    <cellStyle name="Normal 29 2 49 4" xfId="25382"/>
    <cellStyle name="Normal 29 2 49 5" xfId="25383"/>
    <cellStyle name="Normal 29 2 49 6" xfId="25384"/>
    <cellStyle name="Normal 29 2 49 7" xfId="25385"/>
    <cellStyle name="Normal 29 2 49 8" xfId="25386"/>
    <cellStyle name="Normal 29 2 49 9" xfId="25387"/>
    <cellStyle name="Normal 29 2 5" xfId="25388"/>
    <cellStyle name="Normal 29 2 5 10" xfId="25389"/>
    <cellStyle name="Normal 29 2 5 11" xfId="25390"/>
    <cellStyle name="Normal 29 2 5 12" xfId="25391"/>
    <cellStyle name="Normal 29 2 5 13" xfId="25392"/>
    <cellStyle name="Normal 29 2 5 2" xfId="25393"/>
    <cellStyle name="Normal 29 2 5 3" xfId="25394"/>
    <cellStyle name="Normal 29 2 5 4" xfId="25395"/>
    <cellStyle name="Normal 29 2 5 5" xfId="25396"/>
    <cellStyle name="Normal 29 2 5 6" xfId="25397"/>
    <cellStyle name="Normal 29 2 5 7" xfId="25398"/>
    <cellStyle name="Normal 29 2 5 8" xfId="25399"/>
    <cellStyle name="Normal 29 2 5 9" xfId="25400"/>
    <cellStyle name="Normal 29 2 50" xfId="25401"/>
    <cellStyle name="Normal 29 2 50 10" xfId="25402"/>
    <cellStyle name="Normal 29 2 50 11" xfId="25403"/>
    <cellStyle name="Normal 29 2 50 12" xfId="25404"/>
    <cellStyle name="Normal 29 2 50 13" xfId="25405"/>
    <cellStyle name="Normal 29 2 50 2" xfId="25406"/>
    <cellStyle name="Normal 29 2 50 3" xfId="25407"/>
    <cellStyle name="Normal 29 2 50 4" xfId="25408"/>
    <cellStyle name="Normal 29 2 50 5" xfId="25409"/>
    <cellStyle name="Normal 29 2 50 6" xfId="25410"/>
    <cellStyle name="Normal 29 2 50 7" xfId="25411"/>
    <cellStyle name="Normal 29 2 50 8" xfId="25412"/>
    <cellStyle name="Normal 29 2 50 9" xfId="25413"/>
    <cellStyle name="Normal 29 2 51" xfId="25414"/>
    <cellStyle name="Normal 29 2 51 10" xfId="25415"/>
    <cellStyle name="Normal 29 2 51 11" xfId="25416"/>
    <cellStyle name="Normal 29 2 51 12" xfId="25417"/>
    <cellStyle name="Normal 29 2 51 13" xfId="25418"/>
    <cellStyle name="Normal 29 2 51 2" xfId="25419"/>
    <cellStyle name="Normal 29 2 51 3" xfId="25420"/>
    <cellStyle name="Normal 29 2 51 4" xfId="25421"/>
    <cellStyle name="Normal 29 2 51 5" xfId="25422"/>
    <cellStyle name="Normal 29 2 51 6" xfId="25423"/>
    <cellStyle name="Normal 29 2 51 7" xfId="25424"/>
    <cellStyle name="Normal 29 2 51 8" xfId="25425"/>
    <cellStyle name="Normal 29 2 51 9" xfId="25426"/>
    <cellStyle name="Normal 29 2 52" xfId="25427"/>
    <cellStyle name="Normal 29 2 52 10" xfId="25428"/>
    <cellStyle name="Normal 29 2 52 11" xfId="25429"/>
    <cellStyle name="Normal 29 2 52 12" xfId="25430"/>
    <cellStyle name="Normal 29 2 52 13" xfId="25431"/>
    <cellStyle name="Normal 29 2 52 2" xfId="25432"/>
    <cellStyle name="Normal 29 2 52 3" xfId="25433"/>
    <cellStyle name="Normal 29 2 52 4" xfId="25434"/>
    <cellStyle name="Normal 29 2 52 5" xfId="25435"/>
    <cellStyle name="Normal 29 2 52 6" xfId="25436"/>
    <cellStyle name="Normal 29 2 52 7" xfId="25437"/>
    <cellStyle name="Normal 29 2 52 8" xfId="25438"/>
    <cellStyle name="Normal 29 2 52 9" xfId="25439"/>
    <cellStyle name="Normal 29 2 53" xfId="25440"/>
    <cellStyle name="Normal 29 2 53 10" xfId="25441"/>
    <cellStyle name="Normal 29 2 53 11" xfId="25442"/>
    <cellStyle name="Normal 29 2 53 12" xfId="25443"/>
    <cellStyle name="Normal 29 2 53 13" xfId="25444"/>
    <cellStyle name="Normal 29 2 53 2" xfId="25445"/>
    <cellStyle name="Normal 29 2 53 3" xfId="25446"/>
    <cellStyle name="Normal 29 2 53 4" xfId="25447"/>
    <cellStyle name="Normal 29 2 53 5" xfId="25448"/>
    <cellStyle name="Normal 29 2 53 6" xfId="25449"/>
    <cellStyle name="Normal 29 2 53 7" xfId="25450"/>
    <cellStyle name="Normal 29 2 53 8" xfId="25451"/>
    <cellStyle name="Normal 29 2 53 9" xfId="25452"/>
    <cellStyle name="Normal 29 2 54" xfId="25453"/>
    <cellStyle name="Normal 29 2 54 10" xfId="25454"/>
    <cellStyle name="Normal 29 2 54 11" xfId="25455"/>
    <cellStyle name="Normal 29 2 54 12" xfId="25456"/>
    <cellStyle name="Normal 29 2 54 13" xfId="25457"/>
    <cellStyle name="Normal 29 2 54 2" xfId="25458"/>
    <cellStyle name="Normal 29 2 54 3" xfId="25459"/>
    <cellStyle name="Normal 29 2 54 4" xfId="25460"/>
    <cellStyle name="Normal 29 2 54 5" xfId="25461"/>
    <cellStyle name="Normal 29 2 54 6" xfId="25462"/>
    <cellStyle name="Normal 29 2 54 7" xfId="25463"/>
    <cellStyle name="Normal 29 2 54 8" xfId="25464"/>
    <cellStyle name="Normal 29 2 54 9" xfId="25465"/>
    <cellStyle name="Normal 29 2 55" xfId="25466"/>
    <cellStyle name="Normal 29 2 55 10" xfId="25467"/>
    <cellStyle name="Normal 29 2 55 11" xfId="25468"/>
    <cellStyle name="Normal 29 2 55 12" xfId="25469"/>
    <cellStyle name="Normal 29 2 55 13" xfId="25470"/>
    <cellStyle name="Normal 29 2 55 2" xfId="25471"/>
    <cellStyle name="Normal 29 2 55 3" xfId="25472"/>
    <cellStyle name="Normal 29 2 55 4" xfId="25473"/>
    <cellStyle name="Normal 29 2 55 5" xfId="25474"/>
    <cellStyle name="Normal 29 2 55 6" xfId="25475"/>
    <cellStyle name="Normal 29 2 55 7" xfId="25476"/>
    <cellStyle name="Normal 29 2 55 8" xfId="25477"/>
    <cellStyle name="Normal 29 2 55 9" xfId="25478"/>
    <cellStyle name="Normal 29 2 56" xfId="25479"/>
    <cellStyle name="Normal 29 2 56 10" xfId="25480"/>
    <cellStyle name="Normal 29 2 56 11" xfId="25481"/>
    <cellStyle name="Normal 29 2 56 12" xfId="25482"/>
    <cellStyle name="Normal 29 2 56 13" xfId="25483"/>
    <cellStyle name="Normal 29 2 56 2" xfId="25484"/>
    <cellStyle name="Normal 29 2 56 3" xfId="25485"/>
    <cellStyle name="Normal 29 2 56 4" xfId="25486"/>
    <cellStyle name="Normal 29 2 56 5" xfId="25487"/>
    <cellStyle name="Normal 29 2 56 6" xfId="25488"/>
    <cellStyle name="Normal 29 2 56 7" xfId="25489"/>
    <cellStyle name="Normal 29 2 56 8" xfId="25490"/>
    <cellStyle name="Normal 29 2 56 9" xfId="25491"/>
    <cellStyle name="Normal 29 2 57" xfId="25492"/>
    <cellStyle name="Normal 29 2 57 10" xfId="25493"/>
    <cellStyle name="Normal 29 2 57 11" xfId="25494"/>
    <cellStyle name="Normal 29 2 57 12" xfId="25495"/>
    <cellStyle name="Normal 29 2 57 13" xfId="25496"/>
    <cellStyle name="Normal 29 2 57 2" xfId="25497"/>
    <cellStyle name="Normal 29 2 57 3" xfId="25498"/>
    <cellStyle name="Normal 29 2 57 4" xfId="25499"/>
    <cellStyle name="Normal 29 2 57 5" xfId="25500"/>
    <cellStyle name="Normal 29 2 57 6" xfId="25501"/>
    <cellStyle name="Normal 29 2 57 7" xfId="25502"/>
    <cellStyle name="Normal 29 2 57 8" xfId="25503"/>
    <cellStyle name="Normal 29 2 57 9" xfId="25504"/>
    <cellStyle name="Normal 29 2 58" xfId="25505"/>
    <cellStyle name="Normal 29 2 58 10" xfId="25506"/>
    <cellStyle name="Normal 29 2 58 11" xfId="25507"/>
    <cellStyle name="Normal 29 2 58 12" xfId="25508"/>
    <cellStyle name="Normal 29 2 58 13" xfId="25509"/>
    <cellStyle name="Normal 29 2 58 2" xfId="25510"/>
    <cellStyle name="Normal 29 2 58 3" xfId="25511"/>
    <cellStyle name="Normal 29 2 58 4" xfId="25512"/>
    <cellStyle name="Normal 29 2 58 5" xfId="25513"/>
    <cellStyle name="Normal 29 2 58 6" xfId="25514"/>
    <cellStyle name="Normal 29 2 58 7" xfId="25515"/>
    <cellStyle name="Normal 29 2 58 8" xfId="25516"/>
    <cellStyle name="Normal 29 2 58 9" xfId="25517"/>
    <cellStyle name="Normal 29 2 59" xfId="25518"/>
    <cellStyle name="Normal 29 2 59 10" xfId="25519"/>
    <cellStyle name="Normal 29 2 59 11" xfId="25520"/>
    <cellStyle name="Normal 29 2 59 12" xfId="25521"/>
    <cellStyle name="Normal 29 2 59 13" xfId="25522"/>
    <cellStyle name="Normal 29 2 59 2" xfId="25523"/>
    <cellStyle name="Normal 29 2 59 3" xfId="25524"/>
    <cellStyle name="Normal 29 2 59 4" xfId="25525"/>
    <cellStyle name="Normal 29 2 59 5" xfId="25526"/>
    <cellStyle name="Normal 29 2 59 6" xfId="25527"/>
    <cellStyle name="Normal 29 2 59 7" xfId="25528"/>
    <cellStyle name="Normal 29 2 59 8" xfId="25529"/>
    <cellStyle name="Normal 29 2 59 9" xfId="25530"/>
    <cellStyle name="Normal 29 2 6" xfId="25531"/>
    <cellStyle name="Normal 29 2 6 10" xfId="25532"/>
    <cellStyle name="Normal 29 2 6 11" xfId="25533"/>
    <cellStyle name="Normal 29 2 6 12" xfId="25534"/>
    <cellStyle name="Normal 29 2 6 13" xfId="25535"/>
    <cellStyle name="Normal 29 2 6 2" xfId="25536"/>
    <cellStyle name="Normal 29 2 6 3" xfId="25537"/>
    <cellStyle name="Normal 29 2 6 4" xfId="25538"/>
    <cellStyle name="Normal 29 2 6 5" xfId="25539"/>
    <cellStyle name="Normal 29 2 6 6" xfId="25540"/>
    <cellStyle name="Normal 29 2 6 7" xfId="25541"/>
    <cellStyle name="Normal 29 2 6 8" xfId="25542"/>
    <cellStyle name="Normal 29 2 6 9" xfId="25543"/>
    <cellStyle name="Normal 29 2 60" xfId="25544"/>
    <cellStyle name="Normal 29 2 60 10" xfId="25545"/>
    <cellStyle name="Normal 29 2 60 11" xfId="25546"/>
    <cellStyle name="Normal 29 2 60 12" xfId="25547"/>
    <cellStyle name="Normal 29 2 60 13" xfId="25548"/>
    <cellStyle name="Normal 29 2 60 2" xfId="25549"/>
    <cellStyle name="Normal 29 2 60 3" xfId="25550"/>
    <cellStyle name="Normal 29 2 60 4" xfId="25551"/>
    <cellStyle name="Normal 29 2 60 5" xfId="25552"/>
    <cellStyle name="Normal 29 2 60 6" xfId="25553"/>
    <cellStyle name="Normal 29 2 60 7" xfId="25554"/>
    <cellStyle name="Normal 29 2 60 8" xfId="25555"/>
    <cellStyle name="Normal 29 2 60 9" xfId="25556"/>
    <cellStyle name="Normal 29 2 61" xfId="25557"/>
    <cellStyle name="Normal 29 2 61 10" xfId="25558"/>
    <cellStyle name="Normal 29 2 61 11" xfId="25559"/>
    <cellStyle name="Normal 29 2 61 12" xfId="25560"/>
    <cellStyle name="Normal 29 2 61 13" xfId="25561"/>
    <cellStyle name="Normal 29 2 61 2" xfId="25562"/>
    <cellStyle name="Normal 29 2 61 3" xfId="25563"/>
    <cellStyle name="Normal 29 2 61 4" xfId="25564"/>
    <cellStyle name="Normal 29 2 61 5" xfId="25565"/>
    <cellStyle name="Normal 29 2 61 6" xfId="25566"/>
    <cellStyle name="Normal 29 2 61 7" xfId="25567"/>
    <cellStyle name="Normal 29 2 61 8" xfId="25568"/>
    <cellStyle name="Normal 29 2 61 9" xfId="25569"/>
    <cellStyle name="Normal 29 2 62" xfId="25570"/>
    <cellStyle name="Normal 29 2 62 10" xfId="25571"/>
    <cellStyle name="Normal 29 2 62 11" xfId="25572"/>
    <cellStyle name="Normal 29 2 62 12" xfId="25573"/>
    <cellStyle name="Normal 29 2 62 13" xfId="25574"/>
    <cellStyle name="Normal 29 2 62 2" xfId="25575"/>
    <cellStyle name="Normal 29 2 62 3" xfId="25576"/>
    <cellStyle name="Normal 29 2 62 4" xfId="25577"/>
    <cellStyle name="Normal 29 2 62 5" xfId="25578"/>
    <cellStyle name="Normal 29 2 62 6" xfId="25579"/>
    <cellStyle name="Normal 29 2 62 7" xfId="25580"/>
    <cellStyle name="Normal 29 2 62 8" xfId="25581"/>
    <cellStyle name="Normal 29 2 62 9" xfId="25582"/>
    <cellStyle name="Normal 29 2 63" xfId="25583"/>
    <cellStyle name="Normal 29 2 63 10" xfId="25584"/>
    <cellStyle name="Normal 29 2 63 11" xfId="25585"/>
    <cellStyle name="Normal 29 2 63 12" xfId="25586"/>
    <cellStyle name="Normal 29 2 63 13" xfId="25587"/>
    <cellStyle name="Normal 29 2 63 2" xfId="25588"/>
    <cellStyle name="Normal 29 2 63 3" xfId="25589"/>
    <cellStyle name="Normal 29 2 63 4" xfId="25590"/>
    <cellStyle name="Normal 29 2 63 5" xfId="25591"/>
    <cellStyle name="Normal 29 2 63 6" xfId="25592"/>
    <cellStyle name="Normal 29 2 63 7" xfId="25593"/>
    <cellStyle name="Normal 29 2 63 8" xfId="25594"/>
    <cellStyle name="Normal 29 2 63 9" xfId="25595"/>
    <cellStyle name="Normal 29 2 64" xfId="25596"/>
    <cellStyle name="Normal 29 2 64 10" xfId="25597"/>
    <cellStyle name="Normal 29 2 64 11" xfId="25598"/>
    <cellStyle name="Normal 29 2 64 12" xfId="25599"/>
    <cellStyle name="Normal 29 2 64 13" xfId="25600"/>
    <cellStyle name="Normal 29 2 64 2" xfId="25601"/>
    <cellStyle name="Normal 29 2 64 3" xfId="25602"/>
    <cellStyle name="Normal 29 2 64 4" xfId="25603"/>
    <cellStyle name="Normal 29 2 64 5" xfId="25604"/>
    <cellStyle name="Normal 29 2 64 6" xfId="25605"/>
    <cellStyle name="Normal 29 2 64 7" xfId="25606"/>
    <cellStyle name="Normal 29 2 64 8" xfId="25607"/>
    <cellStyle name="Normal 29 2 64 9" xfId="25608"/>
    <cellStyle name="Normal 29 2 65" xfId="25609"/>
    <cellStyle name="Normal 29 2 65 10" xfId="25610"/>
    <cellStyle name="Normal 29 2 65 11" xfId="25611"/>
    <cellStyle name="Normal 29 2 65 12" xfId="25612"/>
    <cellStyle name="Normal 29 2 65 13" xfId="25613"/>
    <cellStyle name="Normal 29 2 65 2" xfId="25614"/>
    <cellStyle name="Normal 29 2 65 3" xfId="25615"/>
    <cellStyle name="Normal 29 2 65 4" xfId="25616"/>
    <cellStyle name="Normal 29 2 65 5" xfId="25617"/>
    <cellStyle name="Normal 29 2 65 6" xfId="25618"/>
    <cellStyle name="Normal 29 2 65 7" xfId="25619"/>
    <cellStyle name="Normal 29 2 65 8" xfId="25620"/>
    <cellStyle name="Normal 29 2 65 9" xfId="25621"/>
    <cellStyle name="Normal 29 2 66" xfId="25622"/>
    <cellStyle name="Normal 29 2 66 10" xfId="25623"/>
    <cellStyle name="Normal 29 2 66 11" xfId="25624"/>
    <cellStyle name="Normal 29 2 66 12" xfId="25625"/>
    <cellStyle name="Normal 29 2 66 13" xfId="25626"/>
    <cellStyle name="Normal 29 2 66 2" xfId="25627"/>
    <cellStyle name="Normal 29 2 66 3" xfId="25628"/>
    <cellStyle name="Normal 29 2 66 4" xfId="25629"/>
    <cellStyle name="Normal 29 2 66 5" xfId="25630"/>
    <cellStyle name="Normal 29 2 66 6" xfId="25631"/>
    <cellStyle name="Normal 29 2 66 7" xfId="25632"/>
    <cellStyle name="Normal 29 2 66 8" xfId="25633"/>
    <cellStyle name="Normal 29 2 66 9" xfId="25634"/>
    <cellStyle name="Normal 29 2 67" xfId="25635"/>
    <cellStyle name="Normal 29 2 67 10" xfId="25636"/>
    <cellStyle name="Normal 29 2 67 11" xfId="25637"/>
    <cellStyle name="Normal 29 2 67 12" xfId="25638"/>
    <cellStyle name="Normal 29 2 67 13" xfId="25639"/>
    <cellStyle name="Normal 29 2 67 2" xfId="25640"/>
    <cellStyle name="Normal 29 2 67 3" xfId="25641"/>
    <cellStyle name="Normal 29 2 67 4" xfId="25642"/>
    <cellStyle name="Normal 29 2 67 5" xfId="25643"/>
    <cellStyle name="Normal 29 2 67 6" xfId="25644"/>
    <cellStyle name="Normal 29 2 67 7" xfId="25645"/>
    <cellStyle name="Normal 29 2 67 8" xfId="25646"/>
    <cellStyle name="Normal 29 2 67 9" xfId="25647"/>
    <cellStyle name="Normal 29 2 68" xfId="25648"/>
    <cellStyle name="Normal 29 2 68 10" xfId="25649"/>
    <cellStyle name="Normal 29 2 68 11" xfId="25650"/>
    <cellStyle name="Normal 29 2 68 12" xfId="25651"/>
    <cellStyle name="Normal 29 2 68 13" xfId="25652"/>
    <cellStyle name="Normal 29 2 68 2" xfId="25653"/>
    <cellStyle name="Normal 29 2 68 3" xfId="25654"/>
    <cellStyle name="Normal 29 2 68 4" xfId="25655"/>
    <cellStyle name="Normal 29 2 68 5" xfId="25656"/>
    <cellStyle name="Normal 29 2 68 6" xfId="25657"/>
    <cellStyle name="Normal 29 2 68 7" xfId="25658"/>
    <cellStyle name="Normal 29 2 68 8" xfId="25659"/>
    <cellStyle name="Normal 29 2 68 9" xfId="25660"/>
    <cellStyle name="Normal 29 2 69" xfId="25661"/>
    <cellStyle name="Normal 29 2 69 10" xfId="25662"/>
    <cellStyle name="Normal 29 2 69 11" xfId="25663"/>
    <cellStyle name="Normal 29 2 69 12" xfId="25664"/>
    <cellStyle name="Normal 29 2 69 13" xfId="25665"/>
    <cellStyle name="Normal 29 2 69 2" xfId="25666"/>
    <cellStyle name="Normal 29 2 69 3" xfId="25667"/>
    <cellStyle name="Normal 29 2 69 4" xfId="25668"/>
    <cellStyle name="Normal 29 2 69 5" xfId="25669"/>
    <cellStyle name="Normal 29 2 69 6" xfId="25670"/>
    <cellStyle name="Normal 29 2 69 7" xfId="25671"/>
    <cellStyle name="Normal 29 2 69 8" xfId="25672"/>
    <cellStyle name="Normal 29 2 69 9" xfId="25673"/>
    <cellStyle name="Normal 29 2 7" xfId="25674"/>
    <cellStyle name="Normal 29 2 7 10" xfId="25675"/>
    <cellStyle name="Normal 29 2 7 11" xfId="25676"/>
    <cellStyle name="Normal 29 2 7 12" xfId="25677"/>
    <cellStyle name="Normal 29 2 7 13" xfId="25678"/>
    <cellStyle name="Normal 29 2 7 2" xfId="25679"/>
    <cellStyle name="Normal 29 2 7 3" xfId="25680"/>
    <cellStyle name="Normal 29 2 7 4" xfId="25681"/>
    <cellStyle name="Normal 29 2 7 5" xfId="25682"/>
    <cellStyle name="Normal 29 2 7 6" xfId="25683"/>
    <cellStyle name="Normal 29 2 7 7" xfId="25684"/>
    <cellStyle name="Normal 29 2 7 8" xfId="25685"/>
    <cellStyle name="Normal 29 2 7 9" xfId="25686"/>
    <cellStyle name="Normal 29 2 70" xfId="25687"/>
    <cellStyle name="Normal 29 2 70 10" xfId="25688"/>
    <cellStyle name="Normal 29 2 70 11" xfId="25689"/>
    <cellStyle name="Normal 29 2 70 12" xfId="25690"/>
    <cellStyle name="Normal 29 2 70 13" xfId="25691"/>
    <cellStyle name="Normal 29 2 70 2" xfId="25692"/>
    <cellStyle name="Normal 29 2 70 3" xfId="25693"/>
    <cellStyle name="Normal 29 2 70 4" xfId="25694"/>
    <cellStyle name="Normal 29 2 70 5" xfId="25695"/>
    <cellStyle name="Normal 29 2 70 6" xfId="25696"/>
    <cellStyle name="Normal 29 2 70 7" xfId="25697"/>
    <cellStyle name="Normal 29 2 70 8" xfId="25698"/>
    <cellStyle name="Normal 29 2 70 9" xfId="25699"/>
    <cellStyle name="Normal 29 2 71" xfId="25700"/>
    <cellStyle name="Normal 29 2 71 10" xfId="25701"/>
    <cellStyle name="Normal 29 2 71 11" xfId="25702"/>
    <cellStyle name="Normal 29 2 71 12" xfId="25703"/>
    <cellStyle name="Normal 29 2 71 13" xfId="25704"/>
    <cellStyle name="Normal 29 2 71 2" xfId="25705"/>
    <cellStyle name="Normal 29 2 71 3" xfId="25706"/>
    <cellStyle name="Normal 29 2 71 4" xfId="25707"/>
    <cellStyle name="Normal 29 2 71 5" xfId="25708"/>
    <cellStyle name="Normal 29 2 71 6" xfId="25709"/>
    <cellStyle name="Normal 29 2 71 7" xfId="25710"/>
    <cellStyle name="Normal 29 2 71 8" xfId="25711"/>
    <cellStyle name="Normal 29 2 71 9" xfId="25712"/>
    <cellStyle name="Normal 29 2 72" xfId="25713"/>
    <cellStyle name="Normal 29 2 73" xfId="25714"/>
    <cellStyle name="Normal 29 2 74" xfId="25715"/>
    <cellStyle name="Normal 29 2 75" xfId="25716"/>
    <cellStyle name="Normal 29 2 76" xfId="25717"/>
    <cellStyle name="Normal 29 2 77" xfId="25718"/>
    <cellStyle name="Normal 29 2 78" xfId="25719"/>
    <cellStyle name="Normal 29 2 79" xfId="25720"/>
    <cellStyle name="Normal 29 2 8" xfId="25721"/>
    <cellStyle name="Normal 29 2 8 10" xfId="25722"/>
    <cellStyle name="Normal 29 2 8 11" xfId="25723"/>
    <cellStyle name="Normal 29 2 8 12" xfId="25724"/>
    <cellStyle name="Normal 29 2 8 13" xfId="25725"/>
    <cellStyle name="Normal 29 2 8 2" xfId="25726"/>
    <cellStyle name="Normal 29 2 8 3" xfId="25727"/>
    <cellStyle name="Normal 29 2 8 4" xfId="25728"/>
    <cellStyle name="Normal 29 2 8 5" xfId="25729"/>
    <cellStyle name="Normal 29 2 8 6" xfId="25730"/>
    <cellStyle name="Normal 29 2 8 7" xfId="25731"/>
    <cellStyle name="Normal 29 2 8 8" xfId="25732"/>
    <cellStyle name="Normal 29 2 8 9" xfId="25733"/>
    <cellStyle name="Normal 29 2 80" xfId="25734"/>
    <cellStyle name="Normal 29 2 81" xfId="25735"/>
    <cellStyle name="Normal 29 2 82" xfId="25736"/>
    <cellStyle name="Normal 29 2 83" xfId="25737"/>
    <cellStyle name="Normal 29 2 9" xfId="25738"/>
    <cellStyle name="Normal 29 2 9 10" xfId="25739"/>
    <cellStyle name="Normal 29 2 9 11" xfId="25740"/>
    <cellStyle name="Normal 29 2 9 12" xfId="25741"/>
    <cellStyle name="Normal 29 2 9 13" xfId="25742"/>
    <cellStyle name="Normal 29 2 9 2" xfId="25743"/>
    <cellStyle name="Normal 29 2 9 3" xfId="25744"/>
    <cellStyle name="Normal 29 2 9 4" xfId="25745"/>
    <cellStyle name="Normal 29 2 9 5" xfId="25746"/>
    <cellStyle name="Normal 29 2 9 6" xfId="25747"/>
    <cellStyle name="Normal 29 2 9 7" xfId="25748"/>
    <cellStyle name="Normal 29 2 9 8" xfId="25749"/>
    <cellStyle name="Normal 29 2 9 9" xfId="25750"/>
    <cellStyle name="Normal 29 20" xfId="25751"/>
    <cellStyle name="Normal 29 20 10" xfId="25752"/>
    <cellStyle name="Normal 29 20 11" xfId="25753"/>
    <cellStyle name="Normal 29 20 12" xfId="25754"/>
    <cellStyle name="Normal 29 20 13" xfId="25755"/>
    <cellStyle name="Normal 29 20 2" xfId="25756"/>
    <cellStyle name="Normal 29 20 3" xfId="25757"/>
    <cellStyle name="Normal 29 20 4" xfId="25758"/>
    <cellStyle name="Normal 29 20 5" xfId="25759"/>
    <cellStyle name="Normal 29 20 6" xfId="25760"/>
    <cellStyle name="Normal 29 20 7" xfId="25761"/>
    <cellStyle name="Normal 29 20 8" xfId="25762"/>
    <cellStyle name="Normal 29 20 9" xfId="25763"/>
    <cellStyle name="Normal 29 21" xfId="25764"/>
    <cellStyle name="Normal 29 21 10" xfId="25765"/>
    <cellStyle name="Normal 29 21 11" xfId="25766"/>
    <cellStyle name="Normal 29 21 12" xfId="25767"/>
    <cellStyle name="Normal 29 21 13" xfId="25768"/>
    <cellStyle name="Normal 29 21 2" xfId="25769"/>
    <cellStyle name="Normal 29 21 3" xfId="25770"/>
    <cellStyle name="Normal 29 21 4" xfId="25771"/>
    <cellStyle name="Normal 29 21 5" xfId="25772"/>
    <cellStyle name="Normal 29 21 6" xfId="25773"/>
    <cellStyle name="Normal 29 21 7" xfId="25774"/>
    <cellStyle name="Normal 29 21 8" xfId="25775"/>
    <cellStyle name="Normal 29 21 9" xfId="25776"/>
    <cellStyle name="Normal 29 22" xfId="25777"/>
    <cellStyle name="Normal 29 22 10" xfId="25778"/>
    <cellStyle name="Normal 29 22 11" xfId="25779"/>
    <cellStyle name="Normal 29 22 12" xfId="25780"/>
    <cellStyle name="Normal 29 22 13" xfId="25781"/>
    <cellStyle name="Normal 29 22 2" xfId="25782"/>
    <cellStyle name="Normal 29 22 3" xfId="25783"/>
    <cellStyle name="Normal 29 22 4" xfId="25784"/>
    <cellStyle name="Normal 29 22 5" xfId="25785"/>
    <cellStyle name="Normal 29 22 6" xfId="25786"/>
    <cellStyle name="Normal 29 22 7" xfId="25787"/>
    <cellStyle name="Normal 29 22 8" xfId="25788"/>
    <cellStyle name="Normal 29 22 9" xfId="25789"/>
    <cellStyle name="Normal 29 23" xfId="25790"/>
    <cellStyle name="Normal 29 23 10" xfId="25791"/>
    <cellStyle name="Normal 29 23 11" xfId="25792"/>
    <cellStyle name="Normal 29 23 12" xfId="25793"/>
    <cellStyle name="Normal 29 23 13" xfId="25794"/>
    <cellStyle name="Normal 29 23 2" xfId="25795"/>
    <cellStyle name="Normal 29 23 3" xfId="25796"/>
    <cellStyle name="Normal 29 23 4" xfId="25797"/>
    <cellStyle name="Normal 29 23 5" xfId="25798"/>
    <cellStyle name="Normal 29 23 6" xfId="25799"/>
    <cellStyle name="Normal 29 23 7" xfId="25800"/>
    <cellStyle name="Normal 29 23 8" xfId="25801"/>
    <cellStyle name="Normal 29 23 9" xfId="25802"/>
    <cellStyle name="Normal 29 24" xfId="25803"/>
    <cellStyle name="Normal 29 24 10" xfId="25804"/>
    <cellStyle name="Normal 29 24 11" xfId="25805"/>
    <cellStyle name="Normal 29 24 12" xfId="25806"/>
    <cellStyle name="Normal 29 24 13" xfId="25807"/>
    <cellStyle name="Normal 29 24 2" xfId="25808"/>
    <cellStyle name="Normal 29 24 3" xfId="25809"/>
    <cellStyle name="Normal 29 24 4" xfId="25810"/>
    <cellStyle name="Normal 29 24 5" xfId="25811"/>
    <cellStyle name="Normal 29 24 6" xfId="25812"/>
    <cellStyle name="Normal 29 24 7" xfId="25813"/>
    <cellStyle name="Normal 29 24 8" xfId="25814"/>
    <cellStyle name="Normal 29 24 9" xfId="25815"/>
    <cellStyle name="Normal 29 25" xfId="25816"/>
    <cellStyle name="Normal 29 25 10" xfId="25817"/>
    <cellStyle name="Normal 29 25 11" xfId="25818"/>
    <cellStyle name="Normal 29 25 12" xfId="25819"/>
    <cellStyle name="Normal 29 25 13" xfId="25820"/>
    <cellStyle name="Normal 29 25 2" xfId="25821"/>
    <cellStyle name="Normal 29 25 3" xfId="25822"/>
    <cellStyle name="Normal 29 25 4" xfId="25823"/>
    <cellStyle name="Normal 29 25 5" xfId="25824"/>
    <cellStyle name="Normal 29 25 6" xfId="25825"/>
    <cellStyle name="Normal 29 25 7" xfId="25826"/>
    <cellStyle name="Normal 29 25 8" xfId="25827"/>
    <cellStyle name="Normal 29 25 9" xfId="25828"/>
    <cellStyle name="Normal 29 26" xfId="25829"/>
    <cellStyle name="Normal 29 26 10" xfId="25830"/>
    <cellStyle name="Normal 29 26 11" xfId="25831"/>
    <cellStyle name="Normal 29 26 12" xfId="25832"/>
    <cellStyle name="Normal 29 26 13" xfId="25833"/>
    <cellStyle name="Normal 29 26 2" xfId="25834"/>
    <cellStyle name="Normal 29 26 3" xfId="25835"/>
    <cellStyle name="Normal 29 26 4" xfId="25836"/>
    <cellStyle name="Normal 29 26 5" xfId="25837"/>
    <cellStyle name="Normal 29 26 6" xfId="25838"/>
    <cellStyle name="Normal 29 26 7" xfId="25839"/>
    <cellStyle name="Normal 29 26 8" xfId="25840"/>
    <cellStyle name="Normal 29 26 9" xfId="25841"/>
    <cellStyle name="Normal 29 27" xfId="25842"/>
    <cellStyle name="Normal 29 27 10" xfId="25843"/>
    <cellStyle name="Normal 29 27 11" xfId="25844"/>
    <cellStyle name="Normal 29 27 12" xfId="25845"/>
    <cellStyle name="Normal 29 27 13" xfId="25846"/>
    <cellStyle name="Normal 29 27 2" xfId="25847"/>
    <cellStyle name="Normal 29 27 3" xfId="25848"/>
    <cellStyle name="Normal 29 27 4" xfId="25849"/>
    <cellStyle name="Normal 29 27 5" xfId="25850"/>
    <cellStyle name="Normal 29 27 6" xfId="25851"/>
    <cellStyle name="Normal 29 27 7" xfId="25852"/>
    <cellStyle name="Normal 29 27 8" xfId="25853"/>
    <cellStyle name="Normal 29 27 9" xfId="25854"/>
    <cellStyle name="Normal 29 28" xfId="25855"/>
    <cellStyle name="Normal 29 28 10" xfId="25856"/>
    <cellStyle name="Normal 29 28 11" xfId="25857"/>
    <cellStyle name="Normal 29 28 12" xfId="25858"/>
    <cellStyle name="Normal 29 28 13" xfId="25859"/>
    <cellStyle name="Normal 29 28 2" xfId="25860"/>
    <cellStyle name="Normal 29 28 3" xfId="25861"/>
    <cellStyle name="Normal 29 28 4" xfId="25862"/>
    <cellStyle name="Normal 29 28 5" xfId="25863"/>
    <cellStyle name="Normal 29 28 6" xfId="25864"/>
    <cellStyle name="Normal 29 28 7" xfId="25865"/>
    <cellStyle name="Normal 29 28 8" xfId="25866"/>
    <cellStyle name="Normal 29 28 9" xfId="25867"/>
    <cellStyle name="Normal 29 29" xfId="25868"/>
    <cellStyle name="Normal 29 29 10" xfId="25869"/>
    <cellStyle name="Normal 29 29 11" xfId="25870"/>
    <cellStyle name="Normal 29 29 12" xfId="25871"/>
    <cellStyle name="Normal 29 29 13" xfId="25872"/>
    <cellStyle name="Normal 29 29 2" xfId="25873"/>
    <cellStyle name="Normal 29 29 3" xfId="25874"/>
    <cellStyle name="Normal 29 29 4" xfId="25875"/>
    <cellStyle name="Normal 29 29 5" xfId="25876"/>
    <cellStyle name="Normal 29 29 6" xfId="25877"/>
    <cellStyle name="Normal 29 29 7" xfId="25878"/>
    <cellStyle name="Normal 29 29 8" xfId="25879"/>
    <cellStyle name="Normal 29 29 9" xfId="25880"/>
    <cellStyle name="Normal 29 3" xfId="25881"/>
    <cellStyle name="Normal 29 3 10" xfId="25882"/>
    <cellStyle name="Normal 29 3 11" xfId="25883"/>
    <cellStyle name="Normal 29 3 12" xfId="25884"/>
    <cellStyle name="Normal 29 3 13" xfId="25885"/>
    <cellStyle name="Normal 29 3 2" xfId="25886"/>
    <cellStyle name="Normal 29 3 3" xfId="25887"/>
    <cellStyle name="Normal 29 3 4" xfId="25888"/>
    <cellStyle name="Normal 29 3 5" xfId="25889"/>
    <cellStyle name="Normal 29 3 6" xfId="25890"/>
    <cellStyle name="Normal 29 3 7" xfId="25891"/>
    <cellStyle name="Normal 29 3 8" xfId="25892"/>
    <cellStyle name="Normal 29 3 9" xfId="25893"/>
    <cellStyle name="Normal 29 30" xfId="25894"/>
    <cellStyle name="Normal 29 30 10" xfId="25895"/>
    <cellStyle name="Normal 29 30 11" xfId="25896"/>
    <cellStyle name="Normal 29 30 12" xfId="25897"/>
    <cellStyle name="Normal 29 30 13" xfId="25898"/>
    <cellStyle name="Normal 29 30 2" xfId="25899"/>
    <cellStyle name="Normal 29 30 3" xfId="25900"/>
    <cellStyle name="Normal 29 30 4" xfId="25901"/>
    <cellStyle name="Normal 29 30 5" xfId="25902"/>
    <cellStyle name="Normal 29 30 6" xfId="25903"/>
    <cellStyle name="Normal 29 30 7" xfId="25904"/>
    <cellStyle name="Normal 29 30 8" xfId="25905"/>
    <cellStyle name="Normal 29 30 9" xfId="25906"/>
    <cellStyle name="Normal 29 31" xfId="25907"/>
    <cellStyle name="Normal 29 31 10" xfId="25908"/>
    <cellStyle name="Normal 29 31 11" xfId="25909"/>
    <cellStyle name="Normal 29 31 12" xfId="25910"/>
    <cellStyle name="Normal 29 31 13" xfId="25911"/>
    <cellStyle name="Normal 29 31 2" xfId="25912"/>
    <cellStyle name="Normal 29 31 3" xfId="25913"/>
    <cellStyle name="Normal 29 31 4" xfId="25914"/>
    <cellStyle name="Normal 29 31 5" xfId="25915"/>
    <cellStyle name="Normal 29 31 6" xfId="25916"/>
    <cellStyle name="Normal 29 31 7" xfId="25917"/>
    <cellStyle name="Normal 29 31 8" xfId="25918"/>
    <cellStyle name="Normal 29 31 9" xfId="25919"/>
    <cellStyle name="Normal 29 32" xfId="25920"/>
    <cellStyle name="Normal 29 32 10" xfId="25921"/>
    <cellStyle name="Normal 29 32 11" xfId="25922"/>
    <cellStyle name="Normal 29 32 12" xfId="25923"/>
    <cellStyle name="Normal 29 32 13" xfId="25924"/>
    <cellStyle name="Normal 29 32 2" xfId="25925"/>
    <cellStyle name="Normal 29 32 3" xfId="25926"/>
    <cellStyle name="Normal 29 32 4" xfId="25927"/>
    <cellStyle name="Normal 29 32 5" xfId="25928"/>
    <cellStyle name="Normal 29 32 6" xfId="25929"/>
    <cellStyle name="Normal 29 32 7" xfId="25930"/>
    <cellStyle name="Normal 29 32 8" xfId="25931"/>
    <cellStyle name="Normal 29 32 9" xfId="25932"/>
    <cellStyle name="Normal 29 33" xfId="25933"/>
    <cellStyle name="Normal 29 33 10" xfId="25934"/>
    <cellStyle name="Normal 29 33 11" xfId="25935"/>
    <cellStyle name="Normal 29 33 12" xfId="25936"/>
    <cellStyle name="Normal 29 33 13" xfId="25937"/>
    <cellStyle name="Normal 29 33 2" xfId="25938"/>
    <cellStyle name="Normal 29 33 3" xfId="25939"/>
    <cellStyle name="Normal 29 33 4" xfId="25940"/>
    <cellStyle name="Normal 29 33 5" xfId="25941"/>
    <cellStyle name="Normal 29 33 6" xfId="25942"/>
    <cellStyle name="Normal 29 33 7" xfId="25943"/>
    <cellStyle name="Normal 29 33 8" xfId="25944"/>
    <cellStyle name="Normal 29 33 9" xfId="25945"/>
    <cellStyle name="Normal 29 34" xfId="25946"/>
    <cellStyle name="Normal 29 34 10" xfId="25947"/>
    <cellStyle name="Normal 29 34 11" xfId="25948"/>
    <cellStyle name="Normal 29 34 12" xfId="25949"/>
    <cellStyle name="Normal 29 34 13" xfId="25950"/>
    <cellStyle name="Normal 29 34 2" xfId="25951"/>
    <cellStyle name="Normal 29 34 3" xfId="25952"/>
    <cellStyle name="Normal 29 34 4" xfId="25953"/>
    <cellStyle name="Normal 29 34 5" xfId="25954"/>
    <cellStyle name="Normal 29 34 6" xfId="25955"/>
    <cellStyle name="Normal 29 34 7" xfId="25956"/>
    <cellStyle name="Normal 29 34 8" xfId="25957"/>
    <cellStyle name="Normal 29 34 9" xfId="25958"/>
    <cellStyle name="Normal 29 35" xfId="25959"/>
    <cellStyle name="Normal 29 35 10" xfId="25960"/>
    <cellStyle name="Normal 29 35 11" xfId="25961"/>
    <cellStyle name="Normal 29 35 12" xfId="25962"/>
    <cellStyle name="Normal 29 35 13" xfId="25963"/>
    <cellStyle name="Normal 29 35 2" xfId="25964"/>
    <cellStyle name="Normal 29 35 3" xfId="25965"/>
    <cellStyle name="Normal 29 35 4" xfId="25966"/>
    <cellStyle name="Normal 29 35 5" xfId="25967"/>
    <cellStyle name="Normal 29 35 6" xfId="25968"/>
    <cellStyle name="Normal 29 35 7" xfId="25969"/>
    <cellStyle name="Normal 29 35 8" xfId="25970"/>
    <cellStyle name="Normal 29 35 9" xfId="25971"/>
    <cellStyle name="Normal 29 36" xfId="25972"/>
    <cellStyle name="Normal 29 36 10" xfId="25973"/>
    <cellStyle name="Normal 29 36 11" xfId="25974"/>
    <cellStyle name="Normal 29 36 12" xfId="25975"/>
    <cellStyle name="Normal 29 36 13" xfId="25976"/>
    <cellStyle name="Normal 29 36 2" xfId="25977"/>
    <cellStyle name="Normal 29 36 3" xfId="25978"/>
    <cellStyle name="Normal 29 36 4" xfId="25979"/>
    <cellStyle name="Normal 29 36 5" xfId="25980"/>
    <cellStyle name="Normal 29 36 6" xfId="25981"/>
    <cellStyle name="Normal 29 36 7" xfId="25982"/>
    <cellStyle name="Normal 29 36 8" xfId="25983"/>
    <cellStyle name="Normal 29 36 9" xfId="25984"/>
    <cellStyle name="Normal 29 37" xfId="25985"/>
    <cellStyle name="Normal 29 37 10" xfId="25986"/>
    <cellStyle name="Normal 29 37 11" xfId="25987"/>
    <cellStyle name="Normal 29 37 12" xfId="25988"/>
    <cellStyle name="Normal 29 37 13" xfId="25989"/>
    <cellStyle name="Normal 29 37 2" xfId="25990"/>
    <cellStyle name="Normal 29 37 3" xfId="25991"/>
    <cellStyle name="Normal 29 37 4" xfId="25992"/>
    <cellStyle name="Normal 29 37 5" xfId="25993"/>
    <cellStyle name="Normal 29 37 6" xfId="25994"/>
    <cellStyle name="Normal 29 37 7" xfId="25995"/>
    <cellStyle name="Normal 29 37 8" xfId="25996"/>
    <cellStyle name="Normal 29 37 9" xfId="25997"/>
    <cellStyle name="Normal 29 38" xfId="25998"/>
    <cellStyle name="Normal 29 38 10" xfId="25999"/>
    <cellStyle name="Normal 29 38 11" xfId="26000"/>
    <cellStyle name="Normal 29 38 12" xfId="26001"/>
    <cellStyle name="Normal 29 38 13" xfId="26002"/>
    <cellStyle name="Normal 29 38 2" xfId="26003"/>
    <cellStyle name="Normal 29 38 3" xfId="26004"/>
    <cellStyle name="Normal 29 38 4" xfId="26005"/>
    <cellStyle name="Normal 29 38 5" xfId="26006"/>
    <cellStyle name="Normal 29 38 6" xfId="26007"/>
    <cellStyle name="Normal 29 38 7" xfId="26008"/>
    <cellStyle name="Normal 29 38 8" xfId="26009"/>
    <cellStyle name="Normal 29 38 9" xfId="26010"/>
    <cellStyle name="Normal 29 39" xfId="26011"/>
    <cellStyle name="Normal 29 39 10" xfId="26012"/>
    <cellStyle name="Normal 29 39 11" xfId="26013"/>
    <cellStyle name="Normal 29 39 12" xfId="26014"/>
    <cellStyle name="Normal 29 39 13" xfId="26015"/>
    <cellStyle name="Normal 29 39 2" xfId="26016"/>
    <cellStyle name="Normal 29 39 3" xfId="26017"/>
    <cellStyle name="Normal 29 39 4" xfId="26018"/>
    <cellStyle name="Normal 29 39 5" xfId="26019"/>
    <cellStyle name="Normal 29 39 6" xfId="26020"/>
    <cellStyle name="Normal 29 39 7" xfId="26021"/>
    <cellStyle name="Normal 29 39 8" xfId="26022"/>
    <cellStyle name="Normal 29 39 9" xfId="26023"/>
    <cellStyle name="Normal 29 4" xfId="26024"/>
    <cellStyle name="Normal 29 4 10" xfId="26025"/>
    <cellStyle name="Normal 29 4 11" xfId="26026"/>
    <cellStyle name="Normal 29 4 12" xfId="26027"/>
    <cellStyle name="Normal 29 4 13" xfId="26028"/>
    <cellStyle name="Normal 29 4 2" xfId="26029"/>
    <cellStyle name="Normal 29 4 3" xfId="26030"/>
    <cellStyle name="Normal 29 4 4" xfId="26031"/>
    <cellStyle name="Normal 29 4 5" xfId="26032"/>
    <cellStyle name="Normal 29 4 6" xfId="26033"/>
    <cellStyle name="Normal 29 4 7" xfId="26034"/>
    <cellStyle name="Normal 29 4 8" xfId="26035"/>
    <cellStyle name="Normal 29 4 9" xfId="26036"/>
    <cellStyle name="Normal 29 40" xfId="26037"/>
    <cellStyle name="Normal 29 40 10" xfId="26038"/>
    <cellStyle name="Normal 29 40 11" xfId="26039"/>
    <cellStyle name="Normal 29 40 12" xfId="26040"/>
    <cellStyle name="Normal 29 40 13" xfId="26041"/>
    <cellStyle name="Normal 29 40 2" xfId="26042"/>
    <cellStyle name="Normal 29 40 3" xfId="26043"/>
    <cellStyle name="Normal 29 40 4" xfId="26044"/>
    <cellStyle name="Normal 29 40 5" xfId="26045"/>
    <cellStyle name="Normal 29 40 6" xfId="26046"/>
    <cellStyle name="Normal 29 40 7" xfId="26047"/>
    <cellStyle name="Normal 29 40 8" xfId="26048"/>
    <cellStyle name="Normal 29 40 9" xfId="26049"/>
    <cellStyle name="Normal 29 41" xfId="26050"/>
    <cellStyle name="Normal 29 41 10" xfId="26051"/>
    <cellStyle name="Normal 29 41 11" xfId="26052"/>
    <cellStyle name="Normal 29 41 12" xfId="26053"/>
    <cellStyle name="Normal 29 41 13" xfId="26054"/>
    <cellStyle name="Normal 29 41 2" xfId="26055"/>
    <cellStyle name="Normal 29 41 3" xfId="26056"/>
    <cellStyle name="Normal 29 41 4" xfId="26057"/>
    <cellStyle name="Normal 29 41 5" xfId="26058"/>
    <cellStyle name="Normal 29 41 6" xfId="26059"/>
    <cellStyle name="Normal 29 41 7" xfId="26060"/>
    <cellStyle name="Normal 29 41 8" xfId="26061"/>
    <cellStyle name="Normal 29 41 9" xfId="26062"/>
    <cellStyle name="Normal 29 42" xfId="26063"/>
    <cellStyle name="Normal 29 42 10" xfId="26064"/>
    <cellStyle name="Normal 29 42 11" xfId="26065"/>
    <cellStyle name="Normal 29 42 12" xfId="26066"/>
    <cellStyle name="Normal 29 42 13" xfId="26067"/>
    <cellStyle name="Normal 29 42 2" xfId="26068"/>
    <cellStyle name="Normal 29 42 3" xfId="26069"/>
    <cellStyle name="Normal 29 42 4" xfId="26070"/>
    <cellStyle name="Normal 29 42 5" xfId="26071"/>
    <cellStyle name="Normal 29 42 6" xfId="26072"/>
    <cellStyle name="Normal 29 42 7" xfId="26073"/>
    <cellStyle name="Normal 29 42 8" xfId="26074"/>
    <cellStyle name="Normal 29 42 9" xfId="26075"/>
    <cellStyle name="Normal 29 43" xfId="26076"/>
    <cellStyle name="Normal 29 43 10" xfId="26077"/>
    <cellStyle name="Normal 29 43 11" xfId="26078"/>
    <cellStyle name="Normal 29 43 12" xfId="26079"/>
    <cellStyle name="Normal 29 43 13" xfId="26080"/>
    <cellStyle name="Normal 29 43 2" xfId="26081"/>
    <cellStyle name="Normal 29 43 3" xfId="26082"/>
    <cellStyle name="Normal 29 43 4" xfId="26083"/>
    <cellStyle name="Normal 29 43 5" xfId="26084"/>
    <cellStyle name="Normal 29 43 6" xfId="26085"/>
    <cellStyle name="Normal 29 43 7" xfId="26086"/>
    <cellStyle name="Normal 29 43 8" xfId="26087"/>
    <cellStyle name="Normal 29 43 9" xfId="26088"/>
    <cellStyle name="Normal 29 44" xfId="26089"/>
    <cellStyle name="Normal 29 44 10" xfId="26090"/>
    <cellStyle name="Normal 29 44 11" xfId="26091"/>
    <cellStyle name="Normal 29 44 12" xfId="26092"/>
    <cellStyle name="Normal 29 44 13" xfId="26093"/>
    <cellStyle name="Normal 29 44 2" xfId="26094"/>
    <cellStyle name="Normal 29 44 3" xfId="26095"/>
    <cellStyle name="Normal 29 44 4" xfId="26096"/>
    <cellStyle name="Normal 29 44 5" xfId="26097"/>
    <cellStyle name="Normal 29 44 6" xfId="26098"/>
    <cellStyle name="Normal 29 44 7" xfId="26099"/>
    <cellStyle name="Normal 29 44 8" xfId="26100"/>
    <cellStyle name="Normal 29 44 9" xfId="26101"/>
    <cellStyle name="Normal 29 45" xfId="26102"/>
    <cellStyle name="Normal 29 45 10" xfId="26103"/>
    <cellStyle name="Normal 29 45 11" xfId="26104"/>
    <cellStyle name="Normal 29 45 12" xfId="26105"/>
    <cellStyle name="Normal 29 45 13" xfId="26106"/>
    <cellStyle name="Normal 29 45 2" xfId="26107"/>
    <cellStyle name="Normal 29 45 3" xfId="26108"/>
    <cellStyle name="Normal 29 45 4" xfId="26109"/>
    <cellStyle name="Normal 29 45 5" xfId="26110"/>
    <cellStyle name="Normal 29 45 6" xfId="26111"/>
    <cellStyle name="Normal 29 45 7" xfId="26112"/>
    <cellStyle name="Normal 29 45 8" xfId="26113"/>
    <cellStyle name="Normal 29 45 9" xfId="26114"/>
    <cellStyle name="Normal 29 46" xfId="26115"/>
    <cellStyle name="Normal 29 46 10" xfId="26116"/>
    <cellStyle name="Normal 29 46 11" xfId="26117"/>
    <cellStyle name="Normal 29 46 12" xfId="26118"/>
    <cellStyle name="Normal 29 46 13" xfId="26119"/>
    <cellStyle name="Normal 29 46 2" xfId="26120"/>
    <cellStyle name="Normal 29 46 3" xfId="26121"/>
    <cellStyle name="Normal 29 46 4" xfId="26122"/>
    <cellStyle name="Normal 29 46 5" xfId="26123"/>
    <cellStyle name="Normal 29 46 6" xfId="26124"/>
    <cellStyle name="Normal 29 46 7" xfId="26125"/>
    <cellStyle name="Normal 29 46 8" xfId="26126"/>
    <cellStyle name="Normal 29 46 9" xfId="26127"/>
    <cellStyle name="Normal 29 47" xfId="26128"/>
    <cellStyle name="Normal 29 47 10" xfId="26129"/>
    <cellStyle name="Normal 29 47 11" xfId="26130"/>
    <cellStyle name="Normal 29 47 12" xfId="26131"/>
    <cellStyle name="Normal 29 47 13" xfId="26132"/>
    <cellStyle name="Normal 29 47 2" xfId="26133"/>
    <cellStyle name="Normal 29 47 3" xfId="26134"/>
    <cellStyle name="Normal 29 47 4" xfId="26135"/>
    <cellStyle name="Normal 29 47 5" xfId="26136"/>
    <cellStyle name="Normal 29 47 6" xfId="26137"/>
    <cellStyle name="Normal 29 47 7" xfId="26138"/>
    <cellStyle name="Normal 29 47 8" xfId="26139"/>
    <cellStyle name="Normal 29 47 9" xfId="26140"/>
    <cellStyle name="Normal 29 48" xfId="26141"/>
    <cellStyle name="Normal 29 48 10" xfId="26142"/>
    <cellStyle name="Normal 29 48 11" xfId="26143"/>
    <cellStyle name="Normal 29 48 12" xfId="26144"/>
    <cellStyle name="Normal 29 48 13" xfId="26145"/>
    <cellStyle name="Normal 29 48 2" xfId="26146"/>
    <cellStyle name="Normal 29 48 3" xfId="26147"/>
    <cellStyle name="Normal 29 48 4" xfId="26148"/>
    <cellStyle name="Normal 29 48 5" xfId="26149"/>
    <cellStyle name="Normal 29 48 6" xfId="26150"/>
    <cellStyle name="Normal 29 48 7" xfId="26151"/>
    <cellStyle name="Normal 29 48 8" xfId="26152"/>
    <cellStyle name="Normal 29 48 9" xfId="26153"/>
    <cellStyle name="Normal 29 49" xfId="26154"/>
    <cellStyle name="Normal 29 49 10" xfId="26155"/>
    <cellStyle name="Normal 29 49 11" xfId="26156"/>
    <cellStyle name="Normal 29 49 12" xfId="26157"/>
    <cellStyle name="Normal 29 49 13" xfId="26158"/>
    <cellStyle name="Normal 29 49 2" xfId="26159"/>
    <cellStyle name="Normal 29 49 3" xfId="26160"/>
    <cellStyle name="Normal 29 49 4" xfId="26161"/>
    <cellStyle name="Normal 29 49 5" xfId="26162"/>
    <cellStyle name="Normal 29 49 6" xfId="26163"/>
    <cellStyle name="Normal 29 49 7" xfId="26164"/>
    <cellStyle name="Normal 29 49 8" xfId="26165"/>
    <cellStyle name="Normal 29 49 9" xfId="26166"/>
    <cellStyle name="Normal 29 5" xfId="26167"/>
    <cellStyle name="Normal 29 5 10" xfId="26168"/>
    <cellStyle name="Normal 29 5 11" xfId="26169"/>
    <cellStyle name="Normal 29 5 12" xfId="26170"/>
    <cellStyle name="Normal 29 5 13" xfId="26171"/>
    <cellStyle name="Normal 29 5 2" xfId="26172"/>
    <cellStyle name="Normal 29 5 3" xfId="26173"/>
    <cellStyle name="Normal 29 5 4" xfId="26174"/>
    <cellStyle name="Normal 29 5 5" xfId="26175"/>
    <cellStyle name="Normal 29 5 6" xfId="26176"/>
    <cellStyle name="Normal 29 5 7" xfId="26177"/>
    <cellStyle name="Normal 29 5 8" xfId="26178"/>
    <cellStyle name="Normal 29 5 9" xfId="26179"/>
    <cellStyle name="Normal 29 50" xfId="26180"/>
    <cellStyle name="Normal 29 50 10" xfId="26181"/>
    <cellStyle name="Normal 29 50 11" xfId="26182"/>
    <cellStyle name="Normal 29 50 12" xfId="26183"/>
    <cellStyle name="Normal 29 50 13" xfId="26184"/>
    <cellStyle name="Normal 29 50 2" xfId="26185"/>
    <cellStyle name="Normal 29 50 3" xfId="26186"/>
    <cellStyle name="Normal 29 50 4" xfId="26187"/>
    <cellStyle name="Normal 29 50 5" xfId="26188"/>
    <cellStyle name="Normal 29 50 6" xfId="26189"/>
    <cellStyle name="Normal 29 50 7" xfId="26190"/>
    <cellStyle name="Normal 29 50 8" xfId="26191"/>
    <cellStyle name="Normal 29 50 9" xfId="26192"/>
    <cellStyle name="Normal 29 51" xfId="26193"/>
    <cellStyle name="Normal 29 51 10" xfId="26194"/>
    <cellStyle name="Normal 29 51 11" xfId="26195"/>
    <cellStyle name="Normal 29 51 12" xfId="26196"/>
    <cellStyle name="Normal 29 51 13" xfId="26197"/>
    <cellStyle name="Normal 29 51 2" xfId="26198"/>
    <cellStyle name="Normal 29 51 3" xfId="26199"/>
    <cellStyle name="Normal 29 51 4" xfId="26200"/>
    <cellStyle name="Normal 29 51 5" xfId="26201"/>
    <cellStyle name="Normal 29 51 6" xfId="26202"/>
    <cellStyle name="Normal 29 51 7" xfId="26203"/>
    <cellStyle name="Normal 29 51 8" xfId="26204"/>
    <cellStyle name="Normal 29 51 9" xfId="26205"/>
    <cellStyle name="Normal 29 52" xfId="26206"/>
    <cellStyle name="Normal 29 52 10" xfId="26207"/>
    <cellStyle name="Normal 29 52 11" xfId="26208"/>
    <cellStyle name="Normal 29 52 12" xfId="26209"/>
    <cellStyle name="Normal 29 52 13" xfId="26210"/>
    <cellStyle name="Normal 29 52 2" xfId="26211"/>
    <cellStyle name="Normal 29 52 3" xfId="26212"/>
    <cellStyle name="Normal 29 52 4" xfId="26213"/>
    <cellStyle name="Normal 29 52 5" xfId="26214"/>
    <cellStyle name="Normal 29 52 6" xfId="26215"/>
    <cellStyle name="Normal 29 52 7" xfId="26216"/>
    <cellStyle name="Normal 29 52 8" xfId="26217"/>
    <cellStyle name="Normal 29 52 9" xfId="26218"/>
    <cellStyle name="Normal 29 53" xfId="26219"/>
    <cellStyle name="Normal 29 53 10" xfId="26220"/>
    <cellStyle name="Normal 29 53 11" xfId="26221"/>
    <cellStyle name="Normal 29 53 12" xfId="26222"/>
    <cellStyle name="Normal 29 53 13" xfId="26223"/>
    <cellStyle name="Normal 29 53 2" xfId="26224"/>
    <cellStyle name="Normal 29 53 3" xfId="26225"/>
    <cellStyle name="Normal 29 53 4" xfId="26226"/>
    <cellStyle name="Normal 29 53 5" xfId="26227"/>
    <cellStyle name="Normal 29 53 6" xfId="26228"/>
    <cellStyle name="Normal 29 53 7" xfId="26229"/>
    <cellStyle name="Normal 29 53 8" xfId="26230"/>
    <cellStyle name="Normal 29 53 9" xfId="26231"/>
    <cellStyle name="Normal 29 54" xfId="26232"/>
    <cellStyle name="Normal 29 54 10" xfId="26233"/>
    <cellStyle name="Normal 29 54 11" xfId="26234"/>
    <cellStyle name="Normal 29 54 12" xfId="26235"/>
    <cellStyle name="Normal 29 54 13" xfId="26236"/>
    <cellStyle name="Normal 29 54 2" xfId="26237"/>
    <cellStyle name="Normal 29 54 3" xfId="26238"/>
    <cellStyle name="Normal 29 54 4" xfId="26239"/>
    <cellStyle name="Normal 29 54 5" xfId="26240"/>
    <cellStyle name="Normal 29 54 6" xfId="26241"/>
    <cellStyle name="Normal 29 54 7" xfId="26242"/>
    <cellStyle name="Normal 29 54 8" xfId="26243"/>
    <cellStyle name="Normal 29 54 9" xfId="26244"/>
    <cellStyle name="Normal 29 55" xfId="26245"/>
    <cellStyle name="Normal 29 55 10" xfId="26246"/>
    <cellStyle name="Normal 29 55 11" xfId="26247"/>
    <cellStyle name="Normal 29 55 12" xfId="26248"/>
    <cellStyle name="Normal 29 55 13" xfId="26249"/>
    <cellStyle name="Normal 29 55 2" xfId="26250"/>
    <cellStyle name="Normal 29 55 3" xfId="26251"/>
    <cellStyle name="Normal 29 55 4" xfId="26252"/>
    <cellStyle name="Normal 29 55 5" xfId="26253"/>
    <cellStyle name="Normal 29 55 6" xfId="26254"/>
    <cellStyle name="Normal 29 55 7" xfId="26255"/>
    <cellStyle name="Normal 29 55 8" xfId="26256"/>
    <cellStyle name="Normal 29 55 9" xfId="26257"/>
    <cellStyle name="Normal 29 56" xfId="26258"/>
    <cellStyle name="Normal 29 56 10" xfId="26259"/>
    <cellStyle name="Normal 29 56 11" xfId="26260"/>
    <cellStyle name="Normal 29 56 12" xfId="26261"/>
    <cellStyle name="Normal 29 56 13" xfId="26262"/>
    <cellStyle name="Normal 29 56 2" xfId="26263"/>
    <cellStyle name="Normal 29 56 3" xfId="26264"/>
    <cellStyle name="Normal 29 56 4" xfId="26265"/>
    <cellStyle name="Normal 29 56 5" xfId="26266"/>
    <cellStyle name="Normal 29 56 6" xfId="26267"/>
    <cellStyle name="Normal 29 56 7" xfId="26268"/>
    <cellStyle name="Normal 29 56 8" xfId="26269"/>
    <cellStyle name="Normal 29 56 9" xfId="26270"/>
    <cellStyle name="Normal 29 57" xfId="26271"/>
    <cellStyle name="Normal 29 57 10" xfId="26272"/>
    <cellStyle name="Normal 29 57 11" xfId="26273"/>
    <cellStyle name="Normal 29 57 12" xfId="26274"/>
    <cellStyle name="Normal 29 57 13" xfId="26275"/>
    <cellStyle name="Normal 29 57 2" xfId="26276"/>
    <cellStyle name="Normal 29 57 3" xfId="26277"/>
    <cellStyle name="Normal 29 57 4" xfId="26278"/>
    <cellStyle name="Normal 29 57 5" xfId="26279"/>
    <cellStyle name="Normal 29 57 6" xfId="26280"/>
    <cellStyle name="Normal 29 57 7" xfId="26281"/>
    <cellStyle name="Normal 29 57 8" xfId="26282"/>
    <cellStyle name="Normal 29 57 9" xfId="26283"/>
    <cellStyle name="Normal 29 58" xfId="26284"/>
    <cellStyle name="Normal 29 58 10" xfId="26285"/>
    <cellStyle name="Normal 29 58 11" xfId="26286"/>
    <cellStyle name="Normal 29 58 12" xfId="26287"/>
    <cellStyle name="Normal 29 58 13" xfId="26288"/>
    <cellStyle name="Normal 29 58 2" xfId="26289"/>
    <cellStyle name="Normal 29 58 3" xfId="26290"/>
    <cellStyle name="Normal 29 58 4" xfId="26291"/>
    <cellStyle name="Normal 29 58 5" xfId="26292"/>
    <cellStyle name="Normal 29 58 6" xfId="26293"/>
    <cellStyle name="Normal 29 58 7" xfId="26294"/>
    <cellStyle name="Normal 29 58 8" xfId="26295"/>
    <cellStyle name="Normal 29 58 9" xfId="26296"/>
    <cellStyle name="Normal 29 59" xfId="26297"/>
    <cellStyle name="Normal 29 59 10" xfId="26298"/>
    <cellStyle name="Normal 29 59 11" xfId="26299"/>
    <cellStyle name="Normal 29 59 12" xfId="26300"/>
    <cellStyle name="Normal 29 59 13" xfId="26301"/>
    <cellStyle name="Normal 29 59 2" xfId="26302"/>
    <cellStyle name="Normal 29 59 3" xfId="26303"/>
    <cellStyle name="Normal 29 59 4" xfId="26304"/>
    <cellStyle name="Normal 29 59 5" xfId="26305"/>
    <cellStyle name="Normal 29 59 6" xfId="26306"/>
    <cellStyle name="Normal 29 59 7" xfId="26307"/>
    <cellStyle name="Normal 29 59 8" xfId="26308"/>
    <cellStyle name="Normal 29 59 9" xfId="26309"/>
    <cellStyle name="Normal 29 6" xfId="26310"/>
    <cellStyle name="Normal 29 6 10" xfId="26311"/>
    <cellStyle name="Normal 29 6 11" xfId="26312"/>
    <cellStyle name="Normal 29 6 12" xfId="26313"/>
    <cellStyle name="Normal 29 6 13" xfId="26314"/>
    <cellStyle name="Normal 29 6 2" xfId="26315"/>
    <cellStyle name="Normal 29 6 3" xfId="26316"/>
    <cellStyle name="Normal 29 6 4" xfId="26317"/>
    <cellStyle name="Normal 29 6 5" xfId="26318"/>
    <cellStyle name="Normal 29 6 6" xfId="26319"/>
    <cellStyle name="Normal 29 6 7" xfId="26320"/>
    <cellStyle name="Normal 29 6 8" xfId="26321"/>
    <cellStyle name="Normal 29 6 9" xfId="26322"/>
    <cellStyle name="Normal 29 60" xfId="26323"/>
    <cellStyle name="Normal 29 60 10" xfId="26324"/>
    <cellStyle name="Normal 29 60 11" xfId="26325"/>
    <cellStyle name="Normal 29 60 12" xfId="26326"/>
    <cellStyle name="Normal 29 60 13" xfId="26327"/>
    <cellStyle name="Normal 29 60 2" xfId="26328"/>
    <cellStyle name="Normal 29 60 3" xfId="26329"/>
    <cellStyle name="Normal 29 60 4" xfId="26330"/>
    <cellStyle name="Normal 29 60 5" xfId="26331"/>
    <cellStyle name="Normal 29 60 6" xfId="26332"/>
    <cellStyle name="Normal 29 60 7" xfId="26333"/>
    <cellStyle name="Normal 29 60 8" xfId="26334"/>
    <cellStyle name="Normal 29 60 9" xfId="26335"/>
    <cellStyle name="Normal 29 61" xfId="26336"/>
    <cellStyle name="Normal 29 61 10" xfId="26337"/>
    <cellStyle name="Normal 29 61 11" xfId="26338"/>
    <cellStyle name="Normal 29 61 12" xfId="26339"/>
    <cellStyle name="Normal 29 61 13" xfId="26340"/>
    <cellStyle name="Normal 29 61 2" xfId="26341"/>
    <cellStyle name="Normal 29 61 3" xfId="26342"/>
    <cellStyle name="Normal 29 61 4" xfId="26343"/>
    <cellStyle name="Normal 29 61 5" xfId="26344"/>
    <cellStyle name="Normal 29 61 6" xfId="26345"/>
    <cellStyle name="Normal 29 61 7" xfId="26346"/>
    <cellStyle name="Normal 29 61 8" xfId="26347"/>
    <cellStyle name="Normal 29 61 9" xfId="26348"/>
    <cellStyle name="Normal 29 62" xfId="26349"/>
    <cellStyle name="Normal 29 62 10" xfId="26350"/>
    <cellStyle name="Normal 29 62 11" xfId="26351"/>
    <cellStyle name="Normal 29 62 12" xfId="26352"/>
    <cellStyle name="Normal 29 62 13" xfId="26353"/>
    <cellStyle name="Normal 29 62 2" xfId="26354"/>
    <cellStyle name="Normal 29 62 3" xfId="26355"/>
    <cellStyle name="Normal 29 62 4" xfId="26356"/>
    <cellStyle name="Normal 29 62 5" xfId="26357"/>
    <cellStyle name="Normal 29 62 6" xfId="26358"/>
    <cellStyle name="Normal 29 62 7" xfId="26359"/>
    <cellStyle name="Normal 29 62 8" xfId="26360"/>
    <cellStyle name="Normal 29 62 9" xfId="26361"/>
    <cellStyle name="Normal 29 63" xfId="26362"/>
    <cellStyle name="Normal 29 63 10" xfId="26363"/>
    <cellStyle name="Normal 29 63 11" xfId="26364"/>
    <cellStyle name="Normal 29 63 12" xfId="26365"/>
    <cellStyle name="Normal 29 63 13" xfId="26366"/>
    <cellStyle name="Normal 29 63 2" xfId="26367"/>
    <cellStyle name="Normal 29 63 3" xfId="26368"/>
    <cellStyle name="Normal 29 63 4" xfId="26369"/>
    <cellStyle name="Normal 29 63 5" xfId="26370"/>
    <cellStyle name="Normal 29 63 6" xfId="26371"/>
    <cellStyle name="Normal 29 63 7" xfId="26372"/>
    <cellStyle name="Normal 29 63 8" xfId="26373"/>
    <cellStyle name="Normal 29 63 9" xfId="26374"/>
    <cellStyle name="Normal 29 64" xfId="26375"/>
    <cellStyle name="Normal 29 64 10" xfId="26376"/>
    <cellStyle name="Normal 29 64 11" xfId="26377"/>
    <cellStyle name="Normal 29 64 12" xfId="26378"/>
    <cellStyle name="Normal 29 64 13" xfId="26379"/>
    <cellStyle name="Normal 29 64 2" xfId="26380"/>
    <cellStyle name="Normal 29 64 3" xfId="26381"/>
    <cellStyle name="Normal 29 64 4" xfId="26382"/>
    <cellStyle name="Normal 29 64 5" xfId="26383"/>
    <cellStyle name="Normal 29 64 6" xfId="26384"/>
    <cellStyle name="Normal 29 64 7" xfId="26385"/>
    <cellStyle name="Normal 29 64 8" xfId="26386"/>
    <cellStyle name="Normal 29 64 9" xfId="26387"/>
    <cellStyle name="Normal 29 65" xfId="26388"/>
    <cellStyle name="Normal 29 65 10" xfId="26389"/>
    <cellStyle name="Normal 29 65 11" xfId="26390"/>
    <cellStyle name="Normal 29 65 12" xfId="26391"/>
    <cellStyle name="Normal 29 65 13" xfId="26392"/>
    <cellStyle name="Normal 29 65 2" xfId="26393"/>
    <cellStyle name="Normal 29 65 3" xfId="26394"/>
    <cellStyle name="Normal 29 65 4" xfId="26395"/>
    <cellStyle name="Normal 29 65 5" xfId="26396"/>
    <cellStyle name="Normal 29 65 6" xfId="26397"/>
    <cellStyle name="Normal 29 65 7" xfId="26398"/>
    <cellStyle name="Normal 29 65 8" xfId="26399"/>
    <cellStyle name="Normal 29 65 9" xfId="26400"/>
    <cellStyle name="Normal 29 66" xfId="26401"/>
    <cellStyle name="Normal 29 66 10" xfId="26402"/>
    <cellStyle name="Normal 29 66 11" xfId="26403"/>
    <cellStyle name="Normal 29 66 12" xfId="26404"/>
    <cellStyle name="Normal 29 66 13" xfId="26405"/>
    <cellStyle name="Normal 29 66 2" xfId="26406"/>
    <cellStyle name="Normal 29 66 3" xfId="26407"/>
    <cellStyle name="Normal 29 66 4" xfId="26408"/>
    <cellStyle name="Normal 29 66 5" xfId="26409"/>
    <cellStyle name="Normal 29 66 6" xfId="26410"/>
    <cellStyle name="Normal 29 66 7" xfId="26411"/>
    <cellStyle name="Normal 29 66 8" xfId="26412"/>
    <cellStyle name="Normal 29 66 9" xfId="26413"/>
    <cellStyle name="Normal 29 67" xfId="26414"/>
    <cellStyle name="Normal 29 67 10" xfId="26415"/>
    <cellStyle name="Normal 29 67 11" xfId="26416"/>
    <cellStyle name="Normal 29 67 12" xfId="26417"/>
    <cellStyle name="Normal 29 67 13" xfId="26418"/>
    <cellStyle name="Normal 29 67 2" xfId="26419"/>
    <cellStyle name="Normal 29 67 3" xfId="26420"/>
    <cellStyle name="Normal 29 67 4" xfId="26421"/>
    <cellStyle name="Normal 29 67 5" xfId="26422"/>
    <cellStyle name="Normal 29 67 6" xfId="26423"/>
    <cellStyle name="Normal 29 67 7" xfId="26424"/>
    <cellStyle name="Normal 29 67 8" xfId="26425"/>
    <cellStyle name="Normal 29 67 9" xfId="26426"/>
    <cellStyle name="Normal 29 68" xfId="26427"/>
    <cellStyle name="Normal 29 68 10" xfId="26428"/>
    <cellStyle name="Normal 29 68 11" xfId="26429"/>
    <cellStyle name="Normal 29 68 12" xfId="26430"/>
    <cellStyle name="Normal 29 68 13" xfId="26431"/>
    <cellStyle name="Normal 29 68 2" xfId="26432"/>
    <cellStyle name="Normal 29 68 3" xfId="26433"/>
    <cellStyle name="Normal 29 68 4" xfId="26434"/>
    <cellStyle name="Normal 29 68 5" xfId="26435"/>
    <cellStyle name="Normal 29 68 6" xfId="26436"/>
    <cellStyle name="Normal 29 68 7" xfId="26437"/>
    <cellStyle name="Normal 29 68 8" xfId="26438"/>
    <cellStyle name="Normal 29 68 9" xfId="26439"/>
    <cellStyle name="Normal 29 69" xfId="26440"/>
    <cellStyle name="Normal 29 69 10" xfId="26441"/>
    <cellStyle name="Normal 29 69 11" xfId="26442"/>
    <cellStyle name="Normal 29 69 12" xfId="26443"/>
    <cellStyle name="Normal 29 69 13" xfId="26444"/>
    <cellStyle name="Normal 29 69 2" xfId="26445"/>
    <cellStyle name="Normal 29 69 3" xfId="26446"/>
    <cellStyle name="Normal 29 69 4" xfId="26447"/>
    <cellStyle name="Normal 29 69 5" xfId="26448"/>
    <cellStyle name="Normal 29 69 6" xfId="26449"/>
    <cellStyle name="Normal 29 69 7" xfId="26450"/>
    <cellStyle name="Normal 29 69 8" xfId="26451"/>
    <cellStyle name="Normal 29 69 9" xfId="26452"/>
    <cellStyle name="Normal 29 7" xfId="26453"/>
    <cellStyle name="Normal 29 7 10" xfId="26454"/>
    <cellStyle name="Normal 29 7 11" xfId="26455"/>
    <cellStyle name="Normal 29 7 12" xfId="26456"/>
    <cellStyle name="Normal 29 7 13" xfId="26457"/>
    <cellStyle name="Normal 29 7 2" xfId="26458"/>
    <cellStyle name="Normal 29 7 3" xfId="26459"/>
    <cellStyle name="Normal 29 7 4" xfId="26460"/>
    <cellStyle name="Normal 29 7 5" xfId="26461"/>
    <cellStyle name="Normal 29 7 6" xfId="26462"/>
    <cellStyle name="Normal 29 7 7" xfId="26463"/>
    <cellStyle name="Normal 29 7 8" xfId="26464"/>
    <cellStyle name="Normal 29 7 9" xfId="26465"/>
    <cellStyle name="Normal 29 70" xfId="26466"/>
    <cellStyle name="Normal 29 70 10" xfId="26467"/>
    <cellStyle name="Normal 29 70 11" xfId="26468"/>
    <cellStyle name="Normal 29 70 12" xfId="26469"/>
    <cellStyle name="Normal 29 70 13" xfId="26470"/>
    <cellStyle name="Normal 29 70 2" xfId="26471"/>
    <cellStyle name="Normal 29 70 3" xfId="26472"/>
    <cellStyle name="Normal 29 70 4" xfId="26473"/>
    <cellStyle name="Normal 29 70 5" xfId="26474"/>
    <cellStyle name="Normal 29 70 6" xfId="26475"/>
    <cellStyle name="Normal 29 70 7" xfId="26476"/>
    <cellStyle name="Normal 29 70 8" xfId="26477"/>
    <cellStyle name="Normal 29 70 9" xfId="26478"/>
    <cellStyle name="Normal 29 71" xfId="26479"/>
    <cellStyle name="Normal 29 71 10" xfId="26480"/>
    <cellStyle name="Normal 29 71 11" xfId="26481"/>
    <cellStyle name="Normal 29 71 12" xfId="26482"/>
    <cellStyle name="Normal 29 71 13" xfId="26483"/>
    <cellStyle name="Normal 29 71 2" xfId="26484"/>
    <cellStyle name="Normal 29 71 3" xfId="26485"/>
    <cellStyle name="Normal 29 71 4" xfId="26486"/>
    <cellStyle name="Normal 29 71 5" xfId="26487"/>
    <cellStyle name="Normal 29 71 6" xfId="26488"/>
    <cellStyle name="Normal 29 71 7" xfId="26489"/>
    <cellStyle name="Normal 29 71 8" xfId="26490"/>
    <cellStyle name="Normal 29 71 9" xfId="26491"/>
    <cellStyle name="Normal 29 72" xfId="26492"/>
    <cellStyle name="Normal 29 72 10" xfId="26493"/>
    <cellStyle name="Normal 29 72 11" xfId="26494"/>
    <cellStyle name="Normal 29 72 12" xfId="26495"/>
    <cellStyle name="Normal 29 72 13" xfId="26496"/>
    <cellStyle name="Normal 29 72 2" xfId="26497"/>
    <cellStyle name="Normal 29 72 3" xfId="26498"/>
    <cellStyle name="Normal 29 72 4" xfId="26499"/>
    <cellStyle name="Normal 29 72 5" xfId="26500"/>
    <cellStyle name="Normal 29 72 6" xfId="26501"/>
    <cellStyle name="Normal 29 72 7" xfId="26502"/>
    <cellStyle name="Normal 29 72 8" xfId="26503"/>
    <cellStyle name="Normal 29 72 9" xfId="26504"/>
    <cellStyle name="Normal 29 73" xfId="26505"/>
    <cellStyle name="Normal 29 74" xfId="26506"/>
    <cellStyle name="Normal 29 75" xfId="26507"/>
    <cellStyle name="Normal 29 76" xfId="26508"/>
    <cellStyle name="Normal 29 77" xfId="26509"/>
    <cellStyle name="Normal 29 78" xfId="26510"/>
    <cellStyle name="Normal 29 79" xfId="26511"/>
    <cellStyle name="Normal 29 8" xfId="26512"/>
    <cellStyle name="Normal 29 8 10" xfId="26513"/>
    <cellStyle name="Normal 29 8 11" xfId="26514"/>
    <cellStyle name="Normal 29 8 12" xfId="26515"/>
    <cellStyle name="Normal 29 8 13" xfId="26516"/>
    <cellStyle name="Normal 29 8 2" xfId="26517"/>
    <cellStyle name="Normal 29 8 3" xfId="26518"/>
    <cellStyle name="Normal 29 8 4" xfId="26519"/>
    <cellStyle name="Normal 29 8 5" xfId="26520"/>
    <cellStyle name="Normal 29 8 6" xfId="26521"/>
    <cellStyle name="Normal 29 8 7" xfId="26522"/>
    <cellStyle name="Normal 29 8 8" xfId="26523"/>
    <cellStyle name="Normal 29 8 9" xfId="26524"/>
    <cellStyle name="Normal 29 80" xfId="26525"/>
    <cellStyle name="Normal 29 81" xfId="26526"/>
    <cellStyle name="Normal 29 82" xfId="26527"/>
    <cellStyle name="Normal 29 83" xfId="26528"/>
    <cellStyle name="Normal 29 84" xfId="26529"/>
    <cellStyle name="Normal 29 9" xfId="26530"/>
    <cellStyle name="Normal 29 9 10" xfId="26531"/>
    <cellStyle name="Normal 29 9 11" xfId="26532"/>
    <cellStyle name="Normal 29 9 12" xfId="26533"/>
    <cellStyle name="Normal 29 9 13" xfId="26534"/>
    <cellStyle name="Normal 29 9 2" xfId="26535"/>
    <cellStyle name="Normal 29 9 3" xfId="26536"/>
    <cellStyle name="Normal 29 9 4" xfId="26537"/>
    <cellStyle name="Normal 29 9 5" xfId="26538"/>
    <cellStyle name="Normal 29 9 6" xfId="26539"/>
    <cellStyle name="Normal 29 9 7" xfId="26540"/>
    <cellStyle name="Normal 29 9 8" xfId="26541"/>
    <cellStyle name="Normal 29 9 9" xfId="26542"/>
    <cellStyle name="Normal 3" xfId="26543"/>
    <cellStyle name="Normal 3 10" xfId="26544"/>
    <cellStyle name="Normal 3 11" xfId="26545"/>
    <cellStyle name="Normal 3 12" xfId="26546"/>
    <cellStyle name="Normal 3 13" xfId="26547"/>
    <cellStyle name="Normal 3 14" xfId="26548"/>
    <cellStyle name="Normal 3 15" xfId="26549"/>
    <cellStyle name="Normal 3 16" xfId="26550"/>
    <cellStyle name="Normal 3 17" xfId="26551"/>
    <cellStyle name="Normal 3 18" xfId="26552"/>
    <cellStyle name="Normal 3 19" xfId="26553"/>
    <cellStyle name="Normal 3 2" xfId="26554"/>
    <cellStyle name="Normal 3 2 10" xfId="26555"/>
    <cellStyle name="Normal 3 2 11" xfId="26556"/>
    <cellStyle name="Normal 3 2 12" xfId="26557"/>
    <cellStyle name="Normal 3 2 13" xfId="26558"/>
    <cellStyle name="Normal 3 2 14" xfId="26559"/>
    <cellStyle name="Normal 3 2 15" xfId="26560"/>
    <cellStyle name="Normal 3 2 16" xfId="26561"/>
    <cellStyle name="Normal 3 2 17" xfId="26562"/>
    <cellStyle name="Normal 3 2 18" xfId="26563"/>
    <cellStyle name="Normal 3 2 19" xfId="26564"/>
    <cellStyle name="Normal 3 2 2" xfId="26565"/>
    <cellStyle name="Normal 3 2 20" xfId="26566"/>
    <cellStyle name="Normal 3 2 21" xfId="26567"/>
    <cellStyle name="Normal 3 2 22" xfId="26568"/>
    <cellStyle name="Normal 3 2 23" xfId="26569"/>
    <cellStyle name="Normal 3 2 24" xfId="26570"/>
    <cellStyle name="Normal 3 2 25" xfId="26571"/>
    <cellStyle name="Normal 3 2 26" xfId="26572"/>
    <cellStyle name="Normal 3 2 27" xfId="26573"/>
    <cellStyle name="Normal 3 2 28" xfId="26574"/>
    <cellStyle name="Normal 3 2 29" xfId="26575"/>
    <cellStyle name="Normal 3 2 3" xfId="26576"/>
    <cellStyle name="Normal 3 2 30" xfId="26577"/>
    <cellStyle name="Normal 3 2 31" xfId="26578"/>
    <cellStyle name="Normal 3 2 32" xfId="26579"/>
    <cellStyle name="Normal 3 2 33" xfId="26580"/>
    <cellStyle name="Normal 3 2 34" xfId="26581"/>
    <cellStyle name="Normal 3 2 35" xfId="26582"/>
    <cellStyle name="Normal 3 2 36" xfId="26583"/>
    <cellStyle name="Normal 3 2 37" xfId="26584"/>
    <cellStyle name="Normal 3 2 38" xfId="26585"/>
    <cellStyle name="Normal 3 2 39" xfId="26586"/>
    <cellStyle name="Normal 3 2 4" xfId="26587"/>
    <cellStyle name="Normal 3 2 40" xfId="26588"/>
    <cellStyle name="Normal 3 2 41" xfId="26589"/>
    <cellStyle name="Normal 3 2 42" xfId="26590"/>
    <cellStyle name="Normal 3 2 43" xfId="26591"/>
    <cellStyle name="Normal 3 2 44" xfId="26592"/>
    <cellStyle name="Normal 3 2 45" xfId="26593"/>
    <cellStyle name="Normal 3 2 46" xfId="26594"/>
    <cellStyle name="Normal 3 2 47" xfId="26595"/>
    <cellStyle name="Normal 3 2 48" xfId="26596"/>
    <cellStyle name="Normal 3 2 49" xfId="26597"/>
    <cellStyle name="Normal 3 2 5" xfId="26598"/>
    <cellStyle name="Normal 3 2 50" xfId="26599"/>
    <cellStyle name="Normal 3 2 51" xfId="26600"/>
    <cellStyle name="Normal 3 2 52" xfId="26601"/>
    <cellStyle name="Normal 3 2 53" xfId="26602"/>
    <cellStyle name="Normal 3 2 54" xfId="26603"/>
    <cellStyle name="Normal 3 2 55" xfId="26604"/>
    <cellStyle name="Normal 3 2 56" xfId="26605"/>
    <cellStyle name="Normal 3 2 57" xfId="26606"/>
    <cellStyle name="Normal 3 2 58" xfId="26607"/>
    <cellStyle name="Normal 3 2 59" xfId="26608"/>
    <cellStyle name="Normal 3 2 6" xfId="26609"/>
    <cellStyle name="Normal 3 2 60" xfId="26610"/>
    <cellStyle name="Normal 3 2 61" xfId="26611"/>
    <cellStyle name="Normal 3 2 62" xfId="26612"/>
    <cellStyle name="Normal 3 2 63" xfId="26613"/>
    <cellStyle name="Normal 3 2 64" xfId="26614"/>
    <cellStyle name="Normal 3 2 65" xfId="26615"/>
    <cellStyle name="Normal 3 2 66" xfId="26616"/>
    <cellStyle name="Normal 3 2 67" xfId="26617"/>
    <cellStyle name="Normal 3 2 68" xfId="26618"/>
    <cellStyle name="Normal 3 2 69" xfId="26619"/>
    <cellStyle name="Normal 3 2 7" xfId="26620"/>
    <cellStyle name="Normal 3 2 70" xfId="26621"/>
    <cellStyle name="Normal 3 2 71" xfId="26622"/>
    <cellStyle name="Normal 3 2 72" xfId="26623"/>
    <cellStyle name="Normal 3 2 73" xfId="26624"/>
    <cellStyle name="Normal 3 2 74" xfId="26625"/>
    <cellStyle name="Normal 3 2 75" xfId="26626"/>
    <cellStyle name="Normal 3 2 76" xfId="26627"/>
    <cellStyle name="Normal 3 2 77" xfId="26628"/>
    <cellStyle name="Normal 3 2 78" xfId="26629"/>
    <cellStyle name="Normal 3 2 79" xfId="26630"/>
    <cellStyle name="Normal 3 2 8" xfId="26631"/>
    <cellStyle name="Normal 3 2 80" xfId="26632"/>
    <cellStyle name="Normal 3 2 81" xfId="26633"/>
    <cellStyle name="Normal 3 2 82" xfId="26634"/>
    <cellStyle name="Normal 3 2 83" xfId="26635"/>
    <cellStyle name="Normal 3 2 9" xfId="26636"/>
    <cellStyle name="Normal 3 20" xfId="26637"/>
    <cellStyle name="Normal 3 21" xfId="26638"/>
    <cellStyle name="Normal 3 22" xfId="26639"/>
    <cellStyle name="Normal 3 23" xfId="26640"/>
    <cellStyle name="Normal 3 24" xfId="26641"/>
    <cellStyle name="Normal 3 25" xfId="26642"/>
    <cellStyle name="Normal 3 26" xfId="26643"/>
    <cellStyle name="Normal 3 27" xfId="26644"/>
    <cellStyle name="Normal 3 28" xfId="26645"/>
    <cellStyle name="Normal 3 29" xfId="26646"/>
    <cellStyle name="Normal 3 3" xfId="26647"/>
    <cellStyle name="Normal 3 3 10" xfId="26648"/>
    <cellStyle name="Normal 3 3 11" xfId="26649"/>
    <cellStyle name="Normal 3 3 12" xfId="26650"/>
    <cellStyle name="Normal 3 3 13" xfId="26651"/>
    <cellStyle name="Normal 3 3 14" xfId="26652"/>
    <cellStyle name="Normal 3 3 15" xfId="26653"/>
    <cellStyle name="Normal 3 3 16" xfId="26654"/>
    <cellStyle name="Normal 3 3 17" xfId="26655"/>
    <cellStyle name="Normal 3 3 18" xfId="26656"/>
    <cellStyle name="Normal 3 3 19" xfId="26657"/>
    <cellStyle name="Normal 3 3 2" xfId="26658"/>
    <cellStyle name="Normal 3 3 20" xfId="26659"/>
    <cellStyle name="Normal 3 3 21" xfId="26660"/>
    <cellStyle name="Normal 3 3 22" xfId="26661"/>
    <cellStyle name="Normal 3 3 23" xfId="26662"/>
    <cellStyle name="Normal 3 3 24" xfId="26663"/>
    <cellStyle name="Normal 3 3 25" xfId="26664"/>
    <cellStyle name="Normal 3 3 26" xfId="26665"/>
    <cellStyle name="Normal 3 3 27" xfId="26666"/>
    <cellStyle name="Normal 3 3 28" xfId="26667"/>
    <cellStyle name="Normal 3 3 29" xfId="26668"/>
    <cellStyle name="Normal 3 3 3" xfId="26669"/>
    <cellStyle name="Normal 3 3 30" xfId="26670"/>
    <cellStyle name="Normal 3 3 31" xfId="26671"/>
    <cellStyle name="Normal 3 3 32" xfId="26672"/>
    <cellStyle name="Normal 3 3 33" xfId="26673"/>
    <cellStyle name="Normal 3 3 34" xfId="26674"/>
    <cellStyle name="Normal 3 3 35" xfId="26675"/>
    <cellStyle name="Normal 3 3 36" xfId="26676"/>
    <cellStyle name="Normal 3 3 37" xfId="26677"/>
    <cellStyle name="Normal 3 3 38" xfId="26678"/>
    <cellStyle name="Normal 3 3 39" xfId="26679"/>
    <cellStyle name="Normal 3 3 4" xfId="26680"/>
    <cellStyle name="Normal 3 3 40" xfId="26681"/>
    <cellStyle name="Normal 3 3 41" xfId="26682"/>
    <cellStyle name="Normal 3 3 42" xfId="26683"/>
    <cellStyle name="Normal 3 3 43" xfId="26684"/>
    <cellStyle name="Normal 3 3 44" xfId="26685"/>
    <cellStyle name="Normal 3 3 45" xfId="26686"/>
    <cellStyle name="Normal 3 3 46" xfId="26687"/>
    <cellStyle name="Normal 3 3 47" xfId="26688"/>
    <cellStyle name="Normal 3 3 48" xfId="26689"/>
    <cellStyle name="Normal 3 3 49" xfId="26690"/>
    <cellStyle name="Normal 3 3 5" xfId="26691"/>
    <cellStyle name="Normal 3 3 50" xfId="26692"/>
    <cellStyle name="Normal 3 3 51" xfId="26693"/>
    <cellStyle name="Normal 3 3 52" xfId="26694"/>
    <cellStyle name="Normal 3 3 53" xfId="26695"/>
    <cellStyle name="Normal 3 3 54" xfId="26696"/>
    <cellStyle name="Normal 3 3 55" xfId="26697"/>
    <cellStyle name="Normal 3 3 56" xfId="26698"/>
    <cellStyle name="Normal 3 3 57" xfId="26699"/>
    <cellStyle name="Normal 3 3 58" xfId="26700"/>
    <cellStyle name="Normal 3 3 59" xfId="26701"/>
    <cellStyle name="Normal 3 3 6" xfId="26702"/>
    <cellStyle name="Normal 3 3 60" xfId="26703"/>
    <cellStyle name="Normal 3 3 61" xfId="26704"/>
    <cellStyle name="Normal 3 3 62" xfId="26705"/>
    <cellStyle name="Normal 3 3 63" xfId="26706"/>
    <cellStyle name="Normal 3 3 64" xfId="26707"/>
    <cellStyle name="Normal 3 3 65" xfId="26708"/>
    <cellStyle name="Normal 3 3 66" xfId="26709"/>
    <cellStyle name="Normal 3 3 67" xfId="26710"/>
    <cellStyle name="Normal 3 3 68" xfId="26711"/>
    <cellStyle name="Normal 3 3 69" xfId="26712"/>
    <cellStyle name="Normal 3 3 7" xfId="26713"/>
    <cellStyle name="Normal 3 3 70" xfId="26714"/>
    <cellStyle name="Normal 3 3 71" xfId="26715"/>
    <cellStyle name="Normal 3 3 72" xfId="26716"/>
    <cellStyle name="Normal 3 3 73" xfId="26717"/>
    <cellStyle name="Normal 3 3 74" xfId="26718"/>
    <cellStyle name="Normal 3 3 75" xfId="26719"/>
    <cellStyle name="Normal 3 3 76" xfId="26720"/>
    <cellStyle name="Normal 3 3 77" xfId="26721"/>
    <cellStyle name="Normal 3 3 78" xfId="26722"/>
    <cellStyle name="Normal 3 3 79" xfId="26723"/>
    <cellStyle name="Normal 3 3 8" xfId="26724"/>
    <cellStyle name="Normal 3 3 80" xfId="26725"/>
    <cellStyle name="Normal 3 3 81" xfId="26726"/>
    <cellStyle name="Normal 3 3 82" xfId="26727"/>
    <cellStyle name="Normal 3 3 83" xfId="26728"/>
    <cellStyle name="Normal 3 3 9" xfId="26729"/>
    <cellStyle name="Normal 3 30" xfId="26730"/>
    <cellStyle name="Normal 3 31" xfId="26731"/>
    <cellStyle name="Normal 3 32" xfId="26732"/>
    <cellStyle name="Normal 3 33" xfId="26733"/>
    <cellStyle name="Normal 3 34" xfId="26734"/>
    <cellStyle name="Normal 3 35" xfId="26735"/>
    <cellStyle name="Normal 3 36" xfId="26736"/>
    <cellStyle name="Normal 3 37" xfId="26737"/>
    <cellStyle name="Normal 3 38" xfId="26738"/>
    <cellStyle name="Normal 3 39" xfId="26739"/>
    <cellStyle name="Normal 3 4" xfId="26740"/>
    <cellStyle name="Normal 3 4 10" xfId="26741"/>
    <cellStyle name="Normal 3 4 11" xfId="26742"/>
    <cellStyle name="Normal 3 4 12" xfId="26743"/>
    <cellStyle name="Normal 3 4 13" xfId="26744"/>
    <cellStyle name="Normal 3 4 14" xfId="26745"/>
    <cellStyle name="Normal 3 4 15" xfId="26746"/>
    <cellStyle name="Normal 3 4 16" xfId="26747"/>
    <cellStyle name="Normal 3 4 17" xfId="26748"/>
    <cellStyle name="Normal 3 4 18" xfId="26749"/>
    <cellStyle name="Normal 3 4 19" xfId="26750"/>
    <cellStyle name="Normal 3 4 2" xfId="26751"/>
    <cellStyle name="Normal 3 4 20" xfId="26752"/>
    <cellStyle name="Normal 3 4 21" xfId="26753"/>
    <cellStyle name="Normal 3 4 22" xfId="26754"/>
    <cellStyle name="Normal 3 4 23" xfId="26755"/>
    <cellStyle name="Normal 3 4 24" xfId="26756"/>
    <cellStyle name="Normal 3 4 25" xfId="26757"/>
    <cellStyle name="Normal 3 4 26" xfId="26758"/>
    <cellStyle name="Normal 3 4 27" xfId="26759"/>
    <cellStyle name="Normal 3 4 28" xfId="26760"/>
    <cellStyle name="Normal 3 4 29" xfId="26761"/>
    <cellStyle name="Normal 3 4 3" xfId="26762"/>
    <cellStyle name="Normal 3 4 30" xfId="26763"/>
    <cellStyle name="Normal 3 4 31" xfId="26764"/>
    <cellStyle name="Normal 3 4 32" xfId="26765"/>
    <cellStyle name="Normal 3 4 33" xfId="26766"/>
    <cellStyle name="Normal 3 4 34" xfId="26767"/>
    <cellStyle name="Normal 3 4 35" xfId="26768"/>
    <cellStyle name="Normal 3 4 36" xfId="26769"/>
    <cellStyle name="Normal 3 4 37" xfId="26770"/>
    <cellStyle name="Normal 3 4 38" xfId="26771"/>
    <cellStyle name="Normal 3 4 39" xfId="26772"/>
    <cellStyle name="Normal 3 4 4" xfId="26773"/>
    <cellStyle name="Normal 3 4 40" xfId="26774"/>
    <cellStyle name="Normal 3 4 41" xfId="26775"/>
    <cellStyle name="Normal 3 4 42" xfId="26776"/>
    <cellStyle name="Normal 3 4 43" xfId="26777"/>
    <cellStyle name="Normal 3 4 44" xfId="26778"/>
    <cellStyle name="Normal 3 4 45" xfId="26779"/>
    <cellStyle name="Normal 3 4 46" xfId="26780"/>
    <cellStyle name="Normal 3 4 47" xfId="26781"/>
    <cellStyle name="Normal 3 4 48" xfId="26782"/>
    <cellStyle name="Normal 3 4 49" xfId="26783"/>
    <cellStyle name="Normal 3 4 5" xfId="26784"/>
    <cellStyle name="Normal 3 4 50" xfId="26785"/>
    <cellStyle name="Normal 3 4 51" xfId="26786"/>
    <cellStyle name="Normal 3 4 52" xfId="26787"/>
    <cellStyle name="Normal 3 4 53" xfId="26788"/>
    <cellStyle name="Normal 3 4 54" xfId="26789"/>
    <cellStyle name="Normal 3 4 55" xfId="26790"/>
    <cellStyle name="Normal 3 4 56" xfId="26791"/>
    <cellStyle name="Normal 3 4 57" xfId="26792"/>
    <cellStyle name="Normal 3 4 58" xfId="26793"/>
    <cellStyle name="Normal 3 4 59" xfId="26794"/>
    <cellStyle name="Normal 3 4 6" xfId="26795"/>
    <cellStyle name="Normal 3 4 60" xfId="26796"/>
    <cellStyle name="Normal 3 4 61" xfId="26797"/>
    <cellStyle name="Normal 3 4 62" xfId="26798"/>
    <cellStyle name="Normal 3 4 63" xfId="26799"/>
    <cellStyle name="Normal 3 4 64" xfId="26800"/>
    <cellStyle name="Normal 3 4 65" xfId="26801"/>
    <cellStyle name="Normal 3 4 66" xfId="26802"/>
    <cellStyle name="Normal 3 4 67" xfId="26803"/>
    <cellStyle name="Normal 3 4 68" xfId="26804"/>
    <cellStyle name="Normal 3 4 69" xfId="26805"/>
    <cellStyle name="Normal 3 4 7" xfId="26806"/>
    <cellStyle name="Normal 3 4 70" xfId="26807"/>
    <cellStyle name="Normal 3 4 71" xfId="26808"/>
    <cellStyle name="Normal 3 4 72" xfId="26809"/>
    <cellStyle name="Normal 3 4 73" xfId="26810"/>
    <cellStyle name="Normal 3 4 74" xfId="26811"/>
    <cellStyle name="Normal 3 4 75" xfId="26812"/>
    <cellStyle name="Normal 3 4 76" xfId="26813"/>
    <cellStyle name="Normal 3 4 77" xfId="26814"/>
    <cellStyle name="Normal 3 4 78" xfId="26815"/>
    <cellStyle name="Normal 3 4 79" xfId="26816"/>
    <cellStyle name="Normal 3 4 8" xfId="26817"/>
    <cellStyle name="Normal 3 4 80" xfId="26818"/>
    <cellStyle name="Normal 3 4 81" xfId="26819"/>
    <cellStyle name="Normal 3 4 82" xfId="26820"/>
    <cellStyle name="Normal 3 4 83" xfId="26821"/>
    <cellStyle name="Normal 3 4 9" xfId="26822"/>
    <cellStyle name="Normal 3 40" xfId="26823"/>
    <cellStyle name="Normal 3 41" xfId="26824"/>
    <cellStyle name="Normal 3 42" xfId="26825"/>
    <cellStyle name="Normal 3 43" xfId="26826"/>
    <cellStyle name="Normal 3 44" xfId="26827"/>
    <cellStyle name="Normal 3 45" xfId="26828"/>
    <cellStyle name="Normal 3 46" xfId="26829"/>
    <cellStyle name="Normal 3 47" xfId="26830"/>
    <cellStyle name="Normal 3 48" xfId="26831"/>
    <cellStyle name="Normal 3 49" xfId="26832"/>
    <cellStyle name="Normal 3 5" xfId="26833"/>
    <cellStyle name="Normal 3 5 10" xfId="26834"/>
    <cellStyle name="Normal 3 5 11" xfId="26835"/>
    <cellStyle name="Normal 3 5 12" xfId="26836"/>
    <cellStyle name="Normal 3 5 13" xfId="26837"/>
    <cellStyle name="Normal 3 5 14" xfId="26838"/>
    <cellStyle name="Normal 3 5 15" xfId="26839"/>
    <cellStyle name="Normal 3 5 16" xfId="26840"/>
    <cellStyle name="Normal 3 5 17" xfId="26841"/>
    <cellStyle name="Normal 3 5 18" xfId="26842"/>
    <cellStyle name="Normal 3 5 19" xfId="26843"/>
    <cellStyle name="Normal 3 5 2" xfId="26844"/>
    <cellStyle name="Normal 3 5 20" xfId="26845"/>
    <cellStyle name="Normal 3 5 21" xfId="26846"/>
    <cellStyle name="Normal 3 5 22" xfId="26847"/>
    <cellStyle name="Normal 3 5 23" xfId="26848"/>
    <cellStyle name="Normal 3 5 24" xfId="26849"/>
    <cellStyle name="Normal 3 5 25" xfId="26850"/>
    <cellStyle name="Normal 3 5 26" xfId="26851"/>
    <cellStyle name="Normal 3 5 27" xfId="26852"/>
    <cellStyle name="Normal 3 5 28" xfId="26853"/>
    <cellStyle name="Normal 3 5 29" xfId="26854"/>
    <cellStyle name="Normal 3 5 3" xfId="26855"/>
    <cellStyle name="Normal 3 5 30" xfId="26856"/>
    <cellStyle name="Normal 3 5 31" xfId="26857"/>
    <cellStyle name="Normal 3 5 32" xfId="26858"/>
    <cellStyle name="Normal 3 5 33" xfId="26859"/>
    <cellStyle name="Normal 3 5 34" xfId="26860"/>
    <cellStyle name="Normal 3 5 35" xfId="26861"/>
    <cellStyle name="Normal 3 5 36" xfId="26862"/>
    <cellStyle name="Normal 3 5 37" xfId="26863"/>
    <cellStyle name="Normal 3 5 38" xfId="26864"/>
    <cellStyle name="Normal 3 5 39" xfId="26865"/>
    <cellStyle name="Normal 3 5 4" xfId="26866"/>
    <cellStyle name="Normal 3 5 40" xfId="26867"/>
    <cellStyle name="Normal 3 5 41" xfId="26868"/>
    <cellStyle name="Normal 3 5 42" xfId="26869"/>
    <cellStyle name="Normal 3 5 43" xfId="26870"/>
    <cellStyle name="Normal 3 5 44" xfId="26871"/>
    <cellStyle name="Normal 3 5 45" xfId="26872"/>
    <cellStyle name="Normal 3 5 46" xfId="26873"/>
    <cellStyle name="Normal 3 5 47" xfId="26874"/>
    <cellStyle name="Normal 3 5 48" xfId="26875"/>
    <cellStyle name="Normal 3 5 49" xfId="26876"/>
    <cellStyle name="Normal 3 5 5" xfId="26877"/>
    <cellStyle name="Normal 3 5 50" xfId="26878"/>
    <cellStyle name="Normal 3 5 51" xfId="26879"/>
    <cellStyle name="Normal 3 5 52" xfId="26880"/>
    <cellStyle name="Normal 3 5 53" xfId="26881"/>
    <cellStyle name="Normal 3 5 54" xfId="26882"/>
    <cellStyle name="Normal 3 5 55" xfId="26883"/>
    <cellStyle name="Normal 3 5 56" xfId="26884"/>
    <cellStyle name="Normal 3 5 57" xfId="26885"/>
    <cellStyle name="Normal 3 5 58" xfId="26886"/>
    <cellStyle name="Normal 3 5 59" xfId="26887"/>
    <cellStyle name="Normal 3 5 6" xfId="26888"/>
    <cellStyle name="Normal 3 5 60" xfId="26889"/>
    <cellStyle name="Normal 3 5 61" xfId="26890"/>
    <cellStyle name="Normal 3 5 62" xfId="26891"/>
    <cellStyle name="Normal 3 5 63" xfId="26892"/>
    <cellStyle name="Normal 3 5 64" xfId="26893"/>
    <cellStyle name="Normal 3 5 65" xfId="26894"/>
    <cellStyle name="Normal 3 5 66" xfId="26895"/>
    <cellStyle name="Normal 3 5 67" xfId="26896"/>
    <cellStyle name="Normal 3 5 68" xfId="26897"/>
    <cellStyle name="Normal 3 5 69" xfId="26898"/>
    <cellStyle name="Normal 3 5 7" xfId="26899"/>
    <cellStyle name="Normal 3 5 70" xfId="26900"/>
    <cellStyle name="Normal 3 5 71" xfId="26901"/>
    <cellStyle name="Normal 3 5 72" xfId="26902"/>
    <cellStyle name="Normal 3 5 73" xfId="26903"/>
    <cellStyle name="Normal 3 5 74" xfId="26904"/>
    <cellStyle name="Normal 3 5 75" xfId="26905"/>
    <cellStyle name="Normal 3 5 76" xfId="26906"/>
    <cellStyle name="Normal 3 5 77" xfId="26907"/>
    <cellStyle name="Normal 3 5 78" xfId="26908"/>
    <cellStyle name="Normal 3 5 79" xfId="26909"/>
    <cellStyle name="Normal 3 5 8" xfId="26910"/>
    <cellStyle name="Normal 3 5 80" xfId="26911"/>
    <cellStyle name="Normal 3 5 81" xfId="26912"/>
    <cellStyle name="Normal 3 5 82" xfId="26913"/>
    <cellStyle name="Normal 3 5 83" xfId="26914"/>
    <cellStyle name="Normal 3 5 9" xfId="26915"/>
    <cellStyle name="Normal 3 50" xfId="26916"/>
    <cellStyle name="Normal 3 51" xfId="26917"/>
    <cellStyle name="Normal 3 52" xfId="26918"/>
    <cellStyle name="Normal 3 53" xfId="26919"/>
    <cellStyle name="Normal 3 54" xfId="26920"/>
    <cellStyle name="Normal 3 55" xfId="26921"/>
    <cellStyle name="Normal 3 56" xfId="26922"/>
    <cellStyle name="Normal 3 57" xfId="26923"/>
    <cellStyle name="Normal 3 58" xfId="26924"/>
    <cellStyle name="Normal 3 59" xfId="26925"/>
    <cellStyle name="Normal 3 6" xfId="26926"/>
    <cellStyle name="Normal 3 6 10" xfId="26927"/>
    <cellStyle name="Normal 3 6 11" xfId="26928"/>
    <cellStyle name="Normal 3 6 12" xfId="26929"/>
    <cellStyle name="Normal 3 6 13" xfId="26930"/>
    <cellStyle name="Normal 3 6 14" xfId="26931"/>
    <cellStyle name="Normal 3 6 15" xfId="26932"/>
    <cellStyle name="Normal 3 6 16" xfId="26933"/>
    <cellStyle name="Normal 3 6 17" xfId="26934"/>
    <cellStyle name="Normal 3 6 18" xfId="26935"/>
    <cellStyle name="Normal 3 6 19" xfId="26936"/>
    <cellStyle name="Normal 3 6 2" xfId="26937"/>
    <cellStyle name="Normal 3 6 20" xfId="26938"/>
    <cellStyle name="Normal 3 6 21" xfId="26939"/>
    <cellStyle name="Normal 3 6 22" xfId="26940"/>
    <cellStyle name="Normal 3 6 23" xfId="26941"/>
    <cellStyle name="Normal 3 6 24" xfId="26942"/>
    <cellStyle name="Normal 3 6 25" xfId="26943"/>
    <cellStyle name="Normal 3 6 26" xfId="26944"/>
    <cellStyle name="Normal 3 6 27" xfId="26945"/>
    <cellStyle name="Normal 3 6 28" xfId="26946"/>
    <cellStyle name="Normal 3 6 29" xfId="26947"/>
    <cellStyle name="Normal 3 6 3" xfId="26948"/>
    <cellStyle name="Normal 3 6 30" xfId="26949"/>
    <cellStyle name="Normal 3 6 31" xfId="26950"/>
    <cellStyle name="Normal 3 6 32" xfId="26951"/>
    <cellStyle name="Normal 3 6 33" xfId="26952"/>
    <cellStyle name="Normal 3 6 34" xfId="26953"/>
    <cellStyle name="Normal 3 6 35" xfId="26954"/>
    <cellStyle name="Normal 3 6 36" xfId="26955"/>
    <cellStyle name="Normal 3 6 37" xfId="26956"/>
    <cellStyle name="Normal 3 6 38" xfId="26957"/>
    <cellStyle name="Normal 3 6 39" xfId="26958"/>
    <cellStyle name="Normal 3 6 4" xfId="26959"/>
    <cellStyle name="Normal 3 6 40" xfId="26960"/>
    <cellStyle name="Normal 3 6 41" xfId="26961"/>
    <cellStyle name="Normal 3 6 42" xfId="26962"/>
    <cellStyle name="Normal 3 6 43" xfId="26963"/>
    <cellStyle name="Normal 3 6 44" xfId="26964"/>
    <cellStyle name="Normal 3 6 45" xfId="26965"/>
    <cellStyle name="Normal 3 6 46" xfId="26966"/>
    <cellStyle name="Normal 3 6 47" xfId="26967"/>
    <cellStyle name="Normal 3 6 48" xfId="26968"/>
    <cellStyle name="Normal 3 6 49" xfId="26969"/>
    <cellStyle name="Normal 3 6 5" xfId="26970"/>
    <cellStyle name="Normal 3 6 50" xfId="26971"/>
    <cellStyle name="Normal 3 6 51" xfId="26972"/>
    <cellStyle name="Normal 3 6 52" xfId="26973"/>
    <cellStyle name="Normal 3 6 53" xfId="26974"/>
    <cellStyle name="Normal 3 6 54" xfId="26975"/>
    <cellStyle name="Normal 3 6 55" xfId="26976"/>
    <cellStyle name="Normal 3 6 56" xfId="26977"/>
    <cellStyle name="Normal 3 6 57" xfId="26978"/>
    <cellStyle name="Normal 3 6 58" xfId="26979"/>
    <cellStyle name="Normal 3 6 59" xfId="26980"/>
    <cellStyle name="Normal 3 6 6" xfId="26981"/>
    <cellStyle name="Normal 3 6 60" xfId="26982"/>
    <cellStyle name="Normal 3 6 61" xfId="26983"/>
    <cellStyle name="Normal 3 6 62" xfId="26984"/>
    <cellStyle name="Normal 3 6 63" xfId="26985"/>
    <cellStyle name="Normal 3 6 64" xfId="26986"/>
    <cellStyle name="Normal 3 6 65" xfId="26987"/>
    <cellStyle name="Normal 3 6 66" xfId="26988"/>
    <cellStyle name="Normal 3 6 67" xfId="26989"/>
    <cellStyle name="Normal 3 6 68" xfId="26990"/>
    <cellStyle name="Normal 3 6 69" xfId="26991"/>
    <cellStyle name="Normal 3 6 7" xfId="26992"/>
    <cellStyle name="Normal 3 6 70" xfId="26993"/>
    <cellStyle name="Normal 3 6 71" xfId="26994"/>
    <cellStyle name="Normal 3 6 72" xfId="26995"/>
    <cellStyle name="Normal 3 6 73" xfId="26996"/>
    <cellStyle name="Normal 3 6 74" xfId="26997"/>
    <cellStyle name="Normal 3 6 75" xfId="26998"/>
    <cellStyle name="Normal 3 6 76" xfId="26999"/>
    <cellStyle name="Normal 3 6 77" xfId="27000"/>
    <cellStyle name="Normal 3 6 78" xfId="27001"/>
    <cellStyle name="Normal 3 6 79" xfId="27002"/>
    <cellStyle name="Normal 3 6 8" xfId="27003"/>
    <cellStyle name="Normal 3 6 80" xfId="27004"/>
    <cellStyle name="Normal 3 6 81" xfId="27005"/>
    <cellStyle name="Normal 3 6 82" xfId="27006"/>
    <cellStyle name="Normal 3 6 83" xfId="27007"/>
    <cellStyle name="Normal 3 6 9" xfId="27008"/>
    <cellStyle name="Normal 3 60" xfId="27009"/>
    <cellStyle name="Normal 3 61" xfId="27010"/>
    <cellStyle name="Normal 3 62" xfId="27011"/>
    <cellStyle name="Normal 3 63" xfId="27012"/>
    <cellStyle name="Normal 3 64" xfId="27013"/>
    <cellStyle name="Normal 3 65" xfId="27014"/>
    <cellStyle name="Normal 3 66" xfId="27015"/>
    <cellStyle name="Normal 3 67" xfId="27016"/>
    <cellStyle name="Normal 3 68" xfId="27017"/>
    <cellStyle name="Normal 3 69" xfId="27018"/>
    <cellStyle name="Normal 3 7" xfId="27019"/>
    <cellStyle name="Normal 3 7 10" xfId="27020"/>
    <cellStyle name="Normal 3 7 11" xfId="27021"/>
    <cellStyle name="Normal 3 7 12" xfId="27022"/>
    <cellStyle name="Normal 3 7 13" xfId="27023"/>
    <cellStyle name="Normal 3 7 14" xfId="27024"/>
    <cellStyle name="Normal 3 7 15" xfId="27025"/>
    <cellStyle name="Normal 3 7 16" xfId="27026"/>
    <cellStyle name="Normal 3 7 17" xfId="27027"/>
    <cellStyle name="Normal 3 7 18" xfId="27028"/>
    <cellStyle name="Normal 3 7 19" xfId="27029"/>
    <cellStyle name="Normal 3 7 2" xfId="27030"/>
    <cellStyle name="Normal 3 7 20" xfId="27031"/>
    <cellStyle name="Normal 3 7 21" xfId="27032"/>
    <cellStyle name="Normal 3 7 22" xfId="27033"/>
    <cellStyle name="Normal 3 7 23" xfId="27034"/>
    <cellStyle name="Normal 3 7 24" xfId="27035"/>
    <cellStyle name="Normal 3 7 25" xfId="27036"/>
    <cellStyle name="Normal 3 7 26" xfId="27037"/>
    <cellStyle name="Normal 3 7 27" xfId="27038"/>
    <cellStyle name="Normal 3 7 28" xfId="27039"/>
    <cellStyle name="Normal 3 7 29" xfId="27040"/>
    <cellStyle name="Normal 3 7 3" xfId="27041"/>
    <cellStyle name="Normal 3 7 30" xfId="27042"/>
    <cellStyle name="Normal 3 7 31" xfId="27043"/>
    <cellStyle name="Normal 3 7 32" xfId="27044"/>
    <cellStyle name="Normal 3 7 33" xfId="27045"/>
    <cellStyle name="Normal 3 7 34" xfId="27046"/>
    <cellStyle name="Normal 3 7 35" xfId="27047"/>
    <cellStyle name="Normal 3 7 36" xfId="27048"/>
    <cellStyle name="Normal 3 7 37" xfId="27049"/>
    <cellStyle name="Normal 3 7 38" xfId="27050"/>
    <cellStyle name="Normal 3 7 39" xfId="27051"/>
    <cellStyle name="Normal 3 7 4" xfId="27052"/>
    <cellStyle name="Normal 3 7 40" xfId="27053"/>
    <cellStyle name="Normal 3 7 41" xfId="27054"/>
    <cellStyle name="Normal 3 7 42" xfId="27055"/>
    <cellStyle name="Normal 3 7 43" xfId="27056"/>
    <cellStyle name="Normal 3 7 44" xfId="27057"/>
    <cellStyle name="Normal 3 7 45" xfId="27058"/>
    <cellStyle name="Normal 3 7 46" xfId="27059"/>
    <cellStyle name="Normal 3 7 47" xfId="27060"/>
    <cellStyle name="Normal 3 7 48" xfId="27061"/>
    <cellStyle name="Normal 3 7 49" xfId="27062"/>
    <cellStyle name="Normal 3 7 5" xfId="27063"/>
    <cellStyle name="Normal 3 7 50" xfId="27064"/>
    <cellStyle name="Normal 3 7 51" xfId="27065"/>
    <cellStyle name="Normal 3 7 52" xfId="27066"/>
    <cellStyle name="Normal 3 7 53" xfId="27067"/>
    <cellStyle name="Normal 3 7 54" xfId="27068"/>
    <cellStyle name="Normal 3 7 55" xfId="27069"/>
    <cellStyle name="Normal 3 7 56" xfId="27070"/>
    <cellStyle name="Normal 3 7 57" xfId="27071"/>
    <cellStyle name="Normal 3 7 58" xfId="27072"/>
    <cellStyle name="Normal 3 7 59" xfId="27073"/>
    <cellStyle name="Normal 3 7 6" xfId="27074"/>
    <cellStyle name="Normal 3 7 60" xfId="27075"/>
    <cellStyle name="Normal 3 7 61" xfId="27076"/>
    <cellStyle name="Normal 3 7 62" xfId="27077"/>
    <cellStyle name="Normal 3 7 63" xfId="27078"/>
    <cellStyle name="Normal 3 7 64" xfId="27079"/>
    <cellStyle name="Normal 3 7 65" xfId="27080"/>
    <cellStyle name="Normal 3 7 66" xfId="27081"/>
    <cellStyle name="Normal 3 7 67" xfId="27082"/>
    <cellStyle name="Normal 3 7 68" xfId="27083"/>
    <cellStyle name="Normal 3 7 69" xfId="27084"/>
    <cellStyle name="Normal 3 7 7" xfId="27085"/>
    <cellStyle name="Normal 3 7 70" xfId="27086"/>
    <cellStyle name="Normal 3 7 71" xfId="27087"/>
    <cellStyle name="Normal 3 7 72" xfId="27088"/>
    <cellStyle name="Normal 3 7 73" xfId="27089"/>
    <cellStyle name="Normal 3 7 74" xfId="27090"/>
    <cellStyle name="Normal 3 7 75" xfId="27091"/>
    <cellStyle name="Normal 3 7 76" xfId="27092"/>
    <cellStyle name="Normal 3 7 77" xfId="27093"/>
    <cellStyle name="Normal 3 7 78" xfId="27094"/>
    <cellStyle name="Normal 3 7 79" xfId="27095"/>
    <cellStyle name="Normal 3 7 8" xfId="27096"/>
    <cellStyle name="Normal 3 7 80" xfId="27097"/>
    <cellStyle name="Normal 3 7 81" xfId="27098"/>
    <cellStyle name="Normal 3 7 82" xfId="27099"/>
    <cellStyle name="Normal 3 7 83" xfId="27100"/>
    <cellStyle name="Normal 3 7 9" xfId="27101"/>
    <cellStyle name="Normal 3 70" xfId="27102"/>
    <cellStyle name="Normal 3 71" xfId="27103"/>
    <cellStyle name="Normal 3 72" xfId="27104"/>
    <cellStyle name="Normal 3 73" xfId="27105"/>
    <cellStyle name="Normal 3 74" xfId="27106"/>
    <cellStyle name="Normal 3 75" xfId="27107"/>
    <cellStyle name="Normal 3 76" xfId="27108"/>
    <cellStyle name="Normal 3 77" xfId="27109"/>
    <cellStyle name="Normal 3 78" xfId="27110"/>
    <cellStyle name="Normal 3 79" xfId="27111"/>
    <cellStyle name="Normal 3 8" xfId="27112"/>
    <cellStyle name="Normal 3 8 10" xfId="27113"/>
    <cellStyle name="Normal 3 8 11" xfId="27114"/>
    <cellStyle name="Normal 3 8 12" xfId="27115"/>
    <cellStyle name="Normal 3 8 13" xfId="27116"/>
    <cellStyle name="Normal 3 8 14" xfId="27117"/>
    <cellStyle name="Normal 3 8 15" xfId="27118"/>
    <cellStyle name="Normal 3 8 16" xfId="27119"/>
    <cellStyle name="Normal 3 8 17" xfId="27120"/>
    <cellStyle name="Normal 3 8 18" xfId="27121"/>
    <cellStyle name="Normal 3 8 19" xfId="27122"/>
    <cellStyle name="Normal 3 8 2" xfId="27123"/>
    <cellStyle name="Normal 3 8 20" xfId="27124"/>
    <cellStyle name="Normal 3 8 21" xfId="27125"/>
    <cellStyle name="Normal 3 8 22" xfId="27126"/>
    <cellStyle name="Normal 3 8 23" xfId="27127"/>
    <cellStyle name="Normal 3 8 24" xfId="27128"/>
    <cellStyle name="Normal 3 8 25" xfId="27129"/>
    <cellStyle name="Normal 3 8 26" xfId="27130"/>
    <cellStyle name="Normal 3 8 27" xfId="27131"/>
    <cellStyle name="Normal 3 8 28" xfId="27132"/>
    <cellStyle name="Normal 3 8 29" xfId="27133"/>
    <cellStyle name="Normal 3 8 3" xfId="27134"/>
    <cellStyle name="Normal 3 8 30" xfId="27135"/>
    <cellStyle name="Normal 3 8 31" xfId="27136"/>
    <cellStyle name="Normal 3 8 32" xfId="27137"/>
    <cellStyle name="Normal 3 8 33" xfId="27138"/>
    <cellStyle name="Normal 3 8 34" xfId="27139"/>
    <cellStyle name="Normal 3 8 35" xfId="27140"/>
    <cellStyle name="Normal 3 8 36" xfId="27141"/>
    <cellStyle name="Normal 3 8 37" xfId="27142"/>
    <cellStyle name="Normal 3 8 38" xfId="27143"/>
    <cellStyle name="Normal 3 8 39" xfId="27144"/>
    <cellStyle name="Normal 3 8 4" xfId="27145"/>
    <cellStyle name="Normal 3 8 40" xfId="27146"/>
    <cellStyle name="Normal 3 8 41" xfId="27147"/>
    <cellStyle name="Normal 3 8 42" xfId="27148"/>
    <cellStyle name="Normal 3 8 43" xfId="27149"/>
    <cellStyle name="Normal 3 8 44" xfId="27150"/>
    <cellStyle name="Normal 3 8 45" xfId="27151"/>
    <cellStyle name="Normal 3 8 46" xfId="27152"/>
    <cellStyle name="Normal 3 8 47" xfId="27153"/>
    <cellStyle name="Normal 3 8 48" xfId="27154"/>
    <cellStyle name="Normal 3 8 49" xfId="27155"/>
    <cellStyle name="Normal 3 8 5" xfId="27156"/>
    <cellStyle name="Normal 3 8 50" xfId="27157"/>
    <cellStyle name="Normal 3 8 51" xfId="27158"/>
    <cellStyle name="Normal 3 8 52" xfId="27159"/>
    <cellStyle name="Normal 3 8 53" xfId="27160"/>
    <cellStyle name="Normal 3 8 54" xfId="27161"/>
    <cellStyle name="Normal 3 8 55" xfId="27162"/>
    <cellStyle name="Normal 3 8 56" xfId="27163"/>
    <cellStyle name="Normal 3 8 57" xfId="27164"/>
    <cellStyle name="Normal 3 8 58" xfId="27165"/>
    <cellStyle name="Normal 3 8 59" xfId="27166"/>
    <cellStyle name="Normal 3 8 6" xfId="27167"/>
    <cellStyle name="Normal 3 8 60" xfId="27168"/>
    <cellStyle name="Normal 3 8 61" xfId="27169"/>
    <cellStyle name="Normal 3 8 62" xfId="27170"/>
    <cellStyle name="Normal 3 8 63" xfId="27171"/>
    <cellStyle name="Normal 3 8 64" xfId="27172"/>
    <cellStyle name="Normal 3 8 65" xfId="27173"/>
    <cellStyle name="Normal 3 8 66" xfId="27174"/>
    <cellStyle name="Normal 3 8 67" xfId="27175"/>
    <cellStyle name="Normal 3 8 68" xfId="27176"/>
    <cellStyle name="Normal 3 8 69" xfId="27177"/>
    <cellStyle name="Normal 3 8 7" xfId="27178"/>
    <cellStyle name="Normal 3 8 70" xfId="27179"/>
    <cellStyle name="Normal 3 8 71" xfId="27180"/>
    <cellStyle name="Normal 3 8 72" xfId="27181"/>
    <cellStyle name="Normal 3 8 73" xfId="27182"/>
    <cellStyle name="Normal 3 8 74" xfId="27183"/>
    <cellStyle name="Normal 3 8 75" xfId="27184"/>
    <cellStyle name="Normal 3 8 76" xfId="27185"/>
    <cellStyle name="Normal 3 8 77" xfId="27186"/>
    <cellStyle name="Normal 3 8 78" xfId="27187"/>
    <cellStyle name="Normal 3 8 79" xfId="27188"/>
    <cellStyle name="Normal 3 8 8" xfId="27189"/>
    <cellStyle name="Normal 3 8 80" xfId="27190"/>
    <cellStyle name="Normal 3 8 81" xfId="27191"/>
    <cellStyle name="Normal 3 8 82" xfId="27192"/>
    <cellStyle name="Normal 3 8 83" xfId="27193"/>
    <cellStyle name="Normal 3 8 9" xfId="27194"/>
    <cellStyle name="Normal 3 80" xfId="27195"/>
    <cellStyle name="Normal 3 81" xfId="27196"/>
    <cellStyle name="Normal 3 82" xfId="27197"/>
    <cellStyle name="Normal 3 83" xfId="27198"/>
    <cellStyle name="Normal 3 84" xfId="27199"/>
    <cellStyle name="Normal 3 85" xfId="27200"/>
    <cellStyle name="Normal 3 86" xfId="27201"/>
    <cellStyle name="Normal 3 87" xfId="27202"/>
    <cellStyle name="Normal 3 88" xfId="27203"/>
    <cellStyle name="Normal 3 89" xfId="27204"/>
    <cellStyle name="Normal 3 9" xfId="27205"/>
    <cellStyle name="Normal 3 90" xfId="27206"/>
    <cellStyle name="Normal 3 91" xfId="36447"/>
    <cellStyle name="Normal 3_Cultura y Tiempo libre 2011 base 2012 PGM - EMV  2013" xfId="27207"/>
    <cellStyle name="Normal 30" xfId="27208"/>
    <cellStyle name="Normal 30 10" xfId="27209"/>
    <cellStyle name="Normal 30 10 10" xfId="27210"/>
    <cellStyle name="Normal 30 10 11" xfId="27211"/>
    <cellStyle name="Normal 30 10 12" xfId="27212"/>
    <cellStyle name="Normal 30 10 13" xfId="27213"/>
    <cellStyle name="Normal 30 10 2" xfId="27214"/>
    <cellStyle name="Normal 30 10 3" xfId="27215"/>
    <cellStyle name="Normal 30 10 4" xfId="27216"/>
    <cellStyle name="Normal 30 10 5" xfId="27217"/>
    <cellStyle name="Normal 30 10 6" xfId="27218"/>
    <cellStyle name="Normal 30 10 7" xfId="27219"/>
    <cellStyle name="Normal 30 10 8" xfId="27220"/>
    <cellStyle name="Normal 30 10 9" xfId="27221"/>
    <cellStyle name="Normal 30 11" xfId="27222"/>
    <cellStyle name="Normal 30 11 10" xfId="27223"/>
    <cellStyle name="Normal 30 11 11" xfId="27224"/>
    <cellStyle name="Normal 30 11 12" xfId="27225"/>
    <cellStyle name="Normal 30 11 13" xfId="27226"/>
    <cellStyle name="Normal 30 11 2" xfId="27227"/>
    <cellStyle name="Normal 30 11 3" xfId="27228"/>
    <cellStyle name="Normal 30 11 4" xfId="27229"/>
    <cellStyle name="Normal 30 11 5" xfId="27230"/>
    <cellStyle name="Normal 30 11 6" xfId="27231"/>
    <cellStyle name="Normal 30 11 7" xfId="27232"/>
    <cellStyle name="Normal 30 11 8" xfId="27233"/>
    <cellStyle name="Normal 30 11 9" xfId="27234"/>
    <cellStyle name="Normal 30 12" xfId="27235"/>
    <cellStyle name="Normal 30 12 10" xfId="27236"/>
    <cellStyle name="Normal 30 12 11" xfId="27237"/>
    <cellStyle name="Normal 30 12 12" xfId="27238"/>
    <cellStyle name="Normal 30 12 13" xfId="27239"/>
    <cellStyle name="Normal 30 12 2" xfId="27240"/>
    <cellStyle name="Normal 30 12 3" xfId="27241"/>
    <cellStyle name="Normal 30 12 4" xfId="27242"/>
    <cellStyle name="Normal 30 12 5" xfId="27243"/>
    <cellStyle name="Normal 30 12 6" xfId="27244"/>
    <cellStyle name="Normal 30 12 7" xfId="27245"/>
    <cellStyle name="Normal 30 12 8" xfId="27246"/>
    <cellStyle name="Normal 30 12 9" xfId="27247"/>
    <cellStyle name="Normal 30 13" xfId="27248"/>
    <cellStyle name="Normal 30 13 10" xfId="27249"/>
    <cellStyle name="Normal 30 13 11" xfId="27250"/>
    <cellStyle name="Normal 30 13 12" xfId="27251"/>
    <cellStyle name="Normal 30 13 13" xfId="27252"/>
    <cellStyle name="Normal 30 13 2" xfId="27253"/>
    <cellStyle name="Normal 30 13 3" xfId="27254"/>
    <cellStyle name="Normal 30 13 4" xfId="27255"/>
    <cellStyle name="Normal 30 13 5" xfId="27256"/>
    <cellStyle name="Normal 30 13 6" xfId="27257"/>
    <cellStyle name="Normal 30 13 7" xfId="27258"/>
    <cellStyle name="Normal 30 13 8" xfId="27259"/>
    <cellStyle name="Normal 30 13 9" xfId="27260"/>
    <cellStyle name="Normal 30 14" xfId="27261"/>
    <cellStyle name="Normal 30 14 10" xfId="27262"/>
    <cellStyle name="Normal 30 14 11" xfId="27263"/>
    <cellStyle name="Normal 30 14 12" xfId="27264"/>
    <cellStyle name="Normal 30 14 13" xfId="27265"/>
    <cellStyle name="Normal 30 14 2" xfId="27266"/>
    <cellStyle name="Normal 30 14 3" xfId="27267"/>
    <cellStyle name="Normal 30 14 4" xfId="27268"/>
    <cellStyle name="Normal 30 14 5" xfId="27269"/>
    <cellStyle name="Normal 30 14 6" xfId="27270"/>
    <cellStyle name="Normal 30 14 7" xfId="27271"/>
    <cellStyle name="Normal 30 14 8" xfId="27272"/>
    <cellStyle name="Normal 30 14 9" xfId="27273"/>
    <cellStyle name="Normal 30 15" xfId="27274"/>
    <cellStyle name="Normal 30 15 10" xfId="27275"/>
    <cellStyle name="Normal 30 15 11" xfId="27276"/>
    <cellStyle name="Normal 30 15 12" xfId="27277"/>
    <cellStyle name="Normal 30 15 13" xfId="27278"/>
    <cellStyle name="Normal 30 15 2" xfId="27279"/>
    <cellStyle name="Normal 30 15 3" xfId="27280"/>
    <cellStyle name="Normal 30 15 4" xfId="27281"/>
    <cellStyle name="Normal 30 15 5" xfId="27282"/>
    <cellStyle name="Normal 30 15 6" xfId="27283"/>
    <cellStyle name="Normal 30 15 7" xfId="27284"/>
    <cellStyle name="Normal 30 15 8" xfId="27285"/>
    <cellStyle name="Normal 30 15 9" xfId="27286"/>
    <cellStyle name="Normal 30 16" xfId="27287"/>
    <cellStyle name="Normal 30 16 10" xfId="27288"/>
    <cellStyle name="Normal 30 16 11" xfId="27289"/>
    <cellStyle name="Normal 30 16 12" xfId="27290"/>
    <cellStyle name="Normal 30 16 13" xfId="27291"/>
    <cellStyle name="Normal 30 16 2" xfId="27292"/>
    <cellStyle name="Normal 30 16 3" xfId="27293"/>
    <cellStyle name="Normal 30 16 4" xfId="27294"/>
    <cellStyle name="Normal 30 16 5" xfId="27295"/>
    <cellStyle name="Normal 30 16 6" xfId="27296"/>
    <cellStyle name="Normal 30 16 7" xfId="27297"/>
    <cellStyle name="Normal 30 16 8" xfId="27298"/>
    <cellStyle name="Normal 30 16 9" xfId="27299"/>
    <cellStyle name="Normal 30 17" xfId="27300"/>
    <cellStyle name="Normal 30 17 10" xfId="27301"/>
    <cellStyle name="Normal 30 17 11" xfId="27302"/>
    <cellStyle name="Normal 30 17 12" xfId="27303"/>
    <cellStyle name="Normal 30 17 13" xfId="27304"/>
    <cellStyle name="Normal 30 17 2" xfId="27305"/>
    <cellStyle name="Normal 30 17 3" xfId="27306"/>
    <cellStyle name="Normal 30 17 4" xfId="27307"/>
    <cellStyle name="Normal 30 17 5" xfId="27308"/>
    <cellStyle name="Normal 30 17 6" xfId="27309"/>
    <cellStyle name="Normal 30 17 7" xfId="27310"/>
    <cellStyle name="Normal 30 17 8" xfId="27311"/>
    <cellStyle name="Normal 30 17 9" xfId="27312"/>
    <cellStyle name="Normal 30 18" xfId="27313"/>
    <cellStyle name="Normal 30 18 10" xfId="27314"/>
    <cellStyle name="Normal 30 18 11" xfId="27315"/>
    <cellStyle name="Normal 30 18 12" xfId="27316"/>
    <cellStyle name="Normal 30 18 13" xfId="27317"/>
    <cellStyle name="Normal 30 18 2" xfId="27318"/>
    <cellStyle name="Normal 30 18 3" xfId="27319"/>
    <cellStyle name="Normal 30 18 4" xfId="27320"/>
    <cellStyle name="Normal 30 18 5" xfId="27321"/>
    <cellStyle name="Normal 30 18 6" xfId="27322"/>
    <cellStyle name="Normal 30 18 7" xfId="27323"/>
    <cellStyle name="Normal 30 18 8" xfId="27324"/>
    <cellStyle name="Normal 30 18 9" xfId="27325"/>
    <cellStyle name="Normal 30 19" xfId="27326"/>
    <cellStyle name="Normal 30 19 10" xfId="27327"/>
    <cellStyle name="Normal 30 19 11" xfId="27328"/>
    <cellStyle name="Normal 30 19 12" xfId="27329"/>
    <cellStyle name="Normal 30 19 13" xfId="27330"/>
    <cellStyle name="Normal 30 19 2" xfId="27331"/>
    <cellStyle name="Normal 30 19 3" xfId="27332"/>
    <cellStyle name="Normal 30 19 4" xfId="27333"/>
    <cellStyle name="Normal 30 19 5" xfId="27334"/>
    <cellStyle name="Normal 30 19 6" xfId="27335"/>
    <cellStyle name="Normal 30 19 7" xfId="27336"/>
    <cellStyle name="Normal 30 19 8" xfId="27337"/>
    <cellStyle name="Normal 30 19 9" xfId="27338"/>
    <cellStyle name="Normal 30 2" xfId="27339"/>
    <cellStyle name="Normal 30 2 10" xfId="27340"/>
    <cellStyle name="Normal 30 2 11" xfId="27341"/>
    <cellStyle name="Normal 30 2 12" xfId="27342"/>
    <cellStyle name="Normal 30 2 13" xfId="27343"/>
    <cellStyle name="Normal 30 2 2" xfId="27344"/>
    <cellStyle name="Normal 30 2 3" xfId="27345"/>
    <cellStyle name="Normal 30 2 4" xfId="27346"/>
    <cellStyle name="Normal 30 2 5" xfId="27347"/>
    <cellStyle name="Normal 30 2 6" xfId="27348"/>
    <cellStyle name="Normal 30 2 7" xfId="27349"/>
    <cellStyle name="Normal 30 2 8" xfId="27350"/>
    <cellStyle name="Normal 30 2 9" xfId="27351"/>
    <cellStyle name="Normal 30 20" xfId="27352"/>
    <cellStyle name="Normal 30 20 10" xfId="27353"/>
    <cellStyle name="Normal 30 20 11" xfId="27354"/>
    <cellStyle name="Normal 30 20 12" xfId="27355"/>
    <cellStyle name="Normal 30 20 13" xfId="27356"/>
    <cellStyle name="Normal 30 20 2" xfId="27357"/>
    <cellStyle name="Normal 30 20 3" xfId="27358"/>
    <cellStyle name="Normal 30 20 4" xfId="27359"/>
    <cellStyle name="Normal 30 20 5" xfId="27360"/>
    <cellStyle name="Normal 30 20 6" xfId="27361"/>
    <cellStyle name="Normal 30 20 7" xfId="27362"/>
    <cellStyle name="Normal 30 20 8" xfId="27363"/>
    <cellStyle name="Normal 30 20 9" xfId="27364"/>
    <cellStyle name="Normal 30 21" xfId="27365"/>
    <cellStyle name="Normal 30 21 10" xfId="27366"/>
    <cellStyle name="Normal 30 21 11" xfId="27367"/>
    <cellStyle name="Normal 30 21 12" xfId="27368"/>
    <cellStyle name="Normal 30 21 13" xfId="27369"/>
    <cellStyle name="Normal 30 21 2" xfId="27370"/>
    <cellStyle name="Normal 30 21 3" xfId="27371"/>
    <cellStyle name="Normal 30 21 4" xfId="27372"/>
    <cellStyle name="Normal 30 21 5" xfId="27373"/>
    <cellStyle name="Normal 30 21 6" xfId="27374"/>
    <cellStyle name="Normal 30 21 7" xfId="27375"/>
    <cellStyle name="Normal 30 21 8" xfId="27376"/>
    <cellStyle name="Normal 30 21 9" xfId="27377"/>
    <cellStyle name="Normal 30 22" xfId="27378"/>
    <cellStyle name="Normal 30 22 10" xfId="27379"/>
    <cellStyle name="Normal 30 22 11" xfId="27380"/>
    <cellStyle name="Normal 30 22 12" xfId="27381"/>
    <cellStyle name="Normal 30 22 13" xfId="27382"/>
    <cellStyle name="Normal 30 22 2" xfId="27383"/>
    <cellStyle name="Normal 30 22 3" xfId="27384"/>
    <cellStyle name="Normal 30 22 4" xfId="27385"/>
    <cellStyle name="Normal 30 22 5" xfId="27386"/>
    <cellStyle name="Normal 30 22 6" xfId="27387"/>
    <cellStyle name="Normal 30 22 7" xfId="27388"/>
    <cellStyle name="Normal 30 22 8" xfId="27389"/>
    <cellStyle name="Normal 30 22 9" xfId="27390"/>
    <cellStyle name="Normal 30 23" xfId="27391"/>
    <cellStyle name="Normal 30 23 10" xfId="27392"/>
    <cellStyle name="Normal 30 23 11" xfId="27393"/>
    <cellStyle name="Normal 30 23 12" xfId="27394"/>
    <cellStyle name="Normal 30 23 13" xfId="27395"/>
    <cellStyle name="Normal 30 23 2" xfId="27396"/>
    <cellStyle name="Normal 30 23 3" xfId="27397"/>
    <cellStyle name="Normal 30 23 4" xfId="27398"/>
    <cellStyle name="Normal 30 23 5" xfId="27399"/>
    <cellStyle name="Normal 30 23 6" xfId="27400"/>
    <cellStyle name="Normal 30 23 7" xfId="27401"/>
    <cellStyle name="Normal 30 23 8" xfId="27402"/>
    <cellStyle name="Normal 30 23 9" xfId="27403"/>
    <cellStyle name="Normal 30 24" xfId="27404"/>
    <cellStyle name="Normal 30 24 10" xfId="27405"/>
    <cellStyle name="Normal 30 24 11" xfId="27406"/>
    <cellStyle name="Normal 30 24 12" xfId="27407"/>
    <cellStyle name="Normal 30 24 13" xfId="27408"/>
    <cellStyle name="Normal 30 24 2" xfId="27409"/>
    <cellStyle name="Normal 30 24 3" xfId="27410"/>
    <cellStyle name="Normal 30 24 4" xfId="27411"/>
    <cellStyle name="Normal 30 24 5" xfId="27412"/>
    <cellStyle name="Normal 30 24 6" xfId="27413"/>
    <cellStyle name="Normal 30 24 7" xfId="27414"/>
    <cellStyle name="Normal 30 24 8" xfId="27415"/>
    <cellStyle name="Normal 30 24 9" xfId="27416"/>
    <cellStyle name="Normal 30 25" xfId="27417"/>
    <cellStyle name="Normal 30 25 10" xfId="27418"/>
    <cellStyle name="Normal 30 25 11" xfId="27419"/>
    <cellStyle name="Normal 30 25 12" xfId="27420"/>
    <cellStyle name="Normal 30 25 13" xfId="27421"/>
    <cellStyle name="Normal 30 25 2" xfId="27422"/>
    <cellStyle name="Normal 30 25 3" xfId="27423"/>
    <cellStyle name="Normal 30 25 4" xfId="27424"/>
    <cellStyle name="Normal 30 25 5" xfId="27425"/>
    <cellStyle name="Normal 30 25 6" xfId="27426"/>
    <cellStyle name="Normal 30 25 7" xfId="27427"/>
    <cellStyle name="Normal 30 25 8" xfId="27428"/>
    <cellStyle name="Normal 30 25 9" xfId="27429"/>
    <cellStyle name="Normal 30 26" xfId="27430"/>
    <cellStyle name="Normal 30 26 10" xfId="27431"/>
    <cellStyle name="Normal 30 26 11" xfId="27432"/>
    <cellStyle name="Normal 30 26 12" xfId="27433"/>
    <cellStyle name="Normal 30 26 13" xfId="27434"/>
    <cellStyle name="Normal 30 26 2" xfId="27435"/>
    <cellStyle name="Normal 30 26 3" xfId="27436"/>
    <cellStyle name="Normal 30 26 4" xfId="27437"/>
    <cellStyle name="Normal 30 26 5" xfId="27438"/>
    <cellStyle name="Normal 30 26 6" xfId="27439"/>
    <cellStyle name="Normal 30 26 7" xfId="27440"/>
    <cellStyle name="Normal 30 26 8" xfId="27441"/>
    <cellStyle name="Normal 30 26 9" xfId="27442"/>
    <cellStyle name="Normal 30 27" xfId="27443"/>
    <cellStyle name="Normal 30 27 10" xfId="27444"/>
    <cellStyle name="Normal 30 27 11" xfId="27445"/>
    <cellStyle name="Normal 30 27 12" xfId="27446"/>
    <cellStyle name="Normal 30 27 13" xfId="27447"/>
    <cellStyle name="Normal 30 27 2" xfId="27448"/>
    <cellStyle name="Normal 30 27 3" xfId="27449"/>
    <cellStyle name="Normal 30 27 4" xfId="27450"/>
    <cellStyle name="Normal 30 27 5" xfId="27451"/>
    <cellStyle name="Normal 30 27 6" xfId="27452"/>
    <cellStyle name="Normal 30 27 7" xfId="27453"/>
    <cellStyle name="Normal 30 27 8" xfId="27454"/>
    <cellStyle name="Normal 30 27 9" xfId="27455"/>
    <cellStyle name="Normal 30 28" xfId="27456"/>
    <cellStyle name="Normal 30 28 10" xfId="27457"/>
    <cellStyle name="Normal 30 28 11" xfId="27458"/>
    <cellStyle name="Normal 30 28 12" xfId="27459"/>
    <cellStyle name="Normal 30 28 13" xfId="27460"/>
    <cellStyle name="Normal 30 28 2" xfId="27461"/>
    <cellStyle name="Normal 30 28 3" xfId="27462"/>
    <cellStyle name="Normal 30 28 4" xfId="27463"/>
    <cellStyle name="Normal 30 28 5" xfId="27464"/>
    <cellStyle name="Normal 30 28 6" xfId="27465"/>
    <cellStyle name="Normal 30 28 7" xfId="27466"/>
    <cellStyle name="Normal 30 28 8" xfId="27467"/>
    <cellStyle name="Normal 30 28 9" xfId="27468"/>
    <cellStyle name="Normal 30 29" xfId="27469"/>
    <cellStyle name="Normal 30 29 10" xfId="27470"/>
    <cellStyle name="Normal 30 29 11" xfId="27471"/>
    <cellStyle name="Normal 30 29 12" xfId="27472"/>
    <cellStyle name="Normal 30 29 13" xfId="27473"/>
    <cellStyle name="Normal 30 29 2" xfId="27474"/>
    <cellStyle name="Normal 30 29 3" xfId="27475"/>
    <cellStyle name="Normal 30 29 4" xfId="27476"/>
    <cellStyle name="Normal 30 29 5" xfId="27477"/>
    <cellStyle name="Normal 30 29 6" xfId="27478"/>
    <cellStyle name="Normal 30 29 7" xfId="27479"/>
    <cellStyle name="Normal 30 29 8" xfId="27480"/>
    <cellStyle name="Normal 30 29 9" xfId="27481"/>
    <cellStyle name="Normal 30 3" xfId="27482"/>
    <cellStyle name="Normal 30 3 10" xfId="27483"/>
    <cellStyle name="Normal 30 3 11" xfId="27484"/>
    <cellStyle name="Normal 30 3 12" xfId="27485"/>
    <cellStyle name="Normal 30 3 13" xfId="27486"/>
    <cellStyle name="Normal 30 3 2" xfId="27487"/>
    <cellStyle name="Normal 30 3 3" xfId="27488"/>
    <cellStyle name="Normal 30 3 4" xfId="27489"/>
    <cellStyle name="Normal 30 3 5" xfId="27490"/>
    <cellStyle name="Normal 30 3 6" xfId="27491"/>
    <cellStyle name="Normal 30 3 7" xfId="27492"/>
    <cellStyle name="Normal 30 3 8" xfId="27493"/>
    <cellStyle name="Normal 30 3 9" xfId="27494"/>
    <cellStyle name="Normal 30 30" xfId="27495"/>
    <cellStyle name="Normal 30 30 10" xfId="27496"/>
    <cellStyle name="Normal 30 30 11" xfId="27497"/>
    <cellStyle name="Normal 30 30 12" xfId="27498"/>
    <cellStyle name="Normal 30 30 13" xfId="27499"/>
    <cellStyle name="Normal 30 30 2" xfId="27500"/>
    <cellStyle name="Normal 30 30 3" xfId="27501"/>
    <cellStyle name="Normal 30 30 4" xfId="27502"/>
    <cellStyle name="Normal 30 30 5" xfId="27503"/>
    <cellStyle name="Normal 30 30 6" xfId="27504"/>
    <cellStyle name="Normal 30 30 7" xfId="27505"/>
    <cellStyle name="Normal 30 30 8" xfId="27506"/>
    <cellStyle name="Normal 30 30 9" xfId="27507"/>
    <cellStyle name="Normal 30 31" xfId="27508"/>
    <cellStyle name="Normal 30 31 10" xfId="27509"/>
    <cellStyle name="Normal 30 31 11" xfId="27510"/>
    <cellStyle name="Normal 30 31 12" xfId="27511"/>
    <cellStyle name="Normal 30 31 13" xfId="27512"/>
    <cellStyle name="Normal 30 31 2" xfId="27513"/>
    <cellStyle name="Normal 30 31 3" xfId="27514"/>
    <cellStyle name="Normal 30 31 4" xfId="27515"/>
    <cellStyle name="Normal 30 31 5" xfId="27516"/>
    <cellStyle name="Normal 30 31 6" xfId="27517"/>
    <cellStyle name="Normal 30 31 7" xfId="27518"/>
    <cellStyle name="Normal 30 31 8" xfId="27519"/>
    <cellStyle name="Normal 30 31 9" xfId="27520"/>
    <cellStyle name="Normal 30 32" xfId="27521"/>
    <cellStyle name="Normal 30 32 10" xfId="27522"/>
    <cellStyle name="Normal 30 32 11" xfId="27523"/>
    <cellStyle name="Normal 30 32 12" xfId="27524"/>
    <cellStyle name="Normal 30 32 13" xfId="27525"/>
    <cellStyle name="Normal 30 32 2" xfId="27526"/>
    <cellStyle name="Normal 30 32 3" xfId="27527"/>
    <cellStyle name="Normal 30 32 4" xfId="27528"/>
    <cellStyle name="Normal 30 32 5" xfId="27529"/>
    <cellStyle name="Normal 30 32 6" xfId="27530"/>
    <cellStyle name="Normal 30 32 7" xfId="27531"/>
    <cellStyle name="Normal 30 32 8" xfId="27532"/>
    <cellStyle name="Normal 30 32 9" xfId="27533"/>
    <cellStyle name="Normal 30 33" xfId="27534"/>
    <cellStyle name="Normal 30 33 10" xfId="27535"/>
    <cellStyle name="Normal 30 33 11" xfId="27536"/>
    <cellStyle name="Normal 30 33 12" xfId="27537"/>
    <cellStyle name="Normal 30 33 13" xfId="27538"/>
    <cellStyle name="Normal 30 33 2" xfId="27539"/>
    <cellStyle name="Normal 30 33 3" xfId="27540"/>
    <cellStyle name="Normal 30 33 4" xfId="27541"/>
    <cellStyle name="Normal 30 33 5" xfId="27542"/>
    <cellStyle name="Normal 30 33 6" xfId="27543"/>
    <cellStyle name="Normal 30 33 7" xfId="27544"/>
    <cellStyle name="Normal 30 33 8" xfId="27545"/>
    <cellStyle name="Normal 30 33 9" xfId="27546"/>
    <cellStyle name="Normal 30 34" xfId="27547"/>
    <cellStyle name="Normal 30 34 10" xfId="27548"/>
    <cellStyle name="Normal 30 34 11" xfId="27549"/>
    <cellStyle name="Normal 30 34 12" xfId="27550"/>
    <cellStyle name="Normal 30 34 13" xfId="27551"/>
    <cellStyle name="Normal 30 34 2" xfId="27552"/>
    <cellStyle name="Normal 30 34 3" xfId="27553"/>
    <cellStyle name="Normal 30 34 4" xfId="27554"/>
    <cellStyle name="Normal 30 34 5" xfId="27555"/>
    <cellStyle name="Normal 30 34 6" xfId="27556"/>
    <cellStyle name="Normal 30 34 7" xfId="27557"/>
    <cellStyle name="Normal 30 34 8" xfId="27558"/>
    <cellStyle name="Normal 30 34 9" xfId="27559"/>
    <cellStyle name="Normal 30 35" xfId="27560"/>
    <cellStyle name="Normal 30 35 10" xfId="27561"/>
    <cellStyle name="Normal 30 35 11" xfId="27562"/>
    <cellStyle name="Normal 30 35 12" xfId="27563"/>
    <cellStyle name="Normal 30 35 13" xfId="27564"/>
    <cellStyle name="Normal 30 35 2" xfId="27565"/>
    <cellStyle name="Normal 30 35 3" xfId="27566"/>
    <cellStyle name="Normal 30 35 4" xfId="27567"/>
    <cellStyle name="Normal 30 35 5" xfId="27568"/>
    <cellStyle name="Normal 30 35 6" xfId="27569"/>
    <cellStyle name="Normal 30 35 7" xfId="27570"/>
    <cellStyle name="Normal 30 35 8" xfId="27571"/>
    <cellStyle name="Normal 30 35 9" xfId="27572"/>
    <cellStyle name="Normal 30 36" xfId="27573"/>
    <cellStyle name="Normal 30 36 10" xfId="27574"/>
    <cellStyle name="Normal 30 36 11" xfId="27575"/>
    <cellStyle name="Normal 30 36 12" xfId="27576"/>
    <cellStyle name="Normal 30 36 13" xfId="27577"/>
    <cellStyle name="Normal 30 36 2" xfId="27578"/>
    <cellStyle name="Normal 30 36 3" xfId="27579"/>
    <cellStyle name="Normal 30 36 4" xfId="27580"/>
    <cellStyle name="Normal 30 36 5" xfId="27581"/>
    <cellStyle name="Normal 30 36 6" xfId="27582"/>
    <cellStyle name="Normal 30 36 7" xfId="27583"/>
    <cellStyle name="Normal 30 36 8" xfId="27584"/>
    <cellStyle name="Normal 30 36 9" xfId="27585"/>
    <cellStyle name="Normal 30 37" xfId="27586"/>
    <cellStyle name="Normal 30 37 10" xfId="27587"/>
    <cellStyle name="Normal 30 37 11" xfId="27588"/>
    <cellStyle name="Normal 30 37 12" xfId="27589"/>
    <cellStyle name="Normal 30 37 13" xfId="27590"/>
    <cellStyle name="Normal 30 37 2" xfId="27591"/>
    <cellStyle name="Normal 30 37 3" xfId="27592"/>
    <cellStyle name="Normal 30 37 4" xfId="27593"/>
    <cellStyle name="Normal 30 37 5" xfId="27594"/>
    <cellStyle name="Normal 30 37 6" xfId="27595"/>
    <cellStyle name="Normal 30 37 7" xfId="27596"/>
    <cellStyle name="Normal 30 37 8" xfId="27597"/>
    <cellStyle name="Normal 30 37 9" xfId="27598"/>
    <cellStyle name="Normal 30 38" xfId="27599"/>
    <cellStyle name="Normal 30 38 10" xfId="27600"/>
    <cellStyle name="Normal 30 38 11" xfId="27601"/>
    <cellStyle name="Normal 30 38 12" xfId="27602"/>
    <cellStyle name="Normal 30 38 13" xfId="27603"/>
    <cellStyle name="Normal 30 38 2" xfId="27604"/>
    <cellStyle name="Normal 30 38 3" xfId="27605"/>
    <cellStyle name="Normal 30 38 4" xfId="27606"/>
    <cellStyle name="Normal 30 38 5" xfId="27607"/>
    <cellStyle name="Normal 30 38 6" xfId="27608"/>
    <cellStyle name="Normal 30 38 7" xfId="27609"/>
    <cellStyle name="Normal 30 38 8" xfId="27610"/>
    <cellStyle name="Normal 30 38 9" xfId="27611"/>
    <cellStyle name="Normal 30 39" xfId="27612"/>
    <cellStyle name="Normal 30 39 10" xfId="27613"/>
    <cellStyle name="Normal 30 39 11" xfId="27614"/>
    <cellStyle name="Normal 30 39 12" xfId="27615"/>
    <cellStyle name="Normal 30 39 13" xfId="27616"/>
    <cellStyle name="Normal 30 39 2" xfId="27617"/>
    <cellStyle name="Normal 30 39 3" xfId="27618"/>
    <cellStyle name="Normal 30 39 4" xfId="27619"/>
    <cellStyle name="Normal 30 39 5" xfId="27620"/>
    <cellStyle name="Normal 30 39 6" xfId="27621"/>
    <cellStyle name="Normal 30 39 7" xfId="27622"/>
    <cellStyle name="Normal 30 39 8" xfId="27623"/>
    <cellStyle name="Normal 30 39 9" xfId="27624"/>
    <cellStyle name="Normal 30 4" xfId="27625"/>
    <cellStyle name="Normal 30 4 10" xfId="27626"/>
    <cellStyle name="Normal 30 4 11" xfId="27627"/>
    <cellStyle name="Normal 30 4 12" xfId="27628"/>
    <cellStyle name="Normal 30 4 13" xfId="27629"/>
    <cellStyle name="Normal 30 4 2" xfId="27630"/>
    <cellStyle name="Normal 30 4 3" xfId="27631"/>
    <cellStyle name="Normal 30 4 4" xfId="27632"/>
    <cellStyle name="Normal 30 4 5" xfId="27633"/>
    <cellStyle name="Normal 30 4 6" xfId="27634"/>
    <cellStyle name="Normal 30 4 7" xfId="27635"/>
    <cellStyle name="Normal 30 4 8" xfId="27636"/>
    <cellStyle name="Normal 30 4 9" xfId="27637"/>
    <cellStyle name="Normal 30 40" xfId="27638"/>
    <cellStyle name="Normal 30 40 10" xfId="27639"/>
    <cellStyle name="Normal 30 40 11" xfId="27640"/>
    <cellStyle name="Normal 30 40 12" xfId="27641"/>
    <cellStyle name="Normal 30 40 13" xfId="27642"/>
    <cellStyle name="Normal 30 40 2" xfId="27643"/>
    <cellStyle name="Normal 30 40 3" xfId="27644"/>
    <cellStyle name="Normal 30 40 4" xfId="27645"/>
    <cellStyle name="Normal 30 40 5" xfId="27646"/>
    <cellStyle name="Normal 30 40 6" xfId="27647"/>
    <cellStyle name="Normal 30 40 7" xfId="27648"/>
    <cellStyle name="Normal 30 40 8" xfId="27649"/>
    <cellStyle name="Normal 30 40 9" xfId="27650"/>
    <cellStyle name="Normal 30 41" xfId="27651"/>
    <cellStyle name="Normal 30 41 10" xfId="27652"/>
    <cellStyle name="Normal 30 41 11" xfId="27653"/>
    <cellStyle name="Normal 30 41 12" xfId="27654"/>
    <cellStyle name="Normal 30 41 13" xfId="27655"/>
    <cellStyle name="Normal 30 41 2" xfId="27656"/>
    <cellStyle name="Normal 30 41 3" xfId="27657"/>
    <cellStyle name="Normal 30 41 4" xfId="27658"/>
    <cellStyle name="Normal 30 41 5" xfId="27659"/>
    <cellStyle name="Normal 30 41 6" xfId="27660"/>
    <cellStyle name="Normal 30 41 7" xfId="27661"/>
    <cellStyle name="Normal 30 41 8" xfId="27662"/>
    <cellStyle name="Normal 30 41 9" xfId="27663"/>
    <cellStyle name="Normal 30 42" xfId="27664"/>
    <cellStyle name="Normal 30 42 10" xfId="27665"/>
    <cellStyle name="Normal 30 42 11" xfId="27666"/>
    <cellStyle name="Normal 30 42 12" xfId="27667"/>
    <cellStyle name="Normal 30 42 13" xfId="27668"/>
    <cellStyle name="Normal 30 42 2" xfId="27669"/>
    <cellStyle name="Normal 30 42 3" xfId="27670"/>
    <cellStyle name="Normal 30 42 4" xfId="27671"/>
    <cellStyle name="Normal 30 42 5" xfId="27672"/>
    <cellStyle name="Normal 30 42 6" xfId="27673"/>
    <cellStyle name="Normal 30 42 7" xfId="27674"/>
    <cellStyle name="Normal 30 42 8" xfId="27675"/>
    <cellStyle name="Normal 30 42 9" xfId="27676"/>
    <cellStyle name="Normal 30 43" xfId="27677"/>
    <cellStyle name="Normal 30 43 10" xfId="27678"/>
    <cellStyle name="Normal 30 43 11" xfId="27679"/>
    <cellStyle name="Normal 30 43 12" xfId="27680"/>
    <cellStyle name="Normal 30 43 13" xfId="27681"/>
    <cellStyle name="Normal 30 43 2" xfId="27682"/>
    <cellStyle name="Normal 30 43 3" xfId="27683"/>
    <cellStyle name="Normal 30 43 4" xfId="27684"/>
    <cellStyle name="Normal 30 43 5" xfId="27685"/>
    <cellStyle name="Normal 30 43 6" xfId="27686"/>
    <cellStyle name="Normal 30 43 7" xfId="27687"/>
    <cellStyle name="Normal 30 43 8" xfId="27688"/>
    <cellStyle name="Normal 30 43 9" xfId="27689"/>
    <cellStyle name="Normal 30 44" xfId="27690"/>
    <cellStyle name="Normal 30 44 10" xfId="27691"/>
    <cellStyle name="Normal 30 44 11" xfId="27692"/>
    <cellStyle name="Normal 30 44 12" xfId="27693"/>
    <cellStyle name="Normal 30 44 13" xfId="27694"/>
    <cellStyle name="Normal 30 44 2" xfId="27695"/>
    <cellStyle name="Normal 30 44 3" xfId="27696"/>
    <cellStyle name="Normal 30 44 4" xfId="27697"/>
    <cellStyle name="Normal 30 44 5" xfId="27698"/>
    <cellStyle name="Normal 30 44 6" xfId="27699"/>
    <cellStyle name="Normal 30 44 7" xfId="27700"/>
    <cellStyle name="Normal 30 44 8" xfId="27701"/>
    <cellStyle name="Normal 30 44 9" xfId="27702"/>
    <cellStyle name="Normal 30 45" xfId="27703"/>
    <cellStyle name="Normal 30 45 10" xfId="27704"/>
    <cellStyle name="Normal 30 45 11" xfId="27705"/>
    <cellStyle name="Normal 30 45 12" xfId="27706"/>
    <cellStyle name="Normal 30 45 13" xfId="27707"/>
    <cellStyle name="Normal 30 45 2" xfId="27708"/>
    <cellStyle name="Normal 30 45 3" xfId="27709"/>
    <cellStyle name="Normal 30 45 4" xfId="27710"/>
    <cellStyle name="Normal 30 45 5" xfId="27711"/>
    <cellStyle name="Normal 30 45 6" xfId="27712"/>
    <cellStyle name="Normal 30 45 7" xfId="27713"/>
    <cellStyle name="Normal 30 45 8" xfId="27714"/>
    <cellStyle name="Normal 30 45 9" xfId="27715"/>
    <cellStyle name="Normal 30 46" xfId="27716"/>
    <cellStyle name="Normal 30 46 10" xfId="27717"/>
    <cellStyle name="Normal 30 46 11" xfId="27718"/>
    <cellStyle name="Normal 30 46 12" xfId="27719"/>
    <cellStyle name="Normal 30 46 13" xfId="27720"/>
    <cellStyle name="Normal 30 46 2" xfId="27721"/>
    <cellStyle name="Normal 30 46 3" xfId="27722"/>
    <cellStyle name="Normal 30 46 4" xfId="27723"/>
    <cellStyle name="Normal 30 46 5" xfId="27724"/>
    <cellStyle name="Normal 30 46 6" xfId="27725"/>
    <cellStyle name="Normal 30 46 7" xfId="27726"/>
    <cellStyle name="Normal 30 46 8" xfId="27727"/>
    <cellStyle name="Normal 30 46 9" xfId="27728"/>
    <cellStyle name="Normal 30 47" xfId="27729"/>
    <cellStyle name="Normal 30 47 10" xfId="27730"/>
    <cellStyle name="Normal 30 47 11" xfId="27731"/>
    <cellStyle name="Normal 30 47 12" xfId="27732"/>
    <cellStyle name="Normal 30 47 13" xfId="27733"/>
    <cellStyle name="Normal 30 47 2" xfId="27734"/>
    <cellStyle name="Normal 30 47 3" xfId="27735"/>
    <cellStyle name="Normal 30 47 4" xfId="27736"/>
    <cellStyle name="Normal 30 47 5" xfId="27737"/>
    <cellStyle name="Normal 30 47 6" xfId="27738"/>
    <cellStyle name="Normal 30 47 7" xfId="27739"/>
    <cellStyle name="Normal 30 47 8" xfId="27740"/>
    <cellStyle name="Normal 30 47 9" xfId="27741"/>
    <cellStyle name="Normal 30 48" xfId="27742"/>
    <cellStyle name="Normal 30 48 10" xfId="27743"/>
    <cellStyle name="Normal 30 48 11" xfId="27744"/>
    <cellStyle name="Normal 30 48 12" xfId="27745"/>
    <cellStyle name="Normal 30 48 13" xfId="27746"/>
    <cellStyle name="Normal 30 48 2" xfId="27747"/>
    <cellStyle name="Normal 30 48 3" xfId="27748"/>
    <cellStyle name="Normal 30 48 4" xfId="27749"/>
    <cellStyle name="Normal 30 48 5" xfId="27750"/>
    <cellStyle name="Normal 30 48 6" xfId="27751"/>
    <cellStyle name="Normal 30 48 7" xfId="27752"/>
    <cellStyle name="Normal 30 48 8" xfId="27753"/>
    <cellStyle name="Normal 30 48 9" xfId="27754"/>
    <cellStyle name="Normal 30 49" xfId="27755"/>
    <cellStyle name="Normal 30 49 10" xfId="27756"/>
    <cellStyle name="Normal 30 49 11" xfId="27757"/>
    <cellStyle name="Normal 30 49 12" xfId="27758"/>
    <cellStyle name="Normal 30 49 13" xfId="27759"/>
    <cellStyle name="Normal 30 49 2" xfId="27760"/>
    <cellStyle name="Normal 30 49 3" xfId="27761"/>
    <cellStyle name="Normal 30 49 4" xfId="27762"/>
    <cellStyle name="Normal 30 49 5" xfId="27763"/>
    <cellStyle name="Normal 30 49 6" xfId="27764"/>
    <cellStyle name="Normal 30 49 7" xfId="27765"/>
    <cellStyle name="Normal 30 49 8" xfId="27766"/>
    <cellStyle name="Normal 30 49 9" xfId="27767"/>
    <cellStyle name="Normal 30 5" xfId="27768"/>
    <cellStyle name="Normal 30 5 10" xfId="27769"/>
    <cellStyle name="Normal 30 5 11" xfId="27770"/>
    <cellStyle name="Normal 30 5 12" xfId="27771"/>
    <cellStyle name="Normal 30 5 13" xfId="27772"/>
    <cellStyle name="Normal 30 5 2" xfId="27773"/>
    <cellStyle name="Normal 30 5 3" xfId="27774"/>
    <cellStyle name="Normal 30 5 4" xfId="27775"/>
    <cellStyle name="Normal 30 5 5" xfId="27776"/>
    <cellStyle name="Normal 30 5 6" xfId="27777"/>
    <cellStyle name="Normal 30 5 7" xfId="27778"/>
    <cellStyle name="Normal 30 5 8" xfId="27779"/>
    <cellStyle name="Normal 30 5 9" xfId="27780"/>
    <cellStyle name="Normal 30 50" xfId="27781"/>
    <cellStyle name="Normal 30 50 10" xfId="27782"/>
    <cellStyle name="Normal 30 50 11" xfId="27783"/>
    <cellStyle name="Normal 30 50 12" xfId="27784"/>
    <cellStyle name="Normal 30 50 13" xfId="27785"/>
    <cellStyle name="Normal 30 50 2" xfId="27786"/>
    <cellStyle name="Normal 30 50 3" xfId="27787"/>
    <cellStyle name="Normal 30 50 4" xfId="27788"/>
    <cellStyle name="Normal 30 50 5" xfId="27789"/>
    <cellStyle name="Normal 30 50 6" xfId="27790"/>
    <cellStyle name="Normal 30 50 7" xfId="27791"/>
    <cellStyle name="Normal 30 50 8" xfId="27792"/>
    <cellStyle name="Normal 30 50 9" xfId="27793"/>
    <cellStyle name="Normal 30 51" xfId="27794"/>
    <cellStyle name="Normal 30 51 10" xfId="27795"/>
    <cellStyle name="Normal 30 51 11" xfId="27796"/>
    <cellStyle name="Normal 30 51 12" xfId="27797"/>
    <cellStyle name="Normal 30 51 13" xfId="27798"/>
    <cellStyle name="Normal 30 51 2" xfId="27799"/>
    <cellStyle name="Normal 30 51 3" xfId="27800"/>
    <cellStyle name="Normal 30 51 4" xfId="27801"/>
    <cellStyle name="Normal 30 51 5" xfId="27802"/>
    <cellStyle name="Normal 30 51 6" xfId="27803"/>
    <cellStyle name="Normal 30 51 7" xfId="27804"/>
    <cellStyle name="Normal 30 51 8" xfId="27805"/>
    <cellStyle name="Normal 30 51 9" xfId="27806"/>
    <cellStyle name="Normal 30 52" xfId="27807"/>
    <cellStyle name="Normal 30 52 10" xfId="27808"/>
    <cellStyle name="Normal 30 52 11" xfId="27809"/>
    <cellStyle name="Normal 30 52 12" xfId="27810"/>
    <cellStyle name="Normal 30 52 13" xfId="27811"/>
    <cellStyle name="Normal 30 52 2" xfId="27812"/>
    <cellStyle name="Normal 30 52 3" xfId="27813"/>
    <cellStyle name="Normal 30 52 4" xfId="27814"/>
    <cellStyle name="Normal 30 52 5" xfId="27815"/>
    <cellStyle name="Normal 30 52 6" xfId="27816"/>
    <cellStyle name="Normal 30 52 7" xfId="27817"/>
    <cellStyle name="Normal 30 52 8" xfId="27818"/>
    <cellStyle name="Normal 30 52 9" xfId="27819"/>
    <cellStyle name="Normal 30 53" xfId="27820"/>
    <cellStyle name="Normal 30 53 10" xfId="27821"/>
    <cellStyle name="Normal 30 53 11" xfId="27822"/>
    <cellStyle name="Normal 30 53 12" xfId="27823"/>
    <cellStyle name="Normal 30 53 13" xfId="27824"/>
    <cellStyle name="Normal 30 53 2" xfId="27825"/>
    <cellStyle name="Normal 30 53 3" xfId="27826"/>
    <cellStyle name="Normal 30 53 4" xfId="27827"/>
    <cellStyle name="Normal 30 53 5" xfId="27828"/>
    <cellStyle name="Normal 30 53 6" xfId="27829"/>
    <cellStyle name="Normal 30 53 7" xfId="27830"/>
    <cellStyle name="Normal 30 53 8" xfId="27831"/>
    <cellStyle name="Normal 30 53 9" xfId="27832"/>
    <cellStyle name="Normal 30 54" xfId="27833"/>
    <cellStyle name="Normal 30 54 10" xfId="27834"/>
    <cellStyle name="Normal 30 54 11" xfId="27835"/>
    <cellStyle name="Normal 30 54 12" xfId="27836"/>
    <cellStyle name="Normal 30 54 13" xfId="27837"/>
    <cellStyle name="Normal 30 54 2" xfId="27838"/>
    <cellStyle name="Normal 30 54 3" xfId="27839"/>
    <cellStyle name="Normal 30 54 4" xfId="27840"/>
    <cellStyle name="Normal 30 54 5" xfId="27841"/>
    <cellStyle name="Normal 30 54 6" xfId="27842"/>
    <cellStyle name="Normal 30 54 7" xfId="27843"/>
    <cellStyle name="Normal 30 54 8" xfId="27844"/>
    <cellStyle name="Normal 30 54 9" xfId="27845"/>
    <cellStyle name="Normal 30 55" xfId="27846"/>
    <cellStyle name="Normal 30 55 10" xfId="27847"/>
    <cellStyle name="Normal 30 55 11" xfId="27848"/>
    <cellStyle name="Normal 30 55 12" xfId="27849"/>
    <cellStyle name="Normal 30 55 13" xfId="27850"/>
    <cellStyle name="Normal 30 55 2" xfId="27851"/>
    <cellStyle name="Normal 30 55 3" xfId="27852"/>
    <cellStyle name="Normal 30 55 4" xfId="27853"/>
    <cellStyle name="Normal 30 55 5" xfId="27854"/>
    <cellStyle name="Normal 30 55 6" xfId="27855"/>
    <cellStyle name="Normal 30 55 7" xfId="27856"/>
    <cellStyle name="Normal 30 55 8" xfId="27857"/>
    <cellStyle name="Normal 30 55 9" xfId="27858"/>
    <cellStyle name="Normal 30 56" xfId="27859"/>
    <cellStyle name="Normal 30 56 10" xfId="27860"/>
    <cellStyle name="Normal 30 56 11" xfId="27861"/>
    <cellStyle name="Normal 30 56 12" xfId="27862"/>
    <cellStyle name="Normal 30 56 13" xfId="27863"/>
    <cellStyle name="Normal 30 56 2" xfId="27864"/>
    <cellStyle name="Normal 30 56 3" xfId="27865"/>
    <cellStyle name="Normal 30 56 4" xfId="27866"/>
    <cellStyle name="Normal 30 56 5" xfId="27867"/>
    <cellStyle name="Normal 30 56 6" xfId="27868"/>
    <cellStyle name="Normal 30 56 7" xfId="27869"/>
    <cellStyle name="Normal 30 56 8" xfId="27870"/>
    <cellStyle name="Normal 30 56 9" xfId="27871"/>
    <cellStyle name="Normal 30 57" xfId="27872"/>
    <cellStyle name="Normal 30 57 10" xfId="27873"/>
    <cellStyle name="Normal 30 57 11" xfId="27874"/>
    <cellStyle name="Normal 30 57 12" xfId="27875"/>
    <cellStyle name="Normal 30 57 13" xfId="27876"/>
    <cellStyle name="Normal 30 57 2" xfId="27877"/>
    <cellStyle name="Normal 30 57 3" xfId="27878"/>
    <cellStyle name="Normal 30 57 4" xfId="27879"/>
    <cellStyle name="Normal 30 57 5" xfId="27880"/>
    <cellStyle name="Normal 30 57 6" xfId="27881"/>
    <cellStyle name="Normal 30 57 7" xfId="27882"/>
    <cellStyle name="Normal 30 57 8" xfId="27883"/>
    <cellStyle name="Normal 30 57 9" xfId="27884"/>
    <cellStyle name="Normal 30 58" xfId="27885"/>
    <cellStyle name="Normal 30 58 10" xfId="27886"/>
    <cellStyle name="Normal 30 58 11" xfId="27887"/>
    <cellStyle name="Normal 30 58 12" xfId="27888"/>
    <cellStyle name="Normal 30 58 13" xfId="27889"/>
    <cellStyle name="Normal 30 58 2" xfId="27890"/>
    <cellStyle name="Normal 30 58 3" xfId="27891"/>
    <cellStyle name="Normal 30 58 4" xfId="27892"/>
    <cellStyle name="Normal 30 58 5" xfId="27893"/>
    <cellStyle name="Normal 30 58 6" xfId="27894"/>
    <cellStyle name="Normal 30 58 7" xfId="27895"/>
    <cellStyle name="Normal 30 58 8" xfId="27896"/>
    <cellStyle name="Normal 30 58 9" xfId="27897"/>
    <cellStyle name="Normal 30 59" xfId="27898"/>
    <cellStyle name="Normal 30 59 10" xfId="27899"/>
    <cellStyle name="Normal 30 59 11" xfId="27900"/>
    <cellStyle name="Normal 30 59 12" xfId="27901"/>
    <cellStyle name="Normal 30 59 13" xfId="27902"/>
    <cellStyle name="Normal 30 59 2" xfId="27903"/>
    <cellStyle name="Normal 30 59 3" xfId="27904"/>
    <cellStyle name="Normal 30 59 4" xfId="27905"/>
    <cellStyle name="Normal 30 59 5" xfId="27906"/>
    <cellStyle name="Normal 30 59 6" xfId="27907"/>
    <cellStyle name="Normal 30 59 7" xfId="27908"/>
    <cellStyle name="Normal 30 59 8" xfId="27909"/>
    <cellStyle name="Normal 30 59 9" xfId="27910"/>
    <cellStyle name="Normal 30 6" xfId="27911"/>
    <cellStyle name="Normal 30 6 10" xfId="27912"/>
    <cellStyle name="Normal 30 6 11" xfId="27913"/>
    <cellStyle name="Normal 30 6 12" xfId="27914"/>
    <cellStyle name="Normal 30 6 13" xfId="27915"/>
    <cellStyle name="Normal 30 6 2" xfId="27916"/>
    <cellStyle name="Normal 30 6 3" xfId="27917"/>
    <cellStyle name="Normal 30 6 4" xfId="27918"/>
    <cellStyle name="Normal 30 6 5" xfId="27919"/>
    <cellStyle name="Normal 30 6 6" xfId="27920"/>
    <cellStyle name="Normal 30 6 7" xfId="27921"/>
    <cellStyle name="Normal 30 6 8" xfId="27922"/>
    <cellStyle name="Normal 30 6 9" xfId="27923"/>
    <cellStyle name="Normal 30 60" xfId="27924"/>
    <cellStyle name="Normal 30 60 10" xfId="27925"/>
    <cellStyle name="Normal 30 60 11" xfId="27926"/>
    <cellStyle name="Normal 30 60 12" xfId="27927"/>
    <cellStyle name="Normal 30 60 13" xfId="27928"/>
    <cellStyle name="Normal 30 60 2" xfId="27929"/>
    <cellStyle name="Normal 30 60 3" xfId="27930"/>
    <cellStyle name="Normal 30 60 4" xfId="27931"/>
    <cellStyle name="Normal 30 60 5" xfId="27932"/>
    <cellStyle name="Normal 30 60 6" xfId="27933"/>
    <cellStyle name="Normal 30 60 7" xfId="27934"/>
    <cellStyle name="Normal 30 60 8" xfId="27935"/>
    <cellStyle name="Normal 30 60 9" xfId="27936"/>
    <cellStyle name="Normal 30 61" xfId="27937"/>
    <cellStyle name="Normal 30 61 10" xfId="27938"/>
    <cellStyle name="Normal 30 61 11" xfId="27939"/>
    <cellStyle name="Normal 30 61 12" xfId="27940"/>
    <cellStyle name="Normal 30 61 13" xfId="27941"/>
    <cellStyle name="Normal 30 61 2" xfId="27942"/>
    <cellStyle name="Normal 30 61 3" xfId="27943"/>
    <cellStyle name="Normal 30 61 4" xfId="27944"/>
    <cellStyle name="Normal 30 61 5" xfId="27945"/>
    <cellStyle name="Normal 30 61 6" xfId="27946"/>
    <cellStyle name="Normal 30 61 7" xfId="27947"/>
    <cellStyle name="Normal 30 61 8" xfId="27948"/>
    <cellStyle name="Normal 30 61 9" xfId="27949"/>
    <cellStyle name="Normal 30 62" xfId="27950"/>
    <cellStyle name="Normal 30 62 10" xfId="27951"/>
    <cellStyle name="Normal 30 62 11" xfId="27952"/>
    <cellStyle name="Normal 30 62 12" xfId="27953"/>
    <cellStyle name="Normal 30 62 13" xfId="27954"/>
    <cellStyle name="Normal 30 62 2" xfId="27955"/>
    <cellStyle name="Normal 30 62 3" xfId="27956"/>
    <cellStyle name="Normal 30 62 4" xfId="27957"/>
    <cellStyle name="Normal 30 62 5" xfId="27958"/>
    <cellStyle name="Normal 30 62 6" xfId="27959"/>
    <cellStyle name="Normal 30 62 7" xfId="27960"/>
    <cellStyle name="Normal 30 62 8" xfId="27961"/>
    <cellStyle name="Normal 30 62 9" xfId="27962"/>
    <cellStyle name="Normal 30 63" xfId="27963"/>
    <cellStyle name="Normal 30 63 10" xfId="27964"/>
    <cellStyle name="Normal 30 63 11" xfId="27965"/>
    <cellStyle name="Normal 30 63 12" xfId="27966"/>
    <cellStyle name="Normal 30 63 13" xfId="27967"/>
    <cellStyle name="Normal 30 63 2" xfId="27968"/>
    <cellStyle name="Normal 30 63 3" xfId="27969"/>
    <cellStyle name="Normal 30 63 4" xfId="27970"/>
    <cellStyle name="Normal 30 63 5" xfId="27971"/>
    <cellStyle name="Normal 30 63 6" xfId="27972"/>
    <cellStyle name="Normal 30 63 7" xfId="27973"/>
    <cellStyle name="Normal 30 63 8" xfId="27974"/>
    <cellStyle name="Normal 30 63 9" xfId="27975"/>
    <cellStyle name="Normal 30 64" xfId="27976"/>
    <cellStyle name="Normal 30 64 10" xfId="27977"/>
    <cellStyle name="Normal 30 64 11" xfId="27978"/>
    <cellStyle name="Normal 30 64 12" xfId="27979"/>
    <cellStyle name="Normal 30 64 13" xfId="27980"/>
    <cellStyle name="Normal 30 64 2" xfId="27981"/>
    <cellStyle name="Normal 30 64 3" xfId="27982"/>
    <cellStyle name="Normal 30 64 4" xfId="27983"/>
    <cellStyle name="Normal 30 64 5" xfId="27984"/>
    <cellStyle name="Normal 30 64 6" xfId="27985"/>
    <cellStyle name="Normal 30 64 7" xfId="27986"/>
    <cellStyle name="Normal 30 64 8" xfId="27987"/>
    <cellStyle name="Normal 30 64 9" xfId="27988"/>
    <cellStyle name="Normal 30 65" xfId="27989"/>
    <cellStyle name="Normal 30 65 10" xfId="27990"/>
    <cellStyle name="Normal 30 65 11" xfId="27991"/>
    <cellStyle name="Normal 30 65 12" xfId="27992"/>
    <cellStyle name="Normal 30 65 13" xfId="27993"/>
    <cellStyle name="Normal 30 65 2" xfId="27994"/>
    <cellStyle name="Normal 30 65 3" xfId="27995"/>
    <cellStyle name="Normal 30 65 4" xfId="27996"/>
    <cellStyle name="Normal 30 65 5" xfId="27997"/>
    <cellStyle name="Normal 30 65 6" xfId="27998"/>
    <cellStyle name="Normal 30 65 7" xfId="27999"/>
    <cellStyle name="Normal 30 65 8" xfId="28000"/>
    <cellStyle name="Normal 30 65 9" xfId="28001"/>
    <cellStyle name="Normal 30 66" xfId="28002"/>
    <cellStyle name="Normal 30 66 10" xfId="28003"/>
    <cellStyle name="Normal 30 66 11" xfId="28004"/>
    <cellStyle name="Normal 30 66 12" xfId="28005"/>
    <cellStyle name="Normal 30 66 13" xfId="28006"/>
    <cellStyle name="Normal 30 66 2" xfId="28007"/>
    <cellStyle name="Normal 30 66 3" xfId="28008"/>
    <cellStyle name="Normal 30 66 4" xfId="28009"/>
    <cellStyle name="Normal 30 66 5" xfId="28010"/>
    <cellStyle name="Normal 30 66 6" xfId="28011"/>
    <cellStyle name="Normal 30 66 7" xfId="28012"/>
    <cellStyle name="Normal 30 66 8" xfId="28013"/>
    <cellStyle name="Normal 30 66 9" xfId="28014"/>
    <cellStyle name="Normal 30 67" xfId="28015"/>
    <cellStyle name="Normal 30 67 10" xfId="28016"/>
    <cellStyle name="Normal 30 67 11" xfId="28017"/>
    <cellStyle name="Normal 30 67 12" xfId="28018"/>
    <cellStyle name="Normal 30 67 13" xfId="28019"/>
    <cellStyle name="Normal 30 67 2" xfId="28020"/>
    <cellStyle name="Normal 30 67 3" xfId="28021"/>
    <cellStyle name="Normal 30 67 4" xfId="28022"/>
    <cellStyle name="Normal 30 67 5" xfId="28023"/>
    <cellStyle name="Normal 30 67 6" xfId="28024"/>
    <cellStyle name="Normal 30 67 7" xfId="28025"/>
    <cellStyle name="Normal 30 67 8" xfId="28026"/>
    <cellStyle name="Normal 30 67 9" xfId="28027"/>
    <cellStyle name="Normal 30 68" xfId="28028"/>
    <cellStyle name="Normal 30 68 10" xfId="28029"/>
    <cellStyle name="Normal 30 68 11" xfId="28030"/>
    <cellStyle name="Normal 30 68 12" xfId="28031"/>
    <cellStyle name="Normal 30 68 13" xfId="28032"/>
    <cellStyle name="Normal 30 68 2" xfId="28033"/>
    <cellStyle name="Normal 30 68 3" xfId="28034"/>
    <cellStyle name="Normal 30 68 4" xfId="28035"/>
    <cellStyle name="Normal 30 68 5" xfId="28036"/>
    <cellStyle name="Normal 30 68 6" xfId="28037"/>
    <cellStyle name="Normal 30 68 7" xfId="28038"/>
    <cellStyle name="Normal 30 68 8" xfId="28039"/>
    <cellStyle name="Normal 30 68 9" xfId="28040"/>
    <cellStyle name="Normal 30 69" xfId="28041"/>
    <cellStyle name="Normal 30 69 10" xfId="28042"/>
    <cellStyle name="Normal 30 69 11" xfId="28043"/>
    <cellStyle name="Normal 30 69 12" xfId="28044"/>
    <cellStyle name="Normal 30 69 13" xfId="28045"/>
    <cellStyle name="Normal 30 69 2" xfId="28046"/>
    <cellStyle name="Normal 30 69 3" xfId="28047"/>
    <cellStyle name="Normal 30 69 4" xfId="28048"/>
    <cellStyle name="Normal 30 69 5" xfId="28049"/>
    <cellStyle name="Normal 30 69 6" xfId="28050"/>
    <cellStyle name="Normal 30 69 7" xfId="28051"/>
    <cellStyle name="Normal 30 69 8" xfId="28052"/>
    <cellStyle name="Normal 30 69 9" xfId="28053"/>
    <cellStyle name="Normal 30 7" xfId="28054"/>
    <cellStyle name="Normal 30 7 10" xfId="28055"/>
    <cellStyle name="Normal 30 7 11" xfId="28056"/>
    <cellStyle name="Normal 30 7 12" xfId="28057"/>
    <cellStyle name="Normal 30 7 13" xfId="28058"/>
    <cellStyle name="Normal 30 7 2" xfId="28059"/>
    <cellStyle name="Normal 30 7 3" xfId="28060"/>
    <cellStyle name="Normal 30 7 4" xfId="28061"/>
    <cellStyle name="Normal 30 7 5" xfId="28062"/>
    <cellStyle name="Normal 30 7 6" xfId="28063"/>
    <cellStyle name="Normal 30 7 7" xfId="28064"/>
    <cellStyle name="Normal 30 7 8" xfId="28065"/>
    <cellStyle name="Normal 30 7 9" xfId="28066"/>
    <cellStyle name="Normal 30 70" xfId="28067"/>
    <cellStyle name="Normal 30 70 10" xfId="28068"/>
    <cellStyle name="Normal 30 70 11" xfId="28069"/>
    <cellStyle name="Normal 30 70 12" xfId="28070"/>
    <cellStyle name="Normal 30 70 13" xfId="28071"/>
    <cellStyle name="Normal 30 70 2" xfId="28072"/>
    <cellStyle name="Normal 30 70 3" xfId="28073"/>
    <cellStyle name="Normal 30 70 4" xfId="28074"/>
    <cellStyle name="Normal 30 70 5" xfId="28075"/>
    <cellStyle name="Normal 30 70 6" xfId="28076"/>
    <cellStyle name="Normal 30 70 7" xfId="28077"/>
    <cellStyle name="Normal 30 70 8" xfId="28078"/>
    <cellStyle name="Normal 30 70 9" xfId="28079"/>
    <cellStyle name="Normal 30 71" xfId="28080"/>
    <cellStyle name="Normal 30 71 10" xfId="28081"/>
    <cellStyle name="Normal 30 71 11" xfId="28082"/>
    <cellStyle name="Normal 30 71 12" xfId="28083"/>
    <cellStyle name="Normal 30 71 13" xfId="28084"/>
    <cellStyle name="Normal 30 71 2" xfId="28085"/>
    <cellStyle name="Normal 30 71 3" xfId="28086"/>
    <cellStyle name="Normal 30 71 4" xfId="28087"/>
    <cellStyle name="Normal 30 71 5" xfId="28088"/>
    <cellStyle name="Normal 30 71 6" xfId="28089"/>
    <cellStyle name="Normal 30 71 7" xfId="28090"/>
    <cellStyle name="Normal 30 71 8" xfId="28091"/>
    <cellStyle name="Normal 30 71 9" xfId="28092"/>
    <cellStyle name="Normal 30 72" xfId="28093"/>
    <cellStyle name="Normal 30 73" xfId="28094"/>
    <cellStyle name="Normal 30 74" xfId="28095"/>
    <cellStyle name="Normal 30 75" xfId="28096"/>
    <cellStyle name="Normal 30 76" xfId="28097"/>
    <cellStyle name="Normal 30 77" xfId="28098"/>
    <cellStyle name="Normal 30 78" xfId="28099"/>
    <cellStyle name="Normal 30 79" xfId="28100"/>
    <cellStyle name="Normal 30 8" xfId="28101"/>
    <cellStyle name="Normal 30 8 10" xfId="28102"/>
    <cellStyle name="Normal 30 8 11" xfId="28103"/>
    <cellStyle name="Normal 30 8 12" xfId="28104"/>
    <cellStyle name="Normal 30 8 13" xfId="28105"/>
    <cellStyle name="Normal 30 8 2" xfId="28106"/>
    <cellStyle name="Normal 30 8 3" xfId="28107"/>
    <cellStyle name="Normal 30 8 4" xfId="28108"/>
    <cellStyle name="Normal 30 8 5" xfId="28109"/>
    <cellStyle name="Normal 30 8 6" xfId="28110"/>
    <cellStyle name="Normal 30 8 7" xfId="28111"/>
    <cellStyle name="Normal 30 8 8" xfId="28112"/>
    <cellStyle name="Normal 30 8 9" xfId="28113"/>
    <cellStyle name="Normal 30 80" xfId="28114"/>
    <cellStyle name="Normal 30 81" xfId="28115"/>
    <cellStyle name="Normal 30 82" xfId="28116"/>
    <cellStyle name="Normal 30 83" xfId="28117"/>
    <cellStyle name="Normal 30 9" xfId="28118"/>
    <cellStyle name="Normal 30 9 10" xfId="28119"/>
    <cellStyle name="Normal 30 9 11" xfId="28120"/>
    <cellStyle name="Normal 30 9 12" xfId="28121"/>
    <cellStyle name="Normal 30 9 13" xfId="28122"/>
    <cellStyle name="Normal 30 9 2" xfId="28123"/>
    <cellStyle name="Normal 30 9 3" xfId="28124"/>
    <cellStyle name="Normal 30 9 4" xfId="28125"/>
    <cellStyle name="Normal 30 9 5" xfId="28126"/>
    <cellStyle name="Normal 30 9 6" xfId="28127"/>
    <cellStyle name="Normal 30 9 7" xfId="28128"/>
    <cellStyle name="Normal 30 9 8" xfId="28129"/>
    <cellStyle name="Normal 30 9 9" xfId="28130"/>
    <cellStyle name="Normal 31" xfId="28131"/>
    <cellStyle name="Normal 31 10" xfId="28132"/>
    <cellStyle name="Normal 31 10 10" xfId="28133"/>
    <cellStyle name="Normal 31 10 11" xfId="28134"/>
    <cellStyle name="Normal 31 10 12" xfId="28135"/>
    <cellStyle name="Normal 31 10 13" xfId="28136"/>
    <cellStyle name="Normal 31 10 2" xfId="28137"/>
    <cellStyle name="Normal 31 10 3" xfId="28138"/>
    <cellStyle name="Normal 31 10 4" xfId="28139"/>
    <cellStyle name="Normal 31 10 5" xfId="28140"/>
    <cellStyle name="Normal 31 10 6" xfId="28141"/>
    <cellStyle name="Normal 31 10 7" xfId="28142"/>
    <cellStyle name="Normal 31 10 8" xfId="28143"/>
    <cellStyle name="Normal 31 10 9" xfId="28144"/>
    <cellStyle name="Normal 31 11" xfId="28145"/>
    <cellStyle name="Normal 31 11 10" xfId="28146"/>
    <cellStyle name="Normal 31 11 11" xfId="28147"/>
    <cellStyle name="Normal 31 11 12" xfId="28148"/>
    <cellStyle name="Normal 31 11 13" xfId="28149"/>
    <cellStyle name="Normal 31 11 2" xfId="28150"/>
    <cellStyle name="Normal 31 11 3" xfId="28151"/>
    <cellStyle name="Normal 31 11 4" xfId="28152"/>
    <cellStyle name="Normal 31 11 5" xfId="28153"/>
    <cellStyle name="Normal 31 11 6" xfId="28154"/>
    <cellStyle name="Normal 31 11 7" xfId="28155"/>
    <cellStyle name="Normal 31 11 8" xfId="28156"/>
    <cellStyle name="Normal 31 11 9" xfId="28157"/>
    <cellStyle name="Normal 31 12" xfId="28158"/>
    <cellStyle name="Normal 31 12 10" xfId="28159"/>
    <cellStyle name="Normal 31 12 11" xfId="28160"/>
    <cellStyle name="Normal 31 12 12" xfId="28161"/>
    <cellStyle name="Normal 31 12 13" xfId="28162"/>
    <cellStyle name="Normal 31 12 2" xfId="28163"/>
    <cellStyle name="Normal 31 12 3" xfId="28164"/>
    <cellStyle name="Normal 31 12 4" xfId="28165"/>
    <cellStyle name="Normal 31 12 5" xfId="28166"/>
    <cellStyle name="Normal 31 12 6" xfId="28167"/>
    <cellStyle name="Normal 31 12 7" xfId="28168"/>
    <cellStyle name="Normal 31 12 8" xfId="28169"/>
    <cellStyle name="Normal 31 12 9" xfId="28170"/>
    <cellStyle name="Normal 31 13" xfId="28171"/>
    <cellStyle name="Normal 31 13 10" xfId="28172"/>
    <cellStyle name="Normal 31 13 11" xfId="28173"/>
    <cellStyle name="Normal 31 13 12" xfId="28174"/>
    <cellStyle name="Normal 31 13 13" xfId="28175"/>
    <cellStyle name="Normal 31 13 2" xfId="28176"/>
    <cellStyle name="Normal 31 13 3" xfId="28177"/>
    <cellStyle name="Normal 31 13 4" xfId="28178"/>
    <cellStyle name="Normal 31 13 5" xfId="28179"/>
    <cellStyle name="Normal 31 13 6" xfId="28180"/>
    <cellStyle name="Normal 31 13 7" xfId="28181"/>
    <cellStyle name="Normal 31 13 8" xfId="28182"/>
    <cellStyle name="Normal 31 13 9" xfId="28183"/>
    <cellStyle name="Normal 31 14" xfId="28184"/>
    <cellStyle name="Normal 31 14 10" xfId="28185"/>
    <cellStyle name="Normal 31 14 11" xfId="28186"/>
    <cellStyle name="Normal 31 14 12" xfId="28187"/>
    <cellStyle name="Normal 31 14 13" xfId="28188"/>
    <cellStyle name="Normal 31 14 2" xfId="28189"/>
    <cellStyle name="Normal 31 14 3" xfId="28190"/>
    <cellStyle name="Normal 31 14 4" xfId="28191"/>
    <cellStyle name="Normal 31 14 5" xfId="28192"/>
    <cellStyle name="Normal 31 14 6" xfId="28193"/>
    <cellStyle name="Normal 31 14 7" xfId="28194"/>
    <cellStyle name="Normal 31 14 8" xfId="28195"/>
    <cellStyle name="Normal 31 14 9" xfId="28196"/>
    <cellStyle name="Normal 31 15" xfId="28197"/>
    <cellStyle name="Normal 31 15 10" xfId="28198"/>
    <cellStyle name="Normal 31 15 11" xfId="28199"/>
    <cellStyle name="Normal 31 15 12" xfId="28200"/>
    <cellStyle name="Normal 31 15 13" xfId="28201"/>
    <cellStyle name="Normal 31 15 2" xfId="28202"/>
    <cellStyle name="Normal 31 15 3" xfId="28203"/>
    <cellStyle name="Normal 31 15 4" xfId="28204"/>
    <cellStyle name="Normal 31 15 5" xfId="28205"/>
    <cellStyle name="Normal 31 15 6" xfId="28206"/>
    <cellStyle name="Normal 31 15 7" xfId="28207"/>
    <cellStyle name="Normal 31 15 8" xfId="28208"/>
    <cellStyle name="Normal 31 15 9" xfId="28209"/>
    <cellStyle name="Normal 31 16" xfId="28210"/>
    <cellStyle name="Normal 31 16 10" xfId="28211"/>
    <cellStyle name="Normal 31 16 11" xfId="28212"/>
    <cellStyle name="Normal 31 16 12" xfId="28213"/>
    <cellStyle name="Normal 31 16 13" xfId="28214"/>
    <cellStyle name="Normal 31 16 2" xfId="28215"/>
    <cellStyle name="Normal 31 16 3" xfId="28216"/>
    <cellStyle name="Normal 31 16 4" xfId="28217"/>
    <cellStyle name="Normal 31 16 5" xfId="28218"/>
    <cellStyle name="Normal 31 16 6" xfId="28219"/>
    <cellStyle name="Normal 31 16 7" xfId="28220"/>
    <cellStyle name="Normal 31 16 8" xfId="28221"/>
    <cellStyle name="Normal 31 16 9" xfId="28222"/>
    <cellStyle name="Normal 31 17" xfId="28223"/>
    <cellStyle name="Normal 31 17 10" xfId="28224"/>
    <cellStyle name="Normal 31 17 11" xfId="28225"/>
    <cellStyle name="Normal 31 17 12" xfId="28226"/>
    <cellStyle name="Normal 31 17 13" xfId="28227"/>
    <cellStyle name="Normal 31 17 2" xfId="28228"/>
    <cellStyle name="Normal 31 17 3" xfId="28229"/>
    <cellStyle name="Normal 31 17 4" xfId="28230"/>
    <cellStyle name="Normal 31 17 5" xfId="28231"/>
    <cellStyle name="Normal 31 17 6" xfId="28232"/>
    <cellStyle name="Normal 31 17 7" xfId="28233"/>
    <cellStyle name="Normal 31 17 8" xfId="28234"/>
    <cellStyle name="Normal 31 17 9" xfId="28235"/>
    <cellStyle name="Normal 31 18" xfId="28236"/>
    <cellStyle name="Normal 31 18 10" xfId="28237"/>
    <cellStyle name="Normal 31 18 11" xfId="28238"/>
    <cellStyle name="Normal 31 18 12" xfId="28239"/>
    <cellStyle name="Normal 31 18 13" xfId="28240"/>
    <cellStyle name="Normal 31 18 2" xfId="28241"/>
    <cellStyle name="Normal 31 18 3" xfId="28242"/>
    <cellStyle name="Normal 31 18 4" xfId="28243"/>
    <cellStyle name="Normal 31 18 5" xfId="28244"/>
    <cellStyle name="Normal 31 18 6" xfId="28245"/>
    <cellStyle name="Normal 31 18 7" xfId="28246"/>
    <cellStyle name="Normal 31 18 8" xfId="28247"/>
    <cellStyle name="Normal 31 18 9" xfId="28248"/>
    <cellStyle name="Normal 31 19" xfId="28249"/>
    <cellStyle name="Normal 31 19 10" xfId="28250"/>
    <cellStyle name="Normal 31 19 11" xfId="28251"/>
    <cellStyle name="Normal 31 19 12" xfId="28252"/>
    <cellStyle name="Normal 31 19 13" xfId="28253"/>
    <cellStyle name="Normal 31 19 2" xfId="28254"/>
    <cellStyle name="Normal 31 19 3" xfId="28255"/>
    <cellStyle name="Normal 31 19 4" xfId="28256"/>
    <cellStyle name="Normal 31 19 5" xfId="28257"/>
    <cellStyle name="Normal 31 19 6" xfId="28258"/>
    <cellStyle name="Normal 31 19 7" xfId="28259"/>
    <cellStyle name="Normal 31 19 8" xfId="28260"/>
    <cellStyle name="Normal 31 19 9" xfId="28261"/>
    <cellStyle name="Normal 31 2" xfId="28262"/>
    <cellStyle name="Normal 31 2 10" xfId="28263"/>
    <cellStyle name="Normal 31 2 11" xfId="28264"/>
    <cellStyle name="Normal 31 2 12" xfId="28265"/>
    <cellStyle name="Normal 31 2 13" xfId="28266"/>
    <cellStyle name="Normal 31 2 2" xfId="28267"/>
    <cellStyle name="Normal 31 2 3" xfId="28268"/>
    <cellStyle name="Normal 31 2 4" xfId="28269"/>
    <cellStyle name="Normal 31 2 5" xfId="28270"/>
    <cellStyle name="Normal 31 2 6" xfId="28271"/>
    <cellStyle name="Normal 31 2 7" xfId="28272"/>
    <cellStyle name="Normal 31 2 8" xfId="28273"/>
    <cellStyle name="Normal 31 2 9" xfId="28274"/>
    <cellStyle name="Normal 31 20" xfId="28275"/>
    <cellStyle name="Normal 31 20 10" xfId="28276"/>
    <cellStyle name="Normal 31 20 11" xfId="28277"/>
    <cellStyle name="Normal 31 20 12" xfId="28278"/>
    <cellStyle name="Normal 31 20 13" xfId="28279"/>
    <cellStyle name="Normal 31 20 2" xfId="28280"/>
    <cellStyle name="Normal 31 20 3" xfId="28281"/>
    <cellStyle name="Normal 31 20 4" xfId="28282"/>
    <cellStyle name="Normal 31 20 5" xfId="28283"/>
    <cellStyle name="Normal 31 20 6" xfId="28284"/>
    <cellStyle name="Normal 31 20 7" xfId="28285"/>
    <cellStyle name="Normal 31 20 8" xfId="28286"/>
    <cellStyle name="Normal 31 20 9" xfId="28287"/>
    <cellStyle name="Normal 31 21" xfId="28288"/>
    <cellStyle name="Normal 31 21 10" xfId="28289"/>
    <cellStyle name="Normal 31 21 11" xfId="28290"/>
    <cellStyle name="Normal 31 21 12" xfId="28291"/>
    <cellStyle name="Normal 31 21 13" xfId="28292"/>
    <cellStyle name="Normal 31 21 2" xfId="28293"/>
    <cellStyle name="Normal 31 21 3" xfId="28294"/>
    <cellStyle name="Normal 31 21 4" xfId="28295"/>
    <cellStyle name="Normal 31 21 5" xfId="28296"/>
    <cellStyle name="Normal 31 21 6" xfId="28297"/>
    <cellStyle name="Normal 31 21 7" xfId="28298"/>
    <cellStyle name="Normal 31 21 8" xfId="28299"/>
    <cellStyle name="Normal 31 21 9" xfId="28300"/>
    <cellStyle name="Normal 31 22" xfId="28301"/>
    <cellStyle name="Normal 31 22 10" xfId="28302"/>
    <cellStyle name="Normal 31 22 11" xfId="28303"/>
    <cellStyle name="Normal 31 22 12" xfId="28304"/>
    <cellStyle name="Normal 31 22 13" xfId="28305"/>
    <cellStyle name="Normal 31 22 2" xfId="28306"/>
    <cellStyle name="Normal 31 22 3" xfId="28307"/>
    <cellStyle name="Normal 31 22 4" xfId="28308"/>
    <cellStyle name="Normal 31 22 5" xfId="28309"/>
    <cellStyle name="Normal 31 22 6" xfId="28310"/>
    <cellStyle name="Normal 31 22 7" xfId="28311"/>
    <cellStyle name="Normal 31 22 8" xfId="28312"/>
    <cellStyle name="Normal 31 22 9" xfId="28313"/>
    <cellStyle name="Normal 31 23" xfId="28314"/>
    <cellStyle name="Normal 31 23 10" xfId="28315"/>
    <cellStyle name="Normal 31 23 11" xfId="28316"/>
    <cellStyle name="Normal 31 23 12" xfId="28317"/>
    <cellStyle name="Normal 31 23 13" xfId="28318"/>
    <cellStyle name="Normal 31 23 2" xfId="28319"/>
    <cellStyle name="Normal 31 23 3" xfId="28320"/>
    <cellStyle name="Normal 31 23 4" xfId="28321"/>
    <cellStyle name="Normal 31 23 5" xfId="28322"/>
    <cellStyle name="Normal 31 23 6" xfId="28323"/>
    <cellStyle name="Normal 31 23 7" xfId="28324"/>
    <cellStyle name="Normal 31 23 8" xfId="28325"/>
    <cellStyle name="Normal 31 23 9" xfId="28326"/>
    <cellStyle name="Normal 31 24" xfId="28327"/>
    <cellStyle name="Normal 31 24 10" xfId="28328"/>
    <cellStyle name="Normal 31 24 11" xfId="28329"/>
    <cellStyle name="Normal 31 24 12" xfId="28330"/>
    <cellStyle name="Normal 31 24 13" xfId="28331"/>
    <cellStyle name="Normal 31 24 2" xfId="28332"/>
    <cellStyle name="Normal 31 24 3" xfId="28333"/>
    <cellStyle name="Normal 31 24 4" xfId="28334"/>
    <cellStyle name="Normal 31 24 5" xfId="28335"/>
    <cellStyle name="Normal 31 24 6" xfId="28336"/>
    <cellStyle name="Normal 31 24 7" xfId="28337"/>
    <cellStyle name="Normal 31 24 8" xfId="28338"/>
    <cellStyle name="Normal 31 24 9" xfId="28339"/>
    <cellStyle name="Normal 31 25" xfId="28340"/>
    <cellStyle name="Normal 31 25 10" xfId="28341"/>
    <cellStyle name="Normal 31 25 11" xfId="28342"/>
    <cellStyle name="Normal 31 25 12" xfId="28343"/>
    <cellStyle name="Normal 31 25 13" xfId="28344"/>
    <cellStyle name="Normal 31 25 2" xfId="28345"/>
    <cellStyle name="Normal 31 25 3" xfId="28346"/>
    <cellStyle name="Normal 31 25 4" xfId="28347"/>
    <cellStyle name="Normal 31 25 5" xfId="28348"/>
    <cellStyle name="Normal 31 25 6" xfId="28349"/>
    <cellStyle name="Normal 31 25 7" xfId="28350"/>
    <cellStyle name="Normal 31 25 8" xfId="28351"/>
    <cellStyle name="Normal 31 25 9" xfId="28352"/>
    <cellStyle name="Normal 31 26" xfId="28353"/>
    <cellStyle name="Normal 31 26 10" xfId="28354"/>
    <cellStyle name="Normal 31 26 11" xfId="28355"/>
    <cellStyle name="Normal 31 26 12" xfId="28356"/>
    <cellStyle name="Normal 31 26 13" xfId="28357"/>
    <cellStyle name="Normal 31 26 2" xfId="28358"/>
    <cellStyle name="Normal 31 26 3" xfId="28359"/>
    <cellStyle name="Normal 31 26 4" xfId="28360"/>
    <cellStyle name="Normal 31 26 5" xfId="28361"/>
    <cellStyle name="Normal 31 26 6" xfId="28362"/>
    <cellStyle name="Normal 31 26 7" xfId="28363"/>
    <cellStyle name="Normal 31 26 8" xfId="28364"/>
    <cellStyle name="Normal 31 26 9" xfId="28365"/>
    <cellStyle name="Normal 31 27" xfId="28366"/>
    <cellStyle name="Normal 31 27 10" xfId="28367"/>
    <cellStyle name="Normal 31 27 11" xfId="28368"/>
    <cellStyle name="Normal 31 27 12" xfId="28369"/>
    <cellStyle name="Normal 31 27 13" xfId="28370"/>
    <cellStyle name="Normal 31 27 2" xfId="28371"/>
    <cellStyle name="Normal 31 27 3" xfId="28372"/>
    <cellStyle name="Normal 31 27 4" xfId="28373"/>
    <cellStyle name="Normal 31 27 5" xfId="28374"/>
    <cellStyle name="Normal 31 27 6" xfId="28375"/>
    <cellStyle name="Normal 31 27 7" xfId="28376"/>
    <cellStyle name="Normal 31 27 8" xfId="28377"/>
    <cellStyle name="Normal 31 27 9" xfId="28378"/>
    <cellStyle name="Normal 31 28" xfId="28379"/>
    <cellStyle name="Normal 31 28 10" xfId="28380"/>
    <cellStyle name="Normal 31 28 11" xfId="28381"/>
    <cellStyle name="Normal 31 28 12" xfId="28382"/>
    <cellStyle name="Normal 31 28 13" xfId="28383"/>
    <cellStyle name="Normal 31 28 2" xfId="28384"/>
    <cellStyle name="Normal 31 28 3" xfId="28385"/>
    <cellStyle name="Normal 31 28 4" xfId="28386"/>
    <cellStyle name="Normal 31 28 5" xfId="28387"/>
    <cellStyle name="Normal 31 28 6" xfId="28388"/>
    <cellStyle name="Normal 31 28 7" xfId="28389"/>
    <cellStyle name="Normal 31 28 8" xfId="28390"/>
    <cellStyle name="Normal 31 28 9" xfId="28391"/>
    <cellStyle name="Normal 31 29" xfId="28392"/>
    <cellStyle name="Normal 31 29 10" xfId="28393"/>
    <cellStyle name="Normal 31 29 11" xfId="28394"/>
    <cellStyle name="Normal 31 29 12" xfId="28395"/>
    <cellStyle name="Normal 31 29 13" xfId="28396"/>
    <cellStyle name="Normal 31 29 2" xfId="28397"/>
    <cellStyle name="Normal 31 29 3" xfId="28398"/>
    <cellStyle name="Normal 31 29 4" xfId="28399"/>
    <cellStyle name="Normal 31 29 5" xfId="28400"/>
    <cellStyle name="Normal 31 29 6" xfId="28401"/>
    <cellStyle name="Normal 31 29 7" xfId="28402"/>
    <cellStyle name="Normal 31 29 8" xfId="28403"/>
    <cellStyle name="Normal 31 29 9" xfId="28404"/>
    <cellStyle name="Normal 31 3" xfId="28405"/>
    <cellStyle name="Normal 31 3 10" xfId="28406"/>
    <cellStyle name="Normal 31 3 11" xfId="28407"/>
    <cellStyle name="Normal 31 3 12" xfId="28408"/>
    <cellStyle name="Normal 31 3 13" xfId="28409"/>
    <cellStyle name="Normal 31 3 2" xfId="28410"/>
    <cellStyle name="Normal 31 3 3" xfId="28411"/>
    <cellStyle name="Normal 31 3 4" xfId="28412"/>
    <cellStyle name="Normal 31 3 5" xfId="28413"/>
    <cellStyle name="Normal 31 3 6" xfId="28414"/>
    <cellStyle name="Normal 31 3 7" xfId="28415"/>
    <cellStyle name="Normal 31 3 8" xfId="28416"/>
    <cellStyle name="Normal 31 3 9" xfId="28417"/>
    <cellStyle name="Normal 31 30" xfId="28418"/>
    <cellStyle name="Normal 31 30 10" xfId="28419"/>
    <cellStyle name="Normal 31 30 11" xfId="28420"/>
    <cellStyle name="Normal 31 30 12" xfId="28421"/>
    <cellStyle name="Normal 31 30 13" xfId="28422"/>
    <cellStyle name="Normal 31 30 2" xfId="28423"/>
    <cellStyle name="Normal 31 30 3" xfId="28424"/>
    <cellStyle name="Normal 31 30 4" xfId="28425"/>
    <cellStyle name="Normal 31 30 5" xfId="28426"/>
    <cellStyle name="Normal 31 30 6" xfId="28427"/>
    <cellStyle name="Normal 31 30 7" xfId="28428"/>
    <cellStyle name="Normal 31 30 8" xfId="28429"/>
    <cellStyle name="Normal 31 30 9" xfId="28430"/>
    <cellStyle name="Normal 31 31" xfId="28431"/>
    <cellStyle name="Normal 31 31 10" xfId="28432"/>
    <cellStyle name="Normal 31 31 11" xfId="28433"/>
    <cellStyle name="Normal 31 31 12" xfId="28434"/>
    <cellStyle name="Normal 31 31 13" xfId="28435"/>
    <cellStyle name="Normal 31 31 2" xfId="28436"/>
    <cellStyle name="Normal 31 31 3" xfId="28437"/>
    <cellStyle name="Normal 31 31 4" xfId="28438"/>
    <cellStyle name="Normal 31 31 5" xfId="28439"/>
    <cellStyle name="Normal 31 31 6" xfId="28440"/>
    <cellStyle name="Normal 31 31 7" xfId="28441"/>
    <cellStyle name="Normal 31 31 8" xfId="28442"/>
    <cellStyle name="Normal 31 31 9" xfId="28443"/>
    <cellStyle name="Normal 31 32" xfId="28444"/>
    <cellStyle name="Normal 31 32 10" xfId="28445"/>
    <cellStyle name="Normal 31 32 11" xfId="28446"/>
    <cellStyle name="Normal 31 32 12" xfId="28447"/>
    <cellStyle name="Normal 31 32 13" xfId="28448"/>
    <cellStyle name="Normal 31 32 2" xfId="28449"/>
    <cellStyle name="Normal 31 32 3" xfId="28450"/>
    <cellStyle name="Normal 31 32 4" xfId="28451"/>
    <cellStyle name="Normal 31 32 5" xfId="28452"/>
    <cellStyle name="Normal 31 32 6" xfId="28453"/>
    <cellStyle name="Normal 31 32 7" xfId="28454"/>
    <cellStyle name="Normal 31 32 8" xfId="28455"/>
    <cellStyle name="Normal 31 32 9" xfId="28456"/>
    <cellStyle name="Normal 31 33" xfId="28457"/>
    <cellStyle name="Normal 31 33 10" xfId="28458"/>
    <cellStyle name="Normal 31 33 11" xfId="28459"/>
    <cellStyle name="Normal 31 33 12" xfId="28460"/>
    <cellStyle name="Normal 31 33 13" xfId="28461"/>
    <cellStyle name="Normal 31 33 2" xfId="28462"/>
    <cellStyle name="Normal 31 33 3" xfId="28463"/>
    <cellStyle name="Normal 31 33 4" xfId="28464"/>
    <cellStyle name="Normal 31 33 5" xfId="28465"/>
    <cellStyle name="Normal 31 33 6" xfId="28466"/>
    <cellStyle name="Normal 31 33 7" xfId="28467"/>
    <cellStyle name="Normal 31 33 8" xfId="28468"/>
    <cellStyle name="Normal 31 33 9" xfId="28469"/>
    <cellStyle name="Normal 31 34" xfId="28470"/>
    <cellStyle name="Normal 31 34 10" xfId="28471"/>
    <cellStyle name="Normal 31 34 11" xfId="28472"/>
    <cellStyle name="Normal 31 34 12" xfId="28473"/>
    <cellStyle name="Normal 31 34 13" xfId="28474"/>
    <cellStyle name="Normal 31 34 2" xfId="28475"/>
    <cellStyle name="Normal 31 34 3" xfId="28476"/>
    <cellStyle name="Normal 31 34 4" xfId="28477"/>
    <cellStyle name="Normal 31 34 5" xfId="28478"/>
    <cellStyle name="Normal 31 34 6" xfId="28479"/>
    <cellStyle name="Normal 31 34 7" xfId="28480"/>
    <cellStyle name="Normal 31 34 8" xfId="28481"/>
    <cellStyle name="Normal 31 34 9" xfId="28482"/>
    <cellStyle name="Normal 31 35" xfId="28483"/>
    <cellStyle name="Normal 31 35 10" xfId="28484"/>
    <cellStyle name="Normal 31 35 11" xfId="28485"/>
    <cellStyle name="Normal 31 35 12" xfId="28486"/>
    <cellStyle name="Normal 31 35 13" xfId="28487"/>
    <cellStyle name="Normal 31 35 2" xfId="28488"/>
    <cellStyle name="Normal 31 35 3" xfId="28489"/>
    <cellStyle name="Normal 31 35 4" xfId="28490"/>
    <cellStyle name="Normal 31 35 5" xfId="28491"/>
    <cellStyle name="Normal 31 35 6" xfId="28492"/>
    <cellStyle name="Normal 31 35 7" xfId="28493"/>
    <cellStyle name="Normal 31 35 8" xfId="28494"/>
    <cellStyle name="Normal 31 35 9" xfId="28495"/>
    <cellStyle name="Normal 31 36" xfId="28496"/>
    <cellStyle name="Normal 31 36 10" xfId="28497"/>
    <cellStyle name="Normal 31 36 11" xfId="28498"/>
    <cellStyle name="Normal 31 36 12" xfId="28499"/>
    <cellStyle name="Normal 31 36 13" xfId="28500"/>
    <cellStyle name="Normal 31 36 2" xfId="28501"/>
    <cellStyle name="Normal 31 36 3" xfId="28502"/>
    <cellStyle name="Normal 31 36 4" xfId="28503"/>
    <cellStyle name="Normal 31 36 5" xfId="28504"/>
    <cellStyle name="Normal 31 36 6" xfId="28505"/>
    <cellStyle name="Normal 31 36 7" xfId="28506"/>
    <cellStyle name="Normal 31 36 8" xfId="28507"/>
    <cellStyle name="Normal 31 36 9" xfId="28508"/>
    <cellStyle name="Normal 31 37" xfId="28509"/>
    <cellStyle name="Normal 31 37 10" xfId="28510"/>
    <cellStyle name="Normal 31 37 11" xfId="28511"/>
    <cellStyle name="Normal 31 37 12" xfId="28512"/>
    <cellStyle name="Normal 31 37 13" xfId="28513"/>
    <cellStyle name="Normal 31 37 2" xfId="28514"/>
    <cellStyle name="Normal 31 37 3" xfId="28515"/>
    <cellStyle name="Normal 31 37 4" xfId="28516"/>
    <cellStyle name="Normal 31 37 5" xfId="28517"/>
    <cellStyle name="Normal 31 37 6" xfId="28518"/>
    <cellStyle name="Normal 31 37 7" xfId="28519"/>
    <cellStyle name="Normal 31 37 8" xfId="28520"/>
    <cellStyle name="Normal 31 37 9" xfId="28521"/>
    <cellStyle name="Normal 31 38" xfId="28522"/>
    <cellStyle name="Normal 31 38 10" xfId="28523"/>
    <cellStyle name="Normal 31 38 11" xfId="28524"/>
    <cellStyle name="Normal 31 38 12" xfId="28525"/>
    <cellStyle name="Normal 31 38 13" xfId="28526"/>
    <cellStyle name="Normal 31 38 2" xfId="28527"/>
    <cellStyle name="Normal 31 38 3" xfId="28528"/>
    <cellStyle name="Normal 31 38 4" xfId="28529"/>
    <cellStyle name="Normal 31 38 5" xfId="28530"/>
    <cellStyle name="Normal 31 38 6" xfId="28531"/>
    <cellStyle name="Normal 31 38 7" xfId="28532"/>
    <cellStyle name="Normal 31 38 8" xfId="28533"/>
    <cellStyle name="Normal 31 38 9" xfId="28534"/>
    <cellStyle name="Normal 31 39" xfId="28535"/>
    <cellStyle name="Normal 31 39 10" xfId="28536"/>
    <cellStyle name="Normal 31 39 11" xfId="28537"/>
    <cellStyle name="Normal 31 39 12" xfId="28538"/>
    <cellStyle name="Normal 31 39 13" xfId="28539"/>
    <cellStyle name="Normal 31 39 2" xfId="28540"/>
    <cellStyle name="Normal 31 39 3" xfId="28541"/>
    <cellStyle name="Normal 31 39 4" xfId="28542"/>
    <cellStyle name="Normal 31 39 5" xfId="28543"/>
    <cellStyle name="Normal 31 39 6" xfId="28544"/>
    <cellStyle name="Normal 31 39 7" xfId="28545"/>
    <cellStyle name="Normal 31 39 8" xfId="28546"/>
    <cellStyle name="Normal 31 39 9" xfId="28547"/>
    <cellStyle name="Normal 31 4" xfId="28548"/>
    <cellStyle name="Normal 31 4 10" xfId="28549"/>
    <cellStyle name="Normal 31 4 11" xfId="28550"/>
    <cellStyle name="Normal 31 4 12" xfId="28551"/>
    <cellStyle name="Normal 31 4 13" xfId="28552"/>
    <cellStyle name="Normal 31 4 2" xfId="28553"/>
    <cellStyle name="Normal 31 4 3" xfId="28554"/>
    <cellStyle name="Normal 31 4 4" xfId="28555"/>
    <cellStyle name="Normal 31 4 5" xfId="28556"/>
    <cellStyle name="Normal 31 4 6" xfId="28557"/>
    <cellStyle name="Normal 31 4 7" xfId="28558"/>
    <cellStyle name="Normal 31 4 8" xfId="28559"/>
    <cellStyle name="Normal 31 4 9" xfId="28560"/>
    <cellStyle name="Normal 31 40" xfId="28561"/>
    <cellStyle name="Normal 31 40 10" xfId="28562"/>
    <cellStyle name="Normal 31 40 11" xfId="28563"/>
    <cellStyle name="Normal 31 40 12" xfId="28564"/>
    <cellStyle name="Normal 31 40 13" xfId="28565"/>
    <cellStyle name="Normal 31 40 2" xfId="28566"/>
    <cellStyle name="Normal 31 40 3" xfId="28567"/>
    <cellStyle name="Normal 31 40 4" xfId="28568"/>
    <cellStyle name="Normal 31 40 5" xfId="28569"/>
    <cellStyle name="Normal 31 40 6" xfId="28570"/>
    <cellStyle name="Normal 31 40 7" xfId="28571"/>
    <cellStyle name="Normal 31 40 8" xfId="28572"/>
    <cellStyle name="Normal 31 40 9" xfId="28573"/>
    <cellStyle name="Normal 31 41" xfId="28574"/>
    <cellStyle name="Normal 31 41 10" xfId="28575"/>
    <cellStyle name="Normal 31 41 11" xfId="28576"/>
    <cellStyle name="Normal 31 41 12" xfId="28577"/>
    <cellStyle name="Normal 31 41 13" xfId="28578"/>
    <cellStyle name="Normal 31 41 2" xfId="28579"/>
    <cellStyle name="Normal 31 41 3" xfId="28580"/>
    <cellStyle name="Normal 31 41 4" xfId="28581"/>
    <cellStyle name="Normal 31 41 5" xfId="28582"/>
    <cellStyle name="Normal 31 41 6" xfId="28583"/>
    <cellStyle name="Normal 31 41 7" xfId="28584"/>
    <cellStyle name="Normal 31 41 8" xfId="28585"/>
    <cellStyle name="Normal 31 41 9" xfId="28586"/>
    <cellStyle name="Normal 31 42" xfId="28587"/>
    <cellStyle name="Normal 31 42 10" xfId="28588"/>
    <cellStyle name="Normal 31 42 11" xfId="28589"/>
    <cellStyle name="Normal 31 42 12" xfId="28590"/>
    <cellStyle name="Normal 31 42 13" xfId="28591"/>
    <cellStyle name="Normal 31 42 2" xfId="28592"/>
    <cellStyle name="Normal 31 42 3" xfId="28593"/>
    <cellStyle name="Normal 31 42 4" xfId="28594"/>
    <cellStyle name="Normal 31 42 5" xfId="28595"/>
    <cellStyle name="Normal 31 42 6" xfId="28596"/>
    <cellStyle name="Normal 31 42 7" xfId="28597"/>
    <cellStyle name="Normal 31 42 8" xfId="28598"/>
    <cellStyle name="Normal 31 42 9" xfId="28599"/>
    <cellStyle name="Normal 31 43" xfId="28600"/>
    <cellStyle name="Normal 31 43 10" xfId="28601"/>
    <cellStyle name="Normal 31 43 11" xfId="28602"/>
    <cellStyle name="Normal 31 43 12" xfId="28603"/>
    <cellStyle name="Normal 31 43 13" xfId="28604"/>
    <cellStyle name="Normal 31 43 2" xfId="28605"/>
    <cellStyle name="Normal 31 43 3" xfId="28606"/>
    <cellStyle name="Normal 31 43 4" xfId="28607"/>
    <cellStyle name="Normal 31 43 5" xfId="28608"/>
    <cellStyle name="Normal 31 43 6" xfId="28609"/>
    <cellStyle name="Normal 31 43 7" xfId="28610"/>
    <cellStyle name="Normal 31 43 8" xfId="28611"/>
    <cellStyle name="Normal 31 43 9" xfId="28612"/>
    <cellStyle name="Normal 31 44" xfId="28613"/>
    <cellStyle name="Normal 31 44 10" xfId="28614"/>
    <cellStyle name="Normal 31 44 11" xfId="28615"/>
    <cellStyle name="Normal 31 44 12" xfId="28616"/>
    <cellStyle name="Normal 31 44 13" xfId="28617"/>
    <cellStyle name="Normal 31 44 2" xfId="28618"/>
    <cellStyle name="Normal 31 44 3" xfId="28619"/>
    <cellStyle name="Normal 31 44 4" xfId="28620"/>
    <cellStyle name="Normal 31 44 5" xfId="28621"/>
    <cellStyle name="Normal 31 44 6" xfId="28622"/>
    <cellStyle name="Normal 31 44 7" xfId="28623"/>
    <cellStyle name="Normal 31 44 8" xfId="28624"/>
    <cellStyle name="Normal 31 44 9" xfId="28625"/>
    <cellStyle name="Normal 31 45" xfId="28626"/>
    <cellStyle name="Normal 31 45 10" xfId="28627"/>
    <cellStyle name="Normal 31 45 11" xfId="28628"/>
    <cellStyle name="Normal 31 45 12" xfId="28629"/>
    <cellStyle name="Normal 31 45 13" xfId="28630"/>
    <cellStyle name="Normal 31 45 2" xfId="28631"/>
    <cellStyle name="Normal 31 45 3" xfId="28632"/>
    <cellStyle name="Normal 31 45 4" xfId="28633"/>
    <cellStyle name="Normal 31 45 5" xfId="28634"/>
    <cellStyle name="Normal 31 45 6" xfId="28635"/>
    <cellStyle name="Normal 31 45 7" xfId="28636"/>
    <cellStyle name="Normal 31 45 8" xfId="28637"/>
    <cellStyle name="Normal 31 45 9" xfId="28638"/>
    <cellStyle name="Normal 31 46" xfId="28639"/>
    <cellStyle name="Normal 31 46 10" xfId="28640"/>
    <cellStyle name="Normal 31 46 11" xfId="28641"/>
    <cellStyle name="Normal 31 46 12" xfId="28642"/>
    <cellStyle name="Normal 31 46 13" xfId="28643"/>
    <cellStyle name="Normal 31 46 2" xfId="28644"/>
    <cellStyle name="Normal 31 46 3" xfId="28645"/>
    <cellStyle name="Normal 31 46 4" xfId="28646"/>
    <cellStyle name="Normal 31 46 5" xfId="28647"/>
    <cellStyle name="Normal 31 46 6" xfId="28648"/>
    <cellStyle name="Normal 31 46 7" xfId="28649"/>
    <cellStyle name="Normal 31 46 8" xfId="28650"/>
    <cellStyle name="Normal 31 46 9" xfId="28651"/>
    <cellStyle name="Normal 31 47" xfId="28652"/>
    <cellStyle name="Normal 31 47 10" xfId="28653"/>
    <cellStyle name="Normal 31 47 11" xfId="28654"/>
    <cellStyle name="Normal 31 47 12" xfId="28655"/>
    <cellStyle name="Normal 31 47 13" xfId="28656"/>
    <cellStyle name="Normal 31 47 2" xfId="28657"/>
    <cellStyle name="Normal 31 47 3" xfId="28658"/>
    <cellStyle name="Normal 31 47 4" xfId="28659"/>
    <cellStyle name="Normal 31 47 5" xfId="28660"/>
    <cellStyle name="Normal 31 47 6" xfId="28661"/>
    <cellStyle name="Normal 31 47 7" xfId="28662"/>
    <cellStyle name="Normal 31 47 8" xfId="28663"/>
    <cellStyle name="Normal 31 47 9" xfId="28664"/>
    <cellStyle name="Normal 31 48" xfId="28665"/>
    <cellStyle name="Normal 31 48 10" xfId="28666"/>
    <cellStyle name="Normal 31 48 11" xfId="28667"/>
    <cellStyle name="Normal 31 48 12" xfId="28668"/>
    <cellStyle name="Normal 31 48 13" xfId="28669"/>
    <cellStyle name="Normal 31 48 2" xfId="28670"/>
    <cellStyle name="Normal 31 48 3" xfId="28671"/>
    <cellStyle name="Normal 31 48 4" xfId="28672"/>
    <cellStyle name="Normal 31 48 5" xfId="28673"/>
    <cellStyle name="Normal 31 48 6" xfId="28674"/>
    <cellStyle name="Normal 31 48 7" xfId="28675"/>
    <cellStyle name="Normal 31 48 8" xfId="28676"/>
    <cellStyle name="Normal 31 48 9" xfId="28677"/>
    <cellStyle name="Normal 31 49" xfId="28678"/>
    <cellStyle name="Normal 31 49 10" xfId="28679"/>
    <cellStyle name="Normal 31 49 11" xfId="28680"/>
    <cellStyle name="Normal 31 49 12" xfId="28681"/>
    <cellStyle name="Normal 31 49 13" xfId="28682"/>
    <cellStyle name="Normal 31 49 2" xfId="28683"/>
    <cellStyle name="Normal 31 49 3" xfId="28684"/>
    <cellStyle name="Normal 31 49 4" xfId="28685"/>
    <cellStyle name="Normal 31 49 5" xfId="28686"/>
    <cellStyle name="Normal 31 49 6" xfId="28687"/>
    <cellStyle name="Normal 31 49 7" xfId="28688"/>
    <cellStyle name="Normal 31 49 8" xfId="28689"/>
    <cellStyle name="Normal 31 49 9" xfId="28690"/>
    <cellStyle name="Normal 31 5" xfId="28691"/>
    <cellStyle name="Normal 31 5 10" xfId="28692"/>
    <cellStyle name="Normal 31 5 11" xfId="28693"/>
    <cellStyle name="Normal 31 5 12" xfId="28694"/>
    <cellStyle name="Normal 31 5 13" xfId="28695"/>
    <cellStyle name="Normal 31 5 2" xfId="28696"/>
    <cellStyle name="Normal 31 5 3" xfId="28697"/>
    <cellStyle name="Normal 31 5 4" xfId="28698"/>
    <cellStyle name="Normal 31 5 5" xfId="28699"/>
    <cellStyle name="Normal 31 5 6" xfId="28700"/>
    <cellStyle name="Normal 31 5 7" xfId="28701"/>
    <cellStyle name="Normal 31 5 8" xfId="28702"/>
    <cellStyle name="Normal 31 5 9" xfId="28703"/>
    <cellStyle name="Normal 31 50" xfId="28704"/>
    <cellStyle name="Normal 31 50 10" xfId="28705"/>
    <cellStyle name="Normal 31 50 11" xfId="28706"/>
    <cellStyle name="Normal 31 50 12" xfId="28707"/>
    <cellStyle name="Normal 31 50 13" xfId="28708"/>
    <cellStyle name="Normal 31 50 2" xfId="28709"/>
    <cellStyle name="Normal 31 50 3" xfId="28710"/>
    <cellStyle name="Normal 31 50 4" xfId="28711"/>
    <cellStyle name="Normal 31 50 5" xfId="28712"/>
    <cellStyle name="Normal 31 50 6" xfId="28713"/>
    <cellStyle name="Normal 31 50 7" xfId="28714"/>
    <cellStyle name="Normal 31 50 8" xfId="28715"/>
    <cellStyle name="Normal 31 50 9" xfId="28716"/>
    <cellStyle name="Normal 31 51" xfId="28717"/>
    <cellStyle name="Normal 31 51 10" xfId="28718"/>
    <cellStyle name="Normal 31 51 11" xfId="28719"/>
    <cellStyle name="Normal 31 51 12" xfId="28720"/>
    <cellStyle name="Normal 31 51 13" xfId="28721"/>
    <cellStyle name="Normal 31 51 2" xfId="28722"/>
    <cellStyle name="Normal 31 51 3" xfId="28723"/>
    <cellStyle name="Normal 31 51 4" xfId="28724"/>
    <cellStyle name="Normal 31 51 5" xfId="28725"/>
    <cellStyle name="Normal 31 51 6" xfId="28726"/>
    <cellStyle name="Normal 31 51 7" xfId="28727"/>
    <cellStyle name="Normal 31 51 8" xfId="28728"/>
    <cellStyle name="Normal 31 51 9" xfId="28729"/>
    <cellStyle name="Normal 31 52" xfId="28730"/>
    <cellStyle name="Normal 31 52 10" xfId="28731"/>
    <cellStyle name="Normal 31 52 11" xfId="28732"/>
    <cellStyle name="Normal 31 52 12" xfId="28733"/>
    <cellStyle name="Normal 31 52 13" xfId="28734"/>
    <cellStyle name="Normal 31 52 2" xfId="28735"/>
    <cellStyle name="Normal 31 52 3" xfId="28736"/>
    <cellStyle name="Normal 31 52 4" xfId="28737"/>
    <cellStyle name="Normal 31 52 5" xfId="28738"/>
    <cellStyle name="Normal 31 52 6" xfId="28739"/>
    <cellStyle name="Normal 31 52 7" xfId="28740"/>
    <cellStyle name="Normal 31 52 8" xfId="28741"/>
    <cellStyle name="Normal 31 52 9" xfId="28742"/>
    <cellStyle name="Normal 31 53" xfId="28743"/>
    <cellStyle name="Normal 31 53 10" xfId="28744"/>
    <cellStyle name="Normal 31 53 11" xfId="28745"/>
    <cellStyle name="Normal 31 53 12" xfId="28746"/>
    <cellStyle name="Normal 31 53 13" xfId="28747"/>
    <cellStyle name="Normal 31 53 2" xfId="28748"/>
    <cellStyle name="Normal 31 53 3" xfId="28749"/>
    <cellStyle name="Normal 31 53 4" xfId="28750"/>
    <cellStyle name="Normal 31 53 5" xfId="28751"/>
    <cellStyle name="Normal 31 53 6" xfId="28752"/>
    <cellStyle name="Normal 31 53 7" xfId="28753"/>
    <cellStyle name="Normal 31 53 8" xfId="28754"/>
    <cellStyle name="Normal 31 53 9" xfId="28755"/>
    <cellStyle name="Normal 31 54" xfId="28756"/>
    <cellStyle name="Normal 31 54 10" xfId="28757"/>
    <cellStyle name="Normal 31 54 11" xfId="28758"/>
    <cellStyle name="Normal 31 54 12" xfId="28759"/>
    <cellStyle name="Normal 31 54 13" xfId="28760"/>
    <cellStyle name="Normal 31 54 2" xfId="28761"/>
    <cellStyle name="Normal 31 54 3" xfId="28762"/>
    <cellStyle name="Normal 31 54 4" xfId="28763"/>
    <cellStyle name="Normal 31 54 5" xfId="28764"/>
    <cellStyle name="Normal 31 54 6" xfId="28765"/>
    <cellStyle name="Normal 31 54 7" xfId="28766"/>
    <cellStyle name="Normal 31 54 8" xfId="28767"/>
    <cellStyle name="Normal 31 54 9" xfId="28768"/>
    <cellStyle name="Normal 31 55" xfId="28769"/>
    <cellStyle name="Normal 31 55 10" xfId="28770"/>
    <cellStyle name="Normal 31 55 11" xfId="28771"/>
    <cellStyle name="Normal 31 55 12" xfId="28772"/>
    <cellStyle name="Normal 31 55 13" xfId="28773"/>
    <cellStyle name="Normal 31 55 2" xfId="28774"/>
    <cellStyle name="Normal 31 55 3" xfId="28775"/>
    <cellStyle name="Normal 31 55 4" xfId="28776"/>
    <cellStyle name="Normal 31 55 5" xfId="28777"/>
    <cellStyle name="Normal 31 55 6" xfId="28778"/>
    <cellStyle name="Normal 31 55 7" xfId="28779"/>
    <cellStyle name="Normal 31 55 8" xfId="28780"/>
    <cellStyle name="Normal 31 55 9" xfId="28781"/>
    <cellStyle name="Normal 31 56" xfId="28782"/>
    <cellStyle name="Normal 31 56 10" xfId="28783"/>
    <cellStyle name="Normal 31 56 11" xfId="28784"/>
    <cellStyle name="Normal 31 56 12" xfId="28785"/>
    <cellStyle name="Normal 31 56 13" xfId="28786"/>
    <cellStyle name="Normal 31 56 2" xfId="28787"/>
    <cellStyle name="Normal 31 56 3" xfId="28788"/>
    <cellStyle name="Normal 31 56 4" xfId="28789"/>
    <cellStyle name="Normal 31 56 5" xfId="28790"/>
    <cellStyle name="Normal 31 56 6" xfId="28791"/>
    <cellStyle name="Normal 31 56 7" xfId="28792"/>
    <cellStyle name="Normal 31 56 8" xfId="28793"/>
    <cellStyle name="Normal 31 56 9" xfId="28794"/>
    <cellStyle name="Normal 31 57" xfId="28795"/>
    <cellStyle name="Normal 31 57 10" xfId="28796"/>
    <cellStyle name="Normal 31 57 11" xfId="28797"/>
    <cellStyle name="Normal 31 57 12" xfId="28798"/>
    <cellStyle name="Normal 31 57 13" xfId="28799"/>
    <cellStyle name="Normal 31 57 2" xfId="28800"/>
    <cellStyle name="Normal 31 57 3" xfId="28801"/>
    <cellStyle name="Normal 31 57 4" xfId="28802"/>
    <cellStyle name="Normal 31 57 5" xfId="28803"/>
    <cellStyle name="Normal 31 57 6" xfId="28804"/>
    <cellStyle name="Normal 31 57 7" xfId="28805"/>
    <cellStyle name="Normal 31 57 8" xfId="28806"/>
    <cellStyle name="Normal 31 57 9" xfId="28807"/>
    <cellStyle name="Normal 31 58" xfId="28808"/>
    <cellStyle name="Normal 31 58 10" xfId="28809"/>
    <cellStyle name="Normal 31 58 11" xfId="28810"/>
    <cellStyle name="Normal 31 58 12" xfId="28811"/>
    <cellStyle name="Normal 31 58 13" xfId="28812"/>
    <cellStyle name="Normal 31 58 2" xfId="28813"/>
    <cellStyle name="Normal 31 58 3" xfId="28814"/>
    <cellStyle name="Normal 31 58 4" xfId="28815"/>
    <cellStyle name="Normal 31 58 5" xfId="28816"/>
    <cellStyle name="Normal 31 58 6" xfId="28817"/>
    <cellStyle name="Normal 31 58 7" xfId="28818"/>
    <cellStyle name="Normal 31 58 8" xfId="28819"/>
    <cellStyle name="Normal 31 58 9" xfId="28820"/>
    <cellStyle name="Normal 31 59" xfId="28821"/>
    <cellStyle name="Normal 31 59 10" xfId="28822"/>
    <cellStyle name="Normal 31 59 11" xfId="28823"/>
    <cellStyle name="Normal 31 59 12" xfId="28824"/>
    <cellStyle name="Normal 31 59 13" xfId="28825"/>
    <cellStyle name="Normal 31 59 2" xfId="28826"/>
    <cellStyle name="Normal 31 59 3" xfId="28827"/>
    <cellStyle name="Normal 31 59 4" xfId="28828"/>
    <cellStyle name="Normal 31 59 5" xfId="28829"/>
    <cellStyle name="Normal 31 59 6" xfId="28830"/>
    <cellStyle name="Normal 31 59 7" xfId="28831"/>
    <cellStyle name="Normal 31 59 8" xfId="28832"/>
    <cellStyle name="Normal 31 59 9" xfId="28833"/>
    <cellStyle name="Normal 31 6" xfId="28834"/>
    <cellStyle name="Normal 31 6 10" xfId="28835"/>
    <cellStyle name="Normal 31 6 11" xfId="28836"/>
    <cellStyle name="Normal 31 6 12" xfId="28837"/>
    <cellStyle name="Normal 31 6 13" xfId="28838"/>
    <cellStyle name="Normal 31 6 2" xfId="28839"/>
    <cellStyle name="Normal 31 6 3" xfId="28840"/>
    <cellStyle name="Normal 31 6 4" xfId="28841"/>
    <cellStyle name="Normal 31 6 5" xfId="28842"/>
    <cellStyle name="Normal 31 6 6" xfId="28843"/>
    <cellStyle name="Normal 31 6 7" xfId="28844"/>
    <cellStyle name="Normal 31 6 8" xfId="28845"/>
    <cellStyle name="Normal 31 6 9" xfId="28846"/>
    <cellStyle name="Normal 31 60" xfId="28847"/>
    <cellStyle name="Normal 31 60 10" xfId="28848"/>
    <cellStyle name="Normal 31 60 11" xfId="28849"/>
    <cellStyle name="Normal 31 60 12" xfId="28850"/>
    <cellStyle name="Normal 31 60 13" xfId="28851"/>
    <cellStyle name="Normal 31 60 2" xfId="28852"/>
    <cellStyle name="Normal 31 60 3" xfId="28853"/>
    <cellStyle name="Normal 31 60 4" xfId="28854"/>
    <cellStyle name="Normal 31 60 5" xfId="28855"/>
    <cellStyle name="Normal 31 60 6" xfId="28856"/>
    <cellStyle name="Normal 31 60 7" xfId="28857"/>
    <cellStyle name="Normal 31 60 8" xfId="28858"/>
    <cellStyle name="Normal 31 60 9" xfId="28859"/>
    <cellStyle name="Normal 31 61" xfId="28860"/>
    <cellStyle name="Normal 31 61 10" xfId="28861"/>
    <cellStyle name="Normal 31 61 11" xfId="28862"/>
    <cellStyle name="Normal 31 61 12" xfId="28863"/>
    <cellStyle name="Normal 31 61 13" xfId="28864"/>
    <cellStyle name="Normal 31 61 2" xfId="28865"/>
    <cellStyle name="Normal 31 61 3" xfId="28866"/>
    <cellStyle name="Normal 31 61 4" xfId="28867"/>
    <cellStyle name="Normal 31 61 5" xfId="28868"/>
    <cellStyle name="Normal 31 61 6" xfId="28869"/>
    <cellStyle name="Normal 31 61 7" xfId="28870"/>
    <cellStyle name="Normal 31 61 8" xfId="28871"/>
    <cellStyle name="Normal 31 61 9" xfId="28872"/>
    <cellStyle name="Normal 31 62" xfId="28873"/>
    <cellStyle name="Normal 31 62 10" xfId="28874"/>
    <cellStyle name="Normal 31 62 11" xfId="28875"/>
    <cellStyle name="Normal 31 62 12" xfId="28876"/>
    <cellStyle name="Normal 31 62 13" xfId="28877"/>
    <cellStyle name="Normal 31 62 2" xfId="28878"/>
    <cellStyle name="Normal 31 62 3" xfId="28879"/>
    <cellStyle name="Normal 31 62 4" xfId="28880"/>
    <cellStyle name="Normal 31 62 5" xfId="28881"/>
    <cellStyle name="Normal 31 62 6" xfId="28882"/>
    <cellStyle name="Normal 31 62 7" xfId="28883"/>
    <cellStyle name="Normal 31 62 8" xfId="28884"/>
    <cellStyle name="Normal 31 62 9" xfId="28885"/>
    <cellStyle name="Normal 31 63" xfId="28886"/>
    <cellStyle name="Normal 31 63 10" xfId="28887"/>
    <cellStyle name="Normal 31 63 11" xfId="28888"/>
    <cellStyle name="Normal 31 63 12" xfId="28889"/>
    <cellStyle name="Normal 31 63 13" xfId="28890"/>
    <cellStyle name="Normal 31 63 2" xfId="28891"/>
    <cellStyle name="Normal 31 63 3" xfId="28892"/>
    <cellStyle name="Normal 31 63 4" xfId="28893"/>
    <cellStyle name="Normal 31 63 5" xfId="28894"/>
    <cellStyle name="Normal 31 63 6" xfId="28895"/>
    <cellStyle name="Normal 31 63 7" xfId="28896"/>
    <cellStyle name="Normal 31 63 8" xfId="28897"/>
    <cellStyle name="Normal 31 63 9" xfId="28898"/>
    <cellStyle name="Normal 31 64" xfId="28899"/>
    <cellStyle name="Normal 31 64 10" xfId="28900"/>
    <cellStyle name="Normal 31 64 11" xfId="28901"/>
    <cellStyle name="Normal 31 64 12" xfId="28902"/>
    <cellStyle name="Normal 31 64 13" xfId="28903"/>
    <cellStyle name="Normal 31 64 2" xfId="28904"/>
    <cellStyle name="Normal 31 64 3" xfId="28905"/>
    <cellStyle name="Normal 31 64 4" xfId="28906"/>
    <cellStyle name="Normal 31 64 5" xfId="28907"/>
    <cellStyle name="Normal 31 64 6" xfId="28908"/>
    <cellStyle name="Normal 31 64 7" xfId="28909"/>
    <cellStyle name="Normal 31 64 8" xfId="28910"/>
    <cellStyle name="Normal 31 64 9" xfId="28911"/>
    <cellStyle name="Normal 31 65" xfId="28912"/>
    <cellStyle name="Normal 31 65 10" xfId="28913"/>
    <cellStyle name="Normal 31 65 11" xfId="28914"/>
    <cellStyle name="Normal 31 65 12" xfId="28915"/>
    <cellStyle name="Normal 31 65 13" xfId="28916"/>
    <cellStyle name="Normal 31 65 2" xfId="28917"/>
    <cellStyle name="Normal 31 65 3" xfId="28918"/>
    <cellStyle name="Normal 31 65 4" xfId="28919"/>
    <cellStyle name="Normal 31 65 5" xfId="28920"/>
    <cellStyle name="Normal 31 65 6" xfId="28921"/>
    <cellStyle name="Normal 31 65 7" xfId="28922"/>
    <cellStyle name="Normal 31 65 8" xfId="28923"/>
    <cellStyle name="Normal 31 65 9" xfId="28924"/>
    <cellStyle name="Normal 31 66" xfId="28925"/>
    <cellStyle name="Normal 31 66 10" xfId="28926"/>
    <cellStyle name="Normal 31 66 11" xfId="28927"/>
    <cellStyle name="Normal 31 66 12" xfId="28928"/>
    <cellStyle name="Normal 31 66 13" xfId="28929"/>
    <cellStyle name="Normal 31 66 2" xfId="28930"/>
    <cellStyle name="Normal 31 66 3" xfId="28931"/>
    <cellStyle name="Normal 31 66 4" xfId="28932"/>
    <cellStyle name="Normal 31 66 5" xfId="28933"/>
    <cellStyle name="Normal 31 66 6" xfId="28934"/>
    <cellStyle name="Normal 31 66 7" xfId="28935"/>
    <cellStyle name="Normal 31 66 8" xfId="28936"/>
    <cellStyle name="Normal 31 66 9" xfId="28937"/>
    <cellStyle name="Normal 31 67" xfId="28938"/>
    <cellStyle name="Normal 31 67 10" xfId="28939"/>
    <cellStyle name="Normal 31 67 11" xfId="28940"/>
    <cellStyle name="Normal 31 67 12" xfId="28941"/>
    <cellStyle name="Normal 31 67 13" xfId="28942"/>
    <cellStyle name="Normal 31 67 2" xfId="28943"/>
    <cellStyle name="Normal 31 67 3" xfId="28944"/>
    <cellStyle name="Normal 31 67 4" xfId="28945"/>
    <cellStyle name="Normal 31 67 5" xfId="28946"/>
    <cellStyle name="Normal 31 67 6" xfId="28947"/>
    <cellStyle name="Normal 31 67 7" xfId="28948"/>
    <cellStyle name="Normal 31 67 8" xfId="28949"/>
    <cellStyle name="Normal 31 67 9" xfId="28950"/>
    <cellStyle name="Normal 31 68" xfId="28951"/>
    <cellStyle name="Normal 31 68 10" xfId="28952"/>
    <cellStyle name="Normal 31 68 11" xfId="28953"/>
    <cellStyle name="Normal 31 68 12" xfId="28954"/>
    <cellStyle name="Normal 31 68 13" xfId="28955"/>
    <cellStyle name="Normal 31 68 2" xfId="28956"/>
    <cellStyle name="Normal 31 68 3" xfId="28957"/>
    <cellStyle name="Normal 31 68 4" xfId="28958"/>
    <cellStyle name="Normal 31 68 5" xfId="28959"/>
    <cellStyle name="Normal 31 68 6" xfId="28960"/>
    <cellStyle name="Normal 31 68 7" xfId="28961"/>
    <cellStyle name="Normal 31 68 8" xfId="28962"/>
    <cellStyle name="Normal 31 68 9" xfId="28963"/>
    <cellStyle name="Normal 31 69" xfId="28964"/>
    <cellStyle name="Normal 31 69 10" xfId="28965"/>
    <cellStyle name="Normal 31 69 11" xfId="28966"/>
    <cellStyle name="Normal 31 69 12" xfId="28967"/>
    <cellStyle name="Normal 31 69 13" xfId="28968"/>
    <cellStyle name="Normal 31 69 2" xfId="28969"/>
    <cellStyle name="Normal 31 69 3" xfId="28970"/>
    <cellStyle name="Normal 31 69 4" xfId="28971"/>
    <cellStyle name="Normal 31 69 5" xfId="28972"/>
    <cellStyle name="Normal 31 69 6" xfId="28973"/>
    <cellStyle name="Normal 31 69 7" xfId="28974"/>
    <cellStyle name="Normal 31 69 8" xfId="28975"/>
    <cellStyle name="Normal 31 69 9" xfId="28976"/>
    <cellStyle name="Normal 31 7" xfId="28977"/>
    <cellStyle name="Normal 31 7 10" xfId="28978"/>
    <cellStyle name="Normal 31 7 11" xfId="28979"/>
    <cellStyle name="Normal 31 7 12" xfId="28980"/>
    <cellStyle name="Normal 31 7 13" xfId="28981"/>
    <cellStyle name="Normal 31 7 2" xfId="28982"/>
    <cellStyle name="Normal 31 7 3" xfId="28983"/>
    <cellStyle name="Normal 31 7 4" xfId="28984"/>
    <cellStyle name="Normal 31 7 5" xfId="28985"/>
    <cellStyle name="Normal 31 7 6" xfId="28986"/>
    <cellStyle name="Normal 31 7 7" xfId="28987"/>
    <cellStyle name="Normal 31 7 8" xfId="28988"/>
    <cellStyle name="Normal 31 7 9" xfId="28989"/>
    <cellStyle name="Normal 31 70" xfId="28990"/>
    <cellStyle name="Normal 31 70 10" xfId="28991"/>
    <cellStyle name="Normal 31 70 11" xfId="28992"/>
    <cellStyle name="Normal 31 70 12" xfId="28993"/>
    <cellStyle name="Normal 31 70 13" xfId="28994"/>
    <cellStyle name="Normal 31 70 2" xfId="28995"/>
    <cellStyle name="Normal 31 70 3" xfId="28996"/>
    <cellStyle name="Normal 31 70 4" xfId="28997"/>
    <cellStyle name="Normal 31 70 5" xfId="28998"/>
    <cellStyle name="Normal 31 70 6" xfId="28999"/>
    <cellStyle name="Normal 31 70 7" xfId="29000"/>
    <cellStyle name="Normal 31 70 8" xfId="29001"/>
    <cellStyle name="Normal 31 70 9" xfId="29002"/>
    <cellStyle name="Normal 31 71" xfId="29003"/>
    <cellStyle name="Normal 31 71 10" xfId="29004"/>
    <cellStyle name="Normal 31 71 11" xfId="29005"/>
    <cellStyle name="Normal 31 71 12" xfId="29006"/>
    <cellStyle name="Normal 31 71 13" xfId="29007"/>
    <cellStyle name="Normal 31 71 2" xfId="29008"/>
    <cellStyle name="Normal 31 71 3" xfId="29009"/>
    <cellStyle name="Normal 31 71 4" xfId="29010"/>
    <cellStyle name="Normal 31 71 5" xfId="29011"/>
    <cellStyle name="Normal 31 71 6" xfId="29012"/>
    <cellStyle name="Normal 31 71 7" xfId="29013"/>
    <cellStyle name="Normal 31 71 8" xfId="29014"/>
    <cellStyle name="Normal 31 71 9" xfId="29015"/>
    <cellStyle name="Normal 31 72" xfId="29016"/>
    <cellStyle name="Normal 31 73" xfId="29017"/>
    <cellStyle name="Normal 31 74" xfId="29018"/>
    <cellStyle name="Normal 31 75" xfId="29019"/>
    <cellStyle name="Normal 31 76" xfId="29020"/>
    <cellStyle name="Normal 31 77" xfId="29021"/>
    <cellStyle name="Normal 31 78" xfId="29022"/>
    <cellStyle name="Normal 31 79" xfId="29023"/>
    <cellStyle name="Normal 31 8" xfId="29024"/>
    <cellStyle name="Normal 31 8 10" xfId="29025"/>
    <cellStyle name="Normal 31 8 11" xfId="29026"/>
    <cellStyle name="Normal 31 8 12" xfId="29027"/>
    <cellStyle name="Normal 31 8 13" xfId="29028"/>
    <cellStyle name="Normal 31 8 2" xfId="29029"/>
    <cellStyle name="Normal 31 8 3" xfId="29030"/>
    <cellStyle name="Normal 31 8 4" xfId="29031"/>
    <cellStyle name="Normal 31 8 5" xfId="29032"/>
    <cellStyle name="Normal 31 8 6" xfId="29033"/>
    <cellStyle name="Normal 31 8 7" xfId="29034"/>
    <cellStyle name="Normal 31 8 8" xfId="29035"/>
    <cellStyle name="Normal 31 8 9" xfId="29036"/>
    <cellStyle name="Normal 31 80" xfId="29037"/>
    <cellStyle name="Normal 31 81" xfId="29038"/>
    <cellStyle name="Normal 31 82" xfId="29039"/>
    <cellStyle name="Normal 31 83" xfId="29040"/>
    <cellStyle name="Normal 31 9" xfId="29041"/>
    <cellStyle name="Normal 31 9 10" xfId="29042"/>
    <cellStyle name="Normal 31 9 11" xfId="29043"/>
    <cellStyle name="Normal 31 9 12" xfId="29044"/>
    <cellStyle name="Normal 31 9 13" xfId="29045"/>
    <cellStyle name="Normal 31 9 2" xfId="29046"/>
    <cellStyle name="Normal 31 9 3" xfId="29047"/>
    <cellStyle name="Normal 31 9 4" xfId="29048"/>
    <cellStyle name="Normal 31 9 5" xfId="29049"/>
    <cellStyle name="Normal 31 9 6" xfId="29050"/>
    <cellStyle name="Normal 31 9 7" xfId="29051"/>
    <cellStyle name="Normal 31 9 8" xfId="29052"/>
    <cellStyle name="Normal 31 9 9" xfId="29053"/>
    <cellStyle name="Normal 32" xfId="29054"/>
    <cellStyle name="Normal 32 10" xfId="29055"/>
    <cellStyle name="Normal 32 10 10" xfId="29056"/>
    <cellStyle name="Normal 32 10 11" xfId="29057"/>
    <cellStyle name="Normal 32 10 12" xfId="29058"/>
    <cellStyle name="Normal 32 10 13" xfId="29059"/>
    <cellStyle name="Normal 32 10 2" xfId="29060"/>
    <cellStyle name="Normal 32 10 3" xfId="29061"/>
    <cellStyle name="Normal 32 10 4" xfId="29062"/>
    <cellStyle name="Normal 32 10 5" xfId="29063"/>
    <cellStyle name="Normal 32 10 6" xfId="29064"/>
    <cellStyle name="Normal 32 10 7" xfId="29065"/>
    <cellStyle name="Normal 32 10 8" xfId="29066"/>
    <cellStyle name="Normal 32 10 9" xfId="29067"/>
    <cellStyle name="Normal 32 11" xfId="29068"/>
    <cellStyle name="Normal 32 11 10" xfId="29069"/>
    <cellStyle name="Normal 32 11 11" xfId="29070"/>
    <cellStyle name="Normal 32 11 12" xfId="29071"/>
    <cellStyle name="Normal 32 11 13" xfId="29072"/>
    <cellStyle name="Normal 32 11 2" xfId="29073"/>
    <cellStyle name="Normal 32 11 3" xfId="29074"/>
    <cellStyle name="Normal 32 11 4" xfId="29075"/>
    <cellStyle name="Normal 32 11 5" xfId="29076"/>
    <cellStyle name="Normal 32 11 6" xfId="29077"/>
    <cellStyle name="Normal 32 11 7" xfId="29078"/>
    <cellStyle name="Normal 32 11 8" xfId="29079"/>
    <cellStyle name="Normal 32 11 9" xfId="29080"/>
    <cellStyle name="Normal 32 12" xfId="29081"/>
    <cellStyle name="Normal 32 12 10" xfId="29082"/>
    <cellStyle name="Normal 32 12 11" xfId="29083"/>
    <cellStyle name="Normal 32 12 12" xfId="29084"/>
    <cellStyle name="Normal 32 12 13" xfId="29085"/>
    <cellStyle name="Normal 32 12 2" xfId="29086"/>
    <cellStyle name="Normal 32 12 3" xfId="29087"/>
    <cellStyle name="Normal 32 12 4" xfId="29088"/>
    <cellStyle name="Normal 32 12 5" xfId="29089"/>
    <cellStyle name="Normal 32 12 6" xfId="29090"/>
    <cellStyle name="Normal 32 12 7" xfId="29091"/>
    <cellStyle name="Normal 32 12 8" xfId="29092"/>
    <cellStyle name="Normal 32 12 9" xfId="29093"/>
    <cellStyle name="Normal 32 13" xfId="29094"/>
    <cellStyle name="Normal 32 13 10" xfId="29095"/>
    <cellStyle name="Normal 32 13 11" xfId="29096"/>
    <cellStyle name="Normal 32 13 12" xfId="29097"/>
    <cellStyle name="Normal 32 13 13" xfId="29098"/>
    <cellStyle name="Normal 32 13 2" xfId="29099"/>
    <cellStyle name="Normal 32 13 3" xfId="29100"/>
    <cellStyle name="Normal 32 13 4" xfId="29101"/>
    <cellStyle name="Normal 32 13 5" xfId="29102"/>
    <cellStyle name="Normal 32 13 6" xfId="29103"/>
    <cellStyle name="Normal 32 13 7" xfId="29104"/>
    <cellStyle name="Normal 32 13 8" xfId="29105"/>
    <cellStyle name="Normal 32 13 9" xfId="29106"/>
    <cellStyle name="Normal 32 14" xfId="29107"/>
    <cellStyle name="Normal 32 14 10" xfId="29108"/>
    <cellStyle name="Normal 32 14 11" xfId="29109"/>
    <cellStyle name="Normal 32 14 12" xfId="29110"/>
    <cellStyle name="Normal 32 14 13" xfId="29111"/>
    <cellStyle name="Normal 32 14 2" xfId="29112"/>
    <cellStyle name="Normal 32 14 3" xfId="29113"/>
    <cellStyle name="Normal 32 14 4" xfId="29114"/>
    <cellStyle name="Normal 32 14 5" xfId="29115"/>
    <cellStyle name="Normal 32 14 6" xfId="29116"/>
    <cellStyle name="Normal 32 14 7" xfId="29117"/>
    <cellStyle name="Normal 32 14 8" xfId="29118"/>
    <cellStyle name="Normal 32 14 9" xfId="29119"/>
    <cellStyle name="Normal 32 15" xfId="29120"/>
    <cellStyle name="Normal 32 15 10" xfId="29121"/>
    <cellStyle name="Normal 32 15 11" xfId="29122"/>
    <cellStyle name="Normal 32 15 12" xfId="29123"/>
    <cellStyle name="Normal 32 15 13" xfId="29124"/>
    <cellStyle name="Normal 32 15 2" xfId="29125"/>
    <cellStyle name="Normal 32 15 3" xfId="29126"/>
    <cellStyle name="Normal 32 15 4" xfId="29127"/>
    <cellStyle name="Normal 32 15 5" xfId="29128"/>
    <cellStyle name="Normal 32 15 6" xfId="29129"/>
    <cellStyle name="Normal 32 15 7" xfId="29130"/>
    <cellStyle name="Normal 32 15 8" xfId="29131"/>
    <cellStyle name="Normal 32 15 9" xfId="29132"/>
    <cellStyle name="Normal 32 16" xfId="29133"/>
    <cellStyle name="Normal 32 16 10" xfId="29134"/>
    <cellStyle name="Normal 32 16 11" xfId="29135"/>
    <cellStyle name="Normal 32 16 12" xfId="29136"/>
    <cellStyle name="Normal 32 16 13" xfId="29137"/>
    <cellStyle name="Normal 32 16 2" xfId="29138"/>
    <cellStyle name="Normal 32 16 3" xfId="29139"/>
    <cellStyle name="Normal 32 16 4" xfId="29140"/>
    <cellStyle name="Normal 32 16 5" xfId="29141"/>
    <cellStyle name="Normal 32 16 6" xfId="29142"/>
    <cellStyle name="Normal 32 16 7" xfId="29143"/>
    <cellStyle name="Normal 32 16 8" xfId="29144"/>
    <cellStyle name="Normal 32 16 9" xfId="29145"/>
    <cellStyle name="Normal 32 17" xfId="29146"/>
    <cellStyle name="Normal 32 18" xfId="29147"/>
    <cellStyle name="Normal 32 19" xfId="29148"/>
    <cellStyle name="Normal 32 2" xfId="29149"/>
    <cellStyle name="Normal 32 2 10" xfId="29150"/>
    <cellStyle name="Normal 32 2 11" xfId="29151"/>
    <cellStyle name="Normal 32 2 12" xfId="29152"/>
    <cellStyle name="Normal 32 2 13" xfId="29153"/>
    <cellStyle name="Normal 32 2 2" xfId="29154"/>
    <cellStyle name="Normal 32 2 3" xfId="29155"/>
    <cellStyle name="Normal 32 2 4" xfId="29156"/>
    <cellStyle name="Normal 32 2 5" xfId="29157"/>
    <cellStyle name="Normal 32 2 6" xfId="29158"/>
    <cellStyle name="Normal 32 2 7" xfId="29159"/>
    <cellStyle name="Normal 32 2 8" xfId="29160"/>
    <cellStyle name="Normal 32 2 9" xfId="29161"/>
    <cellStyle name="Normal 32 20" xfId="29162"/>
    <cellStyle name="Normal 32 21" xfId="29163"/>
    <cellStyle name="Normal 32 22" xfId="29164"/>
    <cellStyle name="Normal 32 23" xfId="29165"/>
    <cellStyle name="Normal 32 24" xfId="29166"/>
    <cellStyle name="Normal 32 25" xfId="29167"/>
    <cellStyle name="Normal 32 26" xfId="29168"/>
    <cellStyle name="Normal 32 27" xfId="29169"/>
    <cellStyle name="Normal 32 28" xfId="29170"/>
    <cellStyle name="Normal 32 29" xfId="29171"/>
    <cellStyle name="Normal 32 3" xfId="29172"/>
    <cellStyle name="Normal 32 3 10" xfId="29173"/>
    <cellStyle name="Normal 32 3 11" xfId="29174"/>
    <cellStyle name="Normal 32 3 12" xfId="29175"/>
    <cellStyle name="Normal 32 3 13" xfId="29176"/>
    <cellStyle name="Normal 32 3 14" xfId="36443"/>
    <cellStyle name="Normal 32 3 2" xfId="29177"/>
    <cellStyle name="Normal 32 3 3" xfId="29178"/>
    <cellStyle name="Normal 32 3 4" xfId="29179"/>
    <cellStyle name="Normal 32 3 5" xfId="29180"/>
    <cellStyle name="Normal 32 3 6" xfId="29181"/>
    <cellStyle name="Normal 32 3 7" xfId="29182"/>
    <cellStyle name="Normal 32 3 8" xfId="29183"/>
    <cellStyle name="Normal 32 3 9" xfId="29184"/>
    <cellStyle name="Normal 32 30" xfId="29185"/>
    <cellStyle name="Normal 32 31" xfId="29186"/>
    <cellStyle name="Normal 32 32" xfId="29187"/>
    <cellStyle name="Normal 32 33" xfId="29188"/>
    <cellStyle name="Normal 32 34" xfId="29189"/>
    <cellStyle name="Normal 32 35" xfId="29190"/>
    <cellStyle name="Normal 32 36" xfId="29191"/>
    <cellStyle name="Normal 32 37" xfId="29192"/>
    <cellStyle name="Normal 32 38" xfId="29193"/>
    <cellStyle name="Normal 32 39" xfId="29194"/>
    <cellStyle name="Normal 32 4" xfId="29195"/>
    <cellStyle name="Normal 32 4 10" xfId="29196"/>
    <cellStyle name="Normal 32 4 11" xfId="29197"/>
    <cellStyle name="Normal 32 4 12" xfId="29198"/>
    <cellStyle name="Normal 32 4 13" xfId="29199"/>
    <cellStyle name="Normal 32 4 2" xfId="29200"/>
    <cellStyle name="Normal 32 4 3" xfId="29201"/>
    <cellStyle name="Normal 32 4 4" xfId="29202"/>
    <cellStyle name="Normal 32 4 5" xfId="29203"/>
    <cellStyle name="Normal 32 4 6" xfId="29204"/>
    <cellStyle name="Normal 32 4 7" xfId="29205"/>
    <cellStyle name="Normal 32 4 8" xfId="29206"/>
    <cellStyle name="Normal 32 4 9" xfId="29207"/>
    <cellStyle name="Normal 32 40" xfId="29208"/>
    <cellStyle name="Normal 32 41" xfId="29209"/>
    <cellStyle name="Normal 32 42" xfId="29210"/>
    <cellStyle name="Normal 32 43" xfId="29211"/>
    <cellStyle name="Normal 32 44" xfId="29212"/>
    <cellStyle name="Normal 32 45" xfId="29213"/>
    <cellStyle name="Normal 32 46" xfId="29214"/>
    <cellStyle name="Normal 32 47" xfId="29215"/>
    <cellStyle name="Normal 32 48" xfId="29216"/>
    <cellStyle name="Normal 32 49" xfId="29217"/>
    <cellStyle name="Normal 32 5" xfId="29218"/>
    <cellStyle name="Normal 32 5 10" xfId="29219"/>
    <cellStyle name="Normal 32 5 11" xfId="29220"/>
    <cellStyle name="Normal 32 5 12" xfId="29221"/>
    <cellStyle name="Normal 32 5 13" xfId="29222"/>
    <cellStyle name="Normal 32 5 2" xfId="29223"/>
    <cellStyle name="Normal 32 5 3" xfId="29224"/>
    <cellStyle name="Normal 32 5 4" xfId="29225"/>
    <cellStyle name="Normal 32 5 5" xfId="29226"/>
    <cellStyle name="Normal 32 5 6" xfId="29227"/>
    <cellStyle name="Normal 32 5 7" xfId="29228"/>
    <cellStyle name="Normal 32 5 8" xfId="29229"/>
    <cellStyle name="Normal 32 5 9" xfId="29230"/>
    <cellStyle name="Normal 32 50" xfId="29231"/>
    <cellStyle name="Normal 32 51" xfId="29232"/>
    <cellStyle name="Normal 32 52" xfId="29233"/>
    <cellStyle name="Normal 32 53" xfId="29234"/>
    <cellStyle name="Normal 32 54" xfId="29235"/>
    <cellStyle name="Normal 32 55" xfId="29236"/>
    <cellStyle name="Normal 32 56" xfId="29237"/>
    <cellStyle name="Normal 32 57" xfId="29238"/>
    <cellStyle name="Normal 32 58" xfId="29239"/>
    <cellStyle name="Normal 32 59" xfId="29240"/>
    <cellStyle name="Normal 32 6" xfId="29241"/>
    <cellStyle name="Normal 32 6 10" xfId="29242"/>
    <cellStyle name="Normal 32 6 11" xfId="29243"/>
    <cellStyle name="Normal 32 6 12" xfId="29244"/>
    <cellStyle name="Normal 32 6 13" xfId="29245"/>
    <cellStyle name="Normal 32 6 14" xfId="36445"/>
    <cellStyle name="Normal 32 6 2" xfId="29246"/>
    <cellStyle name="Normal 32 6 3" xfId="29247"/>
    <cellStyle name="Normal 32 6 4" xfId="29248"/>
    <cellStyle name="Normal 32 6 5" xfId="29249"/>
    <cellStyle name="Normal 32 6 6" xfId="29250"/>
    <cellStyle name="Normal 32 6 7" xfId="29251"/>
    <cellStyle name="Normal 32 6 8" xfId="29252"/>
    <cellStyle name="Normal 32 6 9" xfId="29253"/>
    <cellStyle name="Normal 32 60" xfId="29254"/>
    <cellStyle name="Normal 32 61" xfId="29255"/>
    <cellStyle name="Normal 32 62" xfId="29256"/>
    <cellStyle name="Normal 32 63" xfId="29257"/>
    <cellStyle name="Normal 32 64" xfId="29258"/>
    <cellStyle name="Normal 32 65" xfId="29259"/>
    <cellStyle name="Normal 32 66" xfId="29260"/>
    <cellStyle name="Normal 32 67" xfId="29261"/>
    <cellStyle name="Normal 32 68" xfId="29262"/>
    <cellStyle name="Normal 32 69" xfId="29263"/>
    <cellStyle name="Normal 32 7" xfId="29264"/>
    <cellStyle name="Normal 32 7 10" xfId="29265"/>
    <cellStyle name="Normal 32 7 11" xfId="29266"/>
    <cellStyle name="Normal 32 7 12" xfId="29267"/>
    <cellStyle name="Normal 32 7 13" xfId="29268"/>
    <cellStyle name="Normal 32 7 2" xfId="29269"/>
    <cellStyle name="Normal 32 7 3" xfId="29270"/>
    <cellStyle name="Normal 32 7 4" xfId="29271"/>
    <cellStyle name="Normal 32 7 5" xfId="29272"/>
    <cellStyle name="Normal 32 7 6" xfId="29273"/>
    <cellStyle name="Normal 32 7 7" xfId="29274"/>
    <cellStyle name="Normal 32 7 8" xfId="29275"/>
    <cellStyle name="Normal 32 7 9" xfId="29276"/>
    <cellStyle name="Normal 32 70" xfId="29277"/>
    <cellStyle name="Normal 32 71" xfId="29278"/>
    <cellStyle name="Normal 32 72" xfId="29279"/>
    <cellStyle name="Normal 32 72 2" xfId="36425"/>
    <cellStyle name="Normal 32 72 3" xfId="36440"/>
    <cellStyle name="Normal 32 8" xfId="29280"/>
    <cellStyle name="Normal 32 8 10" xfId="29281"/>
    <cellStyle name="Normal 32 8 11" xfId="29282"/>
    <cellStyle name="Normal 32 8 12" xfId="29283"/>
    <cellStyle name="Normal 32 8 13" xfId="29284"/>
    <cellStyle name="Normal 32 8 2" xfId="29285"/>
    <cellStyle name="Normal 32 8 3" xfId="29286"/>
    <cellStyle name="Normal 32 8 4" xfId="29287"/>
    <cellStyle name="Normal 32 8 5" xfId="29288"/>
    <cellStyle name="Normal 32 8 6" xfId="29289"/>
    <cellStyle name="Normal 32 8 7" xfId="29290"/>
    <cellStyle name="Normal 32 8 8" xfId="29291"/>
    <cellStyle name="Normal 32 8 9" xfId="29292"/>
    <cellStyle name="Normal 32 9" xfId="29293"/>
    <cellStyle name="Normal 32 9 10" xfId="29294"/>
    <cellStyle name="Normal 32 9 11" xfId="29295"/>
    <cellStyle name="Normal 32 9 12" xfId="29296"/>
    <cellStyle name="Normal 32 9 13" xfId="29297"/>
    <cellStyle name="Normal 32 9 2" xfId="29298"/>
    <cellStyle name="Normal 32 9 3" xfId="29299"/>
    <cellStyle name="Normal 32 9 4" xfId="29300"/>
    <cellStyle name="Normal 32 9 5" xfId="29301"/>
    <cellStyle name="Normal 32 9 6" xfId="29302"/>
    <cellStyle name="Normal 32 9 7" xfId="29303"/>
    <cellStyle name="Normal 32 9 8" xfId="29304"/>
    <cellStyle name="Normal 32 9 9" xfId="29305"/>
    <cellStyle name="Normal 33" xfId="29306"/>
    <cellStyle name="Normal 34" xfId="29307"/>
    <cellStyle name="Normal 35" xfId="29308"/>
    <cellStyle name="Normal 35 2" xfId="29309"/>
    <cellStyle name="Normal 35 2 2" xfId="36432"/>
    <cellStyle name="Normal 36" xfId="29310"/>
    <cellStyle name="Normal 37" xfId="29311"/>
    <cellStyle name="Normal 37 2" xfId="29312"/>
    <cellStyle name="Normal 38" xfId="29313"/>
    <cellStyle name="Normal 38 2" xfId="29314"/>
    <cellStyle name="Normal 39" xfId="29315"/>
    <cellStyle name="Normal 4" xfId="8"/>
    <cellStyle name="Normal 4 10" xfId="29316"/>
    <cellStyle name="Normal 4 11" xfId="29317"/>
    <cellStyle name="Normal 4 12" xfId="29318"/>
    <cellStyle name="Normal 4 13" xfId="29319"/>
    <cellStyle name="Normal 4 14" xfId="29320"/>
    <cellStyle name="Normal 4 15" xfId="29321"/>
    <cellStyle name="Normal 4 16" xfId="29322"/>
    <cellStyle name="Normal 4 17" xfId="29323"/>
    <cellStyle name="Normal 4 18" xfId="29324"/>
    <cellStyle name="Normal 4 19" xfId="29325"/>
    <cellStyle name="Normal 4 2" xfId="29326"/>
    <cellStyle name="Normal 4 2 10" xfId="29327"/>
    <cellStyle name="Normal 4 2 11" xfId="29328"/>
    <cellStyle name="Normal 4 2 12" xfId="29329"/>
    <cellStyle name="Normal 4 2 13" xfId="29330"/>
    <cellStyle name="Normal 4 2 14" xfId="29331"/>
    <cellStyle name="Normal 4 2 15" xfId="29332"/>
    <cellStyle name="Normal 4 2 16" xfId="29333"/>
    <cellStyle name="Normal 4 2 17" xfId="29334"/>
    <cellStyle name="Normal 4 2 18" xfId="29335"/>
    <cellStyle name="Normal 4 2 19" xfId="29336"/>
    <cellStyle name="Normal 4 2 2" xfId="29337"/>
    <cellStyle name="Normal 4 2 20" xfId="29338"/>
    <cellStyle name="Normal 4 2 21" xfId="29339"/>
    <cellStyle name="Normal 4 2 22" xfId="29340"/>
    <cellStyle name="Normal 4 2 23" xfId="29341"/>
    <cellStyle name="Normal 4 2 24" xfId="29342"/>
    <cellStyle name="Normal 4 2 25" xfId="29343"/>
    <cellStyle name="Normal 4 2 26" xfId="29344"/>
    <cellStyle name="Normal 4 2 27" xfId="29345"/>
    <cellStyle name="Normal 4 2 28" xfId="29346"/>
    <cellStyle name="Normal 4 2 29" xfId="29347"/>
    <cellStyle name="Normal 4 2 3" xfId="29348"/>
    <cellStyle name="Normal 4 2 30" xfId="29349"/>
    <cellStyle name="Normal 4 2 31" xfId="29350"/>
    <cellStyle name="Normal 4 2 32" xfId="29351"/>
    <cellStyle name="Normal 4 2 33" xfId="29352"/>
    <cellStyle name="Normal 4 2 34" xfId="29353"/>
    <cellStyle name="Normal 4 2 35" xfId="29354"/>
    <cellStyle name="Normal 4 2 36" xfId="29355"/>
    <cellStyle name="Normal 4 2 37" xfId="29356"/>
    <cellStyle name="Normal 4 2 38" xfId="29357"/>
    <cellStyle name="Normal 4 2 39" xfId="29358"/>
    <cellStyle name="Normal 4 2 4" xfId="29359"/>
    <cellStyle name="Normal 4 2 40" xfId="29360"/>
    <cellStyle name="Normal 4 2 41" xfId="29361"/>
    <cellStyle name="Normal 4 2 42" xfId="29362"/>
    <cellStyle name="Normal 4 2 43" xfId="29363"/>
    <cellStyle name="Normal 4 2 44" xfId="29364"/>
    <cellStyle name="Normal 4 2 45" xfId="29365"/>
    <cellStyle name="Normal 4 2 46" xfId="29366"/>
    <cellStyle name="Normal 4 2 47" xfId="29367"/>
    <cellStyle name="Normal 4 2 48" xfId="29368"/>
    <cellStyle name="Normal 4 2 49" xfId="29369"/>
    <cellStyle name="Normal 4 2 5" xfId="29370"/>
    <cellStyle name="Normal 4 2 50" xfId="29371"/>
    <cellStyle name="Normal 4 2 51" xfId="29372"/>
    <cellStyle name="Normal 4 2 52" xfId="29373"/>
    <cellStyle name="Normal 4 2 53" xfId="29374"/>
    <cellStyle name="Normal 4 2 54" xfId="29375"/>
    <cellStyle name="Normal 4 2 55" xfId="29376"/>
    <cellStyle name="Normal 4 2 56" xfId="29377"/>
    <cellStyle name="Normal 4 2 57" xfId="29378"/>
    <cellStyle name="Normal 4 2 58" xfId="29379"/>
    <cellStyle name="Normal 4 2 59" xfId="29380"/>
    <cellStyle name="Normal 4 2 6" xfId="29381"/>
    <cellStyle name="Normal 4 2 60" xfId="29382"/>
    <cellStyle name="Normal 4 2 61" xfId="29383"/>
    <cellStyle name="Normal 4 2 62" xfId="29384"/>
    <cellStyle name="Normal 4 2 63" xfId="29385"/>
    <cellStyle name="Normal 4 2 64" xfId="29386"/>
    <cellStyle name="Normal 4 2 65" xfId="29387"/>
    <cellStyle name="Normal 4 2 66" xfId="29388"/>
    <cellStyle name="Normal 4 2 67" xfId="29389"/>
    <cellStyle name="Normal 4 2 68" xfId="29390"/>
    <cellStyle name="Normal 4 2 69" xfId="29391"/>
    <cellStyle name="Normal 4 2 7" xfId="29392"/>
    <cellStyle name="Normal 4 2 70" xfId="29393"/>
    <cellStyle name="Normal 4 2 71" xfId="29394"/>
    <cellStyle name="Normal 4 2 72" xfId="29395"/>
    <cellStyle name="Normal 4 2 73" xfId="29396"/>
    <cellStyle name="Normal 4 2 74" xfId="29397"/>
    <cellStyle name="Normal 4 2 75" xfId="29398"/>
    <cellStyle name="Normal 4 2 76" xfId="29399"/>
    <cellStyle name="Normal 4 2 77" xfId="29400"/>
    <cellStyle name="Normal 4 2 78" xfId="29401"/>
    <cellStyle name="Normal 4 2 79" xfId="29402"/>
    <cellStyle name="Normal 4 2 8" xfId="29403"/>
    <cellStyle name="Normal 4 2 80" xfId="29404"/>
    <cellStyle name="Normal 4 2 81" xfId="29405"/>
    <cellStyle name="Normal 4 2 82" xfId="29406"/>
    <cellStyle name="Normal 4 2 83" xfId="29407"/>
    <cellStyle name="Normal 4 2 9" xfId="29408"/>
    <cellStyle name="Normal 4 20" xfId="29409"/>
    <cellStyle name="Normal 4 21" xfId="29410"/>
    <cellStyle name="Normal 4 22" xfId="29411"/>
    <cellStyle name="Normal 4 23" xfId="29412"/>
    <cellStyle name="Normal 4 24" xfId="29413"/>
    <cellStyle name="Normal 4 25" xfId="29414"/>
    <cellStyle name="Normal 4 26" xfId="29415"/>
    <cellStyle name="Normal 4 27" xfId="29416"/>
    <cellStyle name="Normal 4 28" xfId="29417"/>
    <cellStyle name="Normal 4 29" xfId="29418"/>
    <cellStyle name="Normal 4 3" xfId="29419"/>
    <cellStyle name="Normal 4 3 10" xfId="29420"/>
    <cellStyle name="Normal 4 3 11" xfId="29421"/>
    <cellStyle name="Normal 4 3 12" xfId="29422"/>
    <cellStyle name="Normal 4 3 13" xfId="29423"/>
    <cellStyle name="Normal 4 3 14" xfId="29424"/>
    <cellStyle name="Normal 4 3 15" xfId="29425"/>
    <cellStyle name="Normal 4 3 16" xfId="29426"/>
    <cellStyle name="Normal 4 3 17" xfId="29427"/>
    <cellStyle name="Normal 4 3 18" xfId="29428"/>
    <cellStyle name="Normal 4 3 19" xfId="29429"/>
    <cellStyle name="Normal 4 3 2" xfId="29430"/>
    <cellStyle name="Normal 4 3 20" xfId="29431"/>
    <cellStyle name="Normal 4 3 21" xfId="29432"/>
    <cellStyle name="Normal 4 3 22" xfId="29433"/>
    <cellStyle name="Normal 4 3 23" xfId="29434"/>
    <cellStyle name="Normal 4 3 24" xfId="29435"/>
    <cellStyle name="Normal 4 3 25" xfId="29436"/>
    <cellStyle name="Normal 4 3 26" xfId="29437"/>
    <cellStyle name="Normal 4 3 27" xfId="29438"/>
    <cellStyle name="Normal 4 3 28" xfId="29439"/>
    <cellStyle name="Normal 4 3 29" xfId="29440"/>
    <cellStyle name="Normal 4 3 3" xfId="29441"/>
    <cellStyle name="Normal 4 3 30" xfId="29442"/>
    <cellStyle name="Normal 4 3 31" xfId="29443"/>
    <cellStyle name="Normal 4 3 32" xfId="29444"/>
    <cellStyle name="Normal 4 3 33" xfId="29445"/>
    <cellStyle name="Normal 4 3 34" xfId="29446"/>
    <cellStyle name="Normal 4 3 35" xfId="29447"/>
    <cellStyle name="Normal 4 3 36" xfId="29448"/>
    <cellStyle name="Normal 4 3 37" xfId="29449"/>
    <cellStyle name="Normal 4 3 38" xfId="29450"/>
    <cellStyle name="Normal 4 3 39" xfId="29451"/>
    <cellStyle name="Normal 4 3 4" xfId="29452"/>
    <cellStyle name="Normal 4 3 40" xfId="29453"/>
    <cellStyle name="Normal 4 3 41" xfId="29454"/>
    <cellStyle name="Normal 4 3 42" xfId="29455"/>
    <cellStyle name="Normal 4 3 43" xfId="29456"/>
    <cellStyle name="Normal 4 3 44" xfId="29457"/>
    <cellStyle name="Normal 4 3 45" xfId="29458"/>
    <cellStyle name="Normal 4 3 46" xfId="29459"/>
    <cellStyle name="Normal 4 3 47" xfId="29460"/>
    <cellStyle name="Normal 4 3 48" xfId="29461"/>
    <cellStyle name="Normal 4 3 49" xfId="29462"/>
    <cellStyle name="Normal 4 3 5" xfId="29463"/>
    <cellStyle name="Normal 4 3 50" xfId="29464"/>
    <cellStyle name="Normal 4 3 51" xfId="29465"/>
    <cellStyle name="Normal 4 3 52" xfId="29466"/>
    <cellStyle name="Normal 4 3 53" xfId="29467"/>
    <cellStyle name="Normal 4 3 54" xfId="29468"/>
    <cellStyle name="Normal 4 3 55" xfId="29469"/>
    <cellStyle name="Normal 4 3 56" xfId="29470"/>
    <cellStyle name="Normal 4 3 57" xfId="29471"/>
    <cellStyle name="Normal 4 3 58" xfId="29472"/>
    <cellStyle name="Normal 4 3 59" xfId="29473"/>
    <cellStyle name="Normal 4 3 6" xfId="29474"/>
    <cellStyle name="Normal 4 3 60" xfId="29475"/>
    <cellStyle name="Normal 4 3 61" xfId="29476"/>
    <cellStyle name="Normal 4 3 62" xfId="29477"/>
    <cellStyle name="Normal 4 3 63" xfId="29478"/>
    <cellStyle name="Normal 4 3 64" xfId="29479"/>
    <cellStyle name="Normal 4 3 65" xfId="29480"/>
    <cellStyle name="Normal 4 3 66" xfId="29481"/>
    <cellStyle name="Normal 4 3 67" xfId="29482"/>
    <cellStyle name="Normal 4 3 68" xfId="29483"/>
    <cellStyle name="Normal 4 3 69" xfId="29484"/>
    <cellStyle name="Normal 4 3 7" xfId="29485"/>
    <cellStyle name="Normal 4 3 70" xfId="29486"/>
    <cellStyle name="Normal 4 3 71" xfId="29487"/>
    <cellStyle name="Normal 4 3 72" xfId="29488"/>
    <cellStyle name="Normal 4 3 73" xfId="29489"/>
    <cellStyle name="Normal 4 3 74" xfId="29490"/>
    <cellStyle name="Normal 4 3 75" xfId="29491"/>
    <cellStyle name="Normal 4 3 76" xfId="29492"/>
    <cellStyle name="Normal 4 3 77" xfId="29493"/>
    <cellStyle name="Normal 4 3 78" xfId="29494"/>
    <cellStyle name="Normal 4 3 79" xfId="29495"/>
    <cellStyle name="Normal 4 3 8" xfId="29496"/>
    <cellStyle name="Normal 4 3 80" xfId="29497"/>
    <cellStyle name="Normal 4 3 81" xfId="29498"/>
    <cellStyle name="Normal 4 3 82" xfId="29499"/>
    <cellStyle name="Normal 4 3 83" xfId="29500"/>
    <cellStyle name="Normal 4 3 9" xfId="29501"/>
    <cellStyle name="Normal 4 30" xfId="29502"/>
    <cellStyle name="Normal 4 31" xfId="29503"/>
    <cellStyle name="Normal 4 32" xfId="29504"/>
    <cellStyle name="Normal 4 33" xfId="29505"/>
    <cellStyle name="Normal 4 34" xfId="29506"/>
    <cellStyle name="Normal 4 35" xfId="29507"/>
    <cellStyle name="Normal 4 36" xfId="29508"/>
    <cellStyle name="Normal 4 37" xfId="29509"/>
    <cellStyle name="Normal 4 38" xfId="29510"/>
    <cellStyle name="Normal 4 39" xfId="29511"/>
    <cellStyle name="Normal 4 4" xfId="29512"/>
    <cellStyle name="Normal 4 4 10" xfId="29513"/>
    <cellStyle name="Normal 4 4 11" xfId="29514"/>
    <cellStyle name="Normal 4 4 12" xfId="29515"/>
    <cellStyle name="Normal 4 4 13" xfId="29516"/>
    <cellStyle name="Normal 4 4 14" xfId="29517"/>
    <cellStyle name="Normal 4 4 15" xfId="29518"/>
    <cellStyle name="Normal 4 4 16" xfId="29519"/>
    <cellStyle name="Normal 4 4 17" xfId="29520"/>
    <cellStyle name="Normal 4 4 18" xfId="29521"/>
    <cellStyle name="Normal 4 4 19" xfId="29522"/>
    <cellStyle name="Normal 4 4 2" xfId="29523"/>
    <cellStyle name="Normal 4 4 20" xfId="29524"/>
    <cellStyle name="Normal 4 4 21" xfId="29525"/>
    <cellStyle name="Normal 4 4 22" xfId="29526"/>
    <cellStyle name="Normal 4 4 23" xfId="29527"/>
    <cellStyle name="Normal 4 4 24" xfId="29528"/>
    <cellStyle name="Normal 4 4 25" xfId="29529"/>
    <cellStyle name="Normal 4 4 26" xfId="29530"/>
    <cellStyle name="Normal 4 4 27" xfId="29531"/>
    <cellStyle name="Normal 4 4 28" xfId="29532"/>
    <cellStyle name="Normal 4 4 29" xfId="29533"/>
    <cellStyle name="Normal 4 4 3" xfId="29534"/>
    <cellStyle name="Normal 4 4 30" xfId="29535"/>
    <cellStyle name="Normal 4 4 31" xfId="29536"/>
    <cellStyle name="Normal 4 4 32" xfId="29537"/>
    <cellStyle name="Normal 4 4 33" xfId="29538"/>
    <cellStyle name="Normal 4 4 34" xfId="29539"/>
    <cellStyle name="Normal 4 4 35" xfId="29540"/>
    <cellStyle name="Normal 4 4 36" xfId="29541"/>
    <cellStyle name="Normal 4 4 37" xfId="29542"/>
    <cellStyle name="Normal 4 4 38" xfId="29543"/>
    <cellStyle name="Normal 4 4 39" xfId="29544"/>
    <cellStyle name="Normal 4 4 4" xfId="29545"/>
    <cellStyle name="Normal 4 4 40" xfId="29546"/>
    <cellStyle name="Normal 4 4 41" xfId="29547"/>
    <cellStyle name="Normal 4 4 42" xfId="29548"/>
    <cellStyle name="Normal 4 4 43" xfId="29549"/>
    <cellStyle name="Normal 4 4 44" xfId="29550"/>
    <cellStyle name="Normal 4 4 45" xfId="29551"/>
    <cellStyle name="Normal 4 4 46" xfId="29552"/>
    <cellStyle name="Normal 4 4 47" xfId="29553"/>
    <cellStyle name="Normal 4 4 48" xfId="29554"/>
    <cellStyle name="Normal 4 4 49" xfId="29555"/>
    <cellStyle name="Normal 4 4 5" xfId="29556"/>
    <cellStyle name="Normal 4 4 50" xfId="29557"/>
    <cellStyle name="Normal 4 4 51" xfId="29558"/>
    <cellStyle name="Normal 4 4 52" xfId="29559"/>
    <cellStyle name="Normal 4 4 53" xfId="29560"/>
    <cellStyle name="Normal 4 4 54" xfId="29561"/>
    <cellStyle name="Normal 4 4 55" xfId="29562"/>
    <cellStyle name="Normal 4 4 56" xfId="29563"/>
    <cellStyle name="Normal 4 4 57" xfId="29564"/>
    <cellStyle name="Normal 4 4 58" xfId="29565"/>
    <cellStyle name="Normal 4 4 59" xfId="29566"/>
    <cellStyle name="Normal 4 4 6" xfId="29567"/>
    <cellStyle name="Normal 4 4 60" xfId="29568"/>
    <cellStyle name="Normal 4 4 61" xfId="29569"/>
    <cellStyle name="Normal 4 4 62" xfId="29570"/>
    <cellStyle name="Normal 4 4 63" xfId="29571"/>
    <cellStyle name="Normal 4 4 64" xfId="29572"/>
    <cellStyle name="Normal 4 4 65" xfId="29573"/>
    <cellStyle name="Normal 4 4 66" xfId="29574"/>
    <cellStyle name="Normal 4 4 67" xfId="29575"/>
    <cellStyle name="Normal 4 4 68" xfId="29576"/>
    <cellStyle name="Normal 4 4 69" xfId="29577"/>
    <cellStyle name="Normal 4 4 7" xfId="29578"/>
    <cellStyle name="Normal 4 4 70" xfId="29579"/>
    <cellStyle name="Normal 4 4 71" xfId="29580"/>
    <cellStyle name="Normal 4 4 72" xfId="29581"/>
    <cellStyle name="Normal 4 4 73" xfId="29582"/>
    <cellStyle name="Normal 4 4 74" xfId="29583"/>
    <cellStyle name="Normal 4 4 75" xfId="29584"/>
    <cellStyle name="Normal 4 4 76" xfId="29585"/>
    <cellStyle name="Normal 4 4 77" xfId="29586"/>
    <cellStyle name="Normal 4 4 78" xfId="29587"/>
    <cellStyle name="Normal 4 4 79" xfId="29588"/>
    <cellStyle name="Normal 4 4 8" xfId="29589"/>
    <cellStyle name="Normal 4 4 80" xfId="29590"/>
    <cellStyle name="Normal 4 4 81" xfId="29591"/>
    <cellStyle name="Normal 4 4 82" xfId="29592"/>
    <cellStyle name="Normal 4 4 83" xfId="29593"/>
    <cellStyle name="Normal 4 4 9" xfId="29594"/>
    <cellStyle name="Normal 4 40" xfId="29595"/>
    <cellStyle name="Normal 4 41" xfId="29596"/>
    <cellStyle name="Normal 4 42" xfId="29597"/>
    <cellStyle name="Normal 4 43" xfId="29598"/>
    <cellStyle name="Normal 4 44" xfId="29599"/>
    <cellStyle name="Normal 4 45" xfId="29600"/>
    <cellStyle name="Normal 4 46" xfId="29601"/>
    <cellStyle name="Normal 4 47" xfId="29602"/>
    <cellStyle name="Normal 4 48" xfId="29603"/>
    <cellStyle name="Normal 4 49" xfId="29604"/>
    <cellStyle name="Normal 4 5" xfId="29605"/>
    <cellStyle name="Normal 4 5 10" xfId="29606"/>
    <cellStyle name="Normal 4 5 11" xfId="29607"/>
    <cellStyle name="Normal 4 5 12" xfId="29608"/>
    <cellStyle name="Normal 4 5 13" xfId="29609"/>
    <cellStyle name="Normal 4 5 14" xfId="29610"/>
    <cellStyle name="Normal 4 5 15" xfId="29611"/>
    <cellStyle name="Normal 4 5 16" xfId="29612"/>
    <cellStyle name="Normal 4 5 17" xfId="29613"/>
    <cellStyle name="Normal 4 5 18" xfId="29614"/>
    <cellStyle name="Normal 4 5 19" xfId="29615"/>
    <cellStyle name="Normal 4 5 2" xfId="29616"/>
    <cellStyle name="Normal 4 5 20" xfId="29617"/>
    <cellStyle name="Normal 4 5 21" xfId="29618"/>
    <cellStyle name="Normal 4 5 22" xfId="29619"/>
    <cellStyle name="Normal 4 5 23" xfId="29620"/>
    <cellStyle name="Normal 4 5 24" xfId="29621"/>
    <cellStyle name="Normal 4 5 25" xfId="29622"/>
    <cellStyle name="Normal 4 5 26" xfId="29623"/>
    <cellStyle name="Normal 4 5 27" xfId="29624"/>
    <cellStyle name="Normal 4 5 28" xfId="29625"/>
    <cellStyle name="Normal 4 5 29" xfId="29626"/>
    <cellStyle name="Normal 4 5 3" xfId="29627"/>
    <cellStyle name="Normal 4 5 30" xfId="29628"/>
    <cellStyle name="Normal 4 5 31" xfId="29629"/>
    <cellStyle name="Normal 4 5 32" xfId="29630"/>
    <cellStyle name="Normal 4 5 33" xfId="29631"/>
    <cellStyle name="Normal 4 5 34" xfId="29632"/>
    <cellStyle name="Normal 4 5 35" xfId="29633"/>
    <cellStyle name="Normal 4 5 36" xfId="29634"/>
    <cellStyle name="Normal 4 5 37" xfId="29635"/>
    <cellStyle name="Normal 4 5 38" xfId="29636"/>
    <cellStyle name="Normal 4 5 39" xfId="29637"/>
    <cellStyle name="Normal 4 5 4" xfId="29638"/>
    <cellStyle name="Normal 4 5 40" xfId="29639"/>
    <cellStyle name="Normal 4 5 41" xfId="29640"/>
    <cellStyle name="Normal 4 5 42" xfId="29641"/>
    <cellStyle name="Normal 4 5 43" xfId="29642"/>
    <cellStyle name="Normal 4 5 44" xfId="29643"/>
    <cellStyle name="Normal 4 5 45" xfId="29644"/>
    <cellStyle name="Normal 4 5 46" xfId="29645"/>
    <cellStyle name="Normal 4 5 47" xfId="29646"/>
    <cellStyle name="Normal 4 5 48" xfId="29647"/>
    <cellStyle name="Normal 4 5 49" xfId="29648"/>
    <cellStyle name="Normal 4 5 5" xfId="29649"/>
    <cellStyle name="Normal 4 5 50" xfId="29650"/>
    <cellStyle name="Normal 4 5 51" xfId="29651"/>
    <cellStyle name="Normal 4 5 52" xfId="29652"/>
    <cellStyle name="Normal 4 5 53" xfId="29653"/>
    <cellStyle name="Normal 4 5 54" xfId="29654"/>
    <cellStyle name="Normal 4 5 55" xfId="29655"/>
    <cellStyle name="Normal 4 5 56" xfId="29656"/>
    <cellStyle name="Normal 4 5 57" xfId="29657"/>
    <cellStyle name="Normal 4 5 58" xfId="29658"/>
    <cellStyle name="Normal 4 5 59" xfId="29659"/>
    <cellStyle name="Normal 4 5 6" xfId="29660"/>
    <cellStyle name="Normal 4 5 60" xfId="29661"/>
    <cellStyle name="Normal 4 5 61" xfId="29662"/>
    <cellStyle name="Normal 4 5 62" xfId="29663"/>
    <cellStyle name="Normal 4 5 63" xfId="29664"/>
    <cellStyle name="Normal 4 5 64" xfId="29665"/>
    <cellStyle name="Normal 4 5 65" xfId="29666"/>
    <cellStyle name="Normal 4 5 66" xfId="29667"/>
    <cellStyle name="Normal 4 5 67" xfId="29668"/>
    <cellStyle name="Normal 4 5 68" xfId="29669"/>
    <cellStyle name="Normal 4 5 69" xfId="29670"/>
    <cellStyle name="Normal 4 5 7" xfId="29671"/>
    <cellStyle name="Normal 4 5 70" xfId="29672"/>
    <cellStyle name="Normal 4 5 71" xfId="29673"/>
    <cellStyle name="Normal 4 5 72" xfId="29674"/>
    <cellStyle name="Normal 4 5 73" xfId="29675"/>
    <cellStyle name="Normal 4 5 74" xfId="29676"/>
    <cellStyle name="Normal 4 5 75" xfId="29677"/>
    <cellStyle name="Normal 4 5 76" xfId="29678"/>
    <cellStyle name="Normal 4 5 77" xfId="29679"/>
    <cellStyle name="Normal 4 5 78" xfId="29680"/>
    <cellStyle name="Normal 4 5 79" xfId="29681"/>
    <cellStyle name="Normal 4 5 8" xfId="29682"/>
    <cellStyle name="Normal 4 5 80" xfId="29683"/>
    <cellStyle name="Normal 4 5 81" xfId="29684"/>
    <cellStyle name="Normal 4 5 82" xfId="29685"/>
    <cellStyle name="Normal 4 5 83" xfId="29686"/>
    <cellStyle name="Normal 4 5 9" xfId="29687"/>
    <cellStyle name="Normal 4 50" xfId="29688"/>
    <cellStyle name="Normal 4 51" xfId="29689"/>
    <cellStyle name="Normal 4 52" xfId="29690"/>
    <cellStyle name="Normal 4 53" xfId="29691"/>
    <cellStyle name="Normal 4 54" xfId="29692"/>
    <cellStyle name="Normal 4 55" xfId="29693"/>
    <cellStyle name="Normal 4 56" xfId="29694"/>
    <cellStyle name="Normal 4 57" xfId="29695"/>
    <cellStyle name="Normal 4 58" xfId="29696"/>
    <cellStyle name="Normal 4 59" xfId="29697"/>
    <cellStyle name="Normal 4 6" xfId="29698"/>
    <cellStyle name="Normal 4 60" xfId="29699"/>
    <cellStyle name="Normal 4 61" xfId="29700"/>
    <cellStyle name="Normal 4 62" xfId="29701"/>
    <cellStyle name="Normal 4 63" xfId="29702"/>
    <cellStyle name="Normal 4 64" xfId="29703"/>
    <cellStyle name="Normal 4 65" xfId="29704"/>
    <cellStyle name="Normal 4 66" xfId="29705"/>
    <cellStyle name="Normal 4 67" xfId="29706"/>
    <cellStyle name="Normal 4 68" xfId="29707"/>
    <cellStyle name="Normal 4 69" xfId="29708"/>
    <cellStyle name="Normal 4 7" xfId="29709"/>
    <cellStyle name="Normal 4 70" xfId="29710"/>
    <cellStyle name="Normal 4 71" xfId="29711"/>
    <cellStyle name="Normal 4 72" xfId="29712"/>
    <cellStyle name="Normal 4 73" xfId="29713"/>
    <cellStyle name="Normal 4 74" xfId="29714"/>
    <cellStyle name="Normal 4 75" xfId="29715"/>
    <cellStyle name="Normal 4 76" xfId="29716"/>
    <cellStyle name="Normal 4 77" xfId="29717"/>
    <cellStyle name="Normal 4 78" xfId="29718"/>
    <cellStyle name="Normal 4 79" xfId="29719"/>
    <cellStyle name="Normal 4 8" xfId="29720"/>
    <cellStyle name="Normal 4 80" xfId="29721"/>
    <cellStyle name="Normal 4 81" xfId="29722"/>
    <cellStyle name="Normal 4 82" xfId="29723"/>
    <cellStyle name="Normal 4 83" xfId="29724"/>
    <cellStyle name="Normal 4 84" xfId="29725"/>
    <cellStyle name="Normal 4 85" xfId="29726"/>
    <cellStyle name="Normal 4 86" xfId="29727"/>
    <cellStyle name="Normal 4 87" xfId="29728"/>
    <cellStyle name="Normal 4 9" xfId="29729"/>
    <cellStyle name="Normal 4_Cultura y Tiempo libre 2011 base 2012 PGM - EMV  2013" xfId="29730"/>
    <cellStyle name="Normal 40" xfId="29731"/>
    <cellStyle name="Normal 41" xfId="29732"/>
    <cellStyle name="Normal 42" xfId="29733"/>
    <cellStyle name="Normal 43" xfId="29734"/>
    <cellStyle name="Normal 44" xfId="29735"/>
    <cellStyle name="Normal 44 2" xfId="36428"/>
    <cellStyle name="Normal 45" xfId="36420"/>
    <cellStyle name="Normal 46" xfId="36448"/>
    <cellStyle name="Normal 5" xfId="29736"/>
    <cellStyle name="Normal 5 10" xfId="29737"/>
    <cellStyle name="Normal 5 11" xfId="29738"/>
    <cellStyle name="Normal 5 12" xfId="29739"/>
    <cellStyle name="Normal 5 13" xfId="29740"/>
    <cellStyle name="Normal 5 14" xfId="29741"/>
    <cellStyle name="Normal 5 15" xfId="29742"/>
    <cellStyle name="Normal 5 16" xfId="29743"/>
    <cellStyle name="Normal 5 17" xfId="29744"/>
    <cellStyle name="Normal 5 18" xfId="29745"/>
    <cellStyle name="Normal 5 19" xfId="29746"/>
    <cellStyle name="Normal 5 2" xfId="29747"/>
    <cellStyle name="Normal 5 2 10" xfId="29748"/>
    <cellStyle name="Normal 5 2 11" xfId="29749"/>
    <cellStyle name="Normal 5 2 12" xfId="29750"/>
    <cellStyle name="Normal 5 2 13" xfId="29751"/>
    <cellStyle name="Normal 5 2 14" xfId="29752"/>
    <cellStyle name="Normal 5 2 15" xfId="29753"/>
    <cellStyle name="Normal 5 2 16" xfId="29754"/>
    <cellStyle name="Normal 5 2 17" xfId="29755"/>
    <cellStyle name="Normal 5 2 18" xfId="29756"/>
    <cellStyle name="Normal 5 2 19" xfId="29757"/>
    <cellStyle name="Normal 5 2 2" xfId="29758"/>
    <cellStyle name="Normal 5 2 20" xfId="29759"/>
    <cellStyle name="Normal 5 2 21" xfId="29760"/>
    <cellStyle name="Normal 5 2 22" xfId="29761"/>
    <cellStyle name="Normal 5 2 23" xfId="29762"/>
    <cellStyle name="Normal 5 2 24" xfId="29763"/>
    <cellStyle name="Normal 5 2 25" xfId="29764"/>
    <cellStyle name="Normal 5 2 26" xfId="29765"/>
    <cellStyle name="Normal 5 2 27" xfId="29766"/>
    <cellStyle name="Normal 5 2 28" xfId="29767"/>
    <cellStyle name="Normal 5 2 29" xfId="29768"/>
    <cellStyle name="Normal 5 2 3" xfId="29769"/>
    <cellStyle name="Normal 5 2 30" xfId="29770"/>
    <cellStyle name="Normal 5 2 31" xfId="29771"/>
    <cellStyle name="Normal 5 2 32" xfId="29772"/>
    <cellStyle name="Normal 5 2 33" xfId="29773"/>
    <cellStyle name="Normal 5 2 34" xfId="29774"/>
    <cellStyle name="Normal 5 2 35" xfId="29775"/>
    <cellStyle name="Normal 5 2 36" xfId="29776"/>
    <cellStyle name="Normal 5 2 37" xfId="29777"/>
    <cellStyle name="Normal 5 2 38" xfId="29778"/>
    <cellStyle name="Normal 5 2 39" xfId="29779"/>
    <cellStyle name="Normal 5 2 4" xfId="29780"/>
    <cellStyle name="Normal 5 2 40" xfId="29781"/>
    <cellStyle name="Normal 5 2 41" xfId="29782"/>
    <cellStyle name="Normal 5 2 42" xfId="29783"/>
    <cellStyle name="Normal 5 2 43" xfId="29784"/>
    <cellStyle name="Normal 5 2 44" xfId="29785"/>
    <cellStyle name="Normal 5 2 45" xfId="29786"/>
    <cellStyle name="Normal 5 2 46" xfId="29787"/>
    <cellStyle name="Normal 5 2 47" xfId="29788"/>
    <cellStyle name="Normal 5 2 48" xfId="29789"/>
    <cellStyle name="Normal 5 2 49" xfId="29790"/>
    <cellStyle name="Normal 5 2 5" xfId="29791"/>
    <cellStyle name="Normal 5 2 50" xfId="29792"/>
    <cellStyle name="Normal 5 2 51" xfId="29793"/>
    <cellStyle name="Normal 5 2 52" xfId="29794"/>
    <cellStyle name="Normal 5 2 53" xfId="29795"/>
    <cellStyle name="Normal 5 2 54" xfId="29796"/>
    <cellStyle name="Normal 5 2 55" xfId="29797"/>
    <cellStyle name="Normal 5 2 56" xfId="29798"/>
    <cellStyle name="Normal 5 2 57" xfId="29799"/>
    <cellStyle name="Normal 5 2 58" xfId="29800"/>
    <cellStyle name="Normal 5 2 59" xfId="29801"/>
    <cellStyle name="Normal 5 2 6" xfId="29802"/>
    <cellStyle name="Normal 5 2 60" xfId="29803"/>
    <cellStyle name="Normal 5 2 61" xfId="29804"/>
    <cellStyle name="Normal 5 2 62" xfId="29805"/>
    <cellStyle name="Normal 5 2 63" xfId="29806"/>
    <cellStyle name="Normal 5 2 64" xfId="29807"/>
    <cellStyle name="Normal 5 2 65" xfId="29808"/>
    <cellStyle name="Normal 5 2 66" xfId="29809"/>
    <cellStyle name="Normal 5 2 67" xfId="29810"/>
    <cellStyle name="Normal 5 2 68" xfId="29811"/>
    <cellStyle name="Normal 5 2 69" xfId="29812"/>
    <cellStyle name="Normal 5 2 7" xfId="29813"/>
    <cellStyle name="Normal 5 2 70" xfId="29814"/>
    <cellStyle name="Normal 5 2 71" xfId="29815"/>
    <cellStyle name="Normal 5 2 72" xfId="29816"/>
    <cellStyle name="Normal 5 2 73" xfId="29817"/>
    <cellStyle name="Normal 5 2 74" xfId="29818"/>
    <cellStyle name="Normal 5 2 75" xfId="29819"/>
    <cellStyle name="Normal 5 2 76" xfId="29820"/>
    <cellStyle name="Normal 5 2 77" xfId="29821"/>
    <cellStyle name="Normal 5 2 78" xfId="29822"/>
    <cellStyle name="Normal 5 2 79" xfId="29823"/>
    <cellStyle name="Normal 5 2 8" xfId="29824"/>
    <cellStyle name="Normal 5 2 80" xfId="29825"/>
    <cellStyle name="Normal 5 2 81" xfId="29826"/>
    <cellStyle name="Normal 5 2 82" xfId="29827"/>
    <cellStyle name="Normal 5 2 83" xfId="29828"/>
    <cellStyle name="Normal 5 2 9" xfId="29829"/>
    <cellStyle name="Normal 5 20" xfId="29830"/>
    <cellStyle name="Normal 5 21" xfId="29831"/>
    <cellStyle name="Normal 5 22" xfId="29832"/>
    <cellStyle name="Normal 5 23" xfId="29833"/>
    <cellStyle name="Normal 5 24" xfId="29834"/>
    <cellStyle name="Normal 5 25" xfId="29835"/>
    <cellStyle name="Normal 5 26" xfId="29836"/>
    <cellStyle name="Normal 5 27" xfId="29837"/>
    <cellStyle name="Normal 5 28" xfId="29838"/>
    <cellStyle name="Normal 5 29" xfId="29839"/>
    <cellStyle name="Normal 5 3" xfId="29840"/>
    <cellStyle name="Normal 5 3 10" xfId="29841"/>
    <cellStyle name="Normal 5 3 11" xfId="29842"/>
    <cellStyle name="Normal 5 3 12" xfId="29843"/>
    <cellStyle name="Normal 5 3 13" xfId="29844"/>
    <cellStyle name="Normal 5 3 14" xfId="29845"/>
    <cellStyle name="Normal 5 3 15" xfId="29846"/>
    <cellStyle name="Normal 5 3 16" xfId="29847"/>
    <cellStyle name="Normal 5 3 17" xfId="29848"/>
    <cellStyle name="Normal 5 3 18" xfId="29849"/>
    <cellStyle name="Normal 5 3 19" xfId="29850"/>
    <cellStyle name="Normal 5 3 2" xfId="29851"/>
    <cellStyle name="Normal 5 3 20" xfId="29852"/>
    <cellStyle name="Normal 5 3 21" xfId="29853"/>
    <cellStyle name="Normal 5 3 22" xfId="29854"/>
    <cellStyle name="Normal 5 3 23" xfId="29855"/>
    <cellStyle name="Normal 5 3 24" xfId="29856"/>
    <cellStyle name="Normal 5 3 25" xfId="29857"/>
    <cellStyle name="Normal 5 3 26" xfId="29858"/>
    <cellStyle name="Normal 5 3 27" xfId="29859"/>
    <cellStyle name="Normal 5 3 28" xfId="29860"/>
    <cellStyle name="Normal 5 3 29" xfId="29861"/>
    <cellStyle name="Normal 5 3 3" xfId="29862"/>
    <cellStyle name="Normal 5 3 30" xfId="29863"/>
    <cellStyle name="Normal 5 3 31" xfId="29864"/>
    <cellStyle name="Normal 5 3 32" xfId="29865"/>
    <cellStyle name="Normal 5 3 33" xfId="29866"/>
    <cellStyle name="Normal 5 3 34" xfId="29867"/>
    <cellStyle name="Normal 5 3 35" xfId="29868"/>
    <cellStyle name="Normal 5 3 36" xfId="29869"/>
    <cellStyle name="Normal 5 3 37" xfId="29870"/>
    <cellStyle name="Normal 5 3 38" xfId="29871"/>
    <cellStyle name="Normal 5 3 39" xfId="29872"/>
    <cellStyle name="Normal 5 3 4" xfId="29873"/>
    <cellStyle name="Normal 5 3 40" xfId="29874"/>
    <cellStyle name="Normal 5 3 41" xfId="29875"/>
    <cellStyle name="Normal 5 3 42" xfId="29876"/>
    <cellStyle name="Normal 5 3 43" xfId="29877"/>
    <cellStyle name="Normal 5 3 44" xfId="29878"/>
    <cellStyle name="Normal 5 3 45" xfId="29879"/>
    <cellStyle name="Normal 5 3 46" xfId="29880"/>
    <cellStyle name="Normal 5 3 47" xfId="29881"/>
    <cellStyle name="Normal 5 3 48" xfId="29882"/>
    <cellStyle name="Normal 5 3 49" xfId="29883"/>
    <cellStyle name="Normal 5 3 5" xfId="29884"/>
    <cellStyle name="Normal 5 3 50" xfId="29885"/>
    <cellStyle name="Normal 5 3 51" xfId="29886"/>
    <cellStyle name="Normal 5 3 52" xfId="29887"/>
    <cellStyle name="Normal 5 3 53" xfId="29888"/>
    <cellStyle name="Normal 5 3 54" xfId="29889"/>
    <cellStyle name="Normal 5 3 55" xfId="29890"/>
    <cellStyle name="Normal 5 3 56" xfId="29891"/>
    <cellStyle name="Normal 5 3 57" xfId="29892"/>
    <cellStyle name="Normal 5 3 58" xfId="29893"/>
    <cellStyle name="Normal 5 3 59" xfId="29894"/>
    <cellStyle name="Normal 5 3 6" xfId="29895"/>
    <cellStyle name="Normal 5 3 60" xfId="29896"/>
    <cellStyle name="Normal 5 3 61" xfId="29897"/>
    <cellStyle name="Normal 5 3 62" xfId="29898"/>
    <cellStyle name="Normal 5 3 63" xfId="29899"/>
    <cellStyle name="Normal 5 3 64" xfId="29900"/>
    <cellStyle name="Normal 5 3 65" xfId="29901"/>
    <cellStyle name="Normal 5 3 66" xfId="29902"/>
    <cellStyle name="Normal 5 3 67" xfId="29903"/>
    <cellStyle name="Normal 5 3 68" xfId="29904"/>
    <cellStyle name="Normal 5 3 69" xfId="29905"/>
    <cellStyle name="Normal 5 3 7" xfId="29906"/>
    <cellStyle name="Normal 5 3 70" xfId="29907"/>
    <cellStyle name="Normal 5 3 71" xfId="29908"/>
    <cellStyle name="Normal 5 3 72" xfId="29909"/>
    <cellStyle name="Normal 5 3 73" xfId="29910"/>
    <cellStyle name="Normal 5 3 74" xfId="29911"/>
    <cellStyle name="Normal 5 3 75" xfId="29912"/>
    <cellStyle name="Normal 5 3 76" xfId="29913"/>
    <cellStyle name="Normal 5 3 77" xfId="29914"/>
    <cellStyle name="Normal 5 3 78" xfId="29915"/>
    <cellStyle name="Normal 5 3 79" xfId="29916"/>
    <cellStyle name="Normal 5 3 8" xfId="29917"/>
    <cellStyle name="Normal 5 3 80" xfId="29918"/>
    <cellStyle name="Normal 5 3 81" xfId="29919"/>
    <cellStyle name="Normal 5 3 82" xfId="29920"/>
    <cellStyle name="Normal 5 3 83" xfId="29921"/>
    <cellStyle name="Normal 5 3 9" xfId="29922"/>
    <cellStyle name="Normal 5 30" xfId="29923"/>
    <cellStyle name="Normal 5 31" xfId="29924"/>
    <cellStyle name="Normal 5 32" xfId="29925"/>
    <cellStyle name="Normal 5 33" xfId="29926"/>
    <cellStyle name="Normal 5 34" xfId="29927"/>
    <cellStyle name="Normal 5 35" xfId="29928"/>
    <cellStyle name="Normal 5 36" xfId="29929"/>
    <cellStyle name="Normal 5 37" xfId="29930"/>
    <cellStyle name="Normal 5 38" xfId="29931"/>
    <cellStyle name="Normal 5 39" xfId="29932"/>
    <cellStyle name="Normal 5 4" xfId="29933"/>
    <cellStyle name="Normal 5 4 10" xfId="29934"/>
    <cellStyle name="Normal 5 4 11" xfId="29935"/>
    <cellStyle name="Normal 5 4 12" xfId="29936"/>
    <cellStyle name="Normal 5 4 13" xfId="29937"/>
    <cellStyle name="Normal 5 4 14" xfId="29938"/>
    <cellStyle name="Normal 5 4 15" xfId="29939"/>
    <cellStyle name="Normal 5 4 16" xfId="29940"/>
    <cellStyle name="Normal 5 4 17" xfId="29941"/>
    <cellStyle name="Normal 5 4 18" xfId="29942"/>
    <cellStyle name="Normal 5 4 19" xfId="29943"/>
    <cellStyle name="Normal 5 4 2" xfId="29944"/>
    <cellStyle name="Normal 5 4 20" xfId="29945"/>
    <cellStyle name="Normal 5 4 21" xfId="29946"/>
    <cellStyle name="Normal 5 4 22" xfId="29947"/>
    <cellStyle name="Normal 5 4 23" xfId="29948"/>
    <cellStyle name="Normal 5 4 24" xfId="29949"/>
    <cellStyle name="Normal 5 4 25" xfId="29950"/>
    <cellStyle name="Normal 5 4 26" xfId="29951"/>
    <cellStyle name="Normal 5 4 27" xfId="29952"/>
    <cellStyle name="Normal 5 4 28" xfId="29953"/>
    <cellStyle name="Normal 5 4 29" xfId="29954"/>
    <cellStyle name="Normal 5 4 3" xfId="29955"/>
    <cellStyle name="Normal 5 4 30" xfId="29956"/>
    <cellStyle name="Normal 5 4 31" xfId="29957"/>
    <cellStyle name="Normal 5 4 32" xfId="29958"/>
    <cellStyle name="Normal 5 4 33" xfId="29959"/>
    <cellStyle name="Normal 5 4 34" xfId="29960"/>
    <cellStyle name="Normal 5 4 35" xfId="29961"/>
    <cellStyle name="Normal 5 4 36" xfId="29962"/>
    <cellStyle name="Normal 5 4 37" xfId="29963"/>
    <cellStyle name="Normal 5 4 38" xfId="29964"/>
    <cellStyle name="Normal 5 4 39" xfId="29965"/>
    <cellStyle name="Normal 5 4 4" xfId="29966"/>
    <cellStyle name="Normal 5 4 40" xfId="29967"/>
    <cellStyle name="Normal 5 4 41" xfId="29968"/>
    <cellStyle name="Normal 5 4 42" xfId="29969"/>
    <cellStyle name="Normal 5 4 43" xfId="29970"/>
    <cellStyle name="Normal 5 4 44" xfId="29971"/>
    <cellStyle name="Normal 5 4 45" xfId="29972"/>
    <cellStyle name="Normal 5 4 46" xfId="29973"/>
    <cellStyle name="Normal 5 4 47" xfId="29974"/>
    <cellStyle name="Normal 5 4 48" xfId="29975"/>
    <cellStyle name="Normal 5 4 49" xfId="29976"/>
    <cellStyle name="Normal 5 4 5" xfId="29977"/>
    <cellStyle name="Normal 5 4 50" xfId="29978"/>
    <cellStyle name="Normal 5 4 51" xfId="29979"/>
    <cellStyle name="Normal 5 4 52" xfId="29980"/>
    <cellStyle name="Normal 5 4 53" xfId="29981"/>
    <cellStyle name="Normal 5 4 54" xfId="29982"/>
    <cellStyle name="Normal 5 4 55" xfId="29983"/>
    <cellStyle name="Normal 5 4 56" xfId="29984"/>
    <cellStyle name="Normal 5 4 57" xfId="29985"/>
    <cellStyle name="Normal 5 4 58" xfId="29986"/>
    <cellStyle name="Normal 5 4 59" xfId="29987"/>
    <cellStyle name="Normal 5 4 6" xfId="29988"/>
    <cellStyle name="Normal 5 4 60" xfId="29989"/>
    <cellStyle name="Normal 5 4 61" xfId="29990"/>
    <cellStyle name="Normal 5 4 62" xfId="29991"/>
    <cellStyle name="Normal 5 4 63" xfId="29992"/>
    <cellStyle name="Normal 5 4 64" xfId="29993"/>
    <cellStyle name="Normal 5 4 65" xfId="29994"/>
    <cellStyle name="Normal 5 4 66" xfId="29995"/>
    <cellStyle name="Normal 5 4 67" xfId="29996"/>
    <cellStyle name="Normal 5 4 68" xfId="29997"/>
    <cellStyle name="Normal 5 4 69" xfId="29998"/>
    <cellStyle name="Normal 5 4 7" xfId="29999"/>
    <cellStyle name="Normal 5 4 70" xfId="30000"/>
    <cellStyle name="Normal 5 4 71" xfId="30001"/>
    <cellStyle name="Normal 5 4 72" xfId="30002"/>
    <cellStyle name="Normal 5 4 73" xfId="30003"/>
    <cellStyle name="Normal 5 4 74" xfId="30004"/>
    <cellStyle name="Normal 5 4 75" xfId="30005"/>
    <cellStyle name="Normal 5 4 76" xfId="30006"/>
    <cellStyle name="Normal 5 4 77" xfId="30007"/>
    <cellStyle name="Normal 5 4 78" xfId="30008"/>
    <cellStyle name="Normal 5 4 79" xfId="30009"/>
    <cellStyle name="Normal 5 4 8" xfId="30010"/>
    <cellStyle name="Normal 5 4 80" xfId="30011"/>
    <cellStyle name="Normal 5 4 81" xfId="30012"/>
    <cellStyle name="Normal 5 4 82" xfId="30013"/>
    <cellStyle name="Normal 5 4 83" xfId="30014"/>
    <cellStyle name="Normal 5 4 9" xfId="30015"/>
    <cellStyle name="Normal 5 40" xfId="30016"/>
    <cellStyle name="Normal 5 41" xfId="30017"/>
    <cellStyle name="Normal 5 42" xfId="30018"/>
    <cellStyle name="Normal 5 43" xfId="30019"/>
    <cellStyle name="Normal 5 44" xfId="30020"/>
    <cellStyle name="Normal 5 45" xfId="30021"/>
    <cellStyle name="Normal 5 46" xfId="30022"/>
    <cellStyle name="Normal 5 47" xfId="30023"/>
    <cellStyle name="Normal 5 48" xfId="30024"/>
    <cellStyle name="Normal 5 49" xfId="30025"/>
    <cellStyle name="Normal 5 5" xfId="30026"/>
    <cellStyle name="Normal 5 5 10" xfId="30027"/>
    <cellStyle name="Normal 5 5 11" xfId="30028"/>
    <cellStyle name="Normal 5 5 12" xfId="30029"/>
    <cellStyle name="Normal 5 5 13" xfId="30030"/>
    <cellStyle name="Normal 5 5 14" xfId="30031"/>
    <cellStyle name="Normal 5 5 15" xfId="30032"/>
    <cellStyle name="Normal 5 5 16" xfId="30033"/>
    <cellStyle name="Normal 5 5 17" xfId="30034"/>
    <cellStyle name="Normal 5 5 18" xfId="30035"/>
    <cellStyle name="Normal 5 5 19" xfId="30036"/>
    <cellStyle name="Normal 5 5 2" xfId="30037"/>
    <cellStyle name="Normal 5 5 20" xfId="30038"/>
    <cellStyle name="Normal 5 5 21" xfId="30039"/>
    <cellStyle name="Normal 5 5 22" xfId="30040"/>
    <cellStyle name="Normal 5 5 23" xfId="30041"/>
    <cellStyle name="Normal 5 5 24" xfId="30042"/>
    <cellStyle name="Normal 5 5 25" xfId="30043"/>
    <cellStyle name="Normal 5 5 26" xfId="30044"/>
    <cellStyle name="Normal 5 5 27" xfId="30045"/>
    <cellStyle name="Normal 5 5 28" xfId="30046"/>
    <cellStyle name="Normal 5 5 29" xfId="30047"/>
    <cellStyle name="Normal 5 5 3" xfId="30048"/>
    <cellStyle name="Normal 5 5 30" xfId="30049"/>
    <cellStyle name="Normal 5 5 31" xfId="30050"/>
    <cellStyle name="Normal 5 5 32" xfId="30051"/>
    <cellStyle name="Normal 5 5 33" xfId="30052"/>
    <cellStyle name="Normal 5 5 34" xfId="30053"/>
    <cellStyle name="Normal 5 5 35" xfId="30054"/>
    <cellStyle name="Normal 5 5 36" xfId="30055"/>
    <cellStyle name="Normal 5 5 37" xfId="30056"/>
    <cellStyle name="Normal 5 5 38" xfId="30057"/>
    <cellStyle name="Normal 5 5 39" xfId="30058"/>
    <cellStyle name="Normal 5 5 4" xfId="30059"/>
    <cellStyle name="Normal 5 5 40" xfId="30060"/>
    <cellStyle name="Normal 5 5 41" xfId="30061"/>
    <cellStyle name="Normal 5 5 42" xfId="30062"/>
    <cellStyle name="Normal 5 5 43" xfId="30063"/>
    <cellStyle name="Normal 5 5 44" xfId="30064"/>
    <cellStyle name="Normal 5 5 45" xfId="30065"/>
    <cellStyle name="Normal 5 5 46" xfId="30066"/>
    <cellStyle name="Normal 5 5 47" xfId="30067"/>
    <cellStyle name="Normal 5 5 48" xfId="30068"/>
    <cellStyle name="Normal 5 5 49" xfId="30069"/>
    <cellStyle name="Normal 5 5 5" xfId="30070"/>
    <cellStyle name="Normal 5 5 50" xfId="30071"/>
    <cellStyle name="Normal 5 5 51" xfId="30072"/>
    <cellStyle name="Normal 5 5 52" xfId="30073"/>
    <cellStyle name="Normal 5 5 53" xfId="30074"/>
    <cellStyle name="Normal 5 5 54" xfId="30075"/>
    <cellStyle name="Normal 5 5 55" xfId="30076"/>
    <cellStyle name="Normal 5 5 56" xfId="30077"/>
    <cellStyle name="Normal 5 5 57" xfId="30078"/>
    <cellStyle name="Normal 5 5 58" xfId="30079"/>
    <cellStyle name="Normal 5 5 59" xfId="30080"/>
    <cellStyle name="Normal 5 5 6" xfId="30081"/>
    <cellStyle name="Normal 5 5 60" xfId="30082"/>
    <cellStyle name="Normal 5 5 61" xfId="30083"/>
    <cellStyle name="Normal 5 5 62" xfId="30084"/>
    <cellStyle name="Normal 5 5 63" xfId="30085"/>
    <cellStyle name="Normal 5 5 64" xfId="30086"/>
    <cellStyle name="Normal 5 5 65" xfId="30087"/>
    <cellStyle name="Normal 5 5 66" xfId="30088"/>
    <cellStyle name="Normal 5 5 67" xfId="30089"/>
    <cellStyle name="Normal 5 5 68" xfId="30090"/>
    <cellStyle name="Normal 5 5 69" xfId="30091"/>
    <cellStyle name="Normal 5 5 7" xfId="30092"/>
    <cellStyle name="Normal 5 5 70" xfId="30093"/>
    <cellStyle name="Normal 5 5 71" xfId="30094"/>
    <cellStyle name="Normal 5 5 72" xfId="30095"/>
    <cellStyle name="Normal 5 5 73" xfId="30096"/>
    <cellStyle name="Normal 5 5 74" xfId="30097"/>
    <cellStyle name="Normal 5 5 75" xfId="30098"/>
    <cellStyle name="Normal 5 5 76" xfId="30099"/>
    <cellStyle name="Normal 5 5 77" xfId="30100"/>
    <cellStyle name="Normal 5 5 78" xfId="30101"/>
    <cellStyle name="Normal 5 5 79" xfId="30102"/>
    <cellStyle name="Normal 5 5 8" xfId="30103"/>
    <cellStyle name="Normal 5 5 80" xfId="30104"/>
    <cellStyle name="Normal 5 5 81" xfId="30105"/>
    <cellStyle name="Normal 5 5 82" xfId="30106"/>
    <cellStyle name="Normal 5 5 83" xfId="30107"/>
    <cellStyle name="Normal 5 5 9" xfId="30108"/>
    <cellStyle name="Normal 5 50" xfId="30109"/>
    <cellStyle name="Normal 5 51" xfId="30110"/>
    <cellStyle name="Normal 5 52" xfId="30111"/>
    <cellStyle name="Normal 5 53" xfId="30112"/>
    <cellStyle name="Normal 5 54" xfId="30113"/>
    <cellStyle name="Normal 5 55" xfId="30114"/>
    <cellStyle name="Normal 5 56" xfId="30115"/>
    <cellStyle name="Normal 5 57" xfId="30116"/>
    <cellStyle name="Normal 5 58" xfId="30117"/>
    <cellStyle name="Normal 5 59" xfId="30118"/>
    <cellStyle name="Normal 5 6" xfId="30119"/>
    <cellStyle name="Normal 5 60" xfId="30120"/>
    <cellStyle name="Normal 5 61" xfId="30121"/>
    <cellStyle name="Normal 5 62" xfId="30122"/>
    <cellStyle name="Normal 5 63" xfId="30123"/>
    <cellStyle name="Normal 5 64" xfId="30124"/>
    <cellStyle name="Normal 5 65" xfId="30125"/>
    <cellStyle name="Normal 5 66" xfId="30126"/>
    <cellStyle name="Normal 5 67" xfId="30127"/>
    <cellStyle name="Normal 5 68" xfId="30128"/>
    <cellStyle name="Normal 5 69" xfId="30129"/>
    <cellStyle name="Normal 5 7" xfId="30130"/>
    <cellStyle name="Normal 5 70" xfId="30131"/>
    <cellStyle name="Normal 5 71" xfId="30132"/>
    <cellStyle name="Normal 5 72" xfId="30133"/>
    <cellStyle name="Normal 5 73" xfId="30134"/>
    <cellStyle name="Normal 5 74" xfId="30135"/>
    <cellStyle name="Normal 5 75" xfId="30136"/>
    <cellStyle name="Normal 5 76" xfId="30137"/>
    <cellStyle name="Normal 5 77" xfId="30138"/>
    <cellStyle name="Normal 5 78" xfId="30139"/>
    <cellStyle name="Normal 5 79" xfId="30140"/>
    <cellStyle name="Normal 5 8" xfId="30141"/>
    <cellStyle name="Normal 5 80" xfId="30142"/>
    <cellStyle name="Normal 5 81" xfId="30143"/>
    <cellStyle name="Normal 5 82" xfId="30144"/>
    <cellStyle name="Normal 5 83" xfId="30145"/>
    <cellStyle name="Normal 5 84" xfId="30146"/>
    <cellStyle name="Normal 5 85" xfId="30147"/>
    <cellStyle name="Normal 5 86" xfId="30148"/>
    <cellStyle name="Normal 5 87" xfId="30149"/>
    <cellStyle name="Normal 5 9" xfId="30150"/>
    <cellStyle name="Normal 5_Cultura y Tiempo libre 2011 base 2012 PGM - EMV  2013" xfId="30151"/>
    <cellStyle name="Normal 6" xfId="30152"/>
    <cellStyle name="Normal 6 10" xfId="30153"/>
    <cellStyle name="Normal 6 11" xfId="30154"/>
    <cellStyle name="Normal 6 12" xfId="30155"/>
    <cellStyle name="Normal 6 13" xfId="30156"/>
    <cellStyle name="Normal 6 14" xfId="30157"/>
    <cellStyle name="Normal 6 15" xfId="30158"/>
    <cellStyle name="Normal 6 16" xfId="30159"/>
    <cellStyle name="Normal 6 17" xfId="30160"/>
    <cellStyle name="Normal 6 18" xfId="30161"/>
    <cellStyle name="Normal 6 19" xfId="30162"/>
    <cellStyle name="Normal 6 2" xfId="30163"/>
    <cellStyle name="Normal 6 2 10" xfId="30164"/>
    <cellStyle name="Normal 6 2 11" xfId="30165"/>
    <cellStyle name="Normal 6 2 12" xfId="30166"/>
    <cellStyle name="Normal 6 2 13" xfId="30167"/>
    <cellStyle name="Normal 6 2 14" xfId="30168"/>
    <cellStyle name="Normal 6 2 15" xfId="30169"/>
    <cellStyle name="Normal 6 2 16" xfId="30170"/>
    <cellStyle name="Normal 6 2 17" xfId="30171"/>
    <cellStyle name="Normal 6 2 18" xfId="30172"/>
    <cellStyle name="Normal 6 2 19" xfId="30173"/>
    <cellStyle name="Normal 6 2 2" xfId="30174"/>
    <cellStyle name="Normal 6 2 20" xfId="30175"/>
    <cellStyle name="Normal 6 2 21" xfId="30176"/>
    <cellStyle name="Normal 6 2 22" xfId="30177"/>
    <cellStyle name="Normal 6 2 23" xfId="30178"/>
    <cellStyle name="Normal 6 2 24" xfId="30179"/>
    <cellStyle name="Normal 6 2 25" xfId="30180"/>
    <cellStyle name="Normal 6 2 26" xfId="30181"/>
    <cellStyle name="Normal 6 2 27" xfId="30182"/>
    <cellStyle name="Normal 6 2 28" xfId="30183"/>
    <cellStyle name="Normal 6 2 29" xfId="30184"/>
    <cellStyle name="Normal 6 2 3" xfId="30185"/>
    <cellStyle name="Normal 6 2 30" xfId="30186"/>
    <cellStyle name="Normal 6 2 31" xfId="30187"/>
    <cellStyle name="Normal 6 2 32" xfId="30188"/>
    <cellStyle name="Normal 6 2 33" xfId="30189"/>
    <cellStyle name="Normal 6 2 34" xfId="30190"/>
    <cellStyle name="Normal 6 2 35" xfId="30191"/>
    <cellStyle name="Normal 6 2 36" xfId="30192"/>
    <cellStyle name="Normal 6 2 37" xfId="30193"/>
    <cellStyle name="Normal 6 2 38" xfId="30194"/>
    <cellStyle name="Normal 6 2 39" xfId="30195"/>
    <cellStyle name="Normal 6 2 4" xfId="30196"/>
    <cellStyle name="Normal 6 2 40" xfId="30197"/>
    <cellStyle name="Normal 6 2 41" xfId="30198"/>
    <cellStyle name="Normal 6 2 42" xfId="30199"/>
    <cellStyle name="Normal 6 2 43" xfId="30200"/>
    <cellStyle name="Normal 6 2 44" xfId="30201"/>
    <cellStyle name="Normal 6 2 45" xfId="30202"/>
    <cellStyle name="Normal 6 2 46" xfId="30203"/>
    <cellStyle name="Normal 6 2 47" xfId="30204"/>
    <cellStyle name="Normal 6 2 48" xfId="30205"/>
    <cellStyle name="Normal 6 2 49" xfId="30206"/>
    <cellStyle name="Normal 6 2 5" xfId="30207"/>
    <cellStyle name="Normal 6 2 50" xfId="30208"/>
    <cellStyle name="Normal 6 2 51" xfId="30209"/>
    <cellStyle name="Normal 6 2 52" xfId="30210"/>
    <cellStyle name="Normal 6 2 53" xfId="30211"/>
    <cellStyle name="Normal 6 2 54" xfId="30212"/>
    <cellStyle name="Normal 6 2 55" xfId="30213"/>
    <cellStyle name="Normal 6 2 56" xfId="30214"/>
    <cellStyle name="Normal 6 2 57" xfId="30215"/>
    <cellStyle name="Normal 6 2 58" xfId="30216"/>
    <cellStyle name="Normal 6 2 59" xfId="30217"/>
    <cellStyle name="Normal 6 2 6" xfId="30218"/>
    <cellStyle name="Normal 6 2 60" xfId="30219"/>
    <cellStyle name="Normal 6 2 61" xfId="30220"/>
    <cellStyle name="Normal 6 2 62" xfId="30221"/>
    <cellStyle name="Normal 6 2 63" xfId="30222"/>
    <cellStyle name="Normal 6 2 64" xfId="30223"/>
    <cellStyle name="Normal 6 2 65" xfId="30224"/>
    <cellStyle name="Normal 6 2 66" xfId="30225"/>
    <cellStyle name="Normal 6 2 67" xfId="30226"/>
    <cellStyle name="Normal 6 2 68" xfId="30227"/>
    <cellStyle name="Normal 6 2 69" xfId="30228"/>
    <cellStyle name="Normal 6 2 7" xfId="30229"/>
    <cellStyle name="Normal 6 2 70" xfId="30230"/>
    <cellStyle name="Normal 6 2 71" xfId="30231"/>
    <cellStyle name="Normal 6 2 72" xfId="30232"/>
    <cellStyle name="Normal 6 2 73" xfId="30233"/>
    <cellStyle name="Normal 6 2 74" xfId="30234"/>
    <cellStyle name="Normal 6 2 75" xfId="30235"/>
    <cellStyle name="Normal 6 2 76" xfId="30236"/>
    <cellStyle name="Normal 6 2 77" xfId="30237"/>
    <cellStyle name="Normal 6 2 78" xfId="30238"/>
    <cellStyle name="Normal 6 2 79" xfId="30239"/>
    <cellStyle name="Normal 6 2 8" xfId="30240"/>
    <cellStyle name="Normal 6 2 80" xfId="30241"/>
    <cellStyle name="Normal 6 2 81" xfId="30242"/>
    <cellStyle name="Normal 6 2 82" xfId="30243"/>
    <cellStyle name="Normal 6 2 83" xfId="30244"/>
    <cellStyle name="Normal 6 2 9" xfId="30245"/>
    <cellStyle name="Normal 6 20" xfId="30246"/>
    <cellStyle name="Normal 6 21" xfId="30247"/>
    <cellStyle name="Normal 6 22" xfId="30248"/>
    <cellStyle name="Normal 6 23" xfId="30249"/>
    <cellStyle name="Normal 6 24" xfId="30250"/>
    <cellStyle name="Normal 6 25" xfId="30251"/>
    <cellStyle name="Normal 6 26" xfId="30252"/>
    <cellStyle name="Normal 6 27" xfId="30253"/>
    <cellStyle name="Normal 6 28" xfId="30254"/>
    <cellStyle name="Normal 6 29" xfId="30255"/>
    <cellStyle name="Normal 6 3" xfId="30256"/>
    <cellStyle name="Normal 6 3 10" xfId="30257"/>
    <cellStyle name="Normal 6 3 11" xfId="30258"/>
    <cellStyle name="Normal 6 3 12" xfId="30259"/>
    <cellStyle name="Normal 6 3 13" xfId="30260"/>
    <cellStyle name="Normal 6 3 14" xfId="30261"/>
    <cellStyle name="Normal 6 3 15" xfId="30262"/>
    <cellStyle name="Normal 6 3 16" xfId="30263"/>
    <cellStyle name="Normal 6 3 17" xfId="30264"/>
    <cellStyle name="Normal 6 3 18" xfId="30265"/>
    <cellStyle name="Normal 6 3 19" xfId="30266"/>
    <cellStyle name="Normal 6 3 2" xfId="30267"/>
    <cellStyle name="Normal 6 3 20" xfId="30268"/>
    <cellStyle name="Normal 6 3 21" xfId="30269"/>
    <cellStyle name="Normal 6 3 22" xfId="30270"/>
    <cellStyle name="Normal 6 3 23" xfId="30271"/>
    <cellStyle name="Normal 6 3 24" xfId="30272"/>
    <cellStyle name="Normal 6 3 25" xfId="30273"/>
    <cellStyle name="Normal 6 3 26" xfId="30274"/>
    <cellStyle name="Normal 6 3 27" xfId="30275"/>
    <cellStyle name="Normal 6 3 28" xfId="30276"/>
    <cellStyle name="Normal 6 3 29" xfId="30277"/>
    <cellStyle name="Normal 6 3 3" xfId="30278"/>
    <cellStyle name="Normal 6 3 30" xfId="30279"/>
    <cellStyle name="Normal 6 3 31" xfId="30280"/>
    <cellStyle name="Normal 6 3 32" xfId="30281"/>
    <cellStyle name="Normal 6 3 33" xfId="30282"/>
    <cellStyle name="Normal 6 3 34" xfId="30283"/>
    <cellStyle name="Normal 6 3 35" xfId="30284"/>
    <cellStyle name="Normal 6 3 36" xfId="30285"/>
    <cellStyle name="Normal 6 3 37" xfId="30286"/>
    <cellStyle name="Normal 6 3 38" xfId="30287"/>
    <cellStyle name="Normal 6 3 39" xfId="30288"/>
    <cellStyle name="Normal 6 3 4" xfId="30289"/>
    <cellStyle name="Normal 6 3 40" xfId="30290"/>
    <cellStyle name="Normal 6 3 41" xfId="30291"/>
    <cellStyle name="Normal 6 3 42" xfId="30292"/>
    <cellStyle name="Normal 6 3 43" xfId="30293"/>
    <cellStyle name="Normal 6 3 44" xfId="30294"/>
    <cellStyle name="Normal 6 3 45" xfId="30295"/>
    <cellStyle name="Normal 6 3 46" xfId="30296"/>
    <cellStyle name="Normal 6 3 47" xfId="30297"/>
    <cellStyle name="Normal 6 3 48" xfId="30298"/>
    <cellStyle name="Normal 6 3 49" xfId="30299"/>
    <cellStyle name="Normal 6 3 5" xfId="30300"/>
    <cellStyle name="Normal 6 3 50" xfId="30301"/>
    <cellStyle name="Normal 6 3 51" xfId="30302"/>
    <cellStyle name="Normal 6 3 52" xfId="30303"/>
    <cellStyle name="Normal 6 3 53" xfId="30304"/>
    <cellStyle name="Normal 6 3 54" xfId="30305"/>
    <cellStyle name="Normal 6 3 55" xfId="30306"/>
    <cellStyle name="Normal 6 3 56" xfId="30307"/>
    <cellStyle name="Normal 6 3 57" xfId="30308"/>
    <cellStyle name="Normal 6 3 58" xfId="30309"/>
    <cellStyle name="Normal 6 3 59" xfId="30310"/>
    <cellStyle name="Normal 6 3 6" xfId="30311"/>
    <cellStyle name="Normal 6 3 60" xfId="30312"/>
    <cellStyle name="Normal 6 3 61" xfId="30313"/>
    <cellStyle name="Normal 6 3 62" xfId="30314"/>
    <cellStyle name="Normal 6 3 63" xfId="30315"/>
    <cellStyle name="Normal 6 3 64" xfId="30316"/>
    <cellStyle name="Normal 6 3 65" xfId="30317"/>
    <cellStyle name="Normal 6 3 66" xfId="30318"/>
    <cellStyle name="Normal 6 3 67" xfId="30319"/>
    <cellStyle name="Normal 6 3 68" xfId="30320"/>
    <cellStyle name="Normal 6 3 69" xfId="30321"/>
    <cellStyle name="Normal 6 3 7" xfId="30322"/>
    <cellStyle name="Normal 6 3 70" xfId="30323"/>
    <cellStyle name="Normal 6 3 71" xfId="30324"/>
    <cellStyle name="Normal 6 3 72" xfId="30325"/>
    <cellStyle name="Normal 6 3 73" xfId="30326"/>
    <cellStyle name="Normal 6 3 74" xfId="30327"/>
    <cellStyle name="Normal 6 3 75" xfId="30328"/>
    <cellStyle name="Normal 6 3 76" xfId="30329"/>
    <cellStyle name="Normal 6 3 77" xfId="30330"/>
    <cellStyle name="Normal 6 3 78" xfId="30331"/>
    <cellStyle name="Normal 6 3 79" xfId="30332"/>
    <cellStyle name="Normal 6 3 8" xfId="30333"/>
    <cellStyle name="Normal 6 3 80" xfId="30334"/>
    <cellStyle name="Normal 6 3 81" xfId="30335"/>
    <cellStyle name="Normal 6 3 82" xfId="30336"/>
    <cellStyle name="Normal 6 3 83" xfId="30337"/>
    <cellStyle name="Normal 6 3 9" xfId="30338"/>
    <cellStyle name="Normal 6 30" xfId="30339"/>
    <cellStyle name="Normal 6 31" xfId="30340"/>
    <cellStyle name="Normal 6 32" xfId="30341"/>
    <cellStyle name="Normal 6 33" xfId="30342"/>
    <cellStyle name="Normal 6 34" xfId="30343"/>
    <cellStyle name="Normal 6 35" xfId="30344"/>
    <cellStyle name="Normal 6 36" xfId="30345"/>
    <cellStyle name="Normal 6 37" xfId="30346"/>
    <cellStyle name="Normal 6 38" xfId="30347"/>
    <cellStyle name="Normal 6 39" xfId="30348"/>
    <cellStyle name="Normal 6 4" xfId="30349"/>
    <cellStyle name="Normal 6 4 10" xfId="30350"/>
    <cellStyle name="Normal 6 4 11" xfId="30351"/>
    <cellStyle name="Normal 6 4 12" xfId="30352"/>
    <cellStyle name="Normal 6 4 13" xfId="30353"/>
    <cellStyle name="Normal 6 4 14" xfId="30354"/>
    <cellStyle name="Normal 6 4 15" xfId="30355"/>
    <cellStyle name="Normal 6 4 16" xfId="30356"/>
    <cellStyle name="Normal 6 4 17" xfId="30357"/>
    <cellStyle name="Normal 6 4 18" xfId="30358"/>
    <cellStyle name="Normal 6 4 19" xfId="30359"/>
    <cellStyle name="Normal 6 4 2" xfId="30360"/>
    <cellStyle name="Normal 6 4 20" xfId="30361"/>
    <cellStyle name="Normal 6 4 21" xfId="30362"/>
    <cellStyle name="Normal 6 4 22" xfId="30363"/>
    <cellStyle name="Normal 6 4 23" xfId="30364"/>
    <cellStyle name="Normal 6 4 24" xfId="30365"/>
    <cellStyle name="Normal 6 4 25" xfId="30366"/>
    <cellStyle name="Normal 6 4 26" xfId="30367"/>
    <cellStyle name="Normal 6 4 27" xfId="30368"/>
    <cellStyle name="Normal 6 4 28" xfId="30369"/>
    <cellStyle name="Normal 6 4 29" xfId="30370"/>
    <cellStyle name="Normal 6 4 3" xfId="30371"/>
    <cellStyle name="Normal 6 4 30" xfId="30372"/>
    <cellStyle name="Normal 6 4 31" xfId="30373"/>
    <cellStyle name="Normal 6 4 32" xfId="30374"/>
    <cellStyle name="Normal 6 4 33" xfId="30375"/>
    <cellStyle name="Normal 6 4 34" xfId="30376"/>
    <cellStyle name="Normal 6 4 35" xfId="30377"/>
    <cellStyle name="Normal 6 4 36" xfId="30378"/>
    <cellStyle name="Normal 6 4 37" xfId="30379"/>
    <cellStyle name="Normal 6 4 38" xfId="30380"/>
    <cellStyle name="Normal 6 4 39" xfId="30381"/>
    <cellStyle name="Normal 6 4 4" xfId="30382"/>
    <cellStyle name="Normal 6 4 40" xfId="30383"/>
    <cellStyle name="Normal 6 4 41" xfId="30384"/>
    <cellStyle name="Normal 6 4 42" xfId="30385"/>
    <cellStyle name="Normal 6 4 43" xfId="30386"/>
    <cellStyle name="Normal 6 4 44" xfId="30387"/>
    <cellStyle name="Normal 6 4 45" xfId="30388"/>
    <cellStyle name="Normal 6 4 46" xfId="30389"/>
    <cellStyle name="Normal 6 4 47" xfId="30390"/>
    <cellStyle name="Normal 6 4 48" xfId="30391"/>
    <cellStyle name="Normal 6 4 49" xfId="30392"/>
    <cellStyle name="Normal 6 4 5" xfId="30393"/>
    <cellStyle name="Normal 6 4 50" xfId="30394"/>
    <cellStyle name="Normal 6 4 51" xfId="30395"/>
    <cellStyle name="Normal 6 4 52" xfId="30396"/>
    <cellStyle name="Normal 6 4 53" xfId="30397"/>
    <cellStyle name="Normal 6 4 54" xfId="30398"/>
    <cellStyle name="Normal 6 4 55" xfId="30399"/>
    <cellStyle name="Normal 6 4 56" xfId="30400"/>
    <cellStyle name="Normal 6 4 57" xfId="30401"/>
    <cellStyle name="Normal 6 4 58" xfId="30402"/>
    <cellStyle name="Normal 6 4 59" xfId="30403"/>
    <cellStyle name="Normal 6 4 6" xfId="30404"/>
    <cellStyle name="Normal 6 4 60" xfId="30405"/>
    <cellStyle name="Normal 6 4 61" xfId="30406"/>
    <cellStyle name="Normal 6 4 62" xfId="30407"/>
    <cellStyle name="Normal 6 4 63" xfId="30408"/>
    <cellStyle name="Normal 6 4 64" xfId="30409"/>
    <cellStyle name="Normal 6 4 65" xfId="30410"/>
    <cellStyle name="Normal 6 4 66" xfId="30411"/>
    <cellStyle name="Normal 6 4 67" xfId="30412"/>
    <cellStyle name="Normal 6 4 68" xfId="30413"/>
    <cellStyle name="Normal 6 4 69" xfId="30414"/>
    <cellStyle name="Normal 6 4 7" xfId="30415"/>
    <cellStyle name="Normal 6 4 70" xfId="30416"/>
    <cellStyle name="Normal 6 4 71" xfId="30417"/>
    <cellStyle name="Normal 6 4 72" xfId="30418"/>
    <cellStyle name="Normal 6 4 73" xfId="30419"/>
    <cellStyle name="Normal 6 4 74" xfId="30420"/>
    <cellStyle name="Normal 6 4 75" xfId="30421"/>
    <cellStyle name="Normal 6 4 76" xfId="30422"/>
    <cellStyle name="Normal 6 4 77" xfId="30423"/>
    <cellStyle name="Normal 6 4 78" xfId="30424"/>
    <cellStyle name="Normal 6 4 79" xfId="30425"/>
    <cellStyle name="Normal 6 4 8" xfId="30426"/>
    <cellStyle name="Normal 6 4 80" xfId="30427"/>
    <cellStyle name="Normal 6 4 81" xfId="30428"/>
    <cellStyle name="Normal 6 4 82" xfId="30429"/>
    <cellStyle name="Normal 6 4 83" xfId="30430"/>
    <cellStyle name="Normal 6 4 9" xfId="30431"/>
    <cellStyle name="Normal 6 40" xfId="30432"/>
    <cellStyle name="Normal 6 41" xfId="30433"/>
    <cellStyle name="Normal 6 42" xfId="30434"/>
    <cellStyle name="Normal 6 43" xfId="30435"/>
    <cellStyle name="Normal 6 44" xfId="30436"/>
    <cellStyle name="Normal 6 45" xfId="30437"/>
    <cellStyle name="Normal 6 46" xfId="30438"/>
    <cellStyle name="Normal 6 47" xfId="30439"/>
    <cellStyle name="Normal 6 48" xfId="30440"/>
    <cellStyle name="Normal 6 49" xfId="30441"/>
    <cellStyle name="Normal 6 5" xfId="30442"/>
    <cellStyle name="Normal 6 50" xfId="30443"/>
    <cellStyle name="Normal 6 51" xfId="30444"/>
    <cellStyle name="Normal 6 52" xfId="30445"/>
    <cellStyle name="Normal 6 53" xfId="30446"/>
    <cellStyle name="Normal 6 54" xfId="30447"/>
    <cellStyle name="Normal 6 55" xfId="30448"/>
    <cellStyle name="Normal 6 56" xfId="30449"/>
    <cellStyle name="Normal 6 57" xfId="30450"/>
    <cellStyle name="Normal 6 58" xfId="30451"/>
    <cellStyle name="Normal 6 59" xfId="30452"/>
    <cellStyle name="Normal 6 6" xfId="30453"/>
    <cellStyle name="Normal 6 60" xfId="30454"/>
    <cellStyle name="Normal 6 61" xfId="30455"/>
    <cellStyle name="Normal 6 62" xfId="30456"/>
    <cellStyle name="Normal 6 63" xfId="30457"/>
    <cellStyle name="Normal 6 64" xfId="30458"/>
    <cellStyle name="Normal 6 65" xfId="30459"/>
    <cellStyle name="Normal 6 66" xfId="30460"/>
    <cellStyle name="Normal 6 67" xfId="30461"/>
    <cellStyle name="Normal 6 68" xfId="30462"/>
    <cellStyle name="Normal 6 69" xfId="30463"/>
    <cellStyle name="Normal 6 7" xfId="30464"/>
    <cellStyle name="Normal 6 70" xfId="30465"/>
    <cellStyle name="Normal 6 71" xfId="30466"/>
    <cellStyle name="Normal 6 72" xfId="30467"/>
    <cellStyle name="Normal 6 73" xfId="30468"/>
    <cellStyle name="Normal 6 74" xfId="30469"/>
    <cellStyle name="Normal 6 75" xfId="30470"/>
    <cellStyle name="Normal 6 76" xfId="30471"/>
    <cellStyle name="Normal 6 77" xfId="30472"/>
    <cellStyle name="Normal 6 78" xfId="30473"/>
    <cellStyle name="Normal 6 79" xfId="30474"/>
    <cellStyle name="Normal 6 8" xfId="30475"/>
    <cellStyle name="Normal 6 80" xfId="30476"/>
    <cellStyle name="Normal 6 81" xfId="30477"/>
    <cellStyle name="Normal 6 82" xfId="30478"/>
    <cellStyle name="Normal 6 83" xfId="30479"/>
    <cellStyle name="Normal 6 84" xfId="30480"/>
    <cellStyle name="Normal 6 85" xfId="30481"/>
    <cellStyle name="Normal 6 86" xfId="30482"/>
    <cellStyle name="Normal 6 9" xfId="30483"/>
    <cellStyle name="Normal 6_Cultura y Tiempo libre 2011 base 2012 PGM - EMV  2013" xfId="30484"/>
    <cellStyle name="Normal 7" xfId="30485"/>
    <cellStyle name="Normal 7 10" xfId="30486"/>
    <cellStyle name="Normal 7 11" xfId="30487"/>
    <cellStyle name="Normal 7 12" xfId="30488"/>
    <cellStyle name="Normal 7 13" xfId="30489"/>
    <cellStyle name="Normal 7 14" xfId="30490"/>
    <cellStyle name="Normal 7 15" xfId="30491"/>
    <cellStyle name="Normal 7 16" xfId="30492"/>
    <cellStyle name="Normal 7 17" xfId="30493"/>
    <cellStyle name="Normal 7 18" xfId="30494"/>
    <cellStyle name="Normal 7 19" xfId="30495"/>
    <cellStyle name="Normal 7 2" xfId="30496"/>
    <cellStyle name="Normal 7 2 10" xfId="30497"/>
    <cellStyle name="Normal 7 2 11" xfId="30498"/>
    <cellStyle name="Normal 7 2 12" xfId="30499"/>
    <cellStyle name="Normal 7 2 13" xfId="30500"/>
    <cellStyle name="Normal 7 2 14" xfId="30501"/>
    <cellStyle name="Normal 7 2 15" xfId="30502"/>
    <cellStyle name="Normal 7 2 16" xfId="30503"/>
    <cellStyle name="Normal 7 2 17" xfId="30504"/>
    <cellStyle name="Normal 7 2 18" xfId="30505"/>
    <cellStyle name="Normal 7 2 19" xfId="30506"/>
    <cellStyle name="Normal 7 2 2" xfId="30507"/>
    <cellStyle name="Normal 7 2 20" xfId="30508"/>
    <cellStyle name="Normal 7 2 21" xfId="30509"/>
    <cellStyle name="Normal 7 2 22" xfId="30510"/>
    <cellStyle name="Normal 7 2 23" xfId="30511"/>
    <cellStyle name="Normal 7 2 24" xfId="30512"/>
    <cellStyle name="Normal 7 2 25" xfId="30513"/>
    <cellStyle name="Normal 7 2 26" xfId="30514"/>
    <cellStyle name="Normal 7 2 27" xfId="30515"/>
    <cellStyle name="Normal 7 2 28" xfId="30516"/>
    <cellStyle name="Normal 7 2 29" xfId="30517"/>
    <cellStyle name="Normal 7 2 3" xfId="30518"/>
    <cellStyle name="Normal 7 2 30" xfId="30519"/>
    <cellStyle name="Normal 7 2 31" xfId="30520"/>
    <cellStyle name="Normal 7 2 32" xfId="30521"/>
    <cellStyle name="Normal 7 2 33" xfId="30522"/>
    <cellStyle name="Normal 7 2 34" xfId="30523"/>
    <cellStyle name="Normal 7 2 35" xfId="30524"/>
    <cellStyle name="Normal 7 2 36" xfId="30525"/>
    <cellStyle name="Normal 7 2 37" xfId="30526"/>
    <cellStyle name="Normal 7 2 38" xfId="30527"/>
    <cellStyle name="Normal 7 2 39" xfId="30528"/>
    <cellStyle name="Normal 7 2 4" xfId="30529"/>
    <cellStyle name="Normal 7 2 40" xfId="30530"/>
    <cellStyle name="Normal 7 2 41" xfId="30531"/>
    <cellStyle name="Normal 7 2 42" xfId="30532"/>
    <cellStyle name="Normal 7 2 43" xfId="30533"/>
    <cellStyle name="Normal 7 2 44" xfId="30534"/>
    <cellStyle name="Normal 7 2 45" xfId="30535"/>
    <cellStyle name="Normal 7 2 46" xfId="30536"/>
    <cellStyle name="Normal 7 2 47" xfId="30537"/>
    <cellStyle name="Normal 7 2 48" xfId="30538"/>
    <cellStyle name="Normal 7 2 49" xfId="30539"/>
    <cellStyle name="Normal 7 2 5" xfId="30540"/>
    <cellStyle name="Normal 7 2 50" xfId="30541"/>
    <cellStyle name="Normal 7 2 51" xfId="30542"/>
    <cellStyle name="Normal 7 2 52" xfId="30543"/>
    <cellStyle name="Normal 7 2 53" xfId="30544"/>
    <cellStyle name="Normal 7 2 54" xfId="30545"/>
    <cellStyle name="Normal 7 2 55" xfId="30546"/>
    <cellStyle name="Normal 7 2 56" xfId="30547"/>
    <cellStyle name="Normal 7 2 57" xfId="30548"/>
    <cellStyle name="Normal 7 2 58" xfId="30549"/>
    <cellStyle name="Normal 7 2 59" xfId="30550"/>
    <cellStyle name="Normal 7 2 6" xfId="30551"/>
    <cellStyle name="Normal 7 2 60" xfId="30552"/>
    <cellStyle name="Normal 7 2 61" xfId="30553"/>
    <cellStyle name="Normal 7 2 62" xfId="30554"/>
    <cellStyle name="Normal 7 2 63" xfId="30555"/>
    <cellStyle name="Normal 7 2 64" xfId="30556"/>
    <cellStyle name="Normal 7 2 65" xfId="30557"/>
    <cellStyle name="Normal 7 2 66" xfId="30558"/>
    <cellStyle name="Normal 7 2 67" xfId="30559"/>
    <cellStyle name="Normal 7 2 68" xfId="30560"/>
    <cellStyle name="Normal 7 2 69" xfId="30561"/>
    <cellStyle name="Normal 7 2 7" xfId="30562"/>
    <cellStyle name="Normal 7 2 70" xfId="30563"/>
    <cellStyle name="Normal 7 2 71" xfId="30564"/>
    <cellStyle name="Normal 7 2 72" xfId="30565"/>
    <cellStyle name="Normal 7 2 73" xfId="30566"/>
    <cellStyle name="Normal 7 2 74" xfId="30567"/>
    <cellStyle name="Normal 7 2 75" xfId="30568"/>
    <cellStyle name="Normal 7 2 76" xfId="30569"/>
    <cellStyle name="Normal 7 2 77" xfId="30570"/>
    <cellStyle name="Normal 7 2 78" xfId="30571"/>
    <cellStyle name="Normal 7 2 79" xfId="30572"/>
    <cellStyle name="Normal 7 2 8" xfId="30573"/>
    <cellStyle name="Normal 7 2 80" xfId="30574"/>
    <cellStyle name="Normal 7 2 81" xfId="30575"/>
    <cellStyle name="Normal 7 2 82" xfId="30576"/>
    <cellStyle name="Normal 7 2 83" xfId="30577"/>
    <cellStyle name="Normal 7 2 9" xfId="30578"/>
    <cellStyle name="Normal 7 20" xfId="30579"/>
    <cellStyle name="Normal 7 21" xfId="30580"/>
    <cellStyle name="Normal 7 22" xfId="30581"/>
    <cellStyle name="Normal 7 23" xfId="30582"/>
    <cellStyle name="Normal 7 24" xfId="30583"/>
    <cellStyle name="Normal 7 25" xfId="30584"/>
    <cellStyle name="Normal 7 26" xfId="30585"/>
    <cellStyle name="Normal 7 27" xfId="30586"/>
    <cellStyle name="Normal 7 28" xfId="30587"/>
    <cellStyle name="Normal 7 29" xfId="30588"/>
    <cellStyle name="Normal 7 3" xfId="30589"/>
    <cellStyle name="Normal 7 3 10" xfId="30590"/>
    <cellStyle name="Normal 7 3 11" xfId="30591"/>
    <cellStyle name="Normal 7 3 12" xfId="30592"/>
    <cellStyle name="Normal 7 3 13" xfId="30593"/>
    <cellStyle name="Normal 7 3 14" xfId="30594"/>
    <cellStyle name="Normal 7 3 15" xfId="30595"/>
    <cellStyle name="Normal 7 3 16" xfId="30596"/>
    <cellStyle name="Normal 7 3 17" xfId="30597"/>
    <cellStyle name="Normal 7 3 18" xfId="30598"/>
    <cellStyle name="Normal 7 3 19" xfId="30599"/>
    <cellStyle name="Normal 7 3 2" xfId="30600"/>
    <cellStyle name="Normal 7 3 20" xfId="30601"/>
    <cellStyle name="Normal 7 3 21" xfId="30602"/>
    <cellStyle name="Normal 7 3 22" xfId="30603"/>
    <cellStyle name="Normal 7 3 23" xfId="30604"/>
    <cellStyle name="Normal 7 3 24" xfId="30605"/>
    <cellStyle name="Normal 7 3 25" xfId="30606"/>
    <cellStyle name="Normal 7 3 26" xfId="30607"/>
    <cellStyle name="Normal 7 3 27" xfId="30608"/>
    <cellStyle name="Normal 7 3 28" xfId="30609"/>
    <cellStyle name="Normal 7 3 29" xfId="30610"/>
    <cellStyle name="Normal 7 3 3" xfId="30611"/>
    <cellStyle name="Normal 7 3 30" xfId="30612"/>
    <cellStyle name="Normal 7 3 31" xfId="30613"/>
    <cellStyle name="Normal 7 3 32" xfId="30614"/>
    <cellStyle name="Normal 7 3 33" xfId="30615"/>
    <cellStyle name="Normal 7 3 34" xfId="30616"/>
    <cellStyle name="Normal 7 3 35" xfId="30617"/>
    <cellStyle name="Normal 7 3 36" xfId="30618"/>
    <cellStyle name="Normal 7 3 37" xfId="30619"/>
    <cellStyle name="Normal 7 3 38" xfId="30620"/>
    <cellStyle name="Normal 7 3 39" xfId="30621"/>
    <cellStyle name="Normal 7 3 4" xfId="30622"/>
    <cellStyle name="Normal 7 3 40" xfId="30623"/>
    <cellStyle name="Normal 7 3 41" xfId="30624"/>
    <cellStyle name="Normal 7 3 42" xfId="30625"/>
    <cellStyle name="Normal 7 3 43" xfId="30626"/>
    <cellStyle name="Normal 7 3 44" xfId="30627"/>
    <cellStyle name="Normal 7 3 45" xfId="30628"/>
    <cellStyle name="Normal 7 3 46" xfId="30629"/>
    <cellStyle name="Normal 7 3 47" xfId="30630"/>
    <cellStyle name="Normal 7 3 48" xfId="30631"/>
    <cellStyle name="Normal 7 3 49" xfId="30632"/>
    <cellStyle name="Normal 7 3 5" xfId="30633"/>
    <cellStyle name="Normal 7 3 50" xfId="30634"/>
    <cellStyle name="Normal 7 3 51" xfId="30635"/>
    <cellStyle name="Normal 7 3 52" xfId="30636"/>
    <cellStyle name="Normal 7 3 53" xfId="30637"/>
    <cellStyle name="Normal 7 3 54" xfId="30638"/>
    <cellStyle name="Normal 7 3 55" xfId="30639"/>
    <cellStyle name="Normal 7 3 56" xfId="30640"/>
    <cellStyle name="Normal 7 3 57" xfId="30641"/>
    <cellStyle name="Normal 7 3 58" xfId="30642"/>
    <cellStyle name="Normal 7 3 59" xfId="30643"/>
    <cellStyle name="Normal 7 3 6" xfId="30644"/>
    <cellStyle name="Normal 7 3 60" xfId="30645"/>
    <cellStyle name="Normal 7 3 61" xfId="30646"/>
    <cellStyle name="Normal 7 3 62" xfId="30647"/>
    <cellStyle name="Normal 7 3 63" xfId="30648"/>
    <cellStyle name="Normal 7 3 64" xfId="30649"/>
    <cellStyle name="Normal 7 3 65" xfId="30650"/>
    <cellStyle name="Normal 7 3 66" xfId="30651"/>
    <cellStyle name="Normal 7 3 67" xfId="30652"/>
    <cellStyle name="Normal 7 3 68" xfId="30653"/>
    <cellStyle name="Normal 7 3 69" xfId="30654"/>
    <cellStyle name="Normal 7 3 7" xfId="30655"/>
    <cellStyle name="Normal 7 3 70" xfId="30656"/>
    <cellStyle name="Normal 7 3 71" xfId="30657"/>
    <cellStyle name="Normal 7 3 72" xfId="30658"/>
    <cellStyle name="Normal 7 3 73" xfId="30659"/>
    <cellStyle name="Normal 7 3 74" xfId="30660"/>
    <cellStyle name="Normal 7 3 75" xfId="30661"/>
    <cellStyle name="Normal 7 3 76" xfId="30662"/>
    <cellStyle name="Normal 7 3 77" xfId="30663"/>
    <cellStyle name="Normal 7 3 78" xfId="30664"/>
    <cellStyle name="Normal 7 3 79" xfId="30665"/>
    <cellStyle name="Normal 7 3 8" xfId="30666"/>
    <cellStyle name="Normal 7 3 80" xfId="30667"/>
    <cellStyle name="Normal 7 3 81" xfId="30668"/>
    <cellStyle name="Normal 7 3 82" xfId="30669"/>
    <cellStyle name="Normal 7 3 83" xfId="30670"/>
    <cellStyle name="Normal 7 3 9" xfId="30671"/>
    <cellStyle name="Normal 7 30" xfId="30672"/>
    <cellStyle name="Normal 7 31" xfId="30673"/>
    <cellStyle name="Normal 7 32" xfId="30674"/>
    <cellStyle name="Normal 7 33" xfId="30675"/>
    <cellStyle name="Normal 7 34" xfId="30676"/>
    <cellStyle name="Normal 7 35" xfId="30677"/>
    <cellStyle name="Normal 7 36" xfId="30678"/>
    <cellStyle name="Normal 7 37" xfId="30679"/>
    <cellStyle name="Normal 7 38" xfId="30680"/>
    <cellStyle name="Normal 7 39" xfId="30681"/>
    <cellStyle name="Normal 7 4" xfId="30682"/>
    <cellStyle name="Normal 7 4 10" xfId="30683"/>
    <cellStyle name="Normal 7 4 11" xfId="30684"/>
    <cellStyle name="Normal 7 4 12" xfId="30685"/>
    <cellStyle name="Normal 7 4 13" xfId="30686"/>
    <cellStyle name="Normal 7 4 14" xfId="30687"/>
    <cellStyle name="Normal 7 4 15" xfId="30688"/>
    <cellStyle name="Normal 7 4 16" xfId="30689"/>
    <cellStyle name="Normal 7 4 17" xfId="30690"/>
    <cellStyle name="Normal 7 4 18" xfId="30691"/>
    <cellStyle name="Normal 7 4 19" xfId="30692"/>
    <cellStyle name="Normal 7 4 2" xfId="30693"/>
    <cellStyle name="Normal 7 4 20" xfId="30694"/>
    <cellStyle name="Normal 7 4 21" xfId="30695"/>
    <cellStyle name="Normal 7 4 22" xfId="30696"/>
    <cellStyle name="Normal 7 4 23" xfId="30697"/>
    <cellStyle name="Normal 7 4 24" xfId="30698"/>
    <cellStyle name="Normal 7 4 25" xfId="30699"/>
    <cellStyle name="Normal 7 4 26" xfId="30700"/>
    <cellStyle name="Normal 7 4 27" xfId="30701"/>
    <cellStyle name="Normal 7 4 28" xfId="30702"/>
    <cellStyle name="Normal 7 4 29" xfId="30703"/>
    <cellStyle name="Normal 7 4 3" xfId="30704"/>
    <cellStyle name="Normal 7 4 30" xfId="30705"/>
    <cellStyle name="Normal 7 4 31" xfId="30706"/>
    <cellStyle name="Normal 7 4 32" xfId="30707"/>
    <cellStyle name="Normal 7 4 33" xfId="30708"/>
    <cellStyle name="Normal 7 4 34" xfId="30709"/>
    <cellStyle name="Normal 7 4 35" xfId="30710"/>
    <cellStyle name="Normal 7 4 36" xfId="30711"/>
    <cellStyle name="Normal 7 4 37" xfId="30712"/>
    <cellStyle name="Normal 7 4 38" xfId="30713"/>
    <cellStyle name="Normal 7 4 39" xfId="30714"/>
    <cellStyle name="Normal 7 4 4" xfId="30715"/>
    <cellStyle name="Normal 7 4 40" xfId="30716"/>
    <cellStyle name="Normal 7 4 41" xfId="30717"/>
    <cellStyle name="Normal 7 4 42" xfId="30718"/>
    <cellStyle name="Normal 7 4 43" xfId="30719"/>
    <cellStyle name="Normal 7 4 44" xfId="30720"/>
    <cellStyle name="Normal 7 4 45" xfId="30721"/>
    <cellStyle name="Normal 7 4 46" xfId="30722"/>
    <cellStyle name="Normal 7 4 47" xfId="30723"/>
    <cellStyle name="Normal 7 4 48" xfId="30724"/>
    <cellStyle name="Normal 7 4 49" xfId="30725"/>
    <cellStyle name="Normal 7 4 5" xfId="30726"/>
    <cellStyle name="Normal 7 4 50" xfId="30727"/>
    <cellStyle name="Normal 7 4 51" xfId="30728"/>
    <cellStyle name="Normal 7 4 52" xfId="30729"/>
    <cellStyle name="Normal 7 4 53" xfId="30730"/>
    <cellStyle name="Normal 7 4 54" xfId="30731"/>
    <cellStyle name="Normal 7 4 55" xfId="30732"/>
    <cellStyle name="Normal 7 4 56" xfId="30733"/>
    <cellStyle name="Normal 7 4 57" xfId="30734"/>
    <cellStyle name="Normal 7 4 58" xfId="30735"/>
    <cellStyle name="Normal 7 4 59" xfId="30736"/>
    <cellStyle name="Normal 7 4 6" xfId="30737"/>
    <cellStyle name="Normal 7 4 60" xfId="30738"/>
    <cellStyle name="Normal 7 4 61" xfId="30739"/>
    <cellStyle name="Normal 7 4 62" xfId="30740"/>
    <cellStyle name="Normal 7 4 63" xfId="30741"/>
    <cellStyle name="Normal 7 4 64" xfId="30742"/>
    <cellStyle name="Normal 7 4 65" xfId="30743"/>
    <cellStyle name="Normal 7 4 66" xfId="30744"/>
    <cellStyle name="Normal 7 4 67" xfId="30745"/>
    <cellStyle name="Normal 7 4 68" xfId="30746"/>
    <cellStyle name="Normal 7 4 69" xfId="30747"/>
    <cellStyle name="Normal 7 4 7" xfId="30748"/>
    <cellStyle name="Normal 7 4 70" xfId="30749"/>
    <cellStyle name="Normal 7 4 71" xfId="30750"/>
    <cellStyle name="Normal 7 4 72" xfId="30751"/>
    <cellStyle name="Normal 7 4 73" xfId="30752"/>
    <cellStyle name="Normal 7 4 74" xfId="30753"/>
    <cellStyle name="Normal 7 4 75" xfId="30754"/>
    <cellStyle name="Normal 7 4 76" xfId="30755"/>
    <cellStyle name="Normal 7 4 77" xfId="30756"/>
    <cellStyle name="Normal 7 4 78" xfId="30757"/>
    <cellStyle name="Normal 7 4 79" xfId="30758"/>
    <cellStyle name="Normal 7 4 8" xfId="30759"/>
    <cellStyle name="Normal 7 4 80" xfId="30760"/>
    <cellStyle name="Normal 7 4 81" xfId="30761"/>
    <cellStyle name="Normal 7 4 82" xfId="30762"/>
    <cellStyle name="Normal 7 4 83" xfId="30763"/>
    <cellStyle name="Normal 7 4 9" xfId="30764"/>
    <cellStyle name="Normal 7 40" xfId="30765"/>
    <cellStyle name="Normal 7 41" xfId="30766"/>
    <cellStyle name="Normal 7 42" xfId="30767"/>
    <cellStyle name="Normal 7 43" xfId="30768"/>
    <cellStyle name="Normal 7 44" xfId="30769"/>
    <cellStyle name="Normal 7 45" xfId="30770"/>
    <cellStyle name="Normal 7 46" xfId="30771"/>
    <cellStyle name="Normal 7 47" xfId="30772"/>
    <cellStyle name="Normal 7 48" xfId="30773"/>
    <cellStyle name="Normal 7 49" xfId="30774"/>
    <cellStyle name="Normal 7 5" xfId="30775"/>
    <cellStyle name="Normal 7 50" xfId="30776"/>
    <cellStyle name="Normal 7 51" xfId="30777"/>
    <cellStyle name="Normal 7 52" xfId="30778"/>
    <cellStyle name="Normal 7 53" xfId="30779"/>
    <cellStyle name="Normal 7 54" xfId="30780"/>
    <cellStyle name="Normal 7 55" xfId="30781"/>
    <cellStyle name="Normal 7 56" xfId="30782"/>
    <cellStyle name="Normal 7 57" xfId="30783"/>
    <cellStyle name="Normal 7 58" xfId="30784"/>
    <cellStyle name="Normal 7 59" xfId="30785"/>
    <cellStyle name="Normal 7 6" xfId="30786"/>
    <cellStyle name="Normal 7 60" xfId="30787"/>
    <cellStyle name="Normal 7 61" xfId="30788"/>
    <cellStyle name="Normal 7 62" xfId="30789"/>
    <cellStyle name="Normal 7 63" xfId="30790"/>
    <cellStyle name="Normal 7 64" xfId="30791"/>
    <cellStyle name="Normal 7 65" xfId="30792"/>
    <cellStyle name="Normal 7 66" xfId="30793"/>
    <cellStyle name="Normal 7 67" xfId="30794"/>
    <cellStyle name="Normal 7 68" xfId="30795"/>
    <cellStyle name="Normal 7 69" xfId="30796"/>
    <cellStyle name="Normal 7 7" xfId="30797"/>
    <cellStyle name="Normal 7 70" xfId="30798"/>
    <cellStyle name="Normal 7 71" xfId="30799"/>
    <cellStyle name="Normal 7 72" xfId="30800"/>
    <cellStyle name="Normal 7 73" xfId="30801"/>
    <cellStyle name="Normal 7 74" xfId="30802"/>
    <cellStyle name="Normal 7 75" xfId="30803"/>
    <cellStyle name="Normal 7 76" xfId="30804"/>
    <cellStyle name="Normal 7 77" xfId="30805"/>
    <cellStyle name="Normal 7 78" xfId="30806"/>
    <cellStyle name="Normal 7 79" xfId="30807"/>
    <cellStyle name="Normal 7 8" xfId="30808"/>
    <cellStyle name="Normal 7 80" xfId="30809"/>
    <cellStyle name="Normal 7 81" xfId="30810"/>
    <cellStyle name="Normal 7 82" xfId="30811"/>
    <cellStyle name="Normal 7 83" xfId="30812"/>
    <cellStyle name="Normal 7 84" xfId="30813"/>
    <cellStyle name="Normal 7 85" xfId="30814"/>
    <cellStyle name="Normal 7 86" xfId="30815"/>
    <cellStyle name="Normal 7 9" xfId="30816"/>
    <cellStyle name="Normal 7_Cultura y Tiempo libre 2011 base 2012 PGM - EMV  2013" xfId="30817"/>
    <cellStyle name="Normal 8" xfId="30818"/>
    <cellStyle name="Normal 8 10" xfId="30819"/>
    <cellStyle name="Normal 8 11" xfId="30820"/>
    <cellStyle name="Normal 8 12" xfId="30821"/>
    <cellStyle name="Normal 8 13" xfId="30822"/>
    <cellStyle name="Normal 8 14" xfId="30823"/>
    <cellStyle name="Normal 8 15" xfId="30824"/>
    <cellStyle name="Normal 8 16" xfId="30825"/>
    <cellStyle name="Normal 8 17" xfId="30826"/>
    <cellStyle name="Normal 8 18" xfId="30827"/>
    <cellStyle name="Normal 8 19" xfId="30828"/>
    <cellStyle name="Normal 8 2" xfId="30829"/>
    <cellStyle name="Normal 8 2 10" xfId="30830"/>
    <cellStyle name="Normal 8 2 11" xfId="30831"/>
    <cellStyle name="Normal 8 2 12" xfId="30832"/>
    <cellStyle name="Normal 8 2 13" xfId="30833"/>
    <cellStyle name="Normal 8 2 14" xfId="30834"/>
    <cellStyle name="Normal 8 2 15" xfId="30835"/>
    <cellStyle name="Normal 8 2 16" xfId="30836"/>
    <cellStyle name="Normal 8 2 17" xfId="30837"/>
    <cellStyle name="Normal 8 2 18" xfId="30838"/>
    <cellStyle name="Normal 8 2 19" xfId="30839"/>
    <cellStyle name="Normal 8 2 2" xfId="30840"/>
    <cellStyle name="Normal 8 2 20" xfId="30841"/>
    <cellStyle name="Normal 8 2 21" xfId="30842"/>
    <cellStyle name="Normal 8 2 22" xfId="30843"/>
    <cellStyle name="Normal 8 2 23" xfId="30844"/>
    <cellStyle name="Normal 8 2 24" xfId="30845"/>
    <cellStyle name="Normal 8 2 25" xfId="30846"/>
    <cellStyle name="Normal 8 2 26" xfId="30847"/>
    <cellStyle name="Normal 8 2 27" xfId="30848"/>
    <cellStyle name="Normal 8 2 28" xfId="30849"/>
    <cellStyle name="Normal 8 2 29" xfId="30850"/>
    <cellStyle name="Normal 8 2 3" xfId="30851"/>
    <cellStyle name="Normal 8 2 30" xfId="30852"/>
    <cellStyle name="Normal 8 2 31" xfId="30853"/>
    <cellStyle name="Normal 8 2 32" xfId="30854"/>
    <cellStyle name="Normal 8 2 33" xfId="30855"/>
    <cellStyle name="Normal 8 2 34" xfId="30856"/>
    <cellStyle name="Normal 8 2 35" xfId="30857"/>
    <cellStyle name="Normal 8 2 36" xfId="30858"/>
    <cellStyle name="Normal 8 2 37" xfId="30859"/>
    <cellStyle name="Normal 8 2 38" xfId="30860"/>
    <cellStyle name="Normal 8 2 39" xfId="30861"/>
    <cellStyle name="Normal 8 2 4" xfId="30862"/>
    <cellStyle name="Normal 8 2 40" xfId="30863"/>
    <cellStyle name="Normal 8 2 41" xfId="30864"/>
    <cellStyle name="Normal 8 2 42" xfId="30865"/>
    <cellStyle name="Normal 8 2 43" xfId="30866"/>
    <cellStyle name="Normal 8 2 44" xfId="30867"/>
    <cellStyle name="Normal 8 2 45" xfId="30868"/>
    <cellStyle name="Normal 8 2 46" xfId="30869"/>
    <cellStyle name="Normal 8 2 47" xfId="30870"/>
    <cellStyle name="Normal 8 2 48" xfId="30871"/>
    <cellStyle name="Normal 8 2 49" xfId="30872"/>
    <cellStyle name="Normal 8 2 5" xfId="30873"/>
    <cellStyle name="Normal 8 2 50" xfId="30874"/>
    <cellStyle name="Normal 8 2 51" xfId="30875"/>
    <cellStyle name="Normal 8 2 52" xfId="30876"/>
    <cellStyle name="Normal 8 2 53" xfId="30877"/>
    <cellStyle name="Normal 8 2 54" xfId="30878"/>
    <cellStyle name="Normal 8 2 55" xfId="30879"/>
    <cellStyle name="Normal 8 2 56" xfId="30880"/>
    <cellStyle name="Normal 8 2 57" xfId="30881"/>
    <cellStyle name="Normal 8 2 58" xfId="30882"/>
    <cellStyle name="Normal 8 2 59" xfId="30883"/>
    <cellStyle name="Normal 8 2 6" xfId="30884"/>
    <cellStyle name="Normal 8 2 60" xfId="30885"/>
    <cellStyle name="Normal 8 2 61" xfId="30886"/>
    <cellStyle name="Normal 8 2 62" xfId="30887"/>
    <cellStyle name="Normal 8 2 63" xfId="30888"/>
    <cellStyle name="Normal 8 2 64" xfId="30889"/>
    <cellStyle name="Normal 8 2 65" xfId="30890"/>
    <cellStyle name="Normal 8 2 66" xfId="30891"/>
    <cellStyle name="Normal 8 2 67" xfId="30892"/>
    <cellStyle name="Normal 8 2 68" xfId="30893"/>
    <cellStyle name="Normal 8 2 69" xfId="30894"/>
    <cellStyle name="Normal 8 2 7" xfId="30895"/>
    <cellStyle name="Normal 8 2 70" xfId="30896"/>
    <cellStyle name="Normal 8 2 71" xfId="30897"/>
    <cellStyle name="Normal 8 2 72" xfId="30898"/>
    <cellStyle name="Normal 8 2 73" xfId="30899"/>
    <cellStyle name="Normal 8 2 74" xfId="30900"/>
    <cellStyle name="Normal 8 2 75" xfId="30901"/>
    <cellStyle name="Normal 8 2 76" xfId="30902"/>
    <cellStyle name="Normal 8 2 77" xfId="30903"/>
    <cellStyle name="Normal 8 2 78" xfId="30904"/>
    <cellStyle name="Normal 8 2 79" xfId="30905"/>
    <cellStyle name="Normal 8 2 8" xfId="30906"/>
    <cellStyle name="Normal 8 2 80" xfId="30907"/>
    <cellStyle name="Normal 8 2 81" xfId="30908"/>
    <cellStyle name="Normal 8 2 82" xfId="30909"/>
    <cellStyle name="Normal 8 2 83" xfId="30910"/>
    <cellStyle name="Normal 8 2 9" xfId="30911"/>
    <cellStyle name="Normal 8 20" xfId="30912"/>
    <cellStyle name="Normal 8 21" xfId="30913"/>
    <cellStyle name="Normal 8 22" xfId="30914"/>
    <cellStyle name="Normal 8 23" xfId="30915"/>
    <cellStyle name="Normal 8 24" xfId="30916"/>
    <cellStyle name="Normal 8 25" xfId="30917"/>
    <cellStyle name="Normal 8 26" xfId="30918"/>
    <cellStyle name="Normal 8 27" xfId="30919"/>
    <cellStyle name="Normal 8 28" xfId="30920"/>
    <cellStyle name="Normal 8 29" xfId="30921"/>
    <cellStyle name="Normal 8 3" xfId="30922"/>
    <cellStyle name="Normal 8 3 10" xfId="30923"/>
    <cellStyle name="Normal 8 3 11" xfId="30924"/>
    <cellStyle name="Normal 8 3 12" xfId="30925"/>
    <cellStyle name="Normal 8 3 13" xfId="30926"/>
    <cellStyle name="Normal 8 3 14" xfId="30927"/>
    <cellStyle name="Normal 8 3 15" xfId="30928"/>
    <cellStyle name="Normal 8 3 16" xfId="30929"/>
    <cellStyle name="Normal 8 3 17" xfId="30930"/>
    <cellStyle name="Normal 8 3 18" xfId="30931"/>
    <cellStyle name="Normal 8 3 19" xfId="30932"/>
    <cellStyle name="Normal 8 3 2" xfId="30933"/>
    <cellStyle name="Normal 8 3 20" xfId="30934"/>
    <cellStyle name="Normal 8 3 21" xfId="30935"/>
    <cellStyle name="Normal 8 3 22" xfId="30936"/>
    <cellStyle name="Normal 8 3 23" xfId="30937"/>
    <cellStyle name="Normal 8 3 24" xfId="30938"/>
    <cellStyle name="Normal 8 3 25" xfId="30939"/>
    <cellStyle name="Normal 8 3 26" xfId="30940"/>
    <cellStyle name="Normal 8 3 27" xfId="30941"/>
    <cellStyle name="Normal 8 3 28" xfId="30942"/>
    <cellStyle name="Normal 8 3 29" xfId="30943"/>
    <cellStyle name="Normal 8 3 3" xfId="30944"/>
    <cellStyle name="Normal 8 3 30" xfId="30945"/>
    <cellStyle name="Normal 8 3 31" xfId="30946"/>
    <cellStyle name="Normal 8 3 32" xfId="30947"/>
    <cellStyle name="Normal 8 3 33" xfId="30948"/>
    <cellStyle name="Normal 8 3 34" xfId="30949"/>
    <cellStyle name="Normal 8 3 35" xfId="30950"/>
    <cellStyle name="Normal 8 3 36" xfId="30951"/>
    <cellStyle name="Normal 8 3 37" xfId="30952"/>
    <cellStyle name="Normal 8 3 38" xfId="30953"/>
    <cellStyle name="Normal 8 3 39" xfId="30954"/>
    <cellStyle name="Normal 8 3 4" xfId="30955"/>
    <cellStyle name="Normal 8 3 40" xfId="30956"/>
    <cellStyle name="Normal 8 3 41" xfId="30957"/>
    <cellStyle name="Normal 8 3 42" xfId="30958"/>
    <cellStyle name="Normal 8 3 43" xfId="30959"/>
    <cellStyle name="Normal 8 3 44" xfId="30960"/>
    <cellStyle name="Normal 8 3 45" xfId="30961"/>
    <cellStyle name="Normal 8 3 46" xfId="30962"/>
    <cellStyle name="Normal 8 3 47" xfId="30963"/>
    <cellStyle name="Normal 8 3 48" xfId="30964"/>
    <cellStyle name="Normal 8 3 49" xfId="30965"/>
    <cellStyle name="Normal 8 3 5" xfId="30966"/>
    <cellStyle name="Normal 8 3 50" xfId="30967"/>
    <cellStyle name="Normal 8 3 51" xfId="30968"/>
    <cellStyle name="Normal 8 3 52" xfId="30969"/>
    <cellStyle name="Normal 8 3 53" xfId="30970"/>
    <cellStyle name="Normal 8 3 54" xfId="30971"/>
    <cellStyle name="Normal 8 3 55" xfId="30972"/>
    <cellStyle name="Normal 8 3 56" xfId="30973"/>
    <cellStyle name="Normal 8 3 57" xfId="30974"/>
    <cellStyle name="Normal 8 3 58" xfId="30975"/>
    <cellStyle name="Normal 8 3 59" xfId="30976"/>
    <cellStyle name="Normal 8 3 6" xfId="30977"/>
    <cellStyle name="Normal 8 3 60" xfId="30978"/>
    <cellStyle name="Normal 8 3 61" xfId="30979"/>
    <cellStyle name="Normal 8 3 62" xfId="30980"/>
    <cellStyle name="Normal 8 3 63" xfId="30981"/>
    <cellStyle name="Normal 8 3 64" xfId="30982"/>
    <cellStyle name="Normal 8 3 65" xfId="30983"/>
    <cellStyle name="Normal 8 3 66" xfId="30984"/>
    <cellStyle name="Normal 8 3 67" xfId="30985"/>
    <cellStyle name="Normal 8 3 68" xfId="30986"/>
    <cellStyle name="Normal 8 3 69" xfId="30987"/>
    <cellStyle name="Normal 8 3 7" xfId="30988"/>
    <cellStyle name="Normal 8 3 70" xfId="30989"/>
    <cellStyle name="Normal 8 3 71" xfId="30990"/>
    <cellStyle name="Normal 8 3 72" xfId="30991"/>
    <cellStyle name="Normal 8 3 73" xfId="30992"/>
    <cellStyle name="Normal 8 3 74" xfId="30993"/>
    <cellStyle name="Normal 8 3 75" xfId="30994"/>
    <cellStyle name="Normal 8 3 76" xfId="30995"/>
    <cellStyle name="Normal 8 3 77" xfId="30996"/>
    <cellStyle name="Normal 8 3 78" xfId="30997"/>
    <cellStyle name="Normal 8 3 79" xfId="30998"/>
    <cellStyle name="Normal 8 3 8" xfId="30999"/>
    <cellStyle name="Normal 8 3 80" xfId="31000"/>
    <cellStyle name="Normal 8 3 81" xfId="31001"/>
    <cellStyle name="Normal 8 3 82" xfId="31002"/>
    <cellStyle name="Normal 8 3 83" xfId="31003"/>
    <cellStyle name="Normal 8 3 9" xfId="31004"/>
    <cellStyle name="Normal 8 30" xfId="31005"/>
    <cellStyle name="Normal 8 31" xfId="31006"/>
    <cellStyle name="Normal 8 32" xfId="31007"/>
    <cellStyle name="Normal 8 33" xfId="31008"/>
    <cellStyle name="Normal 8 34" xfId="31009"/>
    <cellStyle name="Normal 8 35" xfId="31010"/>
    <cellStyle name="Normal 8 36" xfId="31011"/>
    <cellStyle name="Normal 8 37" xfId="31012"/>
    <cellStyle name="Normal 8 38" xfId="31013"/>
    <cellStyle name="Normal 8 39" xfId="31014"/>
    <cellStyle name="Normal 8 4" xfId="31015"/>
    <cellStyle name="Normal 8 4 10" xfId="31016"/>
    <cellStyle name="Normal 8 4 11" xfId="31017"/>
    <cellStyle name="Normal 8 4 12" xfId="31018"/>
    <cellStyle name="Normal 8 4 13" xfId="31019"/>
    <cellStyle name="Normal 8 4 14" xfId="31020"/>
    <cellStyle name="Normal 8 4 15" xfId="31021"/>
    <cellStyle name="Normal 8 4 16" xfId="31022"/>
    <cellStyle name="Normal 8 4 17" xfId="31023"/>
    <cellStyle name="Normal 8 4 18" xfId="31024"/>
    <cellStyle name="Normal 8 4 19" xfId="31025"/>
    <cellStyle name="Normal 8 4 2" xfId="31026"/>
    <cellStyle name="Normal 8 4 20" xfId="31027"/>
    <cellStyle name="Normal 8 4 21" xfId="31028"/>
    <cellStyle name="Normal 8 4 22" xfId="31029"/>
    <cellStyle name="Normal 8 4 23" xfId="31030"/>
    <cellStyle name="Normal 8 4 24" xfId="31031"/>
    <cellStyle name="Normal 8 4 25" xfId="31032"/>
    <cellStyle name="Normal 8 4 26" xfId="31033"/>
    <cellStyle name="Normal 8 4 27" xfId="31034"/>
    <cellStyle name="Normal 8 4 28" xfId="31035"/>
    <cellStyle name="Normal 8 4 29" xfId="31036"/>
    <cellStyle name="Normal 8 4 3" xfId="31037"/>
    <cellStyle name="Normal 8 4 30" xfId="31038"/>
    <cellStyle name="Normal 8 4 31" xfId="31039"/>
    <cellStyle name="Normal 8 4 32" xfId="31040"/>
    <cellStyle name="Normal 8 4 33" xfId="31041"/>
    <cellStyle name="Normal 8 4 34" xfId="31042"/>
    <cellStyle name="Normal 8 4 35" xfId="31043"/>
    <cellStyle name="Normal 8 4 36" xfId="31044"/>
    <cellStyle name="Normal 8 4 37" xfId="31045"/>
    <cellStyle name="Normal 8 4 38" xfId="31046"/>
    <cellStyle name="Normal 8 4 39" xfId="31047"/>
    <cellStyle name="Normal 8 4 4" xfId="31048"/>
    <cellStyle name="Normal 8 4 40" xfId="31049"/>
    <cellStyle name="Normal 8 4 41" xfId="31050"/>
    <cellStyle name="Normal 8 4 42" xfId="31051"/>
    <cellStyle name="Normal 8 4 43" xfId="31052"/>
    <cellStyle name="Normal 8 4 44" xfId="31053"/>
    <cellStyle name="Normal 8 4 45" xfId="31054"/>
    <cellStyle name="Normal 8 4 46" xfId="31055"/>
    <cellStyle name="Normal 8 4 47" xfId="31056"/>
    <cellStyle name="Normal 8 4 48" xfId="31057"/>
    <cellStyle name="Normal 8 4 49" xfId="31058"/>
    <cellStyle name="Normal 8 4 5" xfId="31059"/>
    <cellStyle name="Normal 8 4 50" xfId="31060"/>
    <cellStyle name="Normal 8 4 51" xfId="31061"/>
    <cellStyle name="Normal 8 4 52" xfId="31062"/>
    <cellStyle name="Normal 8 4 53" xfId="31063"/>
    <cellStyle name="Normal 8 4 54" xfId="31064"/>
    <cellStyle name="Normal 8 4 55" xfId="31065"/>
    <cellStyle name="Normal 8 4 56" xfId="31066"/>
    <cellStyle name="Normal 8 4 57" xfId="31067"/>
    <cellStyle name="Normal 8 4 58" xfId="31068"/>
    <cellStyle name="Normal 8 4 59" xfId="31069"/>
    <cellStyle name="Normal 8 4 6" xfId="31070"/>
    <cellStyle name="Normal 8 4 60" xfId="31071"/>
    <cellStyle name="Normal 8 4 61" xfId="31072"/>
    <cellStyle name="Normal 8 4 62" xfId="31073"/>
    <cellStyle name="Normal 8 4 63" xfId="31074"/>
    <cellStyle name="Normal 8 4 64" xfId="31075"/>
    <cellStyle name="Normal 8 4 65" xfId="31076"/>
    <cellStyle name="Normal 8 4 66" xfId="31077"/>
    <cellStyle name="Normal 8 4 67" xfId="31078"/>
    <cellStyle name="Normal 8 4 68" xfId="31079"/>
    <cellStyle name="Normal 8 4 69" xfId="31080"/>
    <cellStyle name="Normal 8 4 7" xfId="31081"/>
    <cellStyle name="Normal 8 4 70" xfId="31082"/>
    <cellStyle name="Normal 8 4 71" xfId="31083"/>
    <cellStyle name="Normal 8 4 72" xfId="31084"/>
    <cellStyle name="Normal 8 4 73" xfId="31085"/>
    <cellStyle name="Normal 8 4 74" xfId="31086"/>
    <cellStyle name="Normal 8 4 75" xfId="31087"/>
    <cellStyle name="Normal 8 4 76" xfId="31088"/>
    <cellStyle name="Normal 8 4 77" xfId="31089"/>
    <cellStyle name="Normal 8 4 78" xfId="31090"/>
    <cellStyle name="Normal 8 4 79" xfId="31091"/>
    <cellStyle name="Normal 8 4 8" xfId="31092"/>
    <cellStyle name="Normal 8 4 80" xfId="31093"/>
    <cellStyle name="Normal 8 4 81" xfId="31094"/>
    <cellStyle name="Normal 8 4 82" xfId="31095"/>
    <cellStyle name="Normal 8 4 83" xfId="31096"/>
    <cellStyle name="Normal 8 4 9" xfId="31097"/>
    <cellStyle name="Normal 8 40" xfId="31098"/>
    <cellStyle name="Normal 8 41" xfId="31099"/>
    <cellStyle name="Normal 8 42" xfId="31100"/>
    <cellStyle name="Normal 8 43" xfId="31101"/>
    <cellStyle name="Normal 8 44" xfId="31102"/>
    <cellStyle name="Normal 8 45" xfId="31103"/>
    <cellStyle name="Normal 8 46" xfId="31104"/>
    <cellStyle name="Normal 8 47" xfId="31105"/>
    <cellStyle name="Normal 8 48" xfId="31106"/>
    <cellStyle name="Normal 8 49" xfId="31107"/>
    <cellStyle name="Normal 8 5" xfId="31108"/>
    <cellStyle name="Normal 8 50" xfId="31109"/>
    <cellStyle name="Normal 8 51" xfId="31110"/>
    <cellStyle name="Normal 8 52" xfId="31111"/>
    <cellStyle name="Normal 8 53" xfId="31112"/>
    <cellStyle name="Normal 8 54" xfId="31113"/>
    <cellStyle name="Normal 8 55" xfId="31114"/>
    <cellStyle name="Normal 8 56" xfId="31115"/>
    <cellStyle name="Normal 8 57" xfId="31116"/>
    <cellStyle name="Normal 8 58" xfId="31117"/>
    <cellStyle name="Normal 8 59" xfId="31118"/>
    <cellStyle name="Normal 8 6" xfId="31119"/>
    <cellStyle name="Normal 8 60" xfId="31120"/>
    <cellStyle name="Normal 8 61" xfId="31121"/>
    <cellStyle name="Normal 8 62" xfId="31122"/>
    <cellStyle name="Normal 8 63" xfId="31123"/>
    <cellStyle name="Normal 8 64" xfId="31124"/>
    <cellStyle name="Normal 8 65" xfId="31125"/>
    <cellStyle name="Normal 8 66" xfId="31126"/>
    <cellStyle name="Normal 8 67" xfId="31127"/>
    <cellStyle name="Normal 8 68" xfId="31128"/>
    <cellStyle name="Normal 8 69" xfId="31129"/>
    <cellStyle name="Normal 8 7" xfId="31130"/>
    <cellStyle name="Normal 8 70" xfId="31131"/>
    <cellStyle name="Normal 8 71" xfId="31132"/>
    <cellStyle name="Normal 8 72" xfId="31133"/>
    <cellStyle name="Normal 8 73" xfId="31134"/>
    <cellStyle name="Normal 8 74" xfId="31135"/>
    <cellStyle name="Normal 8 75" xfId="31136"/>
    <cellStyle name="Normal 8 76" xfId="31137"/>
    <cellStyle name="Normal 8 77" xfId="31138"/>
    <cellStyle name="Normal 8 78" xfId="31139"/>
    <cellStyle name="Normal 8 79" xfId="31140"/>
    <cellStyle name="Normal 8 8" xfId="31141"/>
    <cellStyle name="Normal 8 80" xfId="31142"/>
    <cellStyle name="Normal 8 81" xfId="31143"/>
    <cellStyle name="Normal 8 82" xfId="31144"/>
    <cellStyle name="Normal 8 83" xfId="31145"/>
    <cellStyle name="Normal 8 84" xfId="31146"/>
    <cellStyle name="Normal 8 85" xfId="31147"/>
    <cellStyle name="Normal 8 86" xfId="31148"/>
    <cellStyle name="Normal 8 9" xfId="31149"/>
    <cellStyle name="Normal 8_Cultura y Tiempo libre 2011 base 2012 PGM - EMV  2013" xfId="31150"/>
    <cellStyle name="Normal 9" xfId="31151"/>
    <cellStyle name="Normal 9 10" xfId="31152"/>
    <cellStyle name="Normal 9 11" xfId="31153"/>
    <cellStyle name="Normal 9 12" xfId="31154"/>
    <cellStyle name="Normal 9 13" xfId="31155"/>
    <cellStyle name="Normal 9 14" xfId="31156"/>
    <cellStyle name="Normal 9 15" xfId="31157"/>
    <cellStyle name="Normal 9 16" xfId="31158"/>
    <cellStyle name="Normal 9 17" xfId="31159"/>
    <cellStyle name="Normal 9 18" xfId="31160"/>
    <cellStyle name="Normal 9 19" xfId="31161"/>
    <cellStyle name="Normal 9 2" xfId="31162"/>
    <cellStyle name="Normal 9 2 10" xfId="31163"/>
    <cellStyle name="Normal 9 2 11" xfId="31164"/>
    <cellStyle name="Normal 9 2 12" xfId="31165"/>
    <cellStyle name="Normal 9 2 13" xfId="31166"/>
    <cellStyle name="Normal 9 2 14" xfId="31167"/>
    <cellStyle name="Normal 9 2 15" xfId="31168"/>
    <cellStyle name="Normal 9 2 16" xfId="31169"/>
    <cellStyle name="Normal 9 2 17" xfId="31170"/>
    <cellStyle name="Normal 9 2 18" xfId="31171"/>
    <cellStyle name="Normal 9 2 19" xfId="31172"/>
    <cellStyle name="Normal 9 2 2" xfId="31173"/>
    <cellStyle name="Normal 9 2 20" xfId="31174"/>
    <cellStyle name="Normal 9 2 21" xfId="31175"/>
    <cellStyle name="Normal 9 2 22" xfId="31176"/>
    <cellStyle name="Normal 9 2 23" xfId="31177"/>
    <cellStyle name="Normal 9 2 24" xfId="31178"/>
    <cellStyle name="Normal 9 2 25" xfId="31179"/>
    <cellStyle name="Normal 9 2 26" xfId="31180"/>
    <cellStyle name="Normal 9 2 27" xfId="31181"/>
    <cellStyle name="Normal 9 2 28" xfId="31182"/>
    <cellStyle name="Normal 9 2 29" xfId="31183"/>
    <cellStyle name="Normal 9 2 3" xfId="31184"/>
    <cellStyle name="Normal 9 2 30" xfId="31185"/>
    <cellStyle name="Normal 9 2 31" xfId="31186"/>
    <cellStyle name="Normal 9 2 32" xfId="31187"/>
    <cellStyle name="Normal 9 2 33" xfId="31188"/>
    <cellStyle name="Normal 9 2 34" xfId="31189"/>
    <cellStyle name="Normal 9 2 35" xfId="31190"/>
    <cellStyle name="Normal 9 2 36" xfId="31191"/>
    <cellStyle name="Normal 9 2 37" xfId="31192"/>
    <cellStyle name="Normal 9 2 38" xfId="31193"/>
    <cellStyle name="Normal 9 2 39" xfId="31194"/>
    <cellStyle name="Normal 9 2 4" xfId="31195"/>
    <cellStyle name="Normal 9 2 40" xfId="31196"/>
    <cellStyle name="Normal 9 2 41" xfId="31197"/>
    <cellStyle name="Normal 9 2 42" xfId="31198"/>
    <cellStyle name="Normal 9 2 43" xfId="31199"/>
    <cellStyle name="Normal 9 2 44" xfId="31200"/>
    <cellStyle name="Normal 9 2 45" xfId="31201"/>
    <cellStyle name="Normal 9 2 46" xfId="31202"/>
    <cellStyle name="Normal 9 2 47" xfId="31203"/>
    <cellStyle name="Normal 9 2 48" xfId="31204"/>
    <cellStyle name="Normal 9 2 49" xfId="31205"/>
    <cellStyle name="Normal 9 2 5" xfId="31206"/>
    <cellStyle name="Normal 9 2 50" xfId="31207"/>
    <cellStyle name="Normal 9 2 51" xfId="31208"/>
    <cellStyle name="Normal 9 2 52" xfId="31209"/>
    <cellStyle name="Normal 9 2 53" xfId="31210"/>
    <cellStyle name="Normal 9 2 54" xfId="31211"/>
    <cellStyle name="Normal 9 2 55" xfId="31212"/>
    <cellStyle name="Normal 9 2 56" xfId="31213"/>
    <cellStyle name="Normal 9 2 57" xfId="31214"/>
    <cellStyle name="Normal 9 2 58" xfId="31215"/>
    <cellStyle name="Normal 9 2 59" xfId="31216"/>
    <cellStyle name="Normal 9 2 6" xfId="31217"/>
    <cellStyle name="Normal 9 2 60" xfId="31218"/>
    <cellStyle name="Normal 9 2 61" xfId="31219"/>
    <cellStyle name="Normal 9 2 62" xfId="31220"/>
    <cellStyle name="Normal 9 2 63" xfId="31221"/>
    <cellStyle name="Normal 9 2 64" xfId="31222"/>
    <cellStyle name="Normal 9 2 65" xfId="31223"/>
    <cellStyle name="Normal 9 2 66" xfId="31224"/>
    <cellStyle name="Normal 9 2 67" xfId="31225"/>
    <cellStyle name="Normal 9 2 68" xfId="31226"/>
    <cellStyle name="Normal 9 2 69" xfId="31227"/>
    <cellStyle name="Normal 9 2 7" xfId="31228"/>
    <cellStyle name="Normal 9 2 70" xfId="31229"/>
    <cellStyle name="Normal 9 2 71" xfId="31230"/>
    <cellStyle name="Normal 9 2 72" xfId="31231"/>
    <cellStyle name="Normal 9 2 73" xfId="31232"/>
    <cellStyle name="Normal 9 2 74" xfId="31233"/>
    <cellStyle name="Normal 9 2 75" xfId="31234"/>
    <cellStyle name="Normal 9 2 76" xfId="31235"/>
    <cellStyle name="Normal 9 2 77" xfId="31236"/>
    <cellStyle name="Normal 9 2 78" xfId="31237"/>
    <cellStyle name="Normal 9 2 79" xfId="31238"/>
    <cellStyle name="Normal 9 2 8" xfId="31239"/>
    <cellStyle name="Normal 9 2 80" xfId="31240"/>
    <cellStyle name="Normal 9 2 81" xfId="31241"/>
    <cellStyle name="Normal 9 2 82" xfId="31242"/>
    <cellStyle name="Normal 9 2 83" xfId="31243"/>
    <cellStyle name="Normal 9 2 9" xfId="31244"/>
    <cellStyle name="Normal 9 20" xfId="31245"/>
    <cellStyle name="Normal 9 21" xfId="31246"/>
    <cellStyle name="Normal 9 22" xfId="31247"/>
    <cellStyle name="Normal 9 23" xfId="31248"/>
    <cellStyle name="Normal 9 24" xfId="31249"/>
    <cellStyle name="Normal 9 25" xfId="31250"/>
    <cellStyle name="Normal 9 26" xfId="31251"/>
    <cellStyle name="Normal 9 27" xfId="31252"/>
    <cellStyle name="Normal 9 28" xfId="31253"/>
    <cellStyle name="Normal 9 29" xfId="31254"/>
    <cellStyle name="Normal 9 3" xfId="31255"/>
    <cellStyle name="Normal 9 3 10" xfId="31256"/>
    <cellStyle name="Normal 9 3 11" xfId="31257"/>
    <cellStyle name="Normal 9 3 12" xfId="31258"/>
    <cellStyle name="Normal 9 3 13" xfId="31259"/>
    <cellStyle name="Normal 9 3 14" xfId="31260"/>
    <cellStyle name="Normal 9 3 15" xfId="31261"/>
    <cellStyle name="Normal 9 3 16" xfId="31262"/>
    <cellStyle name="Normal 9 3 17" xfId="31263"/>
    <cellStyle name="Normal 9 3 18" xfId="31264"/>
    <cellStyle name="Normal 9 3 19" xfId="31265"/>
    <cellStyle name="Normal 9 3 2" xfId="31266"/>
    <cellStyle name="Normal 9 3 20" xfId="31267"/>
    <cellStyle name="Normal 9 3 21" xfId="31268"/>
    <cellStyle name="Normal 9 3 22" xfId="31269"/>
    <cellStyle name="Normal 9 3 23" xfId="31270"/>
    <cellStyle name="Normal 9 3 24" xfId="31271"/>
    <cellStyle name="Normal 9 3 25" xfId="31272"/>
    <cellStyle name="Normal 9 3 26" xfId="31273"/>
    <cellStyle name="Normal 9 3 27" xfId="31274"/>
    <cellStyle name="Normal 9 3 28" xfId="31275"/>
    <cellStyle name="Normal 9 3 29" xfId="31276"/>
    <cellStyle name="Normal 9 3 3" xfId="31277"/>
    <cellStyle name="Normal 9 3 30" xfId="31278"/>
    <cellStyle name="Normal 9 3 31" xfId="31279"/>
    <cellStyle name="Normal 9 3 32" xfId="31280"/>
    <cellStyle name="Normal 9 3 33" xfId="31281"/>
    <cellStyle name="Normal 9 3 34" xfId="31282"/>
    <cellStyle name="Normal 9 3 35" xfId="31283"/>
    <cellStyle name="Normal 9 3 36" xfId="31284"/>
    <cellStyle name="Normal 9 3 37" xfId="31285"/>
    <cellStyle name="Normal 9 3 38" xfId="31286"/>
    <cellStyle name="Normal 9 3 39" xfId="31287"/>
    <cellStyle name="Normal 9 3 4" xfId="31288"/>
    <cellStyle name="Normal 9 3 40" xfId="31289"/>
    <cellStyle name="Normal 9 3 41" xfId="31290"/>
    <cellStyle name="Normal 9 3 42" xfId="31291"/>
    <cellStyle name="Normal 9 3 43" xfId="31292"/>
    <cellStyle name="Normal 9 3 44" xfId="31293"/>
    <cellStyle name="Normal 9 3 45" xfId="31294"/>
    <cellStyle name="Normal 9 3 46" xfId="31295"/>
    <cellStyle name="Normal 9 3 47" xfId="31296"/>
    <cellStyle name="Normal 9 3 48" xfId="31297"/>
    <cellStyle name="Normal 9 3 49" xfId="31298"/>
    <cellStyle name="Normal 9 3 5" xfId="31299"/>
    <cellStyle name="Normal 9 3 50" xfId="31300"/>
    <cellStyle name="Normal 9 3 51" xfId="31301"/>
    <cellStyle name="Normal 9 3 52" xfId="31302"/>
    <cellStyle name="Normal 9 3 53" xfId="31303"/>
    <cellStyle name="Normal 9 3 54" xfId="31304"/>
    <cellStyle name="Normal 9 3 55" xfId="31305"/>
    <cellStyle name="Normal 9 3 56" xfId="31306"/>
    <cellStyle name="Normal 9 3 57" xfId="31307"/>
    <cellStyle name="Normal 9 3 58" xfId="31308"/>
    <cellStyle name="Normal 9 3 59" xfId="31309"/>
    <cellStyle name="Normal 9 3 6" xfId="31310"/>
    <cellStyle name="Normal 9 3 60" xfId="31311"/>
    <cellStyle name="Normal 9 3 61" xfId="31312"/>
    <cellStyle name="Normal 9 3 62" xfId="31313"/>
    <cellStyle name="Normal 9 3 63" xfId="31314"/>
    <cellStyle name="Normal 9 3 64" xfId="31315"/>
    <cellStyle name="Normal 9 3 65" xfId="31316"/>
    <cellStyle name="Normal 9 3 66" xfId="31317"/>
    <cellStyle name="Normal 9 3 67" xfId="31318"/>
    <cellStyle name="Normal 9 3 68" xfId="31319"/>
    <cellStyle name="Normal 9 3 69" xfId="31320"/>
    <cellStyle name="Normal 9 3 7" xfId="31321"/>
    <cellStyle name="Normal 9 3 70" xfId="31322"/>
    <cellStyle name="Normal 9 3 71" xfId="31323"/>
    <cellStyle name="Normal 9 3 72" xfId="31324"/>
    <cellStyle name="Normal 9 3 73" xfId="31325"/>
    <cellStyle name="Normal 9 3 74" xfId="31326"/>
    <cellStyle name="Normal 9 3 75" xfId="31327"/>
    <cellStyle name="Normal 9 3 76" xfId="31328"/>
    <cellStyle name="Normal 9 3 77" xfId="31329"/>
    <cellStyle name="Normal 9 3 78" xfId="31330"/>
    <cellStyle name="Normal 9 3 79" xfId="31331"/>
    <cellStyle name="Normal 9 3 8" xfId="31332"/>
    <cellStyle name="Normal 9 3 80" xfId="31333"/>
    <cellStyle name="Normal 9 3 81" xfId="31334"/>
    <cellStyle name="Normal 9 3 82" xfId="31335"/>
    <cellStyle name="Normal 9 3 83" xfId="31336"/>
    <cellStyle name="Normal 9 3 9" xfId="31337"/>
    <cellStyle name="Normal 9 30" xfId="31338"/>
    <cellStyle name="Normal 9 31" xfId="31339"/>
    <cellStyle name="Normal 9 32" xfId="31340"/>
    <cellStyle name="Normal 9 33" xfId="31341"/>
    <cellStyle name="Normal 9 34" xfId="31342"/>
    <cellStyle name="Normal 9 35" xfId="31343"/>
    <cellStyle name="Normal 9 36" xfId="31344"/>
    <cellStyle name="Normal 9 37" xfId="31345"/>
    <cellStyle name="Normal 9 38" xfId="31346"/>
    <cellStyle name="Normal 9 39" xfId="31347"/>
    <cellStyle name="Normal 9 4" xfId="31348"/>
    <cellStyle name="Normal 9 4 10" xfId="31349"/>
    <cellStyle name="Normal 9 4 11" xfId="31350"/>
    <cellStyle name="Normal 9 4 12" xfId="31351"/>
    <cellStyle name="Normal 9 4 13" xfId="31352"/>
    <cellStyle name="Normal 9 4 14" xfId="31353"/>
    <cellStyle name="Normal 9 4 15" xfId="31354"/>
    <cellStyle name="Normal 9 4 16" xfId="31355"/>
    <cellStyle name="Normal 9 4 17" xfId="31356"/>
    <cellStyle name="Normal 9 4 18" xfId="31357"/>
    <cellStyle name="Normal 9 4 19" xfId="31358"/>
    <cellStyle name="Normal 9 4 2" xfId="31359"/>
    <cellStyle name="Normal 9 4 20" xfId="31360"/>
    <cellStyle name="Normal 9 4 21" xfId="31361"/>
    <cellStyle name="Normal 9 4 22" xfId="31362"/>
    <cellStyle name="Normal 9 4 23" xfId="31363"/>
    <cellStyle name="Normal 9 4 24" xfId="31364"/>
    <cellStyle name="Normal 9 4 25" xfId="31365"/>
    <cellStyle name="Normal 9 4 26" xfId="31366"/>
    <cellStyle name="Normal 9 4 27" xfId="31367"/>
    <cellStyle name="Normal 9 4 28" xfId="31368"/>
    <cellStyle name="Normal 9 4 29" xfId="31369"/>
    <cellStyle name="Normal 9 4 3" xfId="31370"/>
    <cellStyle name="Normal 9 4 30" xfId="31371"/>
    <cellStyle name="Normal 9 4 31" xfId="31372"/>
    <cellStyle name="Normal 9 4 32" xfId="31373"/>
    <cellStyle name="Normal 9 4 33" xfId="31374"/>
    <cellStyle name="Normal 9 4 34" xfId="31375"/>
    <cellStyle name="Normal 9 4 35" xfId="31376"/>
    <cellStyle name="Normal 9 4 36" xfId="31377"/>
    <cellStyle name="Normal 9 4 37" xfId="31378"/>
    <cellStyle name="Normal 9 4 38" xfId="31379"/>
    <cellStyle name="Normal 9 4 39" xfId="31380"/>
    <cellStyle name="Normal 9 4 4" xfId="31381"/>
    <cellStyle name="Normal 9 4 40" xfId="31382"/>
    <cellStyle name="Normal 9 4 41" xfId="31383"/>
    <cellStyle name="Normal 9 4 42" xfId="31384"/>
    <cellStyle name="Normal 9 4 43" xfId="31385"/>
    <cellStyle name="Normal 9 4 44" xfId="31386"/>
    <cellStyle name="Normal 9 4 45" xfId="31387"/>
    <cellStyle name="Normal 9 4 46" xfId="31388"/>
    <cellStyle name="Normal 9 4 47" xfId="31389"/>
    <cellStyle name="Normal 9 4 48" xfId="31390"/>
    <cellStyle name="Normal 9 4 49" xfId="31391"/>
    <cellStyle name="Normal 9 4 5" xfId="31392"/>
    <cellStyle name="Normal 9 4 50" xfId="31393"/>
    <cellStyle name="Normal 9 4 51" xfId="31394"/>
    <cellStyle name="Normal 9 4 52" xfId="31395"/>
    <cellStyle name="Normal 9 4 53" xfId="31396"/>
    <cellStyle name="Normal 9 4 54" xfId="31397"/>
    <cellStyle name="Normal 9 4 55" xfId="31398"/>
    <cellStyle name="Normal 9 4 56" xfId="31399"/>
    <cellStyle name="Normal 9 4 57" xfId="31400"/>
    <cellStyle name="Normal 9 4 58" xfId="31401"/>
    <cellStyle name="Normal 9 4 59" xfId="31402"/>
    <cellStyle name="Normal 9 4 6" xfId="31403"/>
    <cellStyle name="Normal 9 4 60" xfId="31404"/>
    <cellStyle name="Normal 9 4 61" xfId="31405"/>
    <cellStyle name="Normal 9 4 62" xfId="31406"/>
    <cellStyle name="Normal 9 4 63" xfId="31407"/>
    <cellStyle name="Normal 9 4 64" xfId="31408"/>
    <cellStyle name="Normal 9 4 65" xfId="31409"/>
    <cellStyle name="Normal 9 4 66" xfId="31410"/>
    <cellStyle name="Normal 9 4 67" xfId="31411"/>
    <cellStyle name="Normal 9 4 68" xfId="31412"/>
    <cellStyle name="Normal 9 4 69" xfId="31413"/>
    <cellStyle name="Normal 9 4 7" xfId="31414"/>
    <cellStyle name="Normal 9 4 70" xfId="31415"/>
    <cellStyle name="Normal 9 4 71" xfId="31416"/>
    <cellStyle name="Normal 9 4 72" xfId="31417"/>
    <cellStyle name="Normal 9 4 73" xfId="31418"/>
    <cellStyle name="Normal 9 4 74" xfId="31419"/>
    <cellStyle name="Normal 9 4 75" xfId="31420"/>
    <cellStyle name="Normal 9 4 76" xfId="31421"/>
    <cellStyle name="Normal 9 4 77" xfId="31422"/>
    <cellStyle name="Normal 9 4 78" xfId="31423"/>
    <cellStyle name="Normal 9 4 79" xfId="31424"/>
    <cellStyle name="Normal 9 4 8" xfId="31425"/>
    <cellStyle name="Normal 9 4 80" xfId="31426"/>
    <cellStyle name="Normal 9 4 81" xfId="31427"/>
    <cellStyle name="Normal 9 4 82" xfId="31428"/>
    <cellStyle name="Normal 9 4 83" xfId="31429"/>
    <cellStyle name="Normal 9 4 9" xfId="31430"/>
    <cellStyle name="Normal 9 40" xfId="31431"/>
    <cellStyle name="Normal 9 41" xfId="31432"/>
    <cellStyle name="Normal 9 42" xfId="31433"/>
    <cellStyle name="Normal 9 43" xfId="31434"/>
    <cellStyle name="Normal 9 44" xfId="31435"/>
    <cellStyle name="Normal 9 45" xfId="31436"/>
    <cellStyle name="Normal 9 46" xfId="31437"/>
    <cellStyle name="Normal 9 47" xfId="31438"/>
    <cellStyle name="Normal 9 48" xfId="31439"/>
    <cellStyle name="Normal 9 49" xfId="31440"/>
    <cellStyle name="Normal 9 5" xfId="31441"/>
    <cellStyle name="Normal 9 5 10" xfId="31442"/>
    <cellStyle name="Normal 9 5 11" xfId="31443"/>
    <cellStyle name="Normal 9 5 12" xfId="31444"/>
    <cellStyle name="Normal 9 5 13" xfId="31445"/>
    <cellStyle name="Normal 9 5 14" xfId="31446"/>
    <cellStyle name="Normal 9 5 15" xfId="31447"/>
    <cellStyle name="Normal 9 5 16" xfId="31448"/>
    <cellStyle name="Normal 9 5 17" xfId="31449"/>
    <cellStyle name="Normal 9 5 18" xfId="31450"/>
    <cellStyle name="Normal 9 5 19" xfId="31451"/>
    <cellStyle name="Normal 9 5 2" xfId="31452"/>
    <cellStyle name="Normal 9 5 20" xfId="31453"/>
    <cellStyle name="Normal 9 5 21" xfId="31454"/>
    <cellStyle name="Normal 9 5 22" xfId="31455"/>
    <cellStyle name="Normal 9 5 23" xfId="31456"/>
    <cellStyle name="Normal 9 5 24" xfId="31457"/>
    <cellStyle name="Normal 9 5 25" xfId="31458"/>
    <cellStyle name="Normal 9 5 26" xfId="31459"/>
    <cellStyle name="Normal 9 5 27" xfId="31460"/>
    <cellStyle name="Normal 9 5 28" xfId="31461"/>
    <cellStyle name="Normal 9 5 29" xfId="31462"/>
    <cellStyle name="Normal 9 5 3" xfId="31463"/>
    <cellStyle name="Normal 9 5 30" xfId="31464"/>
    <cellStyle name="Normal 9 5 31" xfId="31465"/>
    <cellStyle name="Normal 9 5 32" xfId="31466"/>
    <cellStyle name="Normal 9 5 33" xfId="31467"/>
    <cellStyle name="Normal 9 5 34" xfId="31468"/>
    <cellStyle name="Normal 9 5 35" xfId="31469"/>
    <cellStyle name="Normal 9 5 36" xfId="31470"/>
    <cellStyle name="Normal 9 5 37" xfId="31471"/>
    <cellStyle name="Normal 9 5 38" xfId="31472"/>
    <cellStyle name="Normal 9 5 39" xfId="31473"/>
    <cellStyle name="Normal 9 5 4" xfId="31474"/>
    <cellStyle name="Normal 9 5 40" xfId="31475"/>
    <cellStyle name="Normal 9 5 41" xfId="31476"/>
    <cellStyle name="Normal 9 5 42" xfId="31477"/>
    <cellStyle name="Normal 9 5 43" xfId="31478"/>
    <cellStyle name="Normal 9 5 44" xfId="31479"/>
    <cellStyle name="Normal 9 5 45" xfId="31480"/>
    <cellStyle name="Normal 9 5 46" xfId="31481"/>
    <cellStyle name="Normal 9 5 47" xfId="31482"/>
    <cellStyle name="Normal 9 5 48" xfId="31483"/>
    <cellStyle name="Normal 9 5 49" xfId="31484"/>
    <cellStyle name="Normal 9 5 5" xfId="31485"/>
    <cellStyle name="Normal 9 5 50" xfId="31486"/>
    <cellStyle name="Normal 9 5 51" xfId="31487"/>
    <cellStyle name="Normal 9 5 52" xfId="31488"/>
    <cellStyle name="Normal 9 5 53" xfId="31489"/>
    <cellStyle name="Normal 9 5 54" xfId="31490"/>
    <cellStyle name="Normal 9 5 55" xfId="31491"/>
    <cellStyle name="Normal 9 5 56" xfId="31492"/>
    <cellStyle name="Normal 9 5 57" xfId="31493"/>
    <cellStyle name="Normal 9 5 58" xfId="31494"/>
    <cellStyle name="Normal 9 5 59" xfId="31495"/>
    <cellStyle name="Normal 9 5 6" xfId="31496"/>
    <cellStyle name="Normal 9 5 60" xfId="31497"/>
    <cellStyle name="Normal 9 5 61" xfId="31498"/>
    <cellStyle name="Normal 9 5 62" xfId="31499"/>
    <cellStyle name="Normal 9 5 63" xfId="31500"/>
    <cellStyle name="Normal 9 5 64" xfId="31501"/>
    <cellStyle name="Normal 9 5 65" xfId="31502"/>
    <cellStyle name="Normal 9 5 66" xfId="31503"/>
    <cellStyle name="Normal 9 5 67" xfId="31504"/>
    <cellStyle name="Normal 9 5 68" xfId="31505"/>
    <cellStyle name="Normal 9 5 69" xfId="31506"/>
    <cellStyle name="Normal 9 5 7" xfId="31507"/>
    <cellStyle name="Normal 9 5 70" xfId="31508"/>
    <cellStyle name="Normal 9 5 71" xfId="31509"/>
    <cellStyle name="Normal 9 5 72" xfId="31510"/>
    <cellStyle name="Normal 9 5 73" xfId="31511"/>
    <cellStyle name="Normal 9 5 74" xfId="31512"/>
    <cellStyle name="Normal 9 5 75" xfId="31513"/>
    <cellStyle name="Normal 9 5 76" xfId="31514"/>
    <cellStyle name="Normal 9 5 77" xfId="31515"/>
    <cellStyle name="Normal 9 5 78" xfId="31516"/>
    <cellStyle name="Normal 9 5 79" xfId="31517"/>
    <cellStyle name="Normal 9 5 8" xfId="31518"/>
    <cellStyle name="Normal 9 5 80" xfId="31519"/>
    <cellStyle name="Normal 9 5 81" xfId="31520"/>
    <cellStyle name="Normal 9 5 82" xfId="31521"/>
    <cellStyle name="Normal 9 5 83" xfId="31522"/>
    <cellStyle name="Normal 9 5 9" xfId="31523"/>
    <cellStyle name="Normal 9 50" xfId="31524"/>
    <cellStyle name="Normal 9 51" xfId="31525"/>
    <cellStyle name="Normal 9 52" xfId="31526"/>
    <cellStyle name="Normal 9 53" xfId="31527"/>
    <cellStyle name="Normal 9 54" xfId="31528"/>
    <cellStyle name="Normal 9 55" xfId="31529"/>
    <cellStyle name="Normal 9 56" xfId="31530"/>
    <cellStyle name="Normal 9 57" xfId="31531"/>
    <cellStyle name="Normal 9 58" xfId="31532"/>
    <cellStyle name="Normal 9 59" xfId="31533"/>
    <cellStyle name="Normal 9 6" xfId="31534"/>
    <cellStyle name="Normal 9 6 10" xfId="31535"/>
    <cellStyle name="Normal 9 6 11" xfId="31536"/>
    <cellStyle name="Normal 9 6 12" xfId="31537"/>
    <cellStyle name="Normal 9 6 13" xfId="31538"/>
    <cellStyle name="Normal 9 6 14" xfId="31539"/>
    <cellStyle name="Normal 9 6 15" xfId="31540"/>
    <cellStyle name="Normal 9 6 16" xfId="31541"/>
    <cellStyle name="Normal 9 6 17" xfId="31542"/>
    <cellStyle name="Normal 9 6 18" xfId="31543"/>
    <cellStyle name="Normal 9 6 19" xfId="31544"/>
    <cellStyle name="Normal 9 6 2" xfId="31545"/>
    <cellStyle name="Normal 9 6 20" xfId="31546"/>
    <cellStyle name="Normal 9 6 21" xfId="31547"/>
    <cellStyle name="Normal 9 6 22" xfId="31548"/>
    <cellStyle name="Normal 9 6 23" xfId="31549"/>
    <cellStyle name="Normal 9 6 24" xfId="31550"/>
    <cellStyle name="Normal 9 6 25" xfId="31551"/>
    <cellStyle name="Normal 9 6 26" xfId="31552"/>
    <cellStyle name="Normal 9 6 27" xfId="31553"/>
    <cellStyle name="Normal 9 6 28" xfId="31554"/>
    <cellStyle name="Normal 9 6 29" xfId="31555"/>
    <cellStyle name="Normal 9 6 3" xfId="31556"/>
    <cellStyle name="Normal 9 6 30" xfId="31557"/>
    <cellStyle name="Normal 9 6 31" xfId="31558"/>
    <cellStyle name="Normal 9 6 32" xfId="31559"/>
    <cellStyle name="Normal 9 6 33" xfId="31560"/>
    <cellStyle name="Normal 9 6 34" xfId="31561"/>
    <cellStyle name="Normal 9 6 35" xfId="31562"/>
    <cellStyle name="Normal 9 6 36" xfId="31563"/>
    <cellStyle name="Normal 9 6 37" xfId="31564"/>
    <cellStyle name="Normal 9 6 38" xfId="31565"/>
    <cellStyle name="Normal 9 6 39" xfId="31566"/>
    <cellStyle name="Normal 9 6 4" xfId="31567"/>
    <cellStyle name="Normal 9 6 40" xfId="31568"/>
    <cellStyle name="Normal 9 6 41" xfId="31569"/>
    <cellStyle name="Normal 9 6 42" xfId="31570"/>
    <cellStyle name="Normal 9 6 43" xfId="31571"/>
    <cellStyle name="Normal 9 6 44" xfId="31572"/>
    <cellStyle name="Normal 9 6 45" xfId="31573"/>
    <cellStyle name="Normal 9 6 46" xfId="31574"/>
    <cellStyle name="Normal 9 6 47" xfId="31575"/>
    <cellStyle name="Normal 9 6 48" xfId="31576"/>
    <cellStyle name="Normal 9 6 49" xfId="31577"/>
    <cellStyle name="Normal 9 6 5" xfId="31578"/>
    <cellStyle name="Normal 9 6 50" xfId="31579"/>
    <cellStyle name="Normal 9 6 51" xfId="31580"/>
    <cellStyle name="Normal 9 6 52" xfId="31581"/>
    <cellStyle name="Normal 9 6 53" xfId="31582"/>
    <cellStyle name="Normal 9 6 54" xfId="31583"/>
    <cellStyle name="Normal 9 6 55" xfId="31584"/>
    <cellStyle name="Normal 9 6 56" xfId="31585"/>
    <cellStyle name="Normal 9 6 57" xfId="31586"/>
    <cellStyle name="Normal 9 6 58" xfId="31587"/>
    <cellStyle name="Normal 9 6 59" xfId="31588"/>
    <cellStyle name="Normal 9 6 6" xfId="31589"/>
    <cellStyle name="Normal 9 6 60" xfId="31590"/>
    <cellStyle name="Normal 9 6 61" xfId="31591"/>
    <cellStyle name="Normal 9 6 62" xfId="31592"/>
    <cellStyle name="Normal 9 6 63" xfId="31593"/>
    <cellStyle name="Normal 9 6 64" xfId="31594"/>
    <cellStyle name="Normal 9 6 65" xfId="31595"/>
    <cellStyle name="Normal 9 6 66" xfId="31596"/>
    <cellStyle name="Normal 9 6 67" xfId="31597"/>
    <cellStyle name="Normal 9 6 68" xfId="31598"/>
    <cellStyle name="Normal 9 6 69" xfId="31599"/>
    <cellStyle name="Normal 9 6 7" xfId="31600"/>
    <cellStyle name="Normal 9 6 70" xfId="31601"/>
    <cellStyle name="Normal 9 6 71" xfId="31602"/>
    <cellStyle name="Normal 9 6 72" xfId="31603"/>
    <cellStyle name="Normal 9 6 73" xfId="31604"/>
    <cellStyle name="Normal 9 6 74" xfId="31605"/>
    <cellStyle name="Normal 9 6 75" xfId="31606"/>
    <cellStyle name="Normal 9 6 76" xfId="31607"/>
    <cellStyle name="Normal 9 6 77" xfId="31608"/>
    <cellStyle name="Normal 9 6 78" xfId="31609"/>
    <cellStyle name="Normal 9 6 79" xfId="31610"/>
    <cellStyle name="Normal 9 6 8" xfId="31611"/>
    <cellStyle name="Normal 9 6 80" xfId="31612"/>
    <cellStyle name="Normal 9 6 81" xfId="31613"/>
    <cellStyle name="Normal 9 6 82" xfId="31614"/>
    <cellStyle name="Normal 9 6 83" xfId="31615"/>
    <cellStyle name="Normal 9 6 9" xfId="31616"/>
    <cellStyle name="Normal 9 60" xfId="31617"/>
    <cellStyle name="Normal 9 61" xfId="31618"/>
    <cellStyle name="Normal 9 62" xfId="31619"/>
    <cellStyle name="Normal 9 63" xfId="31620"/>
    <cellStyle name="Normal 9 64" xfId="31621"/>
    <cellStyle name="Normal 9 65" xfId="31622"/>
    <cellStyle name="Normal 9 66" xfId="31623"/>
    <cellStyle name="Normal 9 67" xfId="31624"/>
    <cellStyle name="Normal 9 68" xfId="31625"/>
    <cellStyle name="Normal 9 69" xfId="31626"/>
    <cellStyle name="Normal 9 7" xfId="31627"/>
    <cellStyle name="Normal 9 70" xfId="31628"/>
    <cellStyle name="Normal 9 71" xfId="31629"/>
    <cellStyle name="Normal 9 72" xfId="31630"/>
    <cellStyle name="Normal 9 73" xfId="31631"/>
    <cellStyle name="Normal 9 74" xfId="31632"/>
    <cellStyle name="Normal 9 75" xfId="31633"/>
    <cellStyle name="Normal 9 76" xfId="31634"/>
    <cellStyle name="Normal 9 77" xfId="31635"/>
    <cellStyle name="Normal 9 78" xfId="31636"/>
    <cellStyle name="Normal 9 79" xfId="31637"/>
    <cellStyle name="Normal 9 8" xfId="31638"/>
    <cellStyle name="Normal 9 80" xfId="31639"/>
    <cellStyle name="Normal 9 81" xfId="31640"/>
    <cellStyle name="Normal 9 82" xfId="31641"/>
    <cellStyle name="Normal 9 83" xfId="31642"/>
    <cellStyle name="Normal 9 84" xfId="31643"/>
    <cellStyle name="Normal 9 85" xfId="31644"/>
    <cellStyle name="Normal 9 86" xfId="31645"/>
    <cellStyle name="Normal 9 87" xfId="31646"/>
    <cellStyle name="Normal 9 88" xfId="31647"/>
    <cellStyle name="Normal 9 9" xfId="31648"/>
    <cellStyle name="Normal 9_Cultura y Tiempo libre 2011 base 2012 PGM - EMV  2013" xfId="31649"/>
    <cellStyle name="Normal_153-03 compendio 2008" xfId="36418"/>
    <cellStyle name="Normal_3.7.2-06" xfId="36433"/>
    <cellStyle name="Normal_3.7.2-09" xfId="36436"/>
    <cellStyle name="Normal_3.7.2-10" xfId="36438"/>
    <cellStyle name="Normal_Anuario CTL 2006 al 28 nov 2007" xfId="36417"/>
    <cellStyle name="Normal_CINES PORREGIÓN 2005 CALIFICACIÓN CINEMATOGRÁFICA" xfId="36441"/>
    <cellStyle name="Normal_CINES PORREGIÓN 2005 MESES" xfId="36442"/>
    <cellStyle name="Normal_cuadro presupuesto 2006" xfId="36451"/>
    <cellStyle name="Normal_Cuadros Anuario 2006-INDICADORES TRANSVERSALES" xfId="36452"/>
    <cellStyle name="Normal_Datos 2005" xfId="36419"/>
    <cellStyle name="Normal_Descritivos grals" xfId="36434"/>
    <cellStyle name="Normal_Fondo CNTV oferta y consumo" xfId="36435"/>
    <cellStyle name="Normal_Hoja1" xfId="36423"/>
    <cellStyle name="Normal_PENAL A INE CAPJ" xfId="10"/>
    <cellStyle name="Normal_PENAL A INE CAPJ 2" xfId="36454"/>
    <cellStyle name="Normal_Planilla de Datos BN.xls 2007-2006-2005" xfId="36446"/>
    <cellStyle name="Normal_Prog Inf segun Procedencia" xfId="36437"/>
    <cellStyle name="Normal_Tabla 3-2-03" xfId="36416"/>
    <cellStyle name="Notas 2" xfId="31650"/>
    <cellStyle name="Notas 2 10" xfId="31651"/>
    <cellStyle name="Notas 2 10 10" xfId="31652"/>
    <cellStyle name="Notas 2 10 10 2" xfId="31653"/>
    <cellStyle name="Notas 2 10 11" xfId="31654"/>
    <cellStyle name="Notas 2 10 11 2" xfId="31655"/>
    <cellStyle name="Notas 2 10 12" xfId="31656"/>
    <cellStyle name="Notas 2 10 12 2" xfId="31657"/>
    <cellStyle name="Notas 2 10 13" xfId="31658"/>
    <cellStyle name="Notas 2 10 13 2" xfId="31659"/>
    <cellStyle name="Notas 2 10 14" xfId="31660"/>
    <cellStyle name="Notas 2 10 2" xfId="31661"/>
    <cellStyle name="Notas 2 10 2 2" xfId="31662"/>
    <cellStyle name="Notas 2 10 3" xfId="31663"/>
    <cellStyle name="Notas 2 10 3 2" xfId="31664"/>
    <cellStyle name="Notas 2 10 4" xfId="31665"/>
    <cellStyle name="Notas 2 10 4 2" xfId="31666"/>
    <cellStyle name="Notas 2 10 5" xfId="31667"/>
    <cellStyle name="Notas 2 10 5 2" xfId="31668"/>
    <cellStyle name="Notas 2 10 6" xfId="31669"/>
    <cellStyle name="Notas 2 10 6 2" xfId="31670"/>
    <cellStyle name="Notas 2 10 7" xfId="31671"/>
    <cellStyle name="Notas 2 10 7 2" xfId="31672"/>
    <cellStyle name="Notas 2 10 8" xfId="31673"/>
    <cellStyle name="Notas 2 10 8 2" xfId="31674"/>
    <cellStyle name="Notas 2 10 9" xfId="31675"/>
    <cellStyle name="Notas 2 10 9 2" xfId="31676"/>
    <cellStyle name="Notas 2 11" xfId="31677"/>
    <cellStyle name="Notas 2 11 10" xfId="31678"/>
    <cellStyle name="Notas 2 11 10 2" xfId="31679"/>
    <cellStyle name="Notas 2 11 11" xfId="31680"/>
    <cellStyle name="Notas 2 11 11 2" xfId="31681"/>
    <cellStyle name="Notas 2 11 12" xfId="31682"/>
    <cellStyle name="Notas 2 11 12 2" xfId="31683"/>
    <cellStyle name="Notas 2 11 13" xfId="31684"/>
    <cellStyle name="Notas 2 11 13 2" xfId="31685"/>
    <cellStyle name="Notas 2 11 14" xfId="31686"/>
    <cellStyle name="Notas 2 11 2" xfId="31687"/>
    <cellStyle name="Notas 2 11 2 2" xfId="31688"/>
    <cellStyle name="Notas 2 11 3" xfId="31689"/>
    <cellStyle name="Notas 2 11 3 2" xfId="31690"/>
    <cellStyle name="Notas 2 11 4" xfId="31691"/>
    <cellStyle name="Notas 2 11 4 2" xfId="31692"/>
    <cellStyle name="Notas 2 11 5" xfId="31693"/>
    <cellStyle name="Notas 2 11 5 2" xfId="31694"/>
    <cellStyle name="Notas 2 11 6" xfId="31695"/>
    <cellStyle name="Notas 2 11 6 2" xfId="31696"/>
    <cellStyle name="Notas 2 11 7" xfId="31697"/>
    <cellStyle name="Notas 2 11 7 2" xfId="31698"/>
    <cellStyle name="Notas 2 11 8" xfId="31699"/>
    <cellStyle name="Notas 2 11 8 2" xfId="31700"/>
    <cellStyle name="Notas 2 11 9" xfId="31701"/>
    <cellStyle name="Notas 2 11 9 2" xfId="31702"/>
    <cellStyle name="Notas 2 12" xfId="31703"/>
    <cellStyle name="Notas 2 12 10" xfId="31704"/>
    <cellStyle name="Notas 2 12 10 2" xfId="31705"/>
    <cellStyle name="Notas 2 12 11" xfId="31706"/>
    <cellStyle name="Notas 2 12 11 2" xfId="31707"/>
    <cellStyle name="Notas 2 12 12" xfId="31708"/>
    <cellStyle name="Notas 2 12 12 2" xfId="31709"/>
    <cellStyle name="Notas 2 12 13" xfId="31710"/>
    <cellStyle name="Notas 2 12 13 2" xfId="31711"/>
    <cellStyle name="Notas 2 12 14" xfId="31712"/>
    <cellStyle name="Notas 2 12 2" xfId="31713"/>
    <cellStyle name="Notas 2 12 2 2" xfId="31714"/>
    <cellStyle name="Notas 2 12 3" xfId="31715"/>
    <cellStyle name="Notas 2 12 3 2" xfId="31716"/>
    <cellStyle name="Notas 2 12 4" xfId="31717"/>
    <cellStyle name="Notas 2 12 4 2" xfId="31718"/>
    <cellStyle name="Notas 2 12 5" xfId="31719"/>
    <cellStyle name="Notas 2 12 5 2" xfId="31720"/>
    <cellStyle name="Notas 2 12 6" xfId="31721"/>
    <cellStyle name="Notas 2 12 6 2" xfId="31722"/>
    <cellStyle name="Notas 2 12 7" xfId="31723"/>
    <cellStyle name="Notas 2 12 7 2" xfId="31724"/>
    <cellStyle name="Notas 2 12 8" xfId="31725"/>
    <cellStyle name="Notas 2 12 8 2" xfId="31726"/>
    <cellStyle name="Notas 2 12 9" xfId="31727"/>
    <cellStyle name="Notas 2 12 9 2" xfId="31728"/>
    <cellStyle name="Notas 2 13" xfId="31729"/>
    <cellStyle name="Notas 2 13 10" xfId="31730"/>
    <cellStyle name="Notas 2 13 10 2" xfId="31731"/>
    <cellStyle name="Notas 2 13 11" xfId="31732"/>
    <cellStyle name="Notas 2 13 11 2" xfId="31733"/>
    <cellStyle name="Notas 2 13 12" xfId="31734"/>
    <cellStyle name="Notas 2 13 12 2" xfId="31735"/>
    <cellStyle name="Notas 2 13 13" xfId="31736"/>
    <cellStyle name="Notas 2 13 13 2" xfId="31737"/>
    <cellStyle name="Notas 2 13 14" xfId="31738"/>
    <cellStyle name="Notas 2 13 2" xfId="31739"/>
    <cellStyle name="Notas 2 13 2 2" xfId="31740"/>
    <cellStyle name="Notas 2 13 3" xfId="31741"/>
    <cellStyle name="Notas 2 13 3 2" xfId="31742"/>
    <cellStyle name="Notas 2 13 4" xfId="31743"/>
    <cellStyle name="Notas 2 13 4 2" xfId="31744"/>
    <cellStyle name="Notas 2 13 5" xfId="31745"/>
    <cellStyle name="Notas 2 13 5 2" xfId="31746"/>
    <cellStyle name="Notas 2 13 6" xfId="31747"/>
    <cellStyle name="Notas 2 13 6 2" xfId="31748"/>
    <cellStyle name="Notas 2 13 7" xfId="31749"/>
    <cellStyle name="Notas 2 13 7 2" xfId="31750"/>
    <cellStyle name="Notas 2 13 8" xfId="31751"/>
    <cellStyle name="Notas 2 13 8 2" xfId="31752"/>
    <cellStyle name="Notas 2 13 9" xfId="31753"/>
    <cellStyle name="Notas 2 13 9 2" xfId="31754"/>
    <cellStyle name="Notas 2 14" xfId="31755"/>
    <cellStyle name="Notas 2 14 10" xfId="31756"/>
    <cellStyle name="Notas 2 14 10 2" xfId="31757"/>
    <cellStyle name="Notas 2 14 11" xfId="31758"/>
    <cellStyle name="Notas 2 14 11 2" xfId="31759"/>
    <cellStyle name="Notas 2 14 12" xfId="31760"/>
    <cellStyle name="Notas 2 14 12 2" xfId="31761"/>
    <cellStyle name="Notas 2 14 13" xfId="31762"/>
    <cellStyle name="Notas 2 14 13 2" xfId="31763"/>
    <cellStyle name="Notas 2 14 14" xfId="31764"/>
    <cellStyle name="Notas 2 14 2" xfId="31765"/>
    <cellStyle name="Notas 2 14 2 2" xfId="31766"/>
    <cellStyle name="Notas 2 14 3" xfId="31767"/>
    <cellStyle name="Notas 2 14 3 2" xfId="31768"/>
    <cellStyle name="Notas 2 14 4" xfId="31769"/>
    <cellStyle name="Notas 2 14 4 2" xfId="31770"/>
    <cellStyle name="Notas 2 14 5" xfId="31771"/>
    <cellStyle name="Notas 2 14 5 2" xfId="31772"/>
    <cellStyle name="Notas 2 14 6" xfId="31773"/>
    <cellStyle name="Notas 2 14 6 2" xfId="31774"/>
    <cellStyle name="Notas 2 14 7" xfId="31775"/>
    <cellStyle name="Notas 2 14 7 2" xfId="31776"/>
    <cellStyle name="Notas 2 14 8" xfId="31777"/>
    <cellStyle name="Notas 2 14 8 2" xfId="31778"/>
    <cellStyle name="Notas 2 14 9" xfId="31779"/>
    <cellStyle name="Notas 2 14 9 2" xfId="31780"/>
    <cellStyle name="Notas 2 15" xfId="31781"/>
    <cellStyle name="Notas 2 15 10" xfId="31782"/>
    <cellStyle name="Notas 2 15 10 2" xfId="31783"/>
    <cellStyle name="Notas 2 15 11" xfId="31784"/>
    <cellStyle name="Notas 2 15 11 2" xfId="31785"/>
    <cellStyle name="Notas 2 15 12" xfId="31786"/>
    <cellStyle name="Notas 2 15 12 2" xfId="31787"/>
    <cellStyle name="Notas 2 15 13" xfId="31788"/>
    <cellStyle name="Notas 2 15 13 2" xfId="31789"/>
    <cellStyle name="Notas 2 15 14" xfId="31790"/>
    <cellStyle name="Notas 2 15 2" xfId="31791"/>
    <cellStyle name="Notas 2 15 2 2" xfId="31792"/>
    <cellStyle name="Notas 2 15 3" xfId="31793"/>
    <cellStyle name="Notas 2 15 3 2" xfId="31794"/>
    <cellStyle name="Notas 2 15 4" xfId="31795"/>
    <cellStyle name="Notas 2 15 4 2" xfId="31796"/>
    <cellStyle name="Notas 2 15 5" xfId="31797"/>
    <cellStyle name="Notas 2 15 5 2" xfId="31798"/>
    <cellStyle name="Notas 2 15 6" xfId="31799"/>
    <cellStyle name="Notas 2 15 6 2" xfId="31800"/>
    <cellStyle name="Notas 2 15 7" xfId="31801"/>
    <cellStyle name="Notas 2 15 7 2" xfId="31802"/>
    <cellStyle name="Notas 2 15 8" xfId="31803"/>
    <cellStyle name="Notas 2 15 8 2" xfId="31804"/>
    <cellStyle name="Notas 2 15 9" xfId="31805"/>
    <cellStyle name="Notas 2 15 9 2" xfId="31806"/>
    <cellStyle name="Notas 2 16" xfId="31807"/>
    <cellStyle name="Notas 2 16 10" xfId="31808"/>
    <cellStyle name="Notas 2 16 10 2" xfId="31809"/>
    <cellStyle name="Notas 2 16 11" xfId="31810"/>
    <cellStyle name="Notas 2 16 11 2" xfId="31811"/>
    <cellStyle name="Notas 2 16 12" xfId="31812"/>
    <cellStyle name="Notas 2 16 12 2" xfId="31813"/>
    <cellStyle name="Notas 2 16 13" xfId="31814"/>
    <cellStyle name="Notas 2 16 13 2" xfId="31815"/>
    <cellStyle name="Notas 2 16 14" xfId="31816"/>
    <cellStyle name="Notas 2 16 2" xfId="31817"/>
    <cellStyle name="Notas 2 16 2 2" xfId="31818"/>
    <cellStyle name="Notas 2 16 3" xfId="31819"/>
    <cellStyle name="Notas 2 16 3 2" xfId="31820"/>
    <cellStyle name="Notas 2 16 4" xfId="31821"/>
    <cellStyle name="Notas 2 16 4 2" xfId="31822"/>
    <cellStyle name="Notas 2 16 5" xfId="31823"/>
    <cellStyle name="Notas 2 16 5 2" xfId="31824"/>
    <cellStyle name="Notas 2 16 6" xfId="31825"/>
    <cellStyle name="Notas 2 16 6 2" xfId="31826"/>
    <cellStyle name="Notas 2 16 7" xfId="31827"/>
    <cellStyle name="Notas 2 16 7 2" xfId="31828"/>
    <cellStyle name="Notas 2 16 8" xfId="31829"/>
    <cellStyle name="Notas 2 16 8 2" xfId="31830"/>
    <cellStyle name="Notas 2 16 9" xfId="31831"/>
    <cellStyle name="Notas 2 16 9 2" xfId="31832"/>
    <cellStyle name="Notas 2 17" xfId="31833"/>
    <cellStyle name="Notas 2 17 10" xfId="31834"/>
    <cellStyle name="Notas 2 17 10 2" xfId="31835"/>
    <cellStyle name="Notas 2 17 11" xfId="31836"/>
    <cellStyle name="Notas 2 17 11 2" xfId="31837"/>
    <cellStyle name="Notas 2 17 12" xfId="31838"/>
    <cellStyle name="Notas 2 17 12 2" xfId="31839"/>
    <cellStyle name="Notas 2 17 13" xfId="31840"/>
    <cellStyle name="Notas 2 17 13 2" xfId="31841"/>
    <cellStyle name="Notas 2 17 14" xfId="31842"/>
    <cellStyle name="Notas 2 17 2" xfId="31843"/>
    <cellStyle name="Notas 2 17 2 2" xfId="31844"/>
    <cellStyle name="Notas 2 17 3" xfId="31845"/>
    <cellStyle name="Notas 2 17 3 2" xfId="31846"/>
    <cellStyle name="Notas 2 17 4" xfId="31847"/>
    <cellStyle name="Notas 2 17 4 2" xfId="31848"/>
    <cellStyle name="Notas 2 17 5" xfId="31849"/>
    <cellStyle name="Notas 2 17 5 2" xfId="31850"/>
    <cellStyle name="Notas 2 17 6" xfId="31851"/>
    <cellStyle name="Notas 2 17 6 2" xfId="31852"/>
    <cellStyle name="Notas 2 17 7" xfId="31853"/>
    <cellStyle name="Notas 2 17 7 2" xfId="31854"/>
    <cellStyle name="Notas 2 17 8" xfId="31855"/>
    <cellStyle name="Notas 2 17 8 2" xfId="31856"/>
    <cellStyle name="Notas 2 17 9" xfId="31857"/>
    <cellStyle name="Notas 2 17 9 2" xfId="31858"/>
    <cellStyle name="Notas 2 18" xfId="31859"/>
    <cellStyle name="Notas 2 18 10" xfId="31860"/>
    <cellStyle name="Notas 2 18 10 2" xfId="31861"/>
    <cellStyle name="Notas 2 18 11" xfId="31862"/>
    <cellStyle name="Notas 2 18 11 2" xfId="31863"/>
    <cellStyle name="Notas 2 18 12" xfId="31864"/>
    <cellStyle name="Notas 2 18 12 2" xfId="31865"/>
    <cellStyle name="Notas 2 18 13" xfId="31866"/>
    <cellStyle name="Notas 2 18 13 2" xfId="31867"/>
    <cellStyle name="Notas 2 18 14" xfId="31868"/>
    <cellStyle name="Notas 2 18 2" xfId="31869"/>
    <cellStyle name="Notas 2 18 2 2" xfId="31870"/>
    <cellStyle name="Notas 2 18 3" xfId="31871"/>
    <cellStyle name="Notas 2 18 3 2" xfId="31872"/>
    <cellStyle name="Notas 2 18 4" xfId="31873"/>
    <cellStyle name="Notas 2 18 4 2" xfId="31874"/>
    <cellStyle name="Notas 2 18 5" xfId="31875"/>
    <cellStyle name="Notas 2 18 5 2" xfId="31876"/>
    <cellStyle name="Notas 2 18 6" xfId="31877"/>
    <cellStyle name="Notas 2 18 6 2" xfId="31878"/>
    <cellStyle name="Notas 2 18 7" xfId="31879"/>
    <cellStyle name="Notas 2 18 7 2" xfId="31880"/>
    <cellStyle name="Notas 2 18 8" xfId="31881"/>
    <cellStyle name="Notas 2 18 8 2" xfId="31882"/>
    <cellStyle name="Notas 2 18 9" xfId="31883"/>
    <cellStyle name="Notas 2 18 9 2" xfId="31884"/>
    <cellStyle name="Notas 2 19" xfId="31885"/>
    <cellStyle name="Notas 2 19 10" xfId="31886"/>
    <cellStyle name="Notas 2 19 10 2" xfId="31887"/>
    <cellStyle name="Notas 2 19 11" xfId="31888"/>
    <cellStyle name="Notas 2 19 11 2" xfId="31889"/>
    <cellStyle name="Notas 2 19 12" xfId="31890"/>
    <cellStyle name="Notas 2 19 12 2" xfId="31891"/>
    <cellStyle name="Notas 2 19 13" xfId="31892"/>
    <cellStyle name="Notas 2 19 13 2" xfId="31893"/>
    <cellStyle name="Notas 2 19 14" xfId="31894"/>
    <cellStyle name="Notas 2 19 2" xfId="31895"/>
    <cellStyle name="Notas 2 19 2 2" xfId="31896"/>
    <cellStyle name="Notas 2 19 3" xfId="31897"/>
    <cellStyle name="Notas 2 19 3 2" xfId="31898"/>
    <cellStyle name="Notas 2 19 4" xfId="31899"/>
    <cellStyle name="Notas 2 19 4 2" xfId="31900"/>
    <cellStyle name="Notas 2 19 5" xfId="31901"/>
    <cellStyle name="Notas 2 19 5 2" xfId="31902"/>
    <cellStyle name="Notas 2 19 6" xfId="31903"/>
    <cellStyle name="Notas 2 19 6 2" xfId="31904"/>
    <cellStyle name="Notas 2 19 7" xfId="31905"/>
    <cellStyle name="Notas 2 19 7 2" xfId="31906"/>
    <cellStyle name="Notas 2 19 8" xfId="31907"/>
    <cellStyle name="Notas 2 19 8 2" xfId="31908"/>
    <cellStyle name="Notas 2 19 9" xfId="31909"/>
    <cellStyle name="Notas 2 19 9 2" xfId="31910"/>
    <cellStyle name="Notas 2 2" xfId="31911"/>
    <cellStyle name="Notas 2 2 10" xfId="31912"/>
    <cellStyle name="Notas 2 2 10 10" xfId="31913"/>
    <cellStyle name="Notas 2 2 10 11" xfId="31914"/>
    <cellStyle name="Notas 2 2 10 12" xfId="31915"/>
    <cellStyle name="Notas 2 2 10 13" xfId="31916"/>
    <cellStyle name="Notas 2 2 10 2" xfId="31917"/>
    <cellStyle name="Notas 2 2 10 3" xfId="31918"/>
    <cellStyle name="Notas 2 2 10 4" xfId="31919"/>
    <cellStyle name="Notas 2 2 10 5" xfId="31920"/>
    <cellStyle name="Notas 2 2 10 6" xfId="31921"/>
    <cellStyle name="Notas 2 2 10 7" xfId="31922"/>
    <cellStyle name="Notas 2 2 10 8" xfId="31923"/>
    <cellStyle name="Notas 2 2 10 9" xfId="31924"/>
    <cellStyle name="Notas 2 2 11" xfId="31925"/>
    <cellStyle name="Notas 2 2 11 10" xfId="31926"/>
    <cellStyle name="Notas 2 2 11 11" xfId="31927"/>
    <cellStyle name="Notas 2 2 11 12" xfId="31928"/>
    <cellStyle name="Notas 2 2 11 13" xfId="31929"/>
    <cellStyle name="Notas 2 2 11 2" xfId="31930"/>
    <cellStyle name="Notas 2 2 11 3" xfId="31931"/>
    <cellStyle name="Notas 2 2 11 4" xfId="31932"/>
    <cellStyle name="Notas 2 2 11 5" xfId="31933"/>
    <cellStyle name="Notas 2 2 11 6" xfId="31934"/>
    <cellStyle name="Notas 2 2 11 7" xfId="31935"/>
    <cellStyle name="Notas 2 2 11 8" xfId="31936"/>
    <cellStyle name="Notas 2 2 11 9" xfId="31937"/>
    <cellStyle name="Notas 2 2 12" xfId="31938"/>
    <cellStyle name="Notas 2 2 12 10" xfId="31939"/>
    <cellStyle name="Notas 2 2 12 11" xfId="31940"/>
    <cellStyle name="Notas 2 2 12 12" xfId="31941"/>
    <cellStyle name="Notas 2 2 12 13" xfId="31942"/>
    <cellStyle name="Notas 2 2 12 2" xfId="31943"/>
    <cellStyle name="Notas 2 2 12 3" xfId="31944"/>
    <cellStyle name="Notas 2 2 12 4" xfId="31945"/>
    <cellStyle name="Notas 2 2 12 5" xfId="31946"/>
    <cellStyle name="Notas 2 2 12 6" xfId="31947"/>
    <cellStyle name="Notas 2 2 12 7" xfId="31948"/>
    <cellStyle name="Notas 2 2 12 8" xfId="31949"/>
    <cellStyle name="Notas 2 2 12 9" xfId="31950"/>
    <cellStyle name="Notas 2 2 13" xfId="31951"/>
    <cellStyle name="Notas 2 2 13 10" xfId="31952"/>
    <cellStyle name="Notas 2 2 13 11" xfId="31953"/>
    <cellStyle name="Notas 2 2 13 12" xfId="31954"/>
    <cellStyle name="Notas 2 2 13 13" xfId="31955"/>
    <cellStyle name="Notas 2 2 13 2" xfId="31956"/>
    <cellStyle name="Notas 2 2 13 3" xfId="31957"/>
    <cellStyle name="Notas 2 2 13 4" xfId="31958"/>
    <cellStyle name="Notas 2 2 13 5" xfId="31959"/>
    <cellStyle name="Notas 2 2 13 6" xfId="31960"/>
    <cellStyle name="Notas 2 2 13 7" xfId="31961"/>
    <cellStyle name="Notas 2 2 13 8" xfId="31962"/>
    <cellStyle name="Notas 2 2 13 9" xfId="31963"/>
    <cellStyle name="Notas 2 2 14" xfId="31964"/>
    <cellStyle name="Notas 2 2 14 10" xfId="31965"/>
    <cellStyle name="Notas 2 2 14 11" xfId="31966"/>
    <cellStyle name="Notas 2 2 14 12" xfId="31967"/>
    <cellStyle name="Notas 2 2 14 13" xfId="31968"/>
    <cellStyle name="Notas 2 2 14 2" xfId="31969"/>
    <cellStyle name="Notas 2 2 14 3" xfId="31970"/>
    <cellStyle name="Notas 2 2 14 4" xfId="31971"/>
    <cellStyle name="Notas 2 2 14 5" xfId="31972"/>
    <cellStyle name="Notas 2 2 14 6" xfId="31973"/>
    <cellStyle name="Notas 2 2 14 7" xfId="31974"/>
    <cellStyle name="Notas 2 2 14 8" xfId="31975"/>
    <cellStyle name="Notas 2 2 14 9" xfId="31976"/>
    <cellStyle name="Notas 2 2 15" xfId="31977"/>
    <cellStyle name="Notas 2 2 15 10" xfId="31978"/>
    <cellStyle name="Notas 2 2 15 11" xfId="31979"/>
    <cellStyle name="Notas 2 2 15 12" xfId="31980"/>
    <cellStyle name="Notas 2 2 15 13" xfId="31981"/>
    <cellStyle name="Notas 2 2 15 2" xfId="31982"/>
    <cellStyle name="Notas 2 2 15 3" xfId="31983"/>
    <cellStyle name="Notas 2 2 15 4" xfId="31984"/>
    <cellStyle name="Notas 2 2 15 5" xfId="31985"/>
    <cellStyle name="Notas 2 2 15 6" xfId="31986"/>
    <cellStyle name="Notas 2 2 15 7" xfId="31987"/>
    <cellStyle name="Notas 2 2 15 8" xfId="31988"/>
    <cellStyle name="Notas 2 2 15 9" xfId="31989"/>
    <cellStyle name="Notas 2 2 16" xfId="31990"/>
    <cellStyle name="Notas 2 2 16 10" xfId="31991"/>
    <cellStyle name="Notas 2 2 16 11" xfId="31992"/>
    <cellStyle name="Notas 2 2 16 12" xfId="31993"/>
    <cellStyle name="Notas 2 2 16 13" xfId="31994"/>
    <cellStyle name="Notas 2 2 16 2" xfId="31995"/>
    <cellStyle name="Notas 2 2 16 3" xfId="31996"/>
    <cellStyle name="Notas 2 2 16 4" xfId="31997"/>
    <cellStyle name="Notas 2 2 16 5" xfId="31998"/>
    <cellStyle name="Notas 2 2 16 6" xfId="31999"/>
    <cellStyle name="Notas 2 2 16 7" xfId="32000"/>
    <cellStyle name="Notas 2 2 16 8" xfId="32001"/>
    <cellStyle name="Notas 2 2 16 9" xfId="32002"/>
    <cellStyle name="Notas 2 2 17" xfId="32003"/>
    <cellStyle name="Notas 2 2 17 10" xfId="32004"/>
    <cellStyle name="Notas 2 2 17 11" xfId="32005"/>
    <cellStyle name="Notas 2 2 17 12" xfId="32006"/>
    <cellStyle name="Notas 2 2 17 13" xfId="32007"/>
    <cellStyle name="Notas 2 2 17 2" xfId="32008"/>
    <cellStyle name="Notas 2 2 17 3" xfId="32009"/>
    <cellStyle name="Notas 2 2 17 4" xfId="32010"/>
    <cellStyle name="Notas 2 2 17 5" xfId="32011"/>
    <cellStyle name="Notas 2 2 17 6" xfId="32012"/>
    <cellStyle name="Notas 2 2 17 7" xfId="32013"/>
    <cellStyle name="Notas 2 2 17 8" xfId="32014"/>
    <cellStyle name="Notas 2 2 17 9" xfId="32015"/>
    <cellStyle name="Notas 2 2 18" xfId="32016"/>
    <cellStyle name="Notas 2 2 18 10" xfId="32017"/>
    <cellStyle name="Notas 2 2 18 11" xfId="32018"/>
    <cellStyle name="Notas 2 2 18 12" xfId="32019"/>
    <cellStyle name="Notas 2 2 18 13" xfId="32020"/>
    <cellStyle name="Notas 2 2 18 2" xfId="32021"/>
    <cellStyle name="Notas 2 2 18 3" xfId="32022"/>
    <cellStyle name="Notas 2 2 18 4" xfId="32023"/>
    <cellStyle name="Notas 2 2 18 5" xfId="32024"/>
    <cellStyle name="Notas 2 2 18 6" xfId="32025"/>
    <cellStyle name="Notas 2 2 18 7" xfId="32026"/>
    <cellStyle name="Notas 2 2 18 8" xfId="32027"/>
    <cellStyle name="Notas 2 2 18 9" xfId="32028"/>
    <cellStyle name="Notas 2 2 19" xfId="32029"/>
    <cellStyle name="Notas 2 2 19 10" xfId="32030"/>
    <cellStyle name="Notas 2 2 19 11" xfId="32031"/>
    <cellStyle name="Notas 2 2 19 12" xfId="32032"/>
    <cellStyle name="Notas 2 2 19 13" xfId="32033"/>
    <cellStyle name="Notas 2 2 19 2" xfId="32034"/>
    <cellStyle name="Notas 2 2 19 3" xfId="32035"/>
    <cellStyle name="Notas 2 2 19 4" xfId="32036"/>
    <cellStyle name="Notas 2 2 19 5" xfId="32037"/>
    <cellStyle name="Notas 2 2 19 6" xfId="32038"/>
    <cellStyle name="Notas 2 2 19 7" xfId="32039"/>
    <cellStyle name="Notas 2 2 19 8" xfId="32040"/>
    <cellStyle name="Notas 2 2 19 9" xfId="32041"/>
    <cellStyle name="Notas 2 2 2" xfId="32042"/>
    <cellStyle name="Notas 2 2 2 10" xfId="32043"/>
    <cellStyle name="Notas 2 2 2 10 2" xfId="32044"/>
    <cellStyle name="Notas 2 2 2 11" xfId="32045"/>
    <cellStyle name="Notas 2 2 2 11 2" xfId="32046"/>
    <cellStyle name="Notas 2 2 2 12" xfId="32047"/>
    <cellStyle name="Notas 2 2 2 12 2" xfId="32048"/>
    <cellStyle name="Notas 2 2 2 13" xfId="32049"/>
    <cellStyle name="Notas 2 2 2 13 2" xfId="32050"/>
    <cellStyle name="Notas 2 2 2 2" xfId="32051"/>
    <cellStyle name="Notas 2 2 2 2 10" xfId="32052"/>
    <cellStyle name="Notas 2 2 2 2 11" xfId="32053"/>
    <cellStyle name="Notas 2 2 2 2 12" xfId="32054"/>
    <cellStyle name="Notas 2 2 2 2 13" xfId="32055"/>
    <cellStyle name="Notas 2 2 2 2 14" xfId="32056"/>
    <cellStyle name="Notas 2 2 2 2 2" xfId="32057"/>
    <cellStyle name="Notas 2 2 2 2 3" xfId="32058"/>
    <cellStyle name="Notas 2 2 2 2 4" xfId="32059"/>
    <cellStyle name="Notas 2 2 2 2 5" xfId="32060"/>
    <cellStyle name="Notas 2 2 2 2 6" xfId="32061"/>
    <cellStyle name="Notas 2 2 2 2 7" xfId="32062"/>
    <cellStyle name="Notas 2 2 2 2 8" xfId="32063"/>
    <cellStyle name="Notas 2 2 2 2 9" xfId="32064"/>
    <cellStyle name="Notas 2 2 2 3" xfId="32065"/>
    <cellStyle name="Notas 2 2 2 3 2" xfId="32066"/>
    <cellStyle name="Notas 2 2 2 4" xfId="32067"/>
    <cellStyle name="Notas 2 2 2 4 2" xfId="32068"/>
    <cellStyle name="Notas 2 2 2 5" xfId="32069"/>
    <cellStyle name="Notas 2 2 2 5 2" xfId="32070"/>
    <cellStyle name="Notas 2 2 2 6" xfId="32071"/>
    <cellStyle name="Notas 2 2 2 6 2" xfId="32072"/>
    <cellStyle name="Notas 2 2 2 7" xfId="32073"/>
    <cellStyle name="Notas 2 2 2 7 2" xfId="32074"/>
    <cellStyle name="Notas 2 2 2 8" xfId="32075"/>
    <cellStyle name="Notas 2 2 2 8 2" xfId="32076"/>
    <cellStyle name="Notas 2 2 2 9" xfId="32077"/>
    <cellStyle name="Notas 2 2 2 9 2" xfId="32078"/>
    <cellStyle name="Notas 2 2 20" xfId="32079"/>
    <cellStyle name="Notas 2 2 20 10" xfId="32080"/>
    <cellStyle name="Notas 2 2 20 11" xfId="32081"/>
    <cellStyle name="Notas 2 2 20 12" xfId="32082"/>
    <cellStyle name="Notas 2 2 20 13" xfId="32083"/>
    <cellStyle name="Notas 2 2 20 2" xfId="32084"/>
    <cellStyle name="Notas 2 2 20 3" xfId="32085"/>
    <cellStyle name="Notas 2 2 20 4" xfId="32086"/>
    <cellStyle name="Notas 2 2 20 5" xfId="32087"/>
    <cellStyle name="Notas 2 2 20 6" xfId="32088"/>
    <cellStyle name="Notas 2 2 20 7" xfId="32089"/>
    <cellStyle name="Notas 2 2 20 8" xfId="32090"/>
    <cellStyle name="Notas 2 2 20 9" xfId="32091"/>
    <cellStyle name="Notas 2 2 21" xfId="32092"/>
    <cellStyle name="Notas 2 2 21 10" xfId="32093"/>
    <cellStyle name="Notas 2 2 21 11" xfId="32094"/>
    <cellStyle name="Notas 2 2 21 12" xfId="32095"/>
    <cellStyle name="Notas 2 2 21 13" xfId="32096"/>
    <cellStyle name="Notas 2 2 21 2" xfId="32097"/>
    <cellStyle name="Notas 2 2 21 3" xfId="32098"/>
    <cellStyle name="Notas 2 2 21 4" xfId="32099"/>
    <cellStyle name="Notas 2 2 21 5" xfId="32100"/>
    <cellStyle name="Notas 2 2 21 6" xfId="32101"/>
    <cellStyle name="Notas 2 2 21 7" xfId="32102"/>
    <cellStyle name="Notas 2 2 21 8" xfId="32103"/>
    <cellStyle name="Notas 2 2 21 9" xfId="32104"/>
    <cellStyle name="Notas 2 2 22" xfId="32105"/>
    <cellStyle name="Notas 2 2 22 10" xfId="32106"/>
    <cellStyle name="Notas 2 2 22 11" xfId="32107"/>
    <cellStyle name="Notas 2 2 22 12" xfId="32108"/>
    <cellStyle name="Notas 2 2 22 13" xfId="32109"/>
    <cellStyle name="Notas 2 2 22 2" xfId="32110"/>
    <cellStyle name="Notas 2 2 22 3" xfId="32111"/>
    <cellStyle name="Notas 2 2 22 4" xfId="32112"/>
    <cellStyle name="Notas 2 2 22 5" xfId="32113"/>
    <cellStyle name="Notas 2 2 22 6" xfId="32114"/>
    <cellStyle name="Notas 2 2 22 7" xfId="32115"/>
    <cellStyle name="Notas 2 2 22 8" xfId="32116"/>
    <cellStyle name="Notas 2 2 22 9" xfId="32117"/>
    <cellStyle name="Notas 2 2 23" xfId="32118"/>
    <cellStyle name="Notas 2 2 23 10" xfId="32119"/>
    <cellStyle name="Notas 2 2 23 11" xfId="32120"/>
    <cellStyle name="Notas 2 2 23 12" xfId="32121"/>
    <cellStyle name="Notas 2 2 23 13" xfId="32122"/>
    <cellStyle name="Notas 2 2 23 2" xfId="32123"/>
    <cellStyle name="Notas 2 2 23 3" xfId="32124"/>
    <cellStyle name="Notas 2 2 23 4" xfId="32125"/>
    <cellStyle name="Notas 2 2 23 5" xfId="32126"/>
    <cellStyle name="Notas 2 2 23 6" xfId="32127"/>
    <cellStyle name="Notas 2 2 23 7" xfId="32128"/>
    <cellStyle name="Notas 2 2 23 8" xfId="32129"/>
    <cellStyle name="Notas 2 2 23 9" xfId="32130"/>
    <cellStyle name="Notas 2 2 24" xfId="32131"/>
    <cellStyle name="Notas 2 2 24 10" xfId="32132"/>
    <cellStyle name="Notas 2 2 24 11" xfId="32133"/>
    <cellStyle name="Notas 2 2 24 12" xfId="32134"/>
    <cellStyle name="Notas 2 2 24 13" xfId="32135"/>
    <cellStyle name="Notas 2 2 24 2" xfId="32136"/>
    <cellStyle name="Notas 2 2 24 3" xfId="32137"/>
    <cellStyle name="Notas 2 2 24 4" xfId="32138"/>
    <cellStyle name="Notas 2 2 24 5" xfId="32139"/>
    <cellStyle name="Notas 2 2 24 6" xfId="32140"/>
    <cellStyle name="Notas 2 2 24 7" xfId="32141"/>
    <cellStyle name="Notas 2 2 24 8" xfId="32142"/>
    <cellStyle name="Notas 2 2 24 9" xfId="32143"/>
    <cellStyle name="Notas 2 2 25" xfId="32144"/>
    <cellStyle name="Notas 2 2 25 10" xfId="32145"/>
    <cellStyle name="Notas 2 2 25 11" xfId="32146"/>
    <cellStyle name="Notas 2 2 25 12" xfId="32147"/>
    <cellStyle name="Notas 2 2 25 13" xfId="32148"/>
    <cellStyle name="Notas 2 2 25 2" xfId="32149"/>
    <cellStyle name="Notas 2 2 25 3" xfId="32150"/>
    <cellStyle name="Notas 2 2 25 4" xfId="32151"/>
    <cellStyle name="Notas 2 2 25 5" xfId="32152"/>
    <cellStyle name="Notas 2 2 25 6" xfId="32153"/>
    <cellStyle name="Notas 2 2 25 7" xfId="32154"/>
    <cellStyle name="Notas 2 2 25 8" xfId="32155"/>
    <cellStyle name="Notas 2 2 25 9" xfId="32156"/>
    <cellStyle name="Notas 2 2 26" xfId="32157"/>
    <cellStyle name="Notas 2 2 26 10" xfId="32158"/>
    <cellStyle name="Notas 2 2 26 11" xfId="32159"/>
    <cellStyle name="Notas 2 2 26 12" xfId="32160"/>
    <cellStyle name="Notas 2 2 26 13" xfId="32161"/>
    <cellStyle name="Notas 2 2 26 2" xfId="32162"/>
    <cellStyle name="Notas 2 2 26 3" xfId="32163"/>
    <cellStyle name="Notas 2 2 26 4" xfId="32164"/>
    <cellStyle name="Notas 2 2 26 5" xfId="32165"/>
    <cellStyle name="Notas 2 2 26 6" xfId="32166"/>
    <cellStyle name="Notas 2 2 26 7" xfId="32167"/>
    <cellStyle name="Notas 2 2 26 8" xfId="32168"/>
    <cellStyle name="Notas 2 2 26 9" xfId="32169"/>
    <cellStyle name="Notas 2 2 27" xfId="32170"/>
    <cellStyle name="Notas 2 2 27 10" xfId="32171"/>
    <cellStyle name="Notas 2 2 27 11" xfId="32172"/>
    <cellStyle name="Notas 2 2 27 12" xfId="32173"/>
    <cellStyle name="Notas 2 2 27 13" xfId="32174"/>
    <cellStyle name="Notas 2 2 27 2" xfId="32175"/>
    <cellStyle name="Notas 2 2 27 3" xfId="32176"/>
    <cellStyle name="Notas 2 2 27 4" xfId="32177"/>
    <cellStyle name="Notas 2 2 27 5" xfId="32178"/>
    <cellStyle name="Notas 2 2 27 6" xfId="32179"/>
    <cellStyle name="Notas 2 2 27 7" xfId="32180"/>
    <cellStyle name="Notas 2 2 27 8" xfId="32181"/>
    <cellStyle name="Notas 2 2 27 9" xfId="32182"/>
    <cellStyle name="Notas 2 2 28" xfId="32183"/>
    <cellStyle name="Notas 2 2 28 10" xfId="32184"/>
    <cellStyle name="Notas 2 2 28 11" xfId="32185"/>
    <cellStyle name="Notas 2 2 28 12" xfId="32186"/>
    <cellStyle name="Notas 2 2 28 13" xfId="32187"/>
    <cellStyle name="Notas 2 2 28 2" xfId="32188"/>
    <cellStyle name="Notas 2 2 28 3" xfId="32189"/>
    <cellStyle name="Notas 2 2 28 4" xfId="32190"/>
    <cellStyle name="Notas 2 2 28 5" xfId="32191"/>
    <cellStyle name="Notas 2 2 28 6" xfId="32192"/>
    <cellStyle name="Notas 2 2 28 7" xfId="32193"/>
    <cellStyle name="Notas 2 2 28 8" xfId="32194"/>
    <cellStyle name="Notas 2 2 28 9" xfId="32195"/>
    <cellStyle name="Notas 2 2 29" xfId="32196"/>
    <cellStyle name="Notas 2 2 29 10" xfId="32197"/>
    <cellStyle name="Notas 2 2 29 11" xfId="32198"/>
    <cellStyle name="Notas 2 2 29 12" xfId="32199"/>
    <cellStyle name="Notas 2 2 29 13" xfId="32200"/>
    <cellStyle name="Notas 2 2 29 2" xfId="32201"/>
    <cellStyle name="Notas 2 2 29 3" xfId="32202"/>
    <cellStyle name="Notas 2 2 29 4" xfId="32203"/>
    <cellStyle name="Notas 2 2 29 5" xfId="32204"/>
    <cellStyle name="Notas 2 2 29 6" xfId="32205"/>
    <cellStyle name="Notas 2 2 29 7" xfId="32206"/>
    <cellStyle name="Notas 2 2 29 8" xfId="32207"/>
    <cellStyle name="Notas 2 2 29 9" xfId="32208"/>
    <cellStyle name="Notas 2 2 3" xfId="32209"/>
    <cellStyle name="Notas 2 2 3 10" xfId="32210"/>
    <cellStyle name="Notas 2 2 3 11" xfId="32211"/>
    <cellStyle name="Notas 2 2 3 12" xfId="32212"/>
    <cellStyle name="Notas 2 2 3 13" xfId="32213"/>
    <cellStyle name="Notas 2 2 3 2" xfId="32214"/>
    <cellStyle name="Notas 2 2 3 3" xfId="32215"/>
    <cellStyle name="Notas 2 2 3 4" xfId="32216"/>
    <cellStyle name="Notas 2 2 3 5" xfId="32217"/>
    <cellStyle name="Notas 2 2 3 6" xfId="32218"/>
    <cellStyle name="Notas 2 2 3 7" xfId="32219"/>
    <cellStyle name="Notas 2 2 3 8" xfId="32220"/>
    <cellStyle name="Notas 2 2 3 9" xfId="32221"/>
    <cellStyle name="Notas 2 2 30" xfId="32222"/>
    <cellStyle name="Notas 2 2 30 10" xfId="32223"/>
    <cellStyle name="Notas 2 2 30 11" xfId="32224"/>
    <cellStyle name="Notas 2 2 30 12" xfId="32225"/>
    <cellStyle name="Notas 2 2 30 13" xfId="32226"/>
    <cellStyle name="Notas 2 2 30 2" xfId="32227"/>
    <cellStyle name="Notas 2 2 30 3" xfId="32228"/>
    <cellStyle name="Notas 2 2 30 4" xfId="32229"/>
    <cellStyle name="Notas 2 2 30 5" xfId="32230"/>
    <cellStyle name="Notas 2 2 30 6" xfId="32231"/>
    <cellStyle name="Notas 2 2 30 7" xfId="32232"/>
    <cellStyle name="Notas 2 2 30 8" xfId="32233"/>
    <cellStyle name="Notas 2 2 30 9" xfId="32234"/>
    <cellStyle name="Notas 2 2 31" xfId="32235"/>
    <cellStyle name="Notas 2 2 31 10" xfId="32236"/>
    <cellStyle name="Notas 2 2 31 11" xfId="32237"/>
    <cellStyle name="Notas 2 2 31 12" xfId="32238"/>
    <cellStyle name="Notas 2 2 31 13" xfId="32239"/>
    <cellStyle name="Notas 2 2 31 2" xfId="32240"/>
    <cellStyle name="Notas 2 2 31 3" xfId="32241"/>
    <cellStyle name="Notas 2 2 31 4" xfId="32242"/>
    <cellStyle name="Notas 2 2 31 5" xfId="32243"/>
    <cellStyle name="Notas 2 2 31 6" xfId="32244"/>
    <cellStyle name="Notas 2 2 31 7" xfId="32245"/>
    <cellStyle name="Notas 2 2 31 8" xfId="32246"/>
    <cellStyle name="Notas 2 2 31 9" xfId="32247"/>
    <cellStyle name="Notas 2 2 32" xfId="32248"/>
    <cellStyle name="Notas 2 2 32 10" xfId="32249"/>
    <cellStyle name="Notas 2 2 32 11" xfId="32250"/>
    <cellStyle name="Notas 2 2 32 12" xfId="32251"/>
    <cellStyle name="Notas 2 2 32 13" xfId="32252"/>
    <cellStyle name="Notas 2 2 32 2" xfId="32253"/>
    <cellStyle name="Notas 2 2 32 3" xfId="32254"/>
    <cellStyle name="Notas 2 2 32 4" xfId="32255"/>
    <cellStyle name="Notas 2 2 32 5" xfId="32256"/>
    <cellStyle name="Notas 2 2 32 6" xfId="32257"/>
    <cellStyle name="Notas 2 2 32 7" xfId="32258"/>
    <cellStyle name="Notas 2 2 32 8" xfId="32259"/>
    <cellStyle name="Notas 2 2 32 9" xfId="32260"/>
    <cellStyle name="Notas 2 2 33" xfId="32261"/>
    <cellStyle name="Notas 2 2 33 10" xfId="32262"/>
    <cellStyle name="Notas 2 2 33 11" xfId="32263"/>
    <cellStyle name="Notas 2 2 33 12" xfId="32264"/>
    <cellStyle name="Notas 2 2 33 13" xfId="32265"/>
    <cellStyle name="Notas 2 2 33 2" xfId="32266"/>
    <cellStyle name="Notas 2 2 33 3" xfId="32267"/>
    <cellStyle name="Notas 2 2 33 4" xfId="32268"/>
    <cellStyle name="Notas 2 2 33 5" xfId="32269"/>
    <cellStyle name="Notas 2 2 33 6" xfId="32270"/>
    <cellStyle name="Notas 2 2 33 7" xfId="32271"/>
    <cellStyle name="Notas 2 2 33 8" xfId="32272"/>
    <cellStyle name="Notas 2 2 33 9" xfId="32273"/>
    <cellStyle name="Notas 2 2 34" xfId="32274"/>
    <cellStyle name="Notas 2 2 34 10" xfId="32275"/>
    <cellStyle name="Notas 2 2 34 11" xfId="32276"/>
    <cellStyle name="Notas 2 2 34 12" xfId="32277"/>
    <cellStyle name="Notas 2 2 34 13" xfId="32278"/>
    <cellStyle name="Notas 2 2 34 2" xfId="32279"/>
    <cellStyle name="Notas 2 2 34 3" xfId="32280"/>
    <cellStyle name="Notas 2 2 34 4" xfId="32281"/>
    <cellStyle name="Notas 2 2 34 5" xfId="32282"/>
    <cellStyle name="Notas 2 2 34 6" xfId="32283"/>
    <cellStyle name="Notas 2 2 34 7" xfId="32284"/>
    <cellStyle name="Notas 2 2 34 8" xfId="32285"/>
    <cellStyle name="Notas 2 2 34 9" xfId="32286"/>
    <cellStyle name="Notas 2 2 35" xfId="32287"/>
    <cellStyle name="Notas 2 2 35 10" xfId="32288"/>
    <cellStyle name="Notas 2 2 35 11" xfId="32289"/>
    <cellStyle name="Notas 2 2 35 12" xfId="32290"/>
    <cellStyle name="Notas 2 2 35 13" xfId="32291"/>
    <cellStyle name="Notas 2 2 35 2" xfId="32292"/>
    <cellStyle name="Notas 2 2 35 3" xfId="32293"/>
    <cellStyle name="Notas 2 2 35 4" xfId="32294"/>
    <cellStyle name="Notas 2 2 35 5" xfId="32295"/>
    <cellStyle name="Notas 2 2 35 6" xfId="32296"/>
    <cellStyle name="Notas 2 2 35 7" xfId="32297"/>
    <cellStyle name="Notas 2 2 35 8" xfId="32298"/>
    <cellStyle name="Notas 2 2 35 9" xfId="32299"/>
    <cellStyle name="Notas 2 2 36" xfId="32300"/>
    <cellStyle name="Notas 2 2 36 10" xfId="32301"/>
    <cellStyle name="Notas 2 2 36 11" xfId="32302"/>
    <cellStyle name="Notas 2 2 36 12" xfId="32303"/>
    <cellStyle name="Notas 2 2 36 13" xfId="32304"/>
    <cellStyle name="Notas 2 2 36 2" xfId="32305"/>
    <cellStyle name="Notas 2 2 36 3" xfId="32306"/>
    <cellStyle name="Notas 2 2 36 4" xfId="32307"/>
    <cellStyle name="Notas 2 2 36 5" xfId="32308"/>
    <cellStyle name="Notas 2 2 36 6" xfId="32309"/>
    <cellStyle name="Notas 2 2 36 7" xfId="32310"/>
    <cellStyle name="Notas 2 2 36 8" xfId="32311"/>
    <cellStyle name="Notas 2 2 36 9" xfId="32312"/>
    <cellStyle name="Notas 2 2 37" xfId="32313"/>
    <cellStyle name="Notas 2 2 37 10" xfId="32314"/>
    <cellStyle name="Notas 2 2 37 11" xfId="32315"/>
    <cellStyle name="Notas 2 2 37 12" xfId="32316"/>
    <cellStyle name="Notas 2 2 37 13" xfId="32317"/>
    <cellStyle name="Notas 2 2 37 2" xfId="32318"/>
    <cellStyle name="Notas 2 2 37 3" xfId="32319"/>
    <cellStyle name="Notas 2 2 37 4" xfId="32320"/>
    <cellStyle name="Notas 2 2 37 5" xfId="32321"/>
    <cellStyle name="Notas 2 2 37 6" xfId="32322"/>
    <cellStyle name="Notas 2 2 37 7" xfId="32323"/>
    <cellStyle name="Notas 2 2 37 8" xfId="32324"/>
    <cellStyle name="Notas 2 2 37 9" xfId="32325"/>
    <cellStyle name="Notas 2 2 38" xfId="32326"/>
    <cellStyle name="Notas 2 2 38 10" xfId="32327"/>
    <cellStyle name="Notas 2 2 38 11" xfId="32328"/>
    <cellStyle name="Notas 2 2 38 12" xfId="32329"/>
    <cellStyle name="Notas 2 2 38 13" xfId="32330"/>
    <cellStyle name="Notas 2 2 38 2" xfId="32331"/>
    <cellStyle name="Notas 2 2 38 3" xfId="32332"/>
    <cellStyle name="Notas 2 2 38 4" xfId="32333"/>
    <cellStyle name="Notas 2 2 38 5" xfId="32334"/>
    <cellStyle name="Notas 2 2 38 6" xfId="32335"/>
    <cellStyle name="Notas 2 2 38 7" xfId="32336"/>
    <cellStyle name="Notas 2 2 38 8" xfId="32337"/>
    <cellStyle name="Notas 2 2 38 9" xfId="32338"/>
    <cellStyle name="Notas 2 2 39" xfId="32339"/>
    <cellStyle name="Notas 2 2 39 10" xfId="32340"/>
    <cellStyle name="Notas 2 2 39 11" xfId="32341"/>
    <cellStyle name="Notas 2 2 39 12" xfId="32342"/>
    <cellStyle name="Notas 2 2 39 13" xfId="32343"/>
    <cellStyle name="Notas 2 2 39 2" xfId="32344"/>
    <cellStyle name="Notas 2 2 39 3" xfId="32345"/>
    <cellStyle name="Notas 2 2 39 4" xfId="32346"/>
    <cellStyle name="Notas 2 2 39 5" xfId="32347"/>
    <cellStyle name="Notas 2 2 39 6" xfId="32348"/>
    <cellStyle name="Notas 2 2 39 7" xfId="32349"/>
    <cellStyle name="Notas 2 2 39 8" xfId="32350"/>
    <cellStyle name="Notas 2 2 39 9" xfId="32351"/>
    <cellStyle name="Notas 2 2 4" xfId="32352"/>
    <cellStyle name="Notas 2 2 4 10" xfId="32353"/>
    <cellStyle name="Notas 2 2 4 11" xfId="32354"/>
    <cellStyle name="Notas 2 2 4 12" xfId="32355"/>
    <cellStyle name="Notas 2 2 4 13" xfId="32356"/>
    <cellStyle name="Notas 2 2 4 2" xfId="32357"/>
    <cellStyle name="Notas 2 2 4 3" xfId="32358"/>
    <cellStyle name="Notas 2 2 4 4" xfId="32359"/>
    <cellStyle name="Notas 2 2 4 5" xfId="32360"/>
    <cellStyle name="Notas 2 2 4 6" xfId="32361"/>
    <cellStyle name="Notas 2 2 4 7" xfId="32362"/>
    <cellStyle name="Notas 2 2 4 8" xfId="32363"/>
    <cellStyle name="Notas 2 2 4 9" xfId="32364"/>
    <cellStyle name="Notas 2 2 40" xfId="32365"/>
    <cellStyle name="Notas 2 2 40 10" xfId="32366"/>
    <cellStyle name="Notas 2 2 40 11" xfId="32367"/>
    <cellStyle name="Notas 2 2 40 12" xfId="32368"/>
    <cellStyle name="Notas 2 2 40 13" xfId="32369"/>
    <cellStyle name="Notas 2 2 40 2" xfId="32370"/>
    <cellStyle name="Notas 2 2 40 3" xfId="32371"/>
    <cellStyle name="Notas 2 2 40 4" xfId="32372"/>
    <cellStyle name="Notas 2 2 40 5" xfId="32373"/>
    <cellStyle name="Notas 2 2 40 6" xfId="32374"/>
    <cellStyle name="Notas 2 2 40 7" xfId="32375"/>
    <cellStyle name="Notas 2 2 40 8" xfId="32376"/>
    <cellStyle name="Notas 2 2 40 9" xfId="32377"/>
    <cellStyle name="Notas 2 2 41" xfId="32378"/>
    <cellStyle name="Notas 2 2 41 10" xfId="32379"/>
    <cellStyle name="Notas 2 2 41 11" xfId="32380"/>
    <cellStyle name="Notas 2 2 41 12" xfId="32381"/>
    <cellStyle name="Notas 2 2 41 13" xfId="32382"/>
    <cellStyle name="Notas 2 2 41 2" xfId="32383"/>
    <cellStyle name="Notas 2 2 41 3" xfId="32384"/>
    <cellStyle name="Notas 2 2 41 4" xfId="32385"/>
    <cellStyle name="Notas 2 2 41 5" xfId="32386"/>
    <cellStyle name="Notas 2 2 41 6" xfId="32387"/>
    <cellStyle name="Notas 2 2 41 7" xfId="32388"/>
    <cellStyle name="Notas 2 2 41 8" xfId="32389"/>
    <cellStyle name="Notas 2 2 41 9" xfId="32390"/>
    <cellStyle name="Notas 2 2 42" xfId="32391"/>
    <cellStyle name="Notas 2 2 42 10" xfId="32392"/>
    <cellStyle name="Notas 2 2 42 11" xfId="32393"/>
    <cellStyle name="Notas 2 2 42 12" xfId="32394"/>
    <cellStyle name="Notas 2 2 42 13" xfId="32395"/>
    <cellStyle name="Notas 2 2 42 2" xfId="32396"/>
    <cellStyle name="Notas 2 2 42 3" xfId="32397"/>
    <cellStyle name="Notas 2 2 42 4" xfId="32398"/>
    <cellStyle name="Notas 2 2 42 5" xfId="32399"/>
    <cellStyle name="Notas 2 2 42 6" xfId="32400"/>
    <cellStyle name="Notas 2 2 42 7" xfId="32401"/>
    <cellStyle name="Notas 2 2 42 8" xfId="32402"/>
    <cellStyle name="Notas 2 2 42 9" xfId="32403"/>
    <cellStyle name="Notas 2 2 43" xfId="32404"/>
    <cellStyle name="Notas 2 2 43 10" xfId="32405"/>
    <cellStyle name="Notas 2 2 43 11" xfId="32406"/>
    <cellStyle name="Notas 2 2 43 12" xfId="32407"/>
    <cellStyle name="Notas 2 2 43 13" xfId="32408"/>
    <cellStyle name="Notas 2 2 43 2" xfId="32409"/>
    <cellStyle name="Notas 2 2 43 3" xfId="32410"/>
    <cellStyle name="Notas 2 2 43 4" xfId="32411"/>
    <cellStyle name="Notas 2 2 43 5" xfId="32412"/>
    <cellStyle name="Notas 2 2 43 6" xfId="32413"/>
    <cellStyle name="Notas 2 2 43 7" xfId="32414"/>
    <cellStyle name="Notas 2 2 43 8" xfId="32415"/>
    <cellStyle name="Notas 2 2 43 9" xfId="32416"/>
    <cellStyle name="Notas 2 2 44" xfId="32417"/>
    <cellStyle name="Notas 2 2 44 10" xfId="32418"/>
    <cellStyle name="Notas 2 2 44 11" xfId="32419"/>
    <cellStyle name="Notas 2 2 44 12" xfId="32420"/>
    <cellStyle name="Notas 2 2 44 13" xfId="32421"/>
    <cellStyle name="Notas 2 2 44 2" xfId="32422"/>
    <cellStyle name="Notas 2 2 44 3" xfId="32423"/>
    <cellStyle name="Notas 2 2 44 4" xfId="32424"/>
    <cellStyle name="Notas 2 2 44 5" xfId="32425"/>
    <cellStyle name="Notas 2 2 44 6" xfId="32426"/>
    <cellStyle name="Notas 2 2 44 7" xfId="32427"/>
    <cellStyle name="Notas 2 2 44 8" xfId="32428"/>
    <cellStyle name="Notas 2 2 44 9" xfId="32429"/>
    <cellStyle name="Notas 2 2 45" xfId="32430"/>
    <cellStyle name="Notas 2 2 45 10" xfId="32431"/>
    <cellStyle name="Notas 2 2 45 11" xfId="32432"/>
    <cellStyle name="Notas 2 2 45 12" xfId="32433"/>
    <cellStyle name="Notas 2 2 45 13" xfId="32434"/>
    <cellStyle name="Notas 2 2 45 2" xfId="32435"/>
    <cellStyle name="Notas 2 2 45 3" xfId="32436"/>
    <cellStyle name="Notas 2 2 45 4" xfId="32437"/>
    <cellStyle name="Notas 2 2 45 5" xfId="32438"/>
    <cellStyle name="Notas 2 2 45 6" xfId="32439"/>
    <cellStyle name="Notas 2 2 45 7" xfId="32440"/>
    <cellStyle name="Notas 2 2 45 8" xfId="32441"/>
    <cellStyle name="Notas 2 2 45 9" xfId="32442"/>
    <cellStyle name="Notas 2 2 46" xfId="32443"/>
    <cellStyle name="Notas 2 2 46 10" xfId="32444"/>
    <cellStyle name="Notas 2 2 46 11" xfId="32445"/>
    <cellStyle name="Notas 2 2 46 12" xfId="32446"/>
    <cellStyle name="Notas 2 2 46 13" xfId="32447"/>
    <cellStyle name="Notas 2 2 46 2" xfId="32448"/>
    <cellStyle name="Notas 2 2 46 3" xfId="32449"/>
    <cellStyle name="Notas 2 2 46 4" xfId="32450"/>
    <cellStyle name="Notas 2 2 46 5" xfId="32451"/>
    <cellStyle name="Notas 2 2 46 6" xfId="32452"/>
    <cellStyle name="Notas 2 2 46 7" xfId="32453"/>
    <cellStyle name="Notas 2 2 46 8" xfId="32454"/>
    <cellStyle name="Notas 2 2 46 9" xfId="32455"/>
    <cellStyle name="Notas 2 2 47" xfId="32456"/>
    <cellStyle name="Notas 2 2 47 10" xfId="32457"/>
    <cellStyle name="Notas 2 2 47 11" xfId="32458"/>
    <cellStyle name="Notas 2 2 47 12" xfId="32459"/>
    <cellStyle name="Notas 2 2 47 13" xfId="32460"/>
    <cellStyle name="Notas 2 2 47 2" xfId="32461"/>
    <cellStyle name="Notas 2 2 47 3" xfId="32462"/>
    <cellStyle name="Notas 2 2 47 4" xfId="32463"/>
    <cellStyle name="Notas 2 2 47 5" xfId="32464"/>
    <cellStyle name="Notas 2 2 47 6" xfId="32465"/>
    <cellStyle name="Notas 2 2 47 7" xfId="32466"/>
    <cellStyle name="Notas 2 2 47 8" xfId="32467"/>
    <cellStyle name="Notas 2 2 47 9" xfId="32468"/>
    <cellStyle name="Notas 2 2 48" xfId="32469"/>
    <cellStyle name="Notas 2 2 48 10" xfId="32470"/>
    <cellStyle name="Notas 2 2 48 11" xfId="32471"/>
    <cellStyle name="Notas 2 2 48 12" xfId="32472"/>
    <cellStyle name="Notas 2 2 48 13" xfId="32473"/>
    <cellStyle name="Notas 2 2 48 2" xfId="32474"/>
    <cellStyle name="Notas 2 2 48 3" xfId="32475"/>
    <cellStyle name="Notas 2 2 48 4" xfId="32476"/>
    <cellStyle name="Notas 2 2 48 5" xfId="32477"/>
    <cellStyle name="Notas 2 2 48 6" xfId="32478"/>
    <cellStyle name="Notas 2 2 48 7" xfId="32479"/>
    <cellStyle name="Notas 2 2 48 8" xfId="32480"/>
    <cellStyle name="Notas 2 2 48 9" xfId="32481"/>
    <cellStyle name="Notas 2 2 49" xfId="32482"/>
    <cellStyle name="Notas 2 2 49 10" xfId="32483"/>
    <cellStyle name="Notas 2 2 49 11" xfId="32484"/>
    <cellStyle name="Notas 2 2 49 12" xfId="32485"/>
    <cellStyle name="Notas 2 2 49 13" xfId="32486"/>
    <cellStyle name="Notas 2 2 49 2" xfId="32487"/>
    <cellStyle name="Notas 2 2 49 3" xfId="32488"/>
    <cellStyle name="Notas 2 2 49 4" xfId="32489"/>
    <cellStyle name="Notas 2 2 49 5" xfId="32490"/>
    <cellStyle name="Notas 2 2 49 6" xfId="32491"/>
    <cellStyle name="Notas 2 2 49 7" xfId="32492"/>
    <cellStyle name="Notas 2 2 49 8" xfId="32493"/>
    <cellStyle name="Notas 2 2 49 9" xfId="32494"/>
    <cellStyle name="Notas 2 2 5" xfId="32495"/>
    <cellStyle name="Notas 2 2 5 10" xfId="32496"/>
    <cellStyle name="Notas 2 2 5 11" xfId="32497"/>
    <cellStyle name="Notas 2 2 5 12" xfId="32498"/>
    <cellStyle name="Notas 2 2 5 13" xfId="32499"/>
    <cellStyle name="Notas 2 2 5 2" xfId="32500"/>
    <cellStyle name="Notas 2 2 5 3" xfId="32501"/>
    <cellStyle name="Notas 2 2 5 4" xfId="32502"/>
    <cellStyle name="Notas 2 2 5 5" xfId="32503"/>
    <cellStyle name="Notas 2 2 5 6" xfId="32504"/>
    <cellStyle name="Notas 2 2 5 7" xfId="32505"/>
    <cellStyle name="Notas 2 2 5 8" xfId="32506"/>
    <cellStyle name="Notas 2 2 5 9" xfId="32507"/>
    <cellStyle name="Notas 2 2 50" xfId="32508"/>
    <cellStyle name="Notas 2 2 50 10" xfId="32509"/>
    <cellStyle name="Notas 2 2 50 11" xfId="32510"/>
    <cellStyle name="Notas 2 2 50 12" xfId="32511"/>
    <cellStyle name="Notas 2 2 50 13" xfId="32512"/>
    <cellStyle name="Notas 2 2 50 2" xfId="32513"/>
    <cellStyle name="Notas 2 2 50 3" xfId="32514"/>
    <cellStyle name="Notas 2 2 50 4" xfId="32515"/>
    <cellStyle name="Notas 2 2 50 5" xfId="32516"/>
    <cellStyle name="Notas 2 2 50 6" xfId="32517"/>
    <cellStyle name="Notas 2 2 50 7" xfId="32518"/>
    <cellStyle name="Notas 2 2 50 8" xfId="32519"/>
    <cellStyle name="Notas 2 2 50 9" xfId="32520"/>
    <cellStyle name="Notas 2 2 51" xfId="32521"/>
    <cellStyle name="Notas 2 2 51 10" xfId="32522"/>
    <cellStyle name="Notas 2 2 51 11" xfId="32523"/>
    <cellStyle name="Notas 2 2 51 12" xfId="32524"/>
    <cellStyle name="Notas 2 2 51 13" xfId="32525"/>
    <cellStyle name="Notas 2 2 51 2" xfId="32526"/>
    <cellStyle name="Notas 2 2 51 3" xfId="32527"/>
    <cellStyle name="Notas 2 2 51 4" xfId="32528"/>
    <cellStyle name="Notas 2 2 51 5" xfId="32529"/>
    <cellStyle name="Notas 2 2 51 6" xfId="32530"/>
    <cellStyle name="Notas 2 2 51 7" xfId="32531"/>
    <cellStyle name="Notas 2 2 51 8" xfId="32532"/>
    <cellStyle name="Notas 2 2 51 9" xfId="32533"/>
    <cellStyle name="Notas 2 2 52" xfId="32534"/>
    <cellStyle name="Notas 2 2 52 10" xfId="32535"/>
    <cellStyle name="Notas 2 2 52 11" xfId="32536"/>
    <cellStyle name="Notas 2 2 52 12" xfId="32537"/>
    <cellStyle name="Notas 2 2 52 13" xfId="32538"/>
    <cellStyle name="Notas 2 2 52 2" xfId="32539"/>
    <cellStyle name="Notas 2 2 52 3" xfId="32540"/>
    <cellStyle name="Notas 2 2 52 4" xfId="32541"/>
    <cellStyle name="Notas 2 2 52 5" xfId="32542"/>
    <cellStyle name="Notas 2 2 52 6" xfId="32543"/>
    <cellStyle name="Notas 2 2 52 7" xfId="32544"/>
    <cellStyle name="Notas 2 2 52 8" xfId="32545"/>
    <cellStyle name="Notas 2 2 52 9" xfId="32546"/>
    <cellStyle name="Notas 2 2 53" xfId="32547"/>
    <cellStyle name="Notas 2 2 53 10" xfId="32548"/>
    <cellStyle name="Notas 2 2 53 11" xfId="32549"/>
    <cellStyle name="Notas 2 2 53 12" xfId="32550"/>
    <cellStyle name="Notas 2 2 53 13" xfId="32551"/>
    <cellStyle name="Notas 2 2 53 2" xfId="32552"/>
    <cellStyle name="Notas 2 2 53 3" xfId="32553"/>
    <cellStyle name="Notas 2 2 53 4" xfId="32554"/>
    <cellStyle name="Notas 2 2 53 5" xfId="32555"/>
    <cellStyle name="Notas 2 2 53 6" xfId="32556"/>
    <cellStyle name="Notas 2 2 53 7" xfId="32557"/>
    <cellStyle name="Notas 2 2 53 8" xfId="32558"/>
    <cellStyle name="Notas 2 2 53 9" xfId="32559"/>
    <cellStyle name="Notas 2 2 54" xfId="32560"/>
    <cellStyle name="Notas 2 2 54 10" xfId="32561"/>
    <cellStyle name="Notas 2 2 54 11" xfId="32562"/>
    <cellStyle name="Notas 2 2 54 12" xfId="32563"/>
    <cellStyle name="Notas 2 2 54 13" xfId="32564"/>
    <cellStyle name="Notas 2 2 54 2" xfId="32565"/>
    <cellStyle name="Notas 2 2 54 3" xfId="32566"/>
    <cellStyle name="Notas 2 2 54 4" xfId="32567"/>
    <cellStyle name="Notas 2 2 54 5" xfId="32568"/>
    <cellStyle name="Notas 2 2 54 6" xfId="32569"/>
    <cellStyle name="Notas 2 2 54 7" xfId="32570"/>
    <cellStyle name="Notas 2 2 54 8" xfId="32571"/>
    <cellStyle name="Notas 2 2 54 9" xfId="32572"/>
    <cellStyle name="Notas 2 2 55" xfId="32573"/>
    <cellStyle name="Notas 2 2 55 10" xfId="32574"/>
    <cellStyle name="Notas 2 2 55 11" xfId="32575"/>
    <cellStyle name="Notas 2 2 55 12" xfId="32576"/>
    <cellStyle name="Notas 2 2 55 13" xfId="32577"/>
    <cellStyle name="Notas 2 2 55 2" xfId="32578"/>
    <cellStyle name="Notas 2 2 55 3" xfId="32579"/>
    <cellStyle name="Notas 2 2 55 4" xfId="32580"/>
    <cellStyle name="Notas 2 2 55 5" xfId="32581"/>
    <cellStyle name="Notas 2 2 55 6" xfId="32582"/>
    <cellStyle name="Notas 2 2 55 7" xfId="32583"/>
    <cellStyle name="Notas 2 2 55 8" xfId="32584"/>
    <cellStyle name="Notas 2 2 55 9" xfId="32585"/>
    <cellStyle name="Notas 2 2 56" xfId="32586"/>
    <cellStyle name="Notas 2 2 56 10" xfId="32587"/>
    <cellStyle name="Notas 2 2 56 11" xfId="32588"/>
    <cellStyle name="Notas 2 2 56 12" xfId="32589"/>
    <cellStyle name="Notas 2 2 56 13" xfId="32590"/>
    <cellStyle name="Notas 2 2 56 2" xfId="32591"/>
    <cellStyle name="Notas 2 2 56 3" xfId="32592"/>
    <cellStyle name="Notas 2 2 56 4" xfId="32593"/>
    <cellStyle name="Notas 2 2 56 5" xfId="32594"/>
    <cellStyle name="Notas 2 2 56 6" xfId="32595"/>
    <cellStyle name="Notas 2 2 56 7" xfId="32596"/>
    <cellStyle name="Notas 2 2 56 8" xfId="32597"/>
    <cellStyle name="Notas 2 2 56 9" xfId="32598"/>
    <cellStyle name="Notas 2 2 57" xfId="32599"/>
    <cellStyle name="Notas 2 2 57 10" xfId="32600"/>
    <cellStyle name="Notas 2 2 57 11" xfId="32601"/>
    <cellStyle name="Notas 2 2 57 12" xfId="32602"/>
    <cellStyle name="Notas 2 2 57 13" xfId="32603"/>
    <cellStyle name="Notas 2 2 57 2" xfId="32604"/>
    <cellStyle name="Notas 2 2 57 3" xfId="32605"/>
    <cellStyle name="Notas 2 2 57 4" xfId="32606"/>
    <cellStyle name="Notas 2 2 57 5" xfId="32607"/>
    <cellStyle name="Notas 2 2 57 6" xfId="32608"/>
    <cellStyle name="Notas 2 2 57 7" xfId="32609"/>
    <cellStyle name="Notas 2 2 57 8" xfId="32610"/>
    <cellStyle name="Notas 2 2 57 9" xfId="32611"/>
    <cellStyle name="Notas 2 2 58" xfId="32612"/>
    <cellStyle name="Notas 2 2 58 10" xfId="32613"/>
    <cellStyle name="Notas 2 2 58 11" xfId="32614"/>
    <cellStyle name="Notas 2 2 58 12" xfId="32615"/>
    <cellStyle name="Notas 2 2 58 13" xfId="32616"/>
    <cellStyle name="Notas 2 2 58 2" xfId="32617"/>
    <cellStyle name="Notas 2 2 58 3" xfId="32618"/>
    <cellStyle name="Notas 2 2 58 4" xfId="32619"/>
    <cellStyle name="Notas 2 2 58 5" xfId="32620"/>
    <cellStyle name="Notas 2 2 58 6" xfId="32621"/>
    <cellStyle name="Notas 2 2 58 7" xfId="32622"/>
    <cellStyle name="Notas 2 2 58 8" xfId="32623"/>
    <cellStyle name="Notas 2 2 58 9" xfId="32624"/>
    <cellStyle name="Notas 2 2 59" xfId="32625"/>
    <cellStyle name="Notas 2 2 59 10" xfId="32626"/>
    <cellStyle name="Notas 2 2 59 11" xfId="32627"/>
    <cellStyle name="Notas 2 2 59 12" xfId="32628"/>
    <cellStyle name="Notas 2 2 59 13" xfId="32629"/>
    <cellStyle name="Notas 2 2 59 2" xfId="32630"/>
    <cellStyle name="Notas 2 2 59 3" xfId="32631"/>
    <cellStyle name="Notas 2 2 59 4" xfId="32632"/>
    <cellStyle name="Notas 2 2 59 5" xfId="32633"/>
    <cellStyle name="Notas 2 2 59 6" xfId="32634"/>
    <cellStyle name="Notas 2 2 59 7" xfId="32635"/>
    <cellStyle name="Notas 2 2 59 8" xfId="32636"/>
    <cellStyle name="Notas 2 2 59 9" xfId="32637"/>
    <cellStyle name="Notas 2 2 6" xfId="32638"/>
    <cellStyle name="Notas 2 2 6 10" xfId="32639"/>
    <cellStyle name="Notas 2 2 6 11" xfId="32640"/>
    <cellStyle name="Notas 2 2 6 12" xfId="32641"/>
    <cellStyle name="Notas 2 2 6 13" xfId="32642"/>
    <cellStyle name="Notas 2 2 6 2" xfId="32643"/>
    <cellStyle name="Notas 2 2 6 3" xfId="32644"/>
    <cellStyle name="Notas 2 2 6 4" xfId="32645"/>
    <cellStyle name="Notas 2 2 6 5" xfId="32646"/>
    <cellStyle name="Notas 2 2 6 6" xfId="32647"/>
    <cellStyle name="Notas 2 2 6 7" xfId="32648"/>
    <cellStyle name="Notas 2 2 6 8" xfId="32649"/>
    <cellStyle name="Notas 2 2 6 9" xfId="32650"/>
    <cellStyle name="Notas 2 2 60" xfId="32651"/>
    <cellStyle name="Notas 2 2 60 10" xfId="32652"/>
    <cellStyle name="Notas 2 2 60 11" xfId="32653"/>
    <cellStyle name="Notas 2 2 60 12" xfId="32654"/>
    <cellStyle name="Notas 2 2 60 13" xfId="32655"/>
    <cellStyle name="Notas 2 2 60 2" xfId="32656"/>
    <cellStyle name="Notas 2 2 60 3" xfId="32657"/>
    <cellStyle name="Notas 2 2 60 4" xfId="32658"/>
    <cellStyle name="Notas 2 2 60 5" xfId="32659"/>
    <cellStyle name="Notas 2 2 60 6" xfId="32660"/>
    <cellStyle name="Notas 2 2 60 7" xfId="32661"/>
    <cellStyle name="Notas 2 2 60 8" xfId="32662"/>
    <cellStyle name="Notas 2 2 60 9" xfId="32663"/>
    <cellStyle name="Notas 2 2 61" xfId="32664"/>
    <cellStyle name="Notas 2 2 61 10" xfId="32665"/>
    <cellStyle name="Notas 2 2 61 11" xfId="32666"/>
    <cellStyle name="Notas 2 2 61 12" xfId="32667"/>
    <cellStyle name="Notas 2 2 61 13" xfId="32668"/>
    <cellStyle name="Notas 2 2 61 2" xfId="32669"/>
    <cellStyle name="Notas 2 2 61 3" xfId="32670"/>
    <cellStyle name="Notas 2 2 61 4" xfId="32671"/>
    <cellStyle name="Notas 2 2 61 5" xfId="32672"/>
    <cellStyle name="Notas 2 2 61 6" xfId="32673"/>
    <cellStyle name="Notas 2 2 61 7" xfId="32674"/>
    <cellStyle name="Notas 2 2 61 8" xfId="32675"/>
    <cellStyle name="Notas 2 2 61 9" xfId="32676"/>
    <cellStyle name="Notas 2 2 62" xfId="32677"/>
    <cellStyle name="Notas 2 2 62 10" xfId="32678"/>
    <cellStyle name="Notas 2 2 62 11" xfId="32679"/>
    <cellStyle name="Notas 2 2 62 12" xfId="32680"/>
    <cellStyle name="Notas 2 2 62 13" xfId="32681"/>
    <cellStyle name="Notas 2 2 62 2" xfId="32682"/>
    <cellStyle name="Notas 2 2 62 3" xfId="32683"/>
    <cellStyle name="Notas 2 2 62 4" xfId="32684"/>
    <cellStyle name="Notas 2 2 62 5" xfId="32685"/>
    <cellStyle name="Notas 2 2 62 6" xfId="32686"/>
    <cellStyle name="Notas 2 2 62 7" xfId="32687"/>
    <cellStyle name="Notas 2 2 62 8" xfId="32688"/>
    <cellStyle name="Notas 2 2 62 9" xfId="32689"/>
    <cellStyle name="Notas 2 2 63" xfId="32690"/>
    <cellStyle name="Notas 2 2 63 10" xfId="32691"/>
    <cellStyle name="Notas 2 2 63 11" xfId="32692"/>
    <cellStyle name="Notas 2 2 63 12" xfId="32693"/>
    <cellStyle name="Notas 2 2 63 13" xfId="32694"/>
    <cellStyle name="Notas 2 2 63 2" xfId="32695"/>
    <cellStyle name="Notas 2 2 63 3" xfId="32696"/>
    <cellStyle name="Notas 2 2 63 4" xfId="32697"/>
    <cellStyle name="Notas 2 2 63 5" xfId="32698"/>
    <cellStyle name="Notas 2 2 63 6" xfId="32699"/>
    <cellStyle name="Notas 2 2 63 7" xfId="32700"/>
    <cellStyle name="Notas 2 2 63 8" xfId="32701"/>
    <cellStyle name="Notas 2 2 63 9" xfId="32702"/>
    <cellStyle name="Notas 2 2 64" xfId="32703"/>
    <cellStyle name="Notas 2 2 64 10" xfId="32704"/>
    <cellStyle name="Notas 2 2 64 11" xfId="32705"/>
    <cellStyle name="Notas 2 2 64 12" xfId="32706"/>
    <cellStyle name="Notas 2 2 64 13" xfId="32707"/>
    <cellStyle name="Notas 2 2 64 2" xfId="32708"/>
    <cellStyle name="Notas 2 2 64 3" xfId="32709"/>
    <cellStyle name="Notas 2 2 64 4" xfId="32710"/>
    <cellStyle name="Notas 2 2 64 5" xfId="32711"/>
    <cellStyle name="Notas 2 2 64 6" xfId="32712"/>
    <cellStyle name="Notas 2 2 64 7" xfId="32713"/>
    <cellStyle name="Notas 2 2 64 8" xfId="32714"/>
    <cellStyle name="Notas 2 2 64 9" xfId="32715"/>
    <cellStyle name="Notas 2 2 65" xfId="32716"/>
    <cellStyle name="Notas 2 2 65 10" xfId="32717"/>
    <cellStyle name="Notas 2 2 65 11" xfId="32718"/>
    <cellStyle name="Notas 2 2 65 12" xfId="32719"/>
    <cellStyle name="Notas 2 2 65 13" xfId="32720"/>
    <cellStyle name="Notas 2 2 65 2" xfId="32721"/>
    <cellStyle name="Notas 2 2 65 3" xfId="32722"/>
    <cellStyle name="Notas 2 2 65 4" xfId="32723"/>
    <cellStyle name="Notas 2 2 65 5" xfId="32724"/>
    <cellStyle name="Notas 2 2 65 6" xfId="32725"/>
    <cellStyle name="Notas 2 2 65 7" xfId="32726"/>
    <cellStyle name="Notas 2 2 65 8" xfId="32727"/>
    <cellStyle name="Notas 2 2 65 9" xfId="32728"/>
    <cellStyle name="Notas 2 2 66" xfId="32729"/>
    <cellStyle name="Notas 2 2 66 10" xfId="32730"/>
    <cellStyle name="Notas 2 2 66 11" xfId="32731"/>
    <cellStyle name="Notas 2 2 66 12" xfId="32732"/>
    <cellStyle name="Notas 2 2 66 13" xfId="32733"/>
    <cellStyle name="Notas 2 2 66 2" xfId="32734"/>
    <cellStyle name="Notas 2 2 66 3" xfId="32735"/>
    <cellStyle name="Notas 2 2 66 4" xfId="32736"/>
    <cellStyle name="Notas 2 2 66 5" xfId="32737"/>
    <cellStyle name="Notas 2 2 66 6" xfId="32738"/>
    <cellStyle name="Notas 2 2 66 7" xfId="32739"/>
    <cellStyle name="Notas 2 2 66 8" xfId="32740"/>
    <cellStyle name="Notas 2 2 66 9" xfId="32741"/>
    <cellStyle name="Notas 2 2 67" xfId="32742"/>
    <cellStyle name="Notas 2 2 67 10" xfId="32743"/>
    <cellStyle name="Notas 2 2 67 11" xfId="32744"/>
    <cellStyle name="Notas 2 2 67 12" xfId="32745"/>
    <cellStyle name="Notas 2 2 67 13" xfId="32746"/>
    <cellStyle name="Notas 2 2 67 2" xfId="32747"/>
    <cellStyle name="Notas 2 2 67 3" xfId="32748"/>
    <cellStyle name="Notas 2 2 67 4" xfId="32749"/>
    <cellStyle name="Notas 2 2 67 5" xfId="32750"/>
    <cellStyle name="Notas 2 2 67 6" xfId="32751"/>
    <cellStyle name="Notas 2 2 67 7" xfId="32752"/>
    <cellStyle name="Notas 2 2 67 8" xfId="32753"/>
    <cellStyle name="Notas 2 2 67 9" xfId="32754"/>
    <cellStyle name="Notas 2 2 68" xfId="32755"/>
    <cellStyle name="Notas 2 2 68 10" xfId="32756"/>
    <cellStyle name="Notas 2 2 68 11" xfId="32757"/>
    <cellStyle name="Notas 2 2 68 12" xfId="32758"/>
    <cellStyle name="Notas 2 2 68 13" xfId="32759"/>
    <cellStyle name="Notas 2 2 68 2" xfId="32760"/>
    <cellStyle name="Notas 2 2 68 3" xfId="32761"/>
    <cellStyle name="Notas 2 2 68 4" xfId="32762"/>
    <cellStyle name="Notas 2 2 68 5" xfId="32763"/>
    <cellStyle name="Notas 2 2 68 6" xfId="32764"/>
    <cellStyle name="Notas 2 2 68 7" xfId="32765"/>
    <cellStyle name="Notas 2 2 68 8" xfId="32766"/>
    <cellStyle name="Notas 2 2 68 9" xfId="32767"/>
    <cellStyle name="Notas 2 2 69" xfId="32768"/>
    <cellStyle name="Notas 2 2 69 10" xfId="32769"/>
    <cellStyle name="Notas 2 2 69 11" xfId="32770"/>
    <cellStyle name="Notas 2 2 69 12" xfId="32771"/>
    <cellStyle name="Notas 2 2 69 13" xfId="32772"/>
    <cellStyle name="Notas 2 2 69 2" xfId="32773"/>
    <cellStyle name="Notas 2 2 69 3" xfId="32774"/>
    <cellStyle name="Notas 2 2 69 4" xfId="32775"/>
    <cellStyle name="Notas 2 2 69 5" xfId="32776"/>
    <cellStyle name="Notas 2 2 69 6" xfId="32777"/>
    <cellStyle name="Notas 2 2 69 7" xfId="32778"/>
    <cellStyle name="Notas 2 2 69 8" xfId="32779"/>
    <cellStyle name="Notas 2 2 69 9" xfId="32780"/>
    <cellStyle name="Notas 2 2 7" xfId="32781"/>
    <cellStyle name="Notas 2 2 7 10" xfId="32782"/>
    <cellStyle name="Notas 2 2 7 11" xfId="32783"/>
    <cellStyle name="Notas 2 2 7 12" xfId="32784"/>
    <cellStyle name="Notas 2 2 7 13" xfId="32785"/>
    <cellStyle name="Notas 2 2 7 2" xfId="32786"/>
    <cellStyle name="Notas 2 2 7 3" xfId="32787"/>
    <cellStyle name="Notas 2 2 7 4" xfId="32788"/>
    <cellStyle name="Notas 2 2 7 5" xfId="32789"/>
    <cellStyle name="Notas 2 2 7 6" xfId="32790"/>
    <cellStyle name="Notas 2 2 7 7" xfId="32791"/>
    <cellStyle name="Notas 2 2 7 8" xfId="32792"/>
    <cellStyle name="Notas 2 2 7 9" xfId="32793"/>
    <cellStyle name="Notas 2 2 70" xfId="32794"/>
    <cellStyle name="Notas 2 2 70 10" xfId="32795"/>
    <cellStyle name="Notas 2 2 70 11" xfId="32796"/>
    <cellStyle name="Notas 2 2 70 12" xfId="32797"/>
    <cellStyle name="Notas 2 2 70 13" xfId="32798"/>
    <cellStyle name="Notas 2 2 70 2" xfId="32799"/>
    <cellStyle name="Notas 2 2 70 3" xfId="32800"/>
    <cellStyle name="Notas 2 2 70 4" xfId="32801"/>
    <cellStyle name="Notas 2 2 70 5" xfId="32802"/>
    <cellStyle name="Notas 2 2 70 6" xfId="32803"/>
    <cellStyle name="Notas 2 2 70 7" xfId="32804"/>
    <cellStyle name="Notas 2 2 70 8" xfId="32805"/>
    <cellStyle name="Notas 2 2 70 9" xfId="32806"/>
    <cellStyle name="Notas 2 2 71" xfId="32807"/>
    <cellStyle name="Notas 2 2 71 10" xfId="32808"/>
    <cellStyle name="Notas 2 2 71 11" xfId="32809"/>
    <cellStyle name="Notas 2 2 71 12" xfId="32810"/>
    <cellStyle name="Notas 2 2 71 13" xfId="32811"/>
    <cellStyle name="Notas 2 2 71 2" xfId="32812"/>
    <cellStyle name="Notas 2 2 71 3" xfId="32813"/>
    <cellStyle name="Notas 2 2 71 4" xfId="32814"/>
    <cellStyle name="Notas 2 2 71 5" xfId="32815"/>
    <cellStyle name="Notas 2 2 71 6" xfId="32816"/>
    <cellStyle name="Notas 2 2 71 7" xfId="32817"/>
    <cellStyle name="Notas 2 2 71 8" xfId="32818"/>
    <cellStyle name="Notas 2 2 71 9" xfId="32819"/>
    <cellStyle name="Notas 2 2 72" xfId="32820"/>
    <cellStyle name="Notas 2 2 73" xfId="32821"/>
    <cellStyle name="Notas 2 2 74" xfId="32822"/>
    <cellStyle name="Notas 2 2 75" xfId="32823"/>
    <cellStyle name="Notas 2 2 76" xfId="32824"/>
    <cellStyle name="Notas 2 2 77" xfId="32825"/>
    <cellStyle name="Notas 2 2 78" xfId="32826"/>
    <cellStyle name="Notas 2 2 79" xfId="32827"/>
    <cellStyle name="Notas 2 2 8" xfId="32828"/>
    <cellStyle name="Notas 2 2 8 10" xfId="32829"/>
    <cellStyle name="Notas 2 2 8 11" xfId="32830"/>
    <cellStyle name="Notas 2 2 8 12" xfId="32831"/>
    <cellStyle name="Notas 2 2 8 13" xfId="32832"/>
    <cellStyle name="Notas 2 2 8 2" xfId="32833"/>
    <cellStyle name="Notas 2 2 8 3" xfId="32834"/>
    <cellStyle name="Notas 2 2 8 4" xfId="32835"/>
    <cellStyle name="Notas 2 2 8 5" xfId="32836"/>
    <cellStyle name="Notas 2 2 8 6" xfId="32837"/>
    <cellStyle name="Notas 2 2 8 7" xfId="32838"/>
    <cellStyle name="Notas 2 2 8 8" xfId="32839"/>
    <cellStyle name="Notas 2 2 8 9" xfId="32840"/>
    <cellStyle name="Notas 2 2 80" xfId="32841"/>
    <cellStyle name="Notas 2 2 81" xfId="32842"/>
    <cellStyle name="Notas 2 2 82" xfId="32843"/>
    <cellStyle name="Notas 2 2 83" xfId="32844"/>
    <cellStyle name="Notas 2 2 84" xfId="32845"/>
    <cellStyle name="Notas 2 2 9" xfId="32846"/>
    <cellStyle name="Notas 2 2 9 10" xfId="32847"/>
    <cellStyle name="Notas 2 2 9 11" xfId="32848"/>
    <cellStyle name="Notas 2 2 9 12" xfId="32849"/>
    <cellStyle name="Notas 2 2 9 13" xfId="32850"/>
    <cellStyle name="Notas 2 2 9 2" xfId="32851"/>
    <cellStyle name="Notas 2 2 9 3" xfId="32852"/>
    <cellStyle name="Notas 2 2 9 4" xfId="32853"/>
    <cellStyle name="Notas 2 2 9 5" xfId="32854"/>
    <cellStyle name="Notas 2 2 9 6" xfId="32855"/>
    <cellStyle name="Notas 2 2 9 7" xfId="32856"/>
    <cellStyle name="Notas 2 2 9 8" xfId="32857"/>
    <cellStyle name="Notas 2 2 9 9" xfId="32858"/>
    <cellStyle name="Notas 2 20" xfId="32859"/>
    <cellStyle name="Notas 2 20 10" xfId="32860"/>
    <cellStyle name="Notas 2 20 10 2" xfId="32861"/>
    <cellStyle name="Notas 2 20 11" xfId="32862"/>
    <cellStyle name="Notas 2 20 11 2" xfId="32863"/>
    <cellStyle name="Notas 2 20 12" xfId="32864"/>
    <cellStyle name="Notas 2 20 12 2" xfId="32865"/>
    <cellStyle name="Notas 2 20 13" xfId="32866"/>
    <cellStyle name="Notas 2 20 13 2" xfId="32867"/>
    <cellStyle name="Notas 2 20 14" xfId="32868"/>
    <cellStyle name="Notas 2 20 2" xfId="32869"/>
    <cellStyle name="Notas 2 20 2 2" xfId="32870"/>
    <cellStyle name="Notas 2 20 3" xfId="32871"/>
    <cellStyle name="Notas 2 20 3 2" xfId="32872"/>
    <cellStyle name="Notas 2 20 4" xfId="32873"/>
    <cellStyle name="Notas 2 20 4 2" xfId="32874"/>
    <cellStyle name="Notas 2 20 5" xfId="32875"/>
    <cellStyle name="Notas 2 20 5 2" xfId="32876"/>
    <cellStyle name="Notas 2 20 6" xfId="32877"/>
    <cellStyle name="Notas 2 20 6 2" xfId="32878"/>
    <cellStyle name="Notas 2 20 7" xfId="32879"/>
    <cellStyle name="Notas 2 20 7 2" xfId="32880"/>
    <cellStyle name="Notas 2 20 8" xfId="32881"/>
    <cellStyle name="Notas 2 20 8 2" xfId="32882"/>
    <cellStyle name="Notas 2 20 9" xfId="32883"/>
    <cellStyle name="Notas 2 20 9 2" xfId="32884"/>
    <cellStyle name="Notas 2 21" xfId="32885"/>
    <cellStyle name="Notas 2 21 10" xfId="32886"/>
    <cellStyle name="Notas 2 21 10 2" xfId="32887"/>
    <cellStyle name="Notas 2 21 11" xfId="32888"/>
    <cellStyle name="Notas 2 21 11 2" xfId="32889"/>
    <cellStyle name="Notas 2 21 12" xfId="32890"/>
    <cellStyle name="Notas 2 21 12 2" xfId="32891"/>
    <cellStyle name="Notas 2 21 13" xfId="32892"/>
    <cellStyle name="Notas 2 21 13 2" xfId="32893"/>
    <cellStyle name="Notas 2 21 14" xfId="32894"/>
    <cellStyle name="Notas 2 21 2" xfId="32895"/>
    <cellStyle name="Notas 2 21 2 2" xfId="32896"/>
    <cellStyle name="Notas 2 21 3" xfId="32897"/>
    <cellStyle name="Notas 2 21 3 2" xfId="32898"/>
    <cellStyle name="Notas 2 21 4" xfId="32899"/>
    <cellStyle name="Notas 2 21 4 2" xfId="32900"/>
    <cellStyle name="Notas 2 21 5" xfId="32901"/>
    <cellStyle name="Notas 2 21 5 2" xfId="32902"/>
    <cellStyle name="Notas 2 21 6" xfId="32903"/>
    <cellStyle name="Notas 2 21 6 2" xfId="32904"/>
    <cellStyle name="Notas 2 21 7" xfId="32905"/>
    <cellStyle name="Notas 2 21 7 2" xfId="32906"/>
    <cellStyle name="Notas 2 21 8" xfId="32907"/>
    <cellStyle name="Notas 2 21 8 2" xfId="32908"/>
    <cellStyle name="Notas 2 21 9" xfId="32909"/>
    <cellStyle name="Notas 2 21 9 2" xfId="32910"/>
    <cellStyle name="Notas 2 22" xfId="32911"/>
    <cellStyle name="Notas 2 22 10" xfId="32912"/>
    <cellStyle name="Notas 2 22 10 2" xfId="32913"/>
    <cellStyle name="Notas 2 22 11" xfId="32914"/>
    <cellStyle name="Notas 2 22 11 2" xfId="32915"/>
    <cellStyle name="Notas 2 22 12" xfId="32916"/>
    <cellStyle name="Notas 2 22 12 2" xfId="32917"/>
    <cellStyle name="Notas 2 22 13" xfId="32918"/>
    <cellStyle name="Notas 2 22 13 2" xfId="32919"/>
    <cellStyle name="Notas 2 22 14" xfId="32920"/>
    <cellStyle name="Notas 2 22 2" xfId="32921"/>
    <cellStyle name="Notas 2 22 2 2" xfId="32922"/>
    <cellStyle name="Notas 2 22 3" xfId="32923"/>
    <cellStyle name="Notas 2 22 3 2" xfId="32924"/>
    <cellStyle name="Notas 2 22 4" xfId="32925"/>
    <cellStyle name="Notas 2 22 4 2" xfId="32926"/>
    <cellStyle name="Notas 2 22 5" xfId="32927"/>
    <cellStyle name="Notas 2 22 5 2" xfId="32928"/>
    <cellStyle name="Notas 2 22 6" xfId="32929"/>
    <cellStyle name="Notas 2 22 6 2" xfId="32930"/>
    <cellStyle name="Notas 2 22 7" xfId="32931"/>
    <cellStyle name="Notas 2 22 7 2" xfId="32932"/>
    <cellStyle name="Notas 2 22 8" xfId="32933"/>
    <cellStyle name="Notas 2 22 8 2" xfId="32934"/>
    <cellStyle name="Notas 2 22 9" xfId="32935"/>
    <cellStyle name="Notas 2 22 9 2" xfId="32936"/>
    <cellStyle name="Notas 2 23" xfId="32937"/>
    <cellStyle name="Notas 2 23 10" xfId="32938"/>
    <cellStyle name="Notas 2 23 10 2" xfId="32939"/>
    <cellStyle name="Notas 2 23 11" xfId="32940"/>
    <cellStyle name="Notas 2 23 11 2" xfId="32941"/>
    <cellStyle name="Notas 2 23 12" xfId="32942"/>
    <cellStyle name="Notas 2 23 12 2" xfId="32943"/>
    <cellStyle name="Notas 2 23 13" xfId="32944"/>
    <cellStyle name="Notas 2 23 13 2" xfId="32945"/>
    <cellStyle name="Notas 2 23 14" xfId="32946"/>
    <cellStyle name="Notas 2 23 2" xfId="32947"/>
    <cellStyle name="Notas 2 23 2 2" xfId="32948"/>
    <cellStyle name="Notas 2 23 3" xfId="32949"/>
    <cellStyle name="Notas 2 23 3 2" xfId="32950"/>
    <cellStyle name="Notas 2 23 4" xfId="32951"/>
    <cellStyle name="Notas 2 23 4 2" xfId="32952"/>
    <cellStyle name="Notas 2 23 5" xfId="32953"/>
    <cellStyle name="Notas 2 23 5 2" xfId="32954"/>
    <cellStyle name="Notas 2 23 6" xfId="32955"/>
    <cellStyle name="Notas 2 23 6 2" xfId="32956"/>
    <cellStyle name="Notas 2 23 7" xfId="32957"/>
    <cellStyle name="Notas 2 23 7 2" xfId="32958"/>
    <cellStyle name="Notas 2 23 8" xfId="32959"/>
    <cellStyle name="Notas 2 23 8 2" xfId="32960"/>
    <cellStyle name="Notas 2 23 9" xfId="32961"/>
    <cellStyle name="Notas 2 23 9 2" xfId="32962"/>
    <cellStyle name="Notas 2 24" xfId="32963"/>
    <cellStyle name="Notas 2 24 10" xfId="32964"/>
    <cellStyle name="Notas 2 24 10 2" xfId="32965"/>
    <cellStyle name="Notas 2 24 11" xfId="32966"/>
    <cellStyle name="Notas 2 24 11 2" xfId="32967"/>
    <cellStyle name="Notas 2 24 12" xfId="32968"/>
    <cellStyle name="Notas 2 24 12 2" xfId="32969"/>
    <cellStyle name="Notas 2 24 13" xfId="32970"/>
    <cellStyle name="Notas 2 24 13 2" xfId="32971"/>
    <cellStyle name="Notas 2 24 14" xfId="32972"/>
    <cellStyle name="Notas 2 24 2" xfId="32973"/>
    <cellStyle name="Notas 2 24 2 2" xfId="32974"/>
    <cellStyle name="Notas 2 24 3" xfId="32975"/>
    <cellStyle name="Notas 2 24 3 2" xfId="32976"/>
    <cellStyle name="Notas 2 24 4" xfId="32977"/>
    <cellStyle name="Notas 2 24 4 2" xfId="32978"/>
    <cellStyle name="Notas 2 24 5" xfId="32979"/>
    <cellStyle name="Notas 2 24 5 2" xfId="32980"/>
    <cellStyle name="Notas 2 24 6" xfId="32981"/>
    <cellStyle name="Notas 2 24 6 2" xfId="32982"/>
    <cellStyle name="Notas 2 24 7" xfId="32983"/>
    <cellStyle name="Notas 2 24 7 2" xfId="32984"/>
    <cellStyle name="Notas 2 24 8" xfId="32985"/>
    <cellStyle name="Notas 2 24 8 2" xfId="32986"/>
    <cellStyle name="Notas 2 24 9" xfId="32987"/>
    <cellStyle name="Notas 2 24 9 2" xfId="32988"/>
    <cellStyle name="Notas 2 25" xfId="32989"/>
    <cellStyle name="Notas 2 25 10" xfId="32990"/>
    <cellStyle name="Notas 2 25 10 2" xfId="32991"/>
    <cellStyle name="Notas 2 25 11" xfId="32992"/>
    <cellStyle name="Notas 2 25 11 2" xfId="32993"/>
    <cellStyle name="Notas 2 25 12" xfId="32994"/>
    <cellStyle name="Notas 2 25 12 2" xfId="32995"/>
    <cellStyle name="Notas 2 25 13" xfId="32996"/>
    <cellStyle name="Notas 2 25 13 2" xfId="32997"/>
    <cellStyle name="Notas 2 25 14" xfId="32998"/>
    <cellStyle name="Notas 2 25 2" xfId="32999"/>
    <cellStyle name="Notas 2 25 2 2" xfId="33000"/>
    <cellStyle name="Notas 2 25 3" xfId="33001"/>
    <cellStyle name="Notas 2 25 3 2" xfId="33002"/>
    <cellStyle name="Notas 2 25 4" xfId="33003"/>
    <cellStyle name="Notas 2 25 4 2" xfId="33004"/>
    <cellStyle name="Notas 2 25 5" xfId="33005"/>
    <cellStyle name="Notas 2 25 5 2" xfId="33006"/>
    <cellStyle name="Notas 2 25 6" xfId="33007"/>
    <cellStyle name="Notas 2 25 6 2" xfId="33008"/>
    <cellStyle name="Notas 2 25 7" xfId="33009"/>
    <cellStyle name="Notas 2 25 7 2" xfId="33010"/>
    <cellStyle name="Notas 2 25 8" xfId="33011"/>
    <cellStyle name="Notas 2 25 8 2" xfId="33012"/>
    <cellStyle name="Notas 2 25 9" xfId="33013"/>
    <cellStyle name="Notas 2 25 9 2" xfId="33014"/>
    <cellStyle name="Notas 2 26" xfId="33015"/>
    <cellStyle name="Notas 2 26 10" xfId="33016"/>
    <cellStyle name="Notas 2 26 10 2" xfId="33017"/>
    <cellStyle name="Notas 2 26 11" xfId="33018"/>
    <cellStyle name="Notas 2 26 11 2" xfId="33019"/>
    <cellStyle name="Notas 2 26 12" xfId="33020"/>
    <cellStyle name="Notas 2 26 12 2" xfId="33021"/>
    <cellStyle name="Notas 2 26 13" xfId="33022"/>
    <cellStyle name="Notas 2 26 13 2" xfId="33023"/>
    <cellStyle name="Notas 2 26 14" xfId="33024"/>
    <cellStyle name="Notas 2 26 2" xfId="33025"/>
    <cellStyle name="Notas 2 26 2 2" xfId="33026"/>
    <cellStyle name="Notas 2 26 3" xfId="33027"/>
    <cellStyle name="Notas 2 26 3 2" xfId="33028"/>
    <cellStyle name="Notas 2 26 4" xfId="33029"/>
    <cellStyle name="Notas 2 26 4 2" xfId="33030"/>
    <cellStyle name="Notas 2 26 5" xfId="33031"/>
    <cellStyle name="Notas 2 26 5 2" xfId="33032"/>
    <cellStyle name="Notas 2 26 6" xfId="33033"/>
    <cellStyle name="Notas 2 26 6 2" xfId="33034"/>
    <cellStyle name="Notas 2 26 7" xfId="33035"/>
    <cellStyle name="Notas 2 26 7 2" xfId="33036"/>
    <cellStyle name="Notas 2 26 8" xfId="33037"/>
    <cellStyle name="Notas 2 26 8 2" xfId="33038"/>
    <cellStyle name="Notas 2 26 9" xfId="33039"/>
    <cellStyle name="Notas 2 26 9 2" xfId="33040"/>
    <cellStyle name="Notas 2 27" xfId="33041"/>
    <cellStyle name="Notas 2 27 10" xfId="33042"/>
    <cellStyle name="Notas 2 27 10 2" xfId="33043"/>
    <cellStyle name="Notas 2 27 11" xfId="33044"/>
    <cellStyle name="Notas 2 27 11 2" xfId="33045"/>
    <cellStyle name="Notas 2 27 12" xfId="33046"/>
    <cellStyle name="Notas 2 27 12 2" xfId="33047"/>
    <cellStyle name="Notas 2 27 13" xfId="33048"/>
    <cellStyle name="Notas 2 27 13 2" xfId="33049"/>
    <cellStyle name="Notas 2 27 14" xfId="33050"/>
    <cellStyle name="Notas 2 27 2" xfId="33051"/>
    <cellStyle name="Notas 2 27 2 2" xfId="33052"/>
    <cellStyle name="Notas 2 27 3" xfId="33053"/>
    <cellStyle name="Notas 2 27 3 2" xfId="33054"/>
    <cellStyle name="Notas 2 27 4" xfId="33055"/>
    <cellStyle name="Notas 2 27 4 2" xfId="33056"/>
    <cellStyle name="Notas 2 27 5" xfId="33057"/>
    <cellStyle name="Notas 2 27 5 2" xfId="33058"/>
    <cellStyle name="Notas 2 27 6" xfId="33059"/>
    <cellStyle name="Notas 2 27 6 2" xfId="33060"/>
    <cellStyle name="Notas 2 27 7" xfId="33061"/>
    <cellStyle name="Notas 2 27 7 2" xfId="33062"/>
    <cellStyle name="Notas 2 27 8" xfId="33063"/>
    <cellStyle name="Notas 2 27 8 2" xfId="33064"/>
    <cellStyle name="Notas 2 27 9" xfId="33065"/>
    <cellStyle name="Notas 2 27 9 2" xfId="33066"/>
    <cellStyle name="Notas 2 28" xfId="33067"/>
    <cellStyle name="Notas 2 28 10" xfId="33068"/>
    <cellStyle name="Notas 2 28 10 2" xfId="33069"/>
    <cellStyle name="Notas 2 28 11" xfId="33070"/>
    <cellStyle name="Notas 2 28 11 2" xfId="33071"/>
    <cellStyle name="Notas 2 28 12" xfId="33072"/>
    <cellStyle name="Notas 2 28 12 2" xfId="33073"/>
    <cellStyle name="Notas 2 28 13" xfId="33074"/>
    <cellStyle name="Notas 2 28 13 2" xfId="33075"/>
    <cellStyle name="Notas 2 28 14" xfId="33076"/>
    <cellStyle name="Notas 2 28 2" xfId="33077"/>
    <cellStyle name="Notas 2 28 2 2" xfId="33078"/>
    <cellStyle name="Notas 2 28 3" xfId="33079"/>
    <cellStyle name="Notas 2 28 3 2" xfId="33080"/>
    <cellStyle name="Notas 2 28 4" xfId="33081"/>
    <cellStyle name="Notas 2 28 4 2" xfId="33082"/>
    <cellStyle name="Notas 2 28 5" xfId="33083"/>
    <cellStyle name="Notas 2 28 5 2" xfId="33084"/>
    <cellStyle name="Notas 2 28 6" xfId="33085"/>
    <cellStyle name="Notas 2 28 6 2" xfId="33086"/>
    <cellStyle name="Notas 2 28 7" xfId="33087"/>
    <cellStyle name="Notas 2 28 7 2" xfId="33088"/>
    <cellStyle name="Notas 2 28 8" xfId="33089"/>
    <cellStyle name="Notas 2 28 8 2" xfId="33090"/>
    <cellStyle name="Notas 2 28 9" xfId="33091"/>
    <cellStyle name="Notas 2 28 9 2" xfId="33092"/>
    <cellStyle name="Notas 2 29" xfId="33093"/>
    <cellStyle name="Notas 2 29 10" xfId="33094"/>
    <cellStyle name="Notas 2 29 10 2" xfId="33095"/>
    <cellStyle name="Notas 2 29 11" xfId="33096"/>
    <cellStyle name="Notas 2 29 11 2" xfId="33097"/>
    <cellStyle name="Notas 2 29 12" xfId="33098"/>
    <cellStyle name="Notas 2 29 12 2" xfId="33099"/>
    <cellStyle name="Notas 2 29 13" xfId="33100"/>
    <cellStyle name="Notas 2 29 13 2" xfId="33101"/>
    <cellStyle name="Notas 2 29 14" xfId="33102"/>
    <cellStyle name="Notas 2 29 2" xfId="33103"/>
    <cellStyle name="Notas 2 29 2 2" xfId="33104"/>
    <cellStyle name="Notas 2 29 3" xfId="33105"/>
    <cellStyle name="Notas 2 29 3 2" xfId="33106"/>
    <cellStyle name="Notas 2 29 4" xfId="33107"/>
    <cellStyle name="Notas 2 29 4 2" xfId="33108"/>
    <cellStyle name="Notas 2 29 5" xfId="33109"/>
    <cellStyle name="Notas 2 29 5 2" xfId="33110"/>
    <cellStyle name="Notas 2 29 6" xfId="33111"/>
    <cellStyle name="Notas 2 29 6 2" xfId="33112"/>
    <cellStyle name="Notas 2 29 7" xfId="33113"/>
    <cellStyle name="Notas 2 29 7 2" xfId="33114"/>
    <cellStyle name="Notas 2 29 8" xfId="33115"/>
    <cellStyle name="Notas 2 29 8 2" xfId="33116"/>
    <cellStyle name="Notas 2 29 9" xfId="33117"/>
    <cellStyle name="Notas 2 29 9 2" xfId="33118"/>
    <cellStyle name="Notas 2 3" xfId="33119"/>
    <cellStyle name="Notas 2 3 10" xfId="33120"/>
    <cellStyle name="Notas 2 3 11" xfId="33121"/>
    <cellStyle name="Notas 2 3 12" xfId="33122"/>
    <cellStyle name="Notas 2 3 13" xfId="33123"/>
    <cellStyle name="Notas 2 3 2" xfId="33124"/>
    <cellStyle name="Notas 2 3 3" xfId="33125"/>
    <cellStyle name="Notas 2 3 4" xfId="33126"/>
    <cellStyle name="Notas 2 3 5" xfId="33127"/>
    <cellStyle name="Notas 2 3 6" xfId="33128"/>
    <cellStyle name="Notas 2 3 7" xfId="33129"/>
    <cellStyle name="Notas 2 3 8" xfId="33130"/>
    <cellStyle name="Notas 2 3 9" xfId="33131"/>
    <cellStyle name="Notas 2 30" xfId="33132"/>
    <cellStyle name="Notas 2 30 10" xfId="33133"/>
    <cellStyle name="Notas 2 30 10 2" xfId="33134"/>
    <cellStyle name="Notas 2 30 11" xfId="33135"/>
    <cellStyle name="Notas 2 30 11 2" xfId="33136"/>
    <cellStyle name="Notas 2 30 12" xfId="33137"/>
    <cellStyle name="Notas 2 30 12 2" xfId="33138"/>
    <cellStyle name="Notas 2 30 13" xfId="33139"/>
    <cellStyle name="Notas 2 30 13 2" xfId="33140"/>
    <cellStyle name="Notas 2 30 14" xfId="33141"/>
    <cellStyle name="Notas 2 30 2" xfId="33142"/>
    <cellStyle name="Notas 2 30 2 2" xfId="33143"/>
    <cellStyle name="Notas 2 30 3" xfId="33144"/>
    <cellStyle name="Notas 2 30 3 2" xfId="33145"/>
    <cellStyle name="Notas 2 30 4" xfId="33146"/>
    <cellStyle name="Notas 2 30 4 2" xfId="33147"/>
    <cellStyle name="Notas 2 30 5" xfId="33148"/>
    <cellStyle name="Notas 2 30 5 2" xfId="33149"/>
    <cellStyle name="Notas 2 30 6" xfId="33150"/>
    <cellStyle name="Notas 2 30 6 2" xfId="33151"/>
    <cellStyle name="Notas 2 30 7" xfId="33152"/>
    <cellStyle name="Notas 2 30 7 2" xfId="33153"/>
    <cellStyle name="Notas 2 30 8" xfId="33154"/>
    <cellStyle name="Notas 2 30 8 2" xfId="33155"/>
    <cellStyle name="Notas 2 30 9" xfId="33156"/>
    <cellStyle name="Notas 2 30 9 2" xfId="33157"/>
    <cellStyle name="Notas 2 31" xfId="33158"/>
    <cellStyle name="Notas 2 31 10" xfId="33159"/>
    <cellStyle name="Notas 2 31 10 2" xfId="33160"/>
    <cellStyle name="Notas 2 31 11" xfId="33161"/>
    <cellStyle name="Notas 2 31 11 2" xfId="33162"/>
    <cellStyle name="Notas 2 31 12" xfId="33163"/>
    <cellStyle name="Notas 2 31 12 2" xfId="33164"/>
    <cellStyle name="Notas 2 31 13" xfId="33165"/>
    <cellStyle name="Notas 2 31 13 2" xfId="33166"/>
    <cellStyle name="Notas 2 31 14" xfId="33167"/>
    <cellStyle name="Notas 2 31 2" xfId="33168"/>
    <cellStyle name="Notas 2 31 2 2" xfId="33169"/>
    <cellStyle name="Notas 2 31 3" xfId="33170"/>
    <cellStyle name="Notas 2 31 3 2" xfId="33171"/>
    <cellStyle name="Notas 2 31 4" xfId="33172"/>
    <cellStyle name="Notas 2 31 4 2" xfId="33173"/>
    <cellStyle name="Notas 2 31 5" xfId="33174"/>
    <cellStyle name="Notas 2 31 5 2" xfId="33175"/>
    <cellStyle name="Notas 2 31 6" xfId="33176"/>
    <cellStyle name="Notas 2 31 6 2" xfId="33177"/>
    <cellStyle name="Notas 2 31 7" xfId="33178"/>
    <cellStyle name="Notas 2 31 7 2" xfId="33179"/>
    <cellStyle name="Notas 2 31 8" xfId="33180"/>
    <cellStyle name="Notas 2 31 8 2" xfId="33181"/>
    <cellStyle name="Notas 2 31 9" xfId="33182"/>
    <cellStyle name="Notas 2 31 9 2" xfId="33183"/>
    <cellStyle name="Notas 2 32" xfId="33184"/>
    <cellStyle name="Notas 2 32 10" xfId="33185"/>
    <cellStyle name="Notas 2 32 10 2" xfId="33186"/>
    <cellStyle name="Notas 2 32 11" xfId="33187"/>
    <cellStyle name="Notas 2 32 11 2" xfId="33188"/>
    <cellStyle name="Notas 2 32 12" xfId="33189"/>
    <cellStyle name="Notas 2 32 12 2" xfId="33190"/>
    <cellStyle name="Notas 2 32 13" xfId="33191"/>
    <cellStyle name="Notas 2 32 13 2" xfId="33192"/>
    <cellStyle name="Notas 2 32 14" xfId="33193"/>
    <cellStyle name="Notas 2 32 2" xfId="33194"/>
    <cellStyle name="Notas 2 32 2 2" xfId="33195"/>
    <cellStyle name="Notas 2 32 3" xfId="33196"/>
    <cellStyle name="Notas 2 32 3 2" xfId="33197"/>
    <cellStyle name="Notas 2 32 4" xfId="33198"/>
    <cellStyle name="Notas 2 32 4 2" xfId="33199"/>
    <cellStyle name="Notas 2 32 5" xfId="33200"/>
    <cellStyle name="Notas 2 32 5 2" xfId="33201"/>
    <cellStyle name="Notas 2 32 6" xfId="33202"/>
    <cellStyle name="Notas 2 32 6 2" xfId="33203"/>
    <cellStyle name="Notas 2 32 7" xfId="33204"/>
    <cellStyle name="Notas 2 32 7 2" xfId="33205"/>
    <cellStyle name="Notas 2 32 8" xfId="33206"/>
    <cellStyle name="Notas 2 32 8 2" xfId="33207"/>
    <cellStyle name="Notas 2 32 9" xfId="33208"/>
    <cellStyle name="Notas 2 32 9 2" xfId="33209"/>
    <cellStyle name="Notas 2 33" xfId="33210"/>
    <cellStyle name="Notas 2 33 10" xfId="33211"/>
    <cellStyle name="Notas 2 33 10 2" xfId="33212"/>
    <cellStyle name="Notas 2 33 11" xfId="33213"/>
    <cellStyle name="Notas 2 33 11 2" xfId="33214"/>
    <cellStyle name="Notas 2 33 12" xfId="33215"/>
    <cellStyle name="Notas 2 33 12 2" xfId="33216"/>
    <cellStyle name="Notas 2 33 13" xfId="33217"/>
    <cellStyle name="Notas 2 33 13 2" xfId="33218"/>
    <cellStyle name="Notas 2 33 14" xfId="33219"/>
    <cellStyle name="Notas 2 33 2" xfId="33220"/>
    <cellStyle name="Notas 2 33 2 2" xfId="33221"/>
    <cellStyle name="Notas 2 33 3" xfId="33222"/>
    <cellStyle name="Notas 2 33 3 2" xfId="33223"/>
    <cellStyle name="Notas 2 33 4" xfId="33224"/>
    <cellStyle name="Notas 2 33 4 2" xfId="33225"/>
    <cellStyle name="Notas 2 33 5" xfId="33226"/>
    <cellStyle name="Notas 2 33 5 2" xfId="33227"/>
    <cellStyle name="Notas 2 33 6" xfId="33228"/>
    <cellStyle name="Notas 2 33 6 2" xfId="33229"/>
    <cellStyle name="Notas 2 33 7" xfId="33230"/>
    <cellStyle name="Notas 2 33 7 2" xfId="33231"/>
    <cellStyle name="Notas 2 33 8" xfId="33232"/>
    <cellStyle name="Notas 2 33 8 2" xfId="33233"/>
    <cellStyle name="Notas 2 33 9" xfId="33234"/>
    <cellStyle name="Notas 2 33 9 2" xfId="33235"/>
    <cellStyle name="Notas 2 34" xfId="33236"/>
    <cellStyle name="Notas 2 34 10" xfId="33237"/>
    <cellStyle name="Notas 2 34 10 2" xfId="33238"/>
    <cellStyle name="Notas 2 34 11" xfId="33239"/>
    <cellStyle name="Notas 2 34 11 2" xfId="33240"/>
    <cellStyle name="Notas 2 34 12" xfId="33241"/>
    <cellStyle name="Notas 2 34 12 2" xfId="33242"/>
    <cellStyle name="Notas 2 34 13" xfId="33243"/>
    <cellStyle name="Notas 2 34 13 2" xfId="33244"/>
    <cellStyle name="Notas 2 34 14" xfId="33245"/>
    <cellStyle name="Notas 2 34 2" xfId="33246"/>
    <cellStyle name="Notas 2 34 2 2" xfId="33247"/>
    <cellStyle name="Notas 2 34 3" xfId="33248"/>
    <cellStyle name="Notas 2 34 3 2" xfId="33249"/>
    <cellStyle name="Notas 2 34 4" xfId="33250"/>
    <cellStyle name="Notas 2 34 4 2" xfId="33251"/>
    <cellStyle name="Notas 2 34 5" xfId="33252"/>
    <cellStyle name="Notas 2 34 5 2" xfId="33253"/>
    <cellStyle name="Notas 2 34 6" xfId="33254"/>
    <cellStyle name="Notas 2 34 6 2" xfId="33255"/>
    <cellStyle name="Notas 2 34 7" xfId="33256"/>
    <cellStyle name="Notas 2 34 7 2" xfId="33257"/>
    <cellStyle name="Notas 2 34 8" xfId="33258"/>
    <cellStyle name="Notas 2 34 8 2" xfId="33259"/>
    <cellStyle name="Notas 2 34 9" xfId="33260"/>
    <cellStyle name="Notas 2 34 9 2" xfId="33261"/>
    <cellStyle name="Notas 2 35" xfId="33262"/>
    <cellStyle name="Notas 2 35 10" xfId="33263"/>
    <cellStyle name="Notas 2 35 10 2" xfId="33264"/>
    <cellStyle name="Notas 2 35 11" xfId="33265"/>
    <cellStyle name="Notas 2 35 11 2" xfId="33266"/>
    <cellStyle name="Notas 2 35 12" xfId="33267"/>
    <cellStyle name="Notas 2 35 12 2" xfId="33268"/>
    <cellStyle name="Notas 2 35 13" xfId="33269"/>
    <cellStyle name="Notas 2 35 13 2" xfId="33270"/>
    <cellStyle name="Notas 2 35 14" xfId="33271"/>
    <cellStyle name="Notas 2 35 2" xfId="33272"/>
    <cellStyle name="Notas 2 35 2 2" xfId="33273"/>
    <cellStyle name="Notas 2 35 3" xfId="33274"/>
    <cellStyle name="Notas 2 35 3 2" xfId="33275"/>
    <cellStyle name="Notas 2 35 4" xfId="33276"/>
    <cellStyle name="Notas 2 35 4 2" xfId="33277"/>
    <cellStyle name="Notas 2 35 5" xfId="33278"/>
    <cellStyle name="Notas 2 35 5 2" xfId="33279"/>
    <cellStyle name="Notas 2 35 6" xfId="33280"/>
    <cellStyle name="Notas 2 35 6 2" xfId="33281"/>
    <cellStyle name="Notas 2 35 7" xfId="33282"/>
    <cellStyle name="Notas 2 35 7 2" xfId="33283"/>
    <cellStyle name="Notas 2 35 8" xfId="33284"/>
    <cellStyle name="Notas 2 35 8 2" xfId="33285"/>
    <cellStyle name="Notas 2 35 9" xfId="33286"/>
    <cellStyle name="Notas 2 35 9 2" xfId="33287"/>
    <cellStyle name="Notas 2 36" xfId="33288"/>
    <cellStyle name="Notas 2 36 10" xfId="33289"/>
    <cellStyle name="Notas 2 36 10 2" xfId="33290"/>
    <cellStyle name="Notas 2 36 11" xfId="33291"/>
    <cellStyle name="Notas 2 36 11 2" xfId="33292"/>
    <cellStyle name="Notas 2 36 12" xfId="33293"/>
    <cellStyle name="Notas 2 36 12 2" xfId="33294"/>
    <cellStyle name="Notas 2 36 13" xfId="33295"/>
    <cellStyle name="Notas 2 36 13 2" xfId="33296"/>
    <cellStyle name="Notas 2 36 14" xfId="33297"/>
    <cellStyle name="Notas 2 36 2" xfId="33298"/>
    <cellStyle name="Notas 2 36 2 2" xfId="33299"/>
    <cellStyle name="Notas 2 36 3" xfId="33300"/>
    <cellStyle name="Notas 2 36 3 2" xfId="33301"/>
    <cellStyle name="Notas 2 36 4" xfId="33302"/>
    <cellStyle name="Notas 2 36 4 2" xfId="33303"/>
    <cellStyle name="Notas 2 36 5" xfId="33304"/>
    <cellStyle name="Notas 2 36 5 2" xfId="33305"/>
    <cellStyle name="Notas 2 36 6" xfId="33306"/>
    <cellStyle name="Notas 2 36 6 2" xfId="33307"/>
    <cellStyle name="Notas 2 36 7" xfId="33308"/>
    <cellStyle name="Notas 2 36 7 2" xfId="33309"/>
    <cellStyle name="Notas 2 36 8" xfId="33310"/>
    <cellStyle name="Notas 2 36 8 2" xfId="33311"/>
    <cellStyle name="Notas 2 36 9" xfId="33312"/>
    <cellStyle name="Notas 2 36 9 2" xfId="33313"/>
    <cellStyle name="Notas 2 37" xfId="33314"/>
    <cellStyle name="Notas 2 37 10" xfId="33315"/>
    <cellStyle name="Notas 2 37 10 2" xfId="33316"/>
    <cellStyle name="Notas 2 37 11" xfId="33317"/>
    <cellStyle name="Notas 2 37 11 2" xfId="33318"/>
    <cellStyle name="Notas 2 37 12" xfId="33319"/>
    <cellStyle name="Notas 2 37 12 2" xfId="33320"/>
    <cellStyle name="Notas 2 37 13" xfId="33321"/>
    <cellStyle name="Notas 2 37 13 2" xfId="33322"/>
    <cellStyle name="Notas 2 37 14" xfId="33323"/>
    <cellStyle name="Notas 2 37 2" xfId="33324"/>
    <cellStyle name="Notas 2 37 2 2" xfId="33325"/>
    <cellStyle name="Notas 2 37 3" xfId="33326"/>
    <cellStyle name="Notas 2 37 3 2" xfId="33327"/>
    <cellStyle name="Notas 2 37 4" xfId="33328"/>
    <cellStyle name="Notas 2 37 4 2" xfId="33329"/>
    <cellStyle name="Notas 2 37 5" xfId="33330"/>
    <cellStyle name="Notas 2 37 5 2" xfId="33331"/>
    <cellStyle name="Notas 2 37 6" xfId="33332"/>
    <cellStyle name="Notas 2 37 6 2" xfId="33333"/>
    <cellStyle name="Notas 2 37 7" xfId="33334"/>
    <cellStyle name="Notas 2 37 7 2" xfId="33335"/>
    <cellStyle name="Notas 2 37 8" xfId="33336"/>
    <cellStyle name="Notas 2 37 8 2" xfId="33337"/>
    <cellStyle name="Notas 2 37 9" xfId="33338"/>
    <cellStyle name="Notas 2 37 9 2" xfId="33339"/>
    <cellStyle name="Notas 2 38" xfId="33340"/>
    <cellStyle name="Notas 2 38 10" xfId="33341"/>
    <cellStyle name="Notas 2 38 10 2" xfId="33342"/>
    <cellStyle name="Notas 2 38 11" xfId="33343"/>
    <cellStyle name="Notas 2 38 11 2" xfId="33344"/>
    <cellStyle name="Notas 2 38 12" xfId="33345"/>
    <cellStyle name="Notas 2 38 12 2" xfId="33346"/>
    <cellStyle name="Notas 2 38 13" xfId="33347"/>
    <cellStyle name="Notas 2 38 13 2" xfId="33348"/>
    <cellStyle name="Notas 2 38 14" xfId="33349"/>
    <cellStyle name="Notas 2 38 2" xfId="33350"/>
    <cellStyle name="Notas 2 38 2 2" xfId="33351"/>
    <cellStyle name="Notas 2 38 3" xfId="33352"/>
    <cellStyle name="Notas 2 38 3 2" xfId="33353"/>
    <cellStyle name="Notas 2 38 4" xfId="33354"/>
    <cellStyle name="Notas 2 38 4 2" xfId="33355"/>
    <cellStyle name="Notas 2 38 5" xfId="33356"/>
    <cellStyle name="Notas 2 38 5 2" xfId="33357"/>
    <cellStyle name="Notas 2 38 6" xfId="33358"/>
    <cellStyle name="Notas 2 38 6 2" xfId="33359"/>
    <cellStyle name="Notas 2 38 7" xfId="33360"/>
    <cellStyle name="Notas 2 38 7 2" xfId="33361"/>
    <cellStyle name="Notas 2 38 8" xfId="33362"/>
    <cellStyle name="Notas 2 38 8 2" xfId="33363"/>
    <cellStyle name="Notas 2 38 9" xfId="33364"/>
    <cellStyle name="Notas 2 38 9 2" xfId="33365"/>
    <cellStyle name="Notas 2 39" xfId="33366"/>
    <cellStyle name="Notas 2 39 10" xfId="33367"/>
    <cellStyle name="Notas 2 39 10 2" xfId="33368"/>
    <cellStyle name="Notas 2 39 11" xfId="33369"/>
    <cellStyle name="Notas 2 39 11 2" xfId="33370"/>
    <cellStyle name="Notas 2 39 12" xfId="33371"/>
    <cellStyle name="Notas 2 39 12 2" xfId="33372"/>
    <cellStyle name="Notas 2 39 13" xfId="33373"/>
    <cellStyle name="Notas 2 39 13 2" xfId="33374"/>
    <cellStyle name="Notas 2 39 14" xfId="33375"/>
    <cellStyle name="Notas 2 39 2" xfId="33376"/>
    <cellStyle name="Notas 2 39 2 2" xfId="33377"/>
    <cellStyle name="Notas 2 39 3" xfId="33378"/>
    <cellStyle name="Notas 2 39 3 2" xfId="33379"/>
    <cellStyle name="Notas 2 39 4" xfId="33380"/>
    <cellStyle name="Notas 2 39 4 2" xfId="33381"/>
    <cellStyle name="Notas 2 39 5" xfId="33382"/>
    <cellStyle name="Notas 2 39 5 2" xfId="33383"/>
    <cellStyle name="Notas 2 39 6" xfId="33384"/>
    <cellStyle name="Notas 2 39 6 2" xfId="33385"/>
    <cellStyle name="Notas 2 39 7" xfId="33386"/>
    <cellStyle name="Notas 2 39 7 2" xfId="33387"/>
    <cellStyle name="Notas 2 39 8" xfId="33388"/>
    <cellStyle name="Notas 2 39 8 2" xfId="33389"/>
    <cellStyle name="Notas 2 39 9" xfId="33390"/>
    <cellStyle name="Notas 2 39 9 2" xfId="33391"/>
    <cellStyle name="Notas 2 4" xfId="33392"/>
    <cellStyle name="Notas 2 4 10" xfId="33393"/>
    <cellStyle name="Notas 2 4 10 2" xfId="33394"/>
    <cellStyle name="Notas 2 4 11" xfId="33395"/>
    <cellStyle name="Notas 2 4 11 2" xfId="33396"/>
    <cellStyle name="Notas 2 4 12" xfId="33397"/>
    <cellStyle name="Notas 2 4 12 2" xfId="33398"/>
    <cellStyle name="Notas 2 4 13" xfId="33399"/>
    <cellStyle name="Notas 2 4 13 2" xfId="33400"/>
    <cellStyle name="Notas 2 4 14" xfId="33401"/>
    <cellStyle name="Notas 2 4 2" xfId="33402"/>
    <cellStyle name="Notas 2 4 2 2" xfId="33403"/>
    <cellStyle name="Notas 2 4 3" xfId="33404"/>
    <cellStyle name="Notas 2 4 3 2" xfId="33405"/>
    <cellStyle name="Notas 2 4 4" xfId="33406"/>
    <cellStyle name="Notas 2 4 4 2" xfId="33407"/>
    <cellStyle name="Notas 2 4 5" xfId="33408"/>
    <cellStyle name="Notas 2 4 5 2" xfId="33409"/>
    <cellStyle name="Notas 2 4 6" xfId="33410"/>
    <cellStyle name="Notas 2 4 6 2" xfId="33411"/>
    <cellStyle name="Notas 2 4 7" xfId="33412"/>
    <cellStyle name="Notas 2 4 7 2" xfId="33413"/>
    <cellStyle name="Notas 2 4 8" xfId="33414"/>
    <cellStyle name="Notas 2 4 8 2" xfId="33415"/>
    <cellStyle name="Notas 2 4 9" xfId="33416"/>
    <cellStyle name="Notas 2 4 9 2" xfId="33417"/>
    <cellStyle name="Notas 2 40" xfId="33418"/>
    <cellStyle name="Notas 2 40 10" xfId="33419"/>
    <cellStyle name="Notas 2 40 10 2" xfId="33420"/>
    <cellStyle name="Notas 2 40 11" xfId="33421"/>
    <cellStyle name="Notas 2 40 11 2" xfId="33422"/>
    <cellStyle name="Notas 2 40 12" xfId="33423"/>
    <cellStyle name="Notas 2 40 12 2" xfId="33424"/>
    <cellStyle name="Notas 2 40 13" xfId="33425"/>
    <cellStyle name="Notas 2 40 13 2" xfId="33426"/>
    <cellStyle name="Notas 2 40 14" xfId="33427"/>
    <cellStyle name="Notas 2 40 2" xfId="33428"/>
    <cellStyle name="Notas 2 40 2 2" xfId="33429"/>
    <cellStyle name="Notas 2 40 3" xfId="33430"/>
    <cellStyle name="Notas 2 40 3 2" xfId="33431"/>
    <cellStyle name="Notas 2 40 4" xfId="33432"/>
    <cellStyle name="Notas 2 40 4 2" xfId="33433"/>
    <cellStyle name="Notas 2 40 5" xfId="33434"/>
    <cellStyle name="Notas 2 40 5 2" xfId="33435"/>
    <cellStyle name="Notas 2 40 6" xfId="33436"/>
    <cellStyle name="Notas 2 40 6 2" xfId="33437"/>
    <cellStyle name="Notas 2 40 7" xfId="33438"/>
    <cellStyle name="Notas 2 40 7 2" xfId="33439"/>
    <cellStyle name="Notas 2 40 8" xfId="33440"/>
    <cellStyle name="Notas 2 40 8 2" xfId="33441"/>
    <cellStyle name="Notas 2 40 9" xfId="33442"/>
    <cellStyle name="Notas 2 40 9 2" xfId="33443"/>
    <cellStyle name="Notas 2 41" xfId="33444"/>
    <cellStyle name="Notas 2 41 10" xfId="33445"/>
    <cellStyle name="Notas 2 41 10 2" xfId="33446"/>
    <cellStyle name="Notas 2 41 11" xfId="33447"/>
    <cellStyle name="Notas 2 41 11 2" xfId="33448"/>
    <cellStyle name="Notas 2 41 12" xfId="33449"/>
    <cellStyle name="Notas 2 41 12 2" xfId="33450"/>
    <cellStyle name="Notas 2 41 13" xfId="33451"/>
    <cellStyle name="Notas 2 41 13 2" xfId="33452"/>
    <cellStyle name="Notas 2 41 14" xfId="33453"/>
    <cellStyle name="Notas 2 41 2" xfId="33454"/>
    <cellStyle name="Notas 2 41 2 2" xfId="33455"/>
    <cellStyle name="Notas 2 41 3" xfId="33456"/>
    <cellStyle name="Notas 2 41 3 2" xfId="33457"/>
    <cellStyle name="Notas 2 41 4" xfId="33458"/>
    <cellStyle name="Notas 2 41 4 2" xfId="33459"/>
    <cellStyle name="Notas 2 41 5" xfId="33460"/>
    <cellStyle name="Notas 2 41 5 2" xfId="33461"/>
    <cellStyle name="Notas 2 41 6" xfId="33462"/>
    <cellStyle name="Notas 2 41 6 2" xfId="33463"/>
    <cellStyle name="Notas 2 41 7" xfId="33464"/>
    <cellStyle name="Notas 2 41 7 2" xfId="33465"/>
    <cellStyle name="Notas 2 41 8" xfId="33466"/>
    <cellStyle name="Notas 2 41 8 2" xfId="33467"/>
    <cellStyle name="Notas 2 41 9" xfId="33468"/>
    <cellStyle name="Notas 2 41 9 2" xfId="33469"/>
    <cellStyle name="Notas 2 42" xfId="33470"/>
    <cellStyle name="Notas 2 42 10" xfId="33471"/>
    <cellStyle name="Notas 2 42 10 2" xfId="33472"/>
    <cellStyle name="Notas 2 42 11" xfId="33473"/>
    <cellStyle name="Notas 2 42 11 2" xfId="33474"/>
    <cellStyle name="Notas 2 42 12" xfId="33475"/>
    <cellStyle name="Notas 2 42 12 2" xfId="33476"/>
    <cellStyle name="Notas 2 42 13" xfId="33477"/>
    <cellStyle name="Notas 2 42 13 2" xfId="33478"/>
    <cellStyle name="Notas 2 42 14" xfId="33479"/>
    <cellStyle name="Notas 2 42 2" xfId="33480"/>
    <cellStyle name="Notas 2 42 2 2" xfId="33481"/>
    <cellStyle name="Notas 2 42 3" xfId="33482"/>
    <cellStyle name="Notas 2 42 3 2" xfId="33483"/>
    <cellStyle name="Notas 2 42 4" xfId="33484"/>
    <cellStyle name="Notas 2 42 4 2" xfId="33485"/>
    <cellStyle name="Notas 2 42 5" xfId="33486"/>
    <cellStyle name="Notas 2 42 5 2" xfId="33487"/>
    <cellStyle name="Notas 2 42 6" xfId="33488"/>
    <cellStyle name="Notas 2 42 6 2" xfId="33489"/>
    <cellStyle name="Notas 2 42 7" xfId="33490"/>
    <cellStyle name="Notas 2 42 7 2" xfId="33491"/>
    <cellStyle name="Notas 2 42 8" xfId="33492"/>
    <cellStyle name="Notas 2 42 8 2" xfId="33493"/>
    <cellStyle name="Notas 2 42 9" xfId="33494"/>
    <cellStyle name="Notas 2 42 9 2" xfId="33495"/>
    <cellStyle name="Notas 2 43" xfId="33496"/>
    <cellStyle name="Notas 2 43 10" xfId="33497"/>
    <cellStyle name="Notas 2 43 10 2" xfId="33498"/>
    <cellStyle name="Notas 2 43 11" xfId="33499"/>
    <cellStyle name="Notas 2 43 11 2" xfId="33500"/>
    <cellStyle name="Notas 2 43 12" xfId="33501"/>
    <cellStyle name="Notas 2 43 12 2" xfId="33502"/>
    <cellStyle name="Notas 2 43 13" xfId="33503"/>
    <cellStyle name="Notas 2 43 13 2" xfId="33504"/>
    <cellStyle name="Notas 2 43 14" xfId="33505"/>
    <cellStyle name="Notas 2 43 2" xfId="33506"/>
    <cellStyle name="Notas 2 43 2 2" xfId="33507"/>
    <cellStyle name="Notas 2 43 3" xfId="33508"/>
    <cellStyle name="Notas 2 43 3 2" xfId="33509"/>
    <cellStyle name="Notas 2 43 4" xfId="33510"/>
    <cellStyle name="Notas 2 43 4 2" xfId="33511"/>
    <cellStyle name="Notas 2 43 5" xfId="33512"/>
    <cellStyle name="Notas 2 43 5 2" xfId="33513"/>
    <cellStyle name="Notas 2 43 6" xfId="33514"/>
    <cellStyle name="Notas 2 43 6 2" xfId="33515"/>
    <cellStyle name="Notas 2 43 7" xfId="33516"/>
    <cellStyle name="Notas 2 43 7 2" xfId="33517"/>
    <cellStyle name="Notas 2 43 8" xfId="33518"/>
    <cellStyle name="Notas 2 43 8 2" xfId="33519"/>
    <cellStyle name="Notas 2 43 9" xfId="33520"/>
    <cellStyle name="Notas 2 43 9 2" xfId="33521"/>
    <cellStyle name="Notas 2 44" xfId="33522"/>
    <cellStyle name="Notas 2 44 10" xfId="33523"/>
    <cellStyle name="Notas 2 44 10 2" xfId="33524"/>
    <cellStyle name="Notas 2 44 11" xfId="33525"/>
    <cellStyle name="Notas 2 44 11 2" xfId="33526"/>
    <cellStyle name="Notas 2 44 12" xfId="33527"/>
    <cellStyle name="Notas 2 44 12 2" xfId="33528"/>
    <cellStyle name="Notas 2 44 13" xfId="33529"/>
    <cellStyle name="Notas 2 44 13 2" xfId="33530"/>
    <cellStyle name="Notas 2 44 14" xfId="33531"/>
    <cellStyle name="Notas 2 44 2" xfId="33532"/>
    <cellStyle name="Notas 2 44 2 2" xfId="33533"/>
    <cellStyle name="Notas 2 44 3" xfId="33534"/>
    <cellStyle name="Notas 2 44 3 2" xfId="33535"/>
    <cellStyle name="Notas 2 44 4" xfId="33536"/>
    <cellStyle name="Notas 2 44 4 2" xfId="33537"/>
    <cellStyle name="Notas 2 44 5" xfId="33538"/>
    <cellStyle name="Notas 2 44 5 2" xfId="33539"/>
    <cellStyle name="Notas 2 44 6" xfId="33540"/>
    <cellStyle name="Notas 2 44 6 2" xfId="33541"/>
    <cellStyle name="Notas 2 44 7" xfId="33542"/>
    <cellStyle name="Notas 2 44 7 2" xfId="33543"/>
    <cellStyle name="Notas 2 44 8" xfId="33544"/>
    <cellStyle name="Notas 2 44 8 2" xfId="33545"/>
    <cellStyle name="Notas 2 44 9" xfId="33546"/>
    <cellStyle name="Notas 2 44 9 2" xfId="33547"/>
    <cellStyle name="Notas 2 45" xfId="33548"/>
    <cellStyle name="Notas 2 45 10" xfId="33549"/>
    <cellStyle name="Notas 2 45 10 2" xfId="33550"/>
    <cellStyle name="Notas 2 45 11" xfId="33551"/>
    <cellStyle name="Notas 2 45 11 2" xfId="33552"/>
    <cellStyle name="Notas 2 45 12" xfId="33553"/>
    <cellStyle name="Notas 2 45 12 2" xfId="33554"/>
    <cellStyle name="Notas 2 45 13" xfId="33555"/>
    <cellStyle name="Notas 2 45 13 2" xfId="33556"/>
    <cellStyle name="Notas 2 45 14" xfId="33557"/>
    <cellStyle name="Notas 2 45 2" xfId="33558"/>
    <cellStyle name="Notas 2 45 2 2" xfId="33559"/>
    <cellStyle name="Notas 2 45 3" xfId="33560"/>
    <cellStyle name="Notas 2 45 3 2" xfId="33561"/>
    <cellStyle name="Notas 2 45 4" xfId="33562"/>
    <cellStyle name="Notas 2 45 4 2" xfId="33563"/>
    <cellStyle name="Notas 2 45 5" xfId="33564"/>
    <cellStyle name="Notas 2 45 5 2" xfId="33565"/>
    <cellStyle name="Notas 2 45 6" xfId="33566"/>
    <cellStyle name="Notas 2 45 6 2" xfId="33567"/>
    <cellStyle name="Notas 2 45 7" xfId="33568"/>
    <cellStyle name="Notas 2 45 7 2" xfId="33569"/>
    <cellStyle name="Notas 2 45 8" xfId="33570"/>
    <cellStyle name="Notas 2 45 8 2" xfId="33571"/>
    <cellStyle name="Notas 2 45 9" xfId="33572"/>
    <cellStyle name="Notas 2 45 9 2" xfId="33573"/>
    <cellStyle name="Notas 2 46" xfId="33574"/>
    <cellStyle name="Notas 2 46 10" xfId="33575"/>
    <cellStyle name="Notas 2 46 10 2" xfId="33576"/>
    <cellStyle name="Notas 2 46 11" xfId="33577"/>
    <cellStyle name="Notas 2 46 11 2" xfId="33578"/>
    <cellStyle name="Notas 2 46 12" xfId="33579"/>
    <cellStyle name="Notas 2 46 12 2" xfId="33580"/>
    <cellStyle name="Notas 2 46 13" xfId="33581"/>
    <cellStyle name="Notas 2 46 13 2" xfId="33582"/>
    <cellStyle name="Notas 2 46 14" xfId="33583"/>
    <cellStyle name="Notas 2 46 2" xfId="33584"/>
    <cellStyle name="Notas 2 46 2 2" xfId="33585"/>
    <cellStyle name="Notas 2 46 3" xfId="33586"/>
    <cellStyle name="Notas 2 46 3 2" xfId="33587"/>
    <cellStyle name="Notas 2 46 4" xfId="33588"/>
    <cellStyle name="Notas 2 46 4 2" xfId="33589"/>
    <cellStyle name="Notas 2 46 5" xfId="33590"/>
    <cellStyle name="Notas 2 46 5 2" xfId="33591"/>
    <cellStyle name="Notas 2 46 6" xfId="33592"/>
    <cellStyle name="Notas 2 46 6 2" xfId="33593"/>
    <cellStyle name="Notas 2 46 7" xfId="33594"/>
    <cellStyle name="Notas 2 46 7 2" xfId="33595"/>
    <cellStyle name="Notas 2 46 8" xfId="33596"/>
    <cellStyle name="Notas 2 46 8 2" xfId="33597"/>
    <cellStyle name="Notas 2 46 9" xfId="33598"/>
    <cellStyle name="Notas 2 46 9 2" xfId="33599"/>
    <cellStyle name="Notas 2 47" xfId="33600"/>
    <cellStyle name="Notas 2 47 10" xfId="33601"/>
    <cellStyle name="Notas 2 47 10 2" xfId="33602"/>
    <cellStyle name="Notas 2 47 11" xfId="33603"/>
    <cellStyle name="Notas 2 47 11 2" xfId="33604"/>
    <cellStyle name="Notas 2 47 12" xfId="33605"/>
    <cellStyle name="Notas 2 47 12 2" xfId="33606"/>
    <cellStyle name="Notas 2 47 13" xfId="33607"/>
    <cellStyle name="Notas 2 47 13 2" xfId="33608"/>
    <cellStyle name="Notas 2 47 14" xfId="33609"/>
    <cellStyle name="Notas 2 47 2" xfId="33610"/>
    <cellStyle name="Notas 2 47 2 2" xfId="33611"/>
    <cellStyle name="Notas 2 47 3" xfId="33612"/>
    <cellStyle name="Notas 2 47 3 2" xfId="33613"/>
    <cellStyle name="Notas 2 47 4" xfId="33614"/>
    <cellStyle name="Notas 2 47 4 2" xfId="33615"/>
    <cellStyle name="Notas 2 47 5" xfId="33616"/>
    <cellStyle name="Notas 2 47 5 2" xfId="33617"/>
    <cellStyle name="Notas 2 47 6" xfId="33618"/>
    <cellStyle name="Notas 2 47 6 2" xfId="33619"/>
    <cellStyle name="Notas 2 47 7" xfId="33620"/>
    <cellStyle name="Notas 2 47 7 2" xfId="33621"/>
    <cellStyle name="Notas 2 47 8" xfId="33622"/>
    <cellStyle name="Notas 2 47 8 2" xfId="33623"/>
    <cellStyle name="Notas 2 47 9" xfId="33624"/>
    <cellStyle name="Notas 2 47 9 2" xfId="33625"/>
    <cellStyle name="Notas 2 48" xfId="33626"/>
    <cellStyle name="Notas 2 48 10" xfId="33627"/>
    <cellStyle name="Notas 2 48 10 2" xfId="33628"/>
    <cellStyle name="Notas 2 48 11" xfId="33629"/>
    <cellStyle name="Notas 2 48 11 2" xfId="33630"/>
    <cellStyle name="Notas 2 48 12" xfId="33631"/>
    <cellStyle name="Notas 2 48 12 2" xfId="33632"/>
    <cellStyle name="Notas 2 48 13" xfId="33633"/>
    <cellStyle name="Notas 2 48 13 2" xfId="33634"/>
    <cellStyle name="Notas 2 48 14" xfId="33635"/>
    <cellStyle name="Notas 2 48 2" xfId="33636"/>
    <cellStyle name="Notas 2 48 2 2" xfId="33637"/>
    <cellStyle name="Notas 2 48 3" xfId="33638"/>
    <cellStyle name="Notas 2 48 3 2" xfId="33639"/>
    <cellStyle name="Notas 2 48 4" xfId="33640"/>
    <cellStyle name="Notas 2 48 4 2" xfId="33641"/>
    <cellStyle name="Notas 2 48 5" xfId="33642"/>
    <cellStyle name="Notas 2 48 5 2" xfId="33643"/>
    <cellStyle name="Notas 2 48 6" xfId="33644"/>
    <cellStyle name="Notas 2 48 6 2" xfId="33645"/>
    <cellStyle name="Notas 2 48 7" xfId="33646"/>
    <cellStyle name="Notas 2 48 7 2" xfId="33647"/>
    <cellStyle name="Notas 2 48 8" xfId="33648"/>
    <cellStyle name="Notas 2 48 8 2" xfId="33649"/>
    <cellStyle name="Notas 2 48 9" xfId="33650"/>
    <cellStyle name="Notas 2 48 9 2" xfId="33651"/>
    <cellStyle name="Notas 2 49" xfId="33652"/>
    <cellStyle name="Notas 2 49 10" xfId="33653"/>
    <cellStyle name="Notas 2 49 10 2" xfId="33654"/>
    <cellStyle name="Notas 2 49 11" xfId="33655"/>
    <cellStyle name="Notas 2 49 11 2" xfId="33656"/>
    <cellStyle name="Notas 2 49 12" xfId="33657"/>
    <cellStyle name="Notas 2 49 12 2" xfId="33658"/>
    <cellStyle name="Notas 2 49 13" xfId="33659"/>
    <cellStyle name="Notas 2 49 13 2" xfId="33660"/>
    <cellStyle name="Notas 2 49 14" xfId="33661"/>
    <cellStyle name="Notas 2 49 2" xfId="33662"/>
    <cellStyle name="Notas 2 49 2 2" xfId="33663"/>
    <cellStyle name="Notas 2 49 3" xfId="33664"/>
    <cellStyle name="Notas 2 49 3 2" xfId="33665"/>
    <cellStyle name="Notas 2 49 4" xfId="33666"/>
    <cellStyle name="Notas 2 49 4 2" xfId="33667"/>
    <cellStyle name="Notas 2 49 5" xfId="33668"/>
    <cellStyle name="Notas 2 49 5 2" xfId="33669"/>
    <cellStyle name="Notas 2 49 6" xfId="33670"/>
    <cellStyle name="Notas 2 49 6 2" xfId="33671"/>
    <cellStyle name="Notas 2 49 7" xfId="33672"/>
    <cellStyle name="Notas 2 49 7 2" xfId="33673"/>
    <cellStyle name="Notas 2 49 8" xfId="33674"/>
    <cellStyle name="Notas 2 49 8 2" xfId="33675"/>
    <cellStyle name="Notas 2 49 9" xfId="33676"/>
    <cellStyle name="Notas 2 49 9 2" xfId="33677"/>
    <cellStyle name="Notas 2 5" xfId="33678"/>
    <cellStyle name="Notas 2 5 10" xfId="33679"/>
    <cellStyle name="Notas 2 5 10 2" xfId="33680"/>
    <cellStyle name="Notas 2 5 11" xfId="33681"/>
    <cellStyle name="Notas 2 5 11 2" xfId="33682"/>
    <cellStyle name="Notas 2 5 12" xfId="33683"/>
    <cellStyle name="Notas 2 5 12 2" xfId="33684"/>
    <cellStyle name="Notas 2 5 13" xfId="33685"/>
    <cellStyle name="Notas 2 5 13 2" xfId="33686"/>
    <cellStyle name="Notas 2 5 14" xfId="33687"/>
    <cellStyle name="Notas 2 5 2" xfId="33688"/>
    <cellStyle name="Notas 2 5 2 2" xfId="33689"/>
    <cellStyle name="Notas 2 5 3" xfId="33690"/>
    <cellStyle name="Notas 2 5 3 2" xfId="33691"/>
    <cellStyle name="Notas 2 5 4" xfId="33692"/>
    <cellStyle name="Notas 2 5 4 2" xfId="33693"/>
    <cellStyle name="Notas 2 5 5" xfId="33694"/>
    <cellStyle name="Notas 2 5 5 2" xfId="33695"/>
    <cellStyle name="Notas 2 5 6" xfId="33696"/>
    <cellStyle name="Notas 2 5 6 2" xfId="33697"/>
    <cellStyle name="Notas 2 5 7" xfId="33698"/>
    <cellStyle name="Notas 2 5 7 2" xfId="33699"/>
    <cellStyle name="Notas 2 5 8" xfId="33700"/>
    <cellStyle name="Notas 2 5 8 2" xfId="33701"/>
    <cellStyle name="Notas 2 5 9" xfId="33702"/>
    <cellStyle name="Notas 2 5 9 2" xfId="33703"/>
    <cellStyle name="Notas 2 50" xfId="33704"/>
    <cellStyle name="Notas 2 50 10" xfId="33705"/>
    <cellStyle name="Notas 2 50 10 2" xfId="33706"/>
    <cellStyle name="Notas 2 50 11" xfId="33707"/>
    <cellStyle name="Notas 2 50 11 2" xfId="33708"/>
    <cellStyle name="Notas 2 50 12" xfId="33709"/>
    <cellStyle name="Notas 2 50 12 2" xfId="33710"/>
    <cellStyle name="Notas 2 50 13" xfId="33711"/>
    <cellStyle name="Notas 2 50 13 2" xfId="33712"/>
    <cellStyle name="Notas 2 50 14" xfId="33713"/>
    <cellStyle name="Notas 2 50 2" xfId="33714"/>
    <cellStyle name="Notas 2 50 2 2" xfId="33715"/>
    <cellStyle name="Notas 2 50 3" xfId="33716"/>
    <cellStyle name="Notas 2 50 3 2" xfId="33717"/>
    <cellStyle name="Notas 2 50 4" xfId="33718"/>
    <cellStyle name="Notas 2 50 4 2" xfId="33719"/>
    <cellStyle name="Notas 2 50 5" xfId="33720"/>
    <cellStyle name="Notas 2 50 5 2" xfId="33721"/>
    <cellStyle name="Notas 2 50 6" xfId="33722"/>
    <cellStyle name="Notas 2 50 6 2" xfId="33723"/>
    <cellStyle name="Notas 2 50 7" xfId="33724"/>
    <cellStyle name="Notas 2 50 7 2" xfId="33725"/>
    <cellStyle name="Notas 2 50 8" xfId="33726"/>
    <cellStyle name="Notas 2 50 8 2" xfId="33727"/>
    <cellStyle name="Notas 2 50 9" xfId="33728"/>
    <cellStyle name="Notas 2 50 9 2" xfId="33729"/>
    <cellStyle name="Notas 2 51" xfId="33730"/>
    <cellStyle name="Notas 2 51 10" xfId="33731"/>
    <cellStyle name="Notas 2 51 10 2" xfId="33732"/>
    <cellStyle name="Notas 2 51 11" xfId="33733"/>
    <cellStyle name="Notas 2 51 11 2" xfId="33734"/>
    <cellStyle name="Notas 2 51 12" xfId="33735"/>
    <cellStyle name="Notas 2 51 12 2" xfId="33736"/>
    <cellStyle name="Notas 2 51 13" xfId="33737"/>
    <cellStyle name="Notas 2 51 13 2" xfId="33738"/>
    <cellStyle name="Notas 2 51 14" xfId="33739"/>
    <cellStyle name="Notas 2 51 2" xfId="33740"/>
    <cellStyle name="Notas 2 51 2 2" xfId="33741"/>
    <cellStyle name="Notas 2 51 3" xfId="33742"/>
    <cellStyle name="Notas 2 51 3 2" xfId="33743"/>
    <cellStyle name="Notas 2 51 4" xfId="33744"/>
    <cellStyle name="Notas 2 51 4 2" xfId="33745"/>
    <cellStyle name="Notas 2 51 5" xfId="33746"/>
    <cellStyle name="Notas 2 51 5 2" xfId="33747"/>
    <cellStyle name="Notas 2 51 6" xfId="33748"/>
    <cellStyle name="Notas 2 51 6 2" xfId="33749"/>
    <cellStyle name="Notas 2 51 7" xfId="33750"/>
    <cellStyle name="Notas 2 51 7 2" xfId="33751"/>
    <cellStyle name="Notas 2 51 8" xfId="33752"/>
    <cellStyle name="Notas 2 51 8 2" xfId="33753"/>
    <cellStyle name="Notas 2 51 9" xfId="33754"/>
    <cellStyle name="Notas 2 51 9 2" xfId="33755"/>
    <cellStyle name="Notas 2 52" xfId="33756"/>
    <cellStyle name="Notas 2 52 10" xfId="33757"/>
    <cellStyle name="Notas 2 52 10 2" xfId="33758"/>
    <cellStyle name="Notas 2 52 11" xfId="33759"/>
    <cellStyle name="Notas 2 52 11 2" xfId="33760"/>
    <cellStyle name="Notas 2 52 12" xfId="33761"/>
    <cellStyle name="Notas 2 52 12 2" xfId="33762"/>
    <cellStyle name="Notas 2 52 13" xfId="33763"/>
    <cellStyle name="Notas 2 52 13 2" xfId="33764"/>
    <cellStyle name="Notas 2 52 14" xfId="33765"/>
    <cellStyle name="Notas 2 52 2" xfId="33766"/>
    <cellStyle name="Notas 2 52 2 2" xfId="33767"/>
    <cellStyle name="Notas 2 52 3" xfId="33768"/>
    <cellStyle name="Notas 2 52 3 2" xfId="33769"/>
    <cellStyle name="Notas 2 52 4" xfId="33770"/>
    <cellStyle name="Notas 2 52 4 2" xfId="33771"/>
    <cellStyle name="Notas 2 52 5" xfId="33772"/>
    <cellStyle name="Notas 2 52 5 2" xfId="33773"/>
    <cellStyle name="Notas 2 52 6" xfId="33774"/>
    <cellStyle name="Notas 2 52 6 2" xfId="33775"/>
    <cellStyle name="Notas 2 52 7" xfId="33776"/>
    <cellStyle name="Notas 2 52 7 2" xfId="33777"/>
    <cellStyle name="Notas 2 52 8" xfId="33778"/>
    <cellStyle name="Notas 2 52 8 2" xfId="33779"/>
    <cellStyle name="Notas 2 52 9" xfId="33780"/>
    <cellStyle name="Notas 2 52 9 2" xfId="33781"/>
    <cellStyle name="Notas 2 53" xfId="33782"/>
    <cellStyle name="Notas 2 53 10" xfId="33783"/>
    <cellStyle name="Notas 2 53 10 2" xfId="33784"/>
    <cellStyle name="Notas 2 53 11" xfId="33785"/>
    <cellStyle name="Notas 2 53 11 2" xfId="33786"/>
    <cellStyle name="Notas 2 53 12" xfId="33787"/>
    <cellStyle name="Notas 2 53 12 2" xfId="33788"/>
    <cellStyle name="Notas 2 53 13" xfId="33789"/>
    <cellStyle name="Notas 2 53 13 2" xfId="33790"/>
    <cellStyle name="Notas 2 53 14" xfId="33791"/>
    <cellStyle name="Notas 2 53 2" xfId="33792"/>
    <cellStyle name="Notas 2 53 2 2" xfId="33793"/>
    <cellStyle name="Notas 2 53 3" xfId="33794"/>
    <cellStyle name="Notas 2 53 3 2" xfId="33795"/>
    <cellStyle name="Notas 2 53 4" xfId="33796"/>
    <cellStyle name="Notas 2 53 4 2" xfId="33797"/>
    <cellStyle name="Notas 2 53 5" xfId="33798"/>
    <cellStyle name="Notas 2 53 5 2" xfId="33799"/>
    <cellStyle name="Notas 2 53 6" xfId="33800"/>
    <cellStyle name="Notas 2 53 6 2" xfId="33801"/>
    <cellStyle name="Notas 2 53 7" xfId="33802"/>
    <cellStyle name="Notas 2 53 7 2" xfId="33803"/>
    <cellStyle name="Notas 2 53 8" xfId="33804"/>
    <cellStyle name="Notas 2 53 8 2" xfId="33805"/>
    <cellStyle name="Notas 2 53 9" xfId="33806"/>
    <cellStyle name="Notas 2 53 9 2" xfId="33807"/>
    <cellStyle name="Notas 2 54" xfId="33808"/>
    <cellStyle name="Notas 2 54 10" xfId="33809"/>
    <cellStyle name="Notas 2 54 10 2" xfId="33810"/>
    <cellStyle name="Notas 2 54 11" xfId="33811"/>
    <cellStyle name="Notas 2 54 11 2" xfId="33812"/>
    <cellStyle name="Notas 2 54 12" xfId="33813"/>
    <cellStyle name="Notas 2 54 12 2" xfId="33814"/>
    <cellStyle name="Notas 2 54 13" xfId="33815"/>
    <cellStyle name="Notas 2 54 13 2" xfId="33816"/>
    <cellStyle name="Notas 2 54 14" xfId="33817"/>
    <cellStyle name="Notas 2 54 2" xfId="33818"/>
    <cellStyle name="Notas 2 54 2 2" xfId="33819"/>
    <cellStyle name="Notas 2 54 3" xfId="33820"/>
    <cellStyle name="Notas 2 54 3 2" xfId="33821"/>
    <cellStyle name="Notas 2 54 4" xfId="33822"/>
    <cellStyle name="Notas 2 54 4 2" xfId="33823"/>
    <cellStyle name="Notas 2 54 5" xfId="33824"/>
    <cellStyle name="Notas 2 54 5 2" xfId="33825"/>
    <cellStyle name="Notas 2 54 6" xfId="33826"/>
    <cellStyle name="Notas 2 54 6 2" xfId="33827"/>
    <cellStyle name="Notas 2 54 7" xfId="33828"/>
    <cellStyle name="Notas 2 54 7 2" xfId="33829"/>
    <cellStyle name="Notas 2 54 8" xfId="33830"/>
    <cellStyle name="Notas 2 54 8 2" xfId="33831"/>
    <cellStyle name="Notas 2 54 9" xfId="33832"/>
    <cellStyle name="Notas 2 54 9 2" xfId="33833"/>
    <cellStyle name="Notas 2 55" xfId="33834"/>
    <cellStyle name="Notas 2 55 10" xfId="33835"/>
    <cellStyle name="Notas 2 55 10 2" xfId="33836"/>
    <cellStyle name="Notas 2 55 11" xfId="33837"/>
    <cellStyle name="Notas 2 55 11 2" xfId="33838"/>
    <cellStyle name="Notas 2 55 12" xfId="33839"/>
    <cellStyle name="Notas 2 55 12 2" xfId="33840"/>
    <cellStyle name="Notas 2 55 13" xfId="33841"/>
    <cellStyle name="Notas 2 55 13 2" xfId="33842"/>
    <cellStyle name="Notas 2 55 14" xfId="33843"/>
    <cellStyle name="Notas 2 55 2" xfId="33844"/>
    <cellStyle name="Notas 2 55 2 2" xfId="33845"/>
    <cellStyle name="Notas 2 55 3" xfId="33846"/>
    <cellStyle name="Notas 2 55 3 2" xfId="33847"/>
    <cellStyle name="Notas 2 55 4" xfId="33848"/>
    <cellStyle name="Notas 2 55 4 2" xfId="33849"/>
    <cellStyle name="Notas 2 55 5" xfId="33850"/>
    <cellStyle name="Notas 2 55 5 2" xfId="33851"/>
    <cellStyle name="Notas 2 55 6" xfId="33852"/>
    <cellStyle name="Notas 2 55 6 2" xfId="33853"/>
    <cellStyle name="Notas 2 55 7" xfId="33854"/>
    <cellStyle name="Notas 2 55 7 2" xfId="33855"/>
    <cellStyle name="Notas 2 55 8" xfId="33856"/>
    <cellStyle name="Notas 2 55 8 2" xfId="33857"/>
    <cellStyle name="Notas 2 55 9" xfId="33858"/>
    <cellStyle name="Notas 2 55 9 2" xfId="33859"/>
    <cellStyle name="Notas 2 56" xfId="33860"/>
    <cellStyle name="Notas 2 56 10" xfId="33861"/>
    <cellStyle name="Notas 2 56 10 2" xfId="33862"/>
    <cellStyle name="Notas 2 56 11" xfId="33863"/>
    <cellStyle name="Notas 2 56 11 2" xfId="33864"/>
    <cellStyle name="Notas 2 56 12" xfId="33865"/>
    <cellStyle name="Notas 2 56 12 2" xfId="33866"/>
    <cellStyle name="Notas 2 56 13" xfId="33867"/>
    <cellStyle name="Notas 2 56 13 2" xfId="33868"/>
    <cellStyle name="Notas 2 56 14" xfId="33869"/>
    <cellStyle name="Notas 2 56 2" xfId="33870"/>
    <cellStyle name="Notas 2 56 2 2" xfId="33871"/>
    <cellStyle name="Notas 2 56 3" xfId="33872"/>
    <cellStyle name="Notas 2 56 3 2" xfId="33873"/>
    <cellStyle name="Notas 2 56 4" xfId="33874"/>
    <cellStyle name="Notas 2 56 4 2" xfId="33875"/>
    <cellStyle name="Notas 2 56 5" xfId="33876"/>
    <cellStyle name="Notas 2 56 5 2" xfId="33877"/>
    <cellStyle name="Notas 2 56 6" xfId="33878"/>
    <cellStyle name="Notas 2 56 6 2" xfId="33879"/>
    <cellStyle name="Notas 2 56 7" xfId="33880"/>
    <cellStyle name="Notas 2 56 7 2" xfId="33881"/>
    <cellStyle name="Notas 2 56 8" xfId="33882"/>
    <cellStyle name="Notas 2 56 8 2" xfId="33883"/>
    <cellStyle name="Notas 2 56 9" xfId="33884"/>
    <cellStyle name="Notas 2 56 9 2" xfId="33885"/>
    <cellStyle name="Notas 2 57" xfId="33886"/>
    <cellStyle name="Notas 2 57 10" xfId="33887"/>
    <cellStyle name="Notas 2 57 10 2" xfId="33888"/>
    <cellStyle name="Notas 2 57 11" xfId="33889"/>
    <cellStyle name="Notas 2 57 11 2" xfId="33890"/>
    <cellStyle name="Notas 2 57 12" xfId="33891"/>
    <cellStyle name="Notas 2 57 12 2" xfId="33892"/>
    <cellStyle name="Notas 2 57 13" xfId="33893"/>
    <cellStyle name="Notas 2 57 13 2" xfId="33894"/>
    <cellStyle name="Notas 2 57 14" xfId="33895"/>
    <cellStyle name="Notas 2 57 2" xfId="33896"/>
    <cellStyle name="Notas 2 57 2 2" xfId="33897"/>
    <cellStyle name="Notas 2 57 3" xfId="33898"/>
    <cellStyle name="Notas 2 57 3 2" xfId="33899"/>
    <cellStyle name="Notas 2 57 4" xfId="33900"/>
    <cellStyle name="Notas 2 57 4 2" xfId="33901"/>
    <cellStyle name="Notas 2 57 5" xfId="33902"/>
    <cellStyle name="Notas 2 57 5 2" xfId="33903"/>
    <cellStyle name="Notas 2 57 6" xfId="33904"/>
    <cellStyle name="Notas 2 57 6 2" xfId="33905"/>
    <cellStyle name="Notas 2 57 7" xfId="33906"/>
    <cellStyle name="Notas 2 57 7 2" xfId="33907"/>
    <cellStyle name="Notas 2 57 8" xfId="33908"/>
    <cellStyle name="Notas 2 57 8 2" xfId="33909"/>
    <cellStyle name="Notas 2 57 9" xfId="33910"/>
    <cellStyle name="Notas 2 57 9 2" xfId="33911"/>
    <cellStyle name="Notas 2 58" xfId="33912"/>
    <cellStyle name="Notas 2 58 10" xfId="33913"/>
    <cellStyle name="Notas 2 58 10 2" xfId="33914"/>
    <cellStyle name="Notas 2 58 11" xfId="33915"/>
    <cellStyle name="Notas 2 58 11 2" xfId="33916"/>
    <cellStyle name="Notas 2 58 12" xfId="33917"/>
    <cellStyle name="Notas 2 58 12 2" xfId="33918"/>
    <cellStyle name="Notas 2 58 13" xfId="33919"/>
    <cellStyle name="Notas 2 58 13 2" xfId="33920"/>
    <cellStyle name="Notas 2 58 14" xfId="33921"/>
    <cellStyle name="Notas 2 58 2" xfId="33922"/>
    <cellStyle name="Notas 2 58 2 2" xfId="33923"/>
    <cellStyle name="Notas 2 58 3" xfId="33924"/>
    <cellStyle name="Notas 2 58 3 2" xfId="33925"/>
    <cellStyle name="Notas 2 58 4" xfId="33926"/>
    <cellStyle name="Notas 2 58 4 2" xfId="33927"/>
    <cellStyle name="Notas 2 58 5" xfId="33928"/>
    <cellStyle name="Notas 2 58 5 2" xfId="33929"/>
    <cellStyle name="Notas 2 58 6" xfId="33930"/>
    <cellStyle name="Notas 2 58 6 2" xfId="33931"/>
    <cellStyle name="Notas 2 58 7" xfId="33932"/>
    <cellStyle name="Notas 2 58 7 2" xfId="33933"/>
    <cellStyle name="Notas 2 58 8" xfId="33934"/>
    <cellStyle name="Notas 2 58 8 2" xfId="33935"/>
    <cellStyle name="Notas 2 58 9" xfId="33936"/>
    <cellStyle name="Notas 2 58 9 2" xfId="33937"/>
    <cellStyle name="Notas 2 59" xfId="33938"/>
    <cellStyle name="Notas 2 59 10" xfId="33939"/>
    <cellStyle name="Notas 2 59 10 2" xfId="33940"/>
    <cellStyle name="Notas 2 59 11" xfId="33941"/>
    <cellStyle name="Notas 2 59 11 2" xfId="33942"/>
    <cellStyle name="Notas 2 59 12" xfId="33943"/>
    <cellStyle name="Notas 2 59 12 2" xfId="33944"/>
    <cellStyle name="Notas 2 59 13" xfId="33945"/>
    <cellStyle name="Notas 2 59 13 2" xfId="33946"/>
    <cellStyle name="Notas 2 59 14" xfId="33947"/>
    <cellStyle name="Notas 2 59 2" xfId="33948"/>
    <cellStyle name="Notas 2 59 2 2" xfId="33949"/>
    <cellStyle name="Notas 2 59 3" xfId="33950"/>
    <cellStyle name="Notas 2 59 3 2" xfId="33951"/>
    <cellStyle name="Notas 2 59 4" xfId="33952"/>
    <cellStyle name="Notas 2 59 4 2" xfId="33953"/>
    <cellStyle name="Notas 2 59 5" xfId="33954"/>
    <cellStyle name="Notas 2 59 5 2" xfId="33955"/>
    <cellStyle name="Notas 2 59 6" xfId="33956"/>
    <cellStyle name="Notas 2 59 6 2" xfId="33957"/>
    <cellStyle name="Notas 2 59 7" xfId="33958"/>
    <cellStyle name="Notas 2 59 7 2" xfId="33959"/>
    <cellStyle name="Notas 2 59 8" xfId="33960"/>
    <cellStyle name="Notas 2 59 8 2" xfId="33961"/>
    <cellStyle name="Notas 2 59 9" xfId="33962"/>
    <cellStyle name="Notas 2 59 9 2" xfId="33963"/>
    <cellStyle name="Notas 2 6" xfId="33964"/>
    <cellStyle name="Notas 2 6 10" xfId="33965"/>
    <cellStyle name="Notas 2 6 10 2" xfId="33966"/>
    <cellStyle name="Notas 2 6 11" xfId="33967"/>
    <cellStyle name="Notas 2 6 11 2" xfId="33968"/>
    <cellStyle name="Notas 2 6 12" xfId="33969"/>
    <cellStyle name="Notas 2 6 12 2" xfId="33970"/>
    <cellStyle name="Notas 2 6 13" xfId="33971"/>
    <cellStyle name="Notas 2 6 13 2" xfId="33972"/>
    <cellStyle name="Notas 2 6 14" xfId="33973"/>
    <cellStyle name="Notas 2 6 2" xfId="33974"/>
    <cellStyle name="Notas 2 6 2 2" xfId="33975"/>
    <cellStyle name="Notas 2 6 3" xfId="33976"/>
    <cellStyle name="Notas 2 6 3 2" xfId="33977"/>
    <cellStyle name="Notas 2 6 4" xfId="33978"/>
    <cellStyle name="Notas 2 6 4 2" xfId="33979"/>
    <cellStyle name="Notas 2 6 5" xfId="33980"/>
    <cellStyle name="Notas 2 6 5 2" xfId="33981"/>
    <cellStyle name="Notas 2 6 6" xfId="33982"/>
    <cellStyle name="Notas 2 6 6 2" xfId="33983"/>
    <cellStyle name="Notas 2 6 7" xfId="33984"/>
    <cellStyle name="Notas 2 6 7 2" xfId="33985"/>
    <cellStyle name="Notas 2 6 8" xfId="33986"/>
    <cellStyle name="Notas 2 6 8 2" xfId="33987"/>
    <cellStyle name="Notas 2 6 9" xfId="33988"/>
    <cellStyle name="Notas 2 6 9 2" xfId="33989"/>
    <cellStyle name="Notas 2 60" xfId="33990"/>
    <cellStyle name="Notas 2 60 10" xfId="33991"/>
    <cellStyle name="Notas 2 60 10 2" xfId="33992"/>
    <cellStyle name="Notas 2 60 11" xfId="33993"/>
    <cellStyle name="Notas 2 60 11 2" xfId="33994"/>
    <cellStyle name="Notas 2 60 12" xfId="33995"/>
    <cellStyle name="Notas 2 60 12 2" xfId="33996"/>
    <cellStyle name="Notas 2 60 13" xfId="33997"/>
    <cellStyle name="Notas 2 60 13 2" xfId="33998"/>
    <cellStyle name="Notas 2 60 14" xfId="33999"/>
    <cellStyle name="Notas 2 60 2" xfId="34000"/>
    <cellStyle name="Notas 2 60 2 2" xfId="34001"/>
    <cellStyle name="Notas 2 60 3" xfId="34002"/>
    <cellStyle name="Notas 2 60 3 2" xfId="34003"/>
    <cellStyle name="Notas 2 60 4" xfId="34004"/>
    <cellStyle name="Notas 2 60 4 2" xfId="34005"/>
    <cellStyle name="Notas 2 60 5" xfId="34006"/>
    <cellStyle name="Notas 2 60 5 2" xfId="34007"/>
    <cellStyle name="Notas 2 60 6" xfId="34008"/>
    <cellStyle name="Notas 2 60 6 2" xfId="34009"/>
    <cellStyle name="Notas 2 60 7" xfId="34010"/>
    <cellStyle name="Notas 2 60 7 2" xfId="34011"/>
    <cellStyle name="Notas 2 60 8" xfId="34012"/>
    <cellStyle name="Notas 2 60 8 2" xfId="34013"/>
    <cellStyle name="Notas 2 60 9" xfId="34014"/>
    <cellStyle name="Notas 2 60 9 2" xfId="34015"/>
    <cellStyle name="Notas 2 61" xfId="34016"/>
    <cellStyle name="Notas 2 61 10" xfId="34017"/>
    <cellStyle name="Notas 2 61 10 2" xfId="34018"/>
    <cellStyle name="Notas 2 61 11" xfId="34019"/>
    <cellStyle name="Notas 2 61 11 2" xfId="34020"/>
    <cellStyle name="Notas 2 61 12" xfId="34021"/>
    <cellStyle name="Notas 2 61 12 2" xfId="34022"/>
    <cellStyle name="Notas 2 61 13" xfId="34023"/>
    <cellStyle name="Notas 2 61 13 2" xfId="34024"/>
    <cellStyle name="Notas 2 61 14" xfId="34025"/>
    <cellStyle name="Notas 2 61 2" xfId="34026"/>
    <cellStyle name="Notas 2 61 2 2" xfId="34027"/>
    <cellStyle name="Notas 2 61 3" xfId="34028"/>
    <cellStyle name="Notas 2 61 3 2" xfId="34029"/>
    <cellStyle name="Notas 2 61 4" xfId="34030"/>
    <cellStyle name="Notas 2 61 4 2" xfId="34031"/>
    <cellStyle name="Notas 2 61 5" xfId="34032"/>
    <cellStyle name="Notas 2 61 5 2" xfId="34033"/>
    <cellStyle name="Notas 2 61 6" xfId="34034"/>
    <cellStyle name="Notas 2 61 6 2" xfId="34035"/>
    <cellStyle name="Notas 2 61 7" xfId="34036"/>
    <cellStyle name="Notas 2 61 7 2" xfId="34037"/>
    <cellStyle name="Notas 2 61 8" xfId="34038"/>
    <cellStyle name="Notas 2 61 8 2" xfId="34039"/>
    <cellStyle name="Notas 2 61 9" xfId="34040"/>
    <cellStyle name="Notas 2 61 9 2" xfId="34041"/>
    <cellStyle name="Notas 2 62" xfId="34042"/>
    <cellStyle name="Notas 2 62 10" xfId="34043"/>
    <cellStyle name="Notas 2 62 10 2" xfId="34044"/>
    <cellStyle name="Notas 2 62 11" xfId="34045"/>
    <cellStyle name="Notas 2 62 11 2" xfId="34046"/>
    <cellStyle name="Notas 2 62 12" xfId="34047"/>
    <cellStyle name="Notas 2 62 12 2" xfId="34048"/>
    <cellStyle name="Notas 2 62 13" xfId="34049"/>
    <cellStyle name="Notas 2 62 13 2" xfId="34050"/>
    <cellStyle name="Notas 2 62 14" xfId="34051"/>
    <cellStyle name="Notas 2 62 2" xfId="34052"/>
    <cellStyle name="Notas 2 62 2 2" xfId="34053"/>
    <cellStyle name="Notas 2 62 3" xfId="34054"/>
    <cellStyle name="Notas 2 62 3 2" xfId="34055"/>
    <cellStyle name="Notas 2 62 4" xfId="34056"/>
    <cellStyle name="Notas 2 62 4 2" xfId="34057"/>
    <cellStyle name="Notas 2 62 5" xfId="34058"/>
    <cellStyle name="Notas 2 62 5 2" xfId="34059"/>
    <cellStyle name="Notas 2 62 6" xfId="34060"/>
    <cellStyle name="Notas 2 62 6 2" xfId="34061"/>
    <cellStyle name="Notas 2 62 7" xfId="34062"/>
    <cellStyle name="Notas 2 62 7 2" xfId="34063"/>
    <cellStyle name="Notas 2 62 8" xfId="34064"/>
    <cellStyle name="Notas 2 62 8 2" xfId="34065"/>
    <cellStyle name="Notas 2 62 9" xfId="34066"/>
    <cellStyle name="Notas 2 62 9 2" xfId="34067"/>
    <cellStyle name="Notas 2 63" xfId="34068"/>
    <cellStyle name="Notas 2 63 10" xfId="34069"/>
    <cellStyle name="Notas 2 63 10 2" xfId="34070"/>
    <cellStyle name="Notas 2 63 11" xfId="34071"/>
    <cellStyle name="Notas 2 63 11 2" xfId="34072"/>
    <cellStyle name="Notas 2 63 12" xfId="34073"/>
    <cellStyle name="Notas 2 63 12 2" xfId="34074"/>
    <cellStyle name="Notas 2 63 13" xfId="34075"/>
    <cellStyle name="Notas 2 63 13 2" xfId="34076"/>
    <cellStyle name="Notas 2 63 14" xfId="34077"/>
    <cellStyle name="Notas 2 63 2" xfId="34078"/>
    <cellStyle name="Notas 2 63 2 2" xfId="34079"/>
    <cellStyle name="Notas 2 63 3" xfId="34080"/>
    <cellStyle name="Notas 2 63 3 2" xfId="34081"/>
    <cellStyle name="Notas 2 63 4" xfId="34082"/>
    <cellStyle name="Notas 2 63 4 2" xfId="34083"/>
    <cellStyle name="Notas 2 63 5" xfId="34084"/>
    <cellStyle name="Notas 2 63 5 2" xfId="34085"/>
    <cellStyle name="Notas 2 63 6" xfId="34086"/>
    <cellStyle name="Notas 2 63 6 2" xfId="34087"/>
    <cellStyle name="Notas 2 63 7" xfId="34088"/>
    <cellStyle name="Notas 2 63 7 2" xfId="34089"/>
    <cellStyle name="Notas 2 63 8" xfId="34090"/>
    <cellStyle name="Notas 2 63 8 2" xfId="34091"/>
    <cellStyle name="Notas 2 63 9" xfId="34092"/>
    <cellStyle name="Notas 2 63 9 2" xfId="34093"/>
    <cellStyle name="Notas 2 64" xfId="34094"/>
    <cellStyle name="Notas 2 64 10" xfId="34095"/>
    <cellStyle name="Notas 2 64 10 2" xfId="34096"/>
    <cellStyle name="Notas 2 64 11" xfId="34097"/>
    <cellStyle name="Notas 2 64 11 2" xfId="34098"/>
    <cellStyle name="Notas 2 64 12" xfId="34099"/>
    <cellStyle name="Notas 2 64 12 2" xfId="34100"/>
    <cellStyle name="Notas 2 64 13" xfId="34101"/>
    <cellStyle name="Notas 2 64 13 2" xfId="34102"/>
    <cellStyle name="Notas 2 64 14" xfId="34103"/>
    <cellStyle name="Notas 2 64 2" xfId="34104"/>
    <cellStyle name="Notas 2 64 2 2" xfId="34105"/>
    <cellStyle name="Notas 2 64 3" xfId="34106"/>
    <cellStyle name="Notas 2 64 3 2" xfId="34107"/>
    <cellStyle name="Notas 2 64 4" xfId="34108"/>
    <cellStyle name="Notas 2 64 4 2" xfId="34109"/>
    <cellStyle name="Notas 2 64 5" xfId="34110"/>
    <cellStyle name="Notas 2 64 5 2" xfId="34111"/>
    <cellStyle name="Notas 2 64 6" xfId="34112"/>
    <cellStyle name="Notas 2 64 6 2" xfId="34113"/>
    <cellStyle name="Notas 2 64 7" xfId="34114"/>
    <cellStyle name="Notas 2 64 7 2" xfId="34115"/>
    <cellStyle name="Notas 2 64 8" xfId="34116"/>
    <cellStyle name="Notas 2 64 8 2" xfId="34117"/>
    <cellStyle name="Notas 2 64 9" xfId="34118"/>
    <cellStyle name="Notas 2 64 9 2" xfId="34119"/>
    <cellStyle name="Notas 2 65" xfId="34120"/>
    <cellStyle name="Notas 2 65 10" xfId="34121"/>
    <cellStyle name="Notas 2 65 10 2" xfId="34122"/>
    <cellStyle name="Notas 2 65 11" xfId="34123"/>
    <cellStyle name="Notas 2 65 11 2" xfId="34124"/>
    <cellStyle name="Notas 2 65 12" xfId="34125"/>
    <cellStyle name="Notas 2 65 12 2" xfId="34126"/>
    <cellStyle name="Notas 2 65 13" xfId="34127"/>
    <cellStyle name="Notas 2 65 13 2" xfId="34128"/>
    <cellStyle name="Notas 2 65 14" xfId="34129"/>
    <cellStyle name="Notas 2 65 2" xfId="34130"/>
    <cellStyle name="Notas 2 65 2 2" xfId="34131"/>
    <cellStyle name="Notas 2 65 3" xfId="34132"/>
    <cellStyle name="Notas 2 65 3 2" xfId="34133"/>
    <cellStyle name="Notas 2 65 4" xfId="34134"/>
    <cellStyle name="Notas 2 65 4 2" xfId="34135"/>
    <cellStyle name="Notas 2 65 5" xfId="34136"/>
    <cellStyle name="Notas 2 65 5 2" xfId="34137"/>
    <cellStyle name="Notas 2 65 6" xfId="34138"/>
    <cellStyle name="Notas 2 65 6 2" xfId="34139"/>
    <cellStyle name="Notas 2 65 7" xfId="34140"/>
    <cellStyle name="Notas 2 65 7 2" xfId="34141"/>
    <cellStyle name="Notas 2 65 8" xfId="34142"/>
    <cellStyle name="Notas 2 65 8 2" xfId="34143"/>
    <cellStyle name="Notas 2 65 9" xfId="34144"/>
    <cellStyle name="Notas 2 65 9 2" xfId="34145"/>
    <cellStyle name="Notas 2 66" xfId="34146"/>
    <cellStyle name="Notas 2 66 10" xfId="34147"/>
    <cellStyle name="Notas 2 66 10 2" xfId="34148"/>
    <cellStyle name="Notas 2 66 11" xfId="34149"/>
    <cellStyle name="Notas 2 66 11 2" xfId="34150"/>
    <cellStyle name="Notas 2 66 12" xfId="34151"/>
    <cellStyle name="Notas 2 66 12 2" xfId="34152"/>
    <cellStyle name="Notas 2 66 13" xfId="34153"/>
    <cellStyle name="Notas 2 66 13 2" xfId="34154"/>
    <cellStyle name="Notas 2 66 14" xfId="34155"/>
    <cellStyle name="Notas 2 66 2" xfId="34156"/>
    <cellStyle name="Notas 2 66 2 2" xfId="34157"/>
    <cellStyle name="Notas 2 66 3" xfId="34158"/>
    <cellStyle name="Notas 2 66 3 2" xfId="34159"/>
    <cellStyle name="Notas 2 66 4" xfId="34160"/>
    <cellStyle name="Notas 2 66 4 2" xfId="34161"/>
    <cellStyle name="Notas 2 66 5" xfId="34162"/>
    <cellStyle name="Notas 2 66 5 2" xfId="34163"/>
    <cellStyle name="Notas 2 66 6" xfId="34164"/>
    <cellStyle name="Notas 2 66 6 2" xfId="34165"/>
    <cellStyle name="Notas 2 66 7" xfId="34166"/>
    <cellStyle name="Notas 2 66 7 2" xfId="34167"/>
    <cellStyle name="Notas 2 66 8" xfId="34168"/>
    <cellStyle name="Notas 2 66 8 2" xfId="34169"/>
    <cellStyle name="Notas 2 66 9" xfId="34170"/>
    <cellStyle name="Notas 2 66 9 2" xfId="34171"/>
    <cellStyle name="Notas 2 67" xfId="34172"/>
    <cellStyle name="Notas 2 67 10" xfId="34173"/>
    <cellStyle name="Notas 2 67 10 2" xfId="34174"/>
    <cellStyle name="Notas 2 67 11" xfId="34175"/>
    <cellStyle name="Notas 2 67 11 2" xfId="34176"/>
    <cellStyle name="Notas 2 67 12" xfId="34177"/>
    <cellStyle name="Notas 2 67 12 2" xfId="34178"/>
    <cellStyle name="Notas 2 67 13" xfId="34179"/>
    <cellStyle name="Notas 2 67 13 2" xfId="34180"/>
    <cellStyle name="Notas 2 67 14" xfId="34181"/>
    <cellStyle name="Notas 2 67 2" xfId="34182"/>
    <cellStyle name="Notas 2 67 2 2" xfId="34183"/>
    <cellStyle name="Notas 2 67 3" xfId="34184"/>
    <cellStyle name="Notas 2 67 3 2" xfId="34185"/>
    <cellStyle name="Notas 2 67 4" xfId="34186"/>
    <cellStyle name="Notas 2 67 4 2" xfId="34187"/>
    <cellStyle name="Notas 2 67 5" xfId="34188"/>
    <cellStyle name="Notas 2 67 5 2" xfId="34189"/>
    <cellStyle name="Notas 2 67 6" xfId="34190"/>
    <cellStyle name="Notas 2 67 6 2" xfId="34191"/>
    <cellStyle name="Notas 2 67 7" xfId="34192"/>
    <cellStyle name="Notas 2 67 7 2" xfId="34193"/>
    <cellStyle name="Notas 2 67 8" xfId="34194"/>
    <cellStyle name="Notas 2 67 8 2" xfId="34195"/>
    <cellStyle name="Notas 2 67 9" xfId="34196"/>
    <cellStyle name="Notas 2 67 9 2" xfId="34197"/>
    <cellStyle name="Notas 2 68" xfId="34198"/>
    <cellStyle name="Notas 2 68 10" xfId="34199"/>
    <cellStyle name="Notas 2 68 10 2" xfId="34200"/>
    <cellStyle name="Notas 2 68 11" xfId="34201"/>
    <cellStyle name="Notas 2 68 11 2" xfId="34202"/>
    <cellStyle name="Notas 2 68 12" xfId="34203"/>
    <cellStyle name="Notas 2 68 12 2" xfId="34204"/>
    <cellStyle name="Notas 2 68 13" xfId="34205"/>
    <cellStyle name="Notas 2 68 13 2" xfId="34206"/>
    <cellStyle name="Notas 2 68 14" xfId="34207"/>
    <cellStyle name="Notas 2 68 2" xfId="34208"/>
    <cellStyle name="Notas 2 68 2 2" xfId="34209"/>
    <cellStyle name="Notas 2 68 3" xfId="34210"/>
    <cellStyle name="Notas 2 68 3 2" xfId="34211"/>
    <cellStyle name="Notas 2 68 4" xfId="34212"/>
    <cellStyle name="Notas 2 68 4 2" xfId="34213"/>
    <cellStyle name="Notas 2 68 5" xfId="34214"/>
    <cellStyle name="Notas 2 68 5 2" xfId="34215"/>
    <cellStyle name="Notas 2 68 6" xfId="34216"/>
    <cellStyle name="Notas 2 68 6 2" xfId="34217"/>
    <cellStyle name="Notas 2 68 7" xfId="34218"/>
    <cellStyle name="Notas 2 68 7 2" xfId="34219"/>
    <cellStyle name="Notas 2 68 8" xfId="34220"/>
    <cellStyle name="Notas 2 68 8 2" xfId="34221"/>
    <cellStyle name="Notas 2 68 9" xfId="34222"/>
    <cellStyle name="Notas 2 68 9 2" xfId="34223"/>
    <cellStyle name="Notas 2 69" xfId="34224"/>
    <cellStyle name="Notas 2 69 10" xfId="34225"/>
    <cellStyle name="Notas 2 69 10 2" xfId="34226"/>
    <cellStyle name="Notas 2 69 11" xfId="34227"/>
    <cellStyle name="Notas 2 69 11 2" xfId="34228"/>
    <cellStyle name="Notas 2 69 12" xfId="34229"/>
    <cellStyle name="Notas 2 69 12 2" xfId="34230"/>
    <cellStyle name="Notas 2 69 13" xfId="34231"/>
    <cellStyle name="Notas 2 69 13 2" xfId="34232"/>
    <cellStyle name="Notas 2 69 14" xfId="34233"/>
    <cellStyle name="Notas 2 69 2" xfId="34234"/>
    <cellStyle name="Notas 2 69 2 2" xfId="34235"/>
    <cellStyle name="Notas 2 69 3" xfId="34236"/>
    <cellStyle name="Notas 2 69 3 2" xfId="34237"/>
    <cellStyle name="Notas 2 69 4" xfId="34238"/>
    <cellStyle name="Notas 2 69 4 2" xfId="34239"/>
    <cellStyle name="Notas 2 69 5" xfId="34240"/>
    <cellStyle name="Notas 2 69 5 2" xfId="34241"/>
    <cellStyle name="Notas 2 69 6" xfId="34242"/>
    <cellStyle name="Notas 2 69 6 2" xfId="34243"/>
    <cellStyle name="Notas 2 69 7" xfId="34244"/>
    <cellStyle name="Notas 2 69 7 2" xfId="34245"/>
    <cellStyle name="Notas 2 69 8" xfId="34246"/>
    <cellStyle name="Notas 2 69 8 2" xfId="34247"/>
    <cellStyle name="Notas 2 69 9" xfId="34248"/>
    <cellStyle name="Notas 2 69 9 2" xfId="34249"/>
    <cellStyle name="Notas 2 7" xfId="34250"/>
    <cellStyle name="Notas 2 7 10" xfId="34251"/>
    <cellStyle name="Notas 2 7 10 2" xfId="34252"/>
    <cellStyle name="Notas 2 7 11" xfId="34253"/>
    <cellStyle name="Notas 2 7 11 2" xfId="34254"/>
    <cellStyle name="Notas 2 7 12" xfId="34255"/>
    <cellStyle name="Notas 2 7 12 2" xfId="34256"/>
    <cellStyle name="Notas 2 7 13" xfId="34257"/>
    <cellStyle name="Notas 2 7 13 2" xfId="34258"/>
    <cellStyle name="Notas 2 7 14" xfId="34259"/>
    <cellStyle name="Notas 2 7 2" xfId="34260"/>
    <cellStyle name="Notas 2 7 2 2" xfId="34261"/>
    <cellStyle name="Notas 2 7 3" xfId="34262"/>
    <cellStyle name="Notas 2 7 3 2" xfId="34263"/>
    <cellStyle name="Notas 2 7 4" xfId="34264"/>
    <cellStyle name="Notas 2 7 4 2" xfId="34265"/>
    <cellStyle name="Notas 2 7 5" xfId="34266"/>
    <cellStyle name="Notas 2 7 5 2" xfId="34267"/>
    <cellStyle name="Notas 2 7 6" xfId="34268"/>
    <cellStyle name="Notas 2 7 6 2" xfId="34269"/>
    <cellStyle name="Notas 2 7 7" xfId="34270"/>
    <cellStyle name="Notas 2 7 7 2" xfId="34271"/>
    <cellStyle name="Notas 2 7 8" xfId="34272"/>
    <cellStyle name="Notas 2 7 8 2" xfId="34273"/>
    <cellStyle name="Notas 2 7 9" xfId="34274"/>
    <cellStyle name="Notas 2 7 9 2" xfId="34275"/>
    <cellStyle name="Notas 2 70" xfId="34276"/>
    <cellStyle name="Notas 2 70 10" xfId="34277"/>
    <cellStyle name="Notas 2 70 10 2" xfId="34278"/>
    <cellStyle name="Notas 2 70 11" xfId="34279"/>
    <cellStyle name="Notas 2 70 11 2" xfId="34280"/>
    <cellStyle name="Notas 2 70 12" xfId="34281"/>
    <cellStyle name="Notas 2 70 12 2" xfId="34282"/>
    <cellStyle name="Notas 2 70 13" xfId="34283"/>
    <cellStyle name="Notas 2 70 13 2" xfId="34284"/>
    <cellStyle name="Notas 2 70 14" xfId="34285"/>
    <cellStyle name="Notas 2 70 2" xfId="34286"/>
    <cellStyle name="Notas 2 70 2 2" xfId="34287"/>
    <cellStyle name="Notas 2 70 3" xfId="34288"/>
    <cellStyle name="Notas 2 70 3 2" xfId="34289"/>
    <cellStyle name="Notas 2 70 4" xfId="34290"/>
    <cellStyle name="Notas 2 70 4 2" xfId="34291"/>
    <cellStyle name="Notas 2 70 5" xfId="34292"/>
    <cellStyle name="Notas 2 70 5 2" xfId="34293"/>
    <cellStyle name="Notas 2 70 6" xfId="34294"/>
    <cellStyle name="Notas 2 70 6 2" xfId="34295"/>
    <cellStyle name="Notas 2 70 7" xfId="34296"/>
    <cellStyle name="Notas 2 70 7 2" xfId="34297"/>
    <cellStyle name="Notas 2 70 8" xfId="34298"/>
    <cellStyle name="Notas 2 70 8 2" xfId="34299"/>
    <cellStyle name="Notas 2 70 9" xfId="34300"/>
    <cellStyle name="Notas 2 70 9 2" xfId="34301"/>
    <cellStyle name="Notas 2 71" xfId="34302"/>
    <cellStyle name="Notas 2 71 10" xfId="34303"/>
    <cellStyle name="Notas 2 71 10 2" xfId="34304"/>
    <cellStyle name="Notas 2 71 11" xfId="34305"/>
    <cellStyle name="Notas 2 71 11 2" xfId="34306"/>
    <cellStyle name="Notas 2 71 12" xfId="34307"/>
    <cellStyle name="Notas 2 71 12 2" xfId="34308"/>
    <cellStyle name="Notas 2 71 13" xfId="34309"/>
    <cellStyle name="Notas 2 71 13 2" xfId="34310"/>
    <cellStyle name="Notas 2 71 14" xfId="34311"/>
    <cellStyle name="Notas 2 71 2" xfId="34312"/>
    <cellStyle name="Notas 2 71 2 2" xfId="34313"/>
    <cellStyle name="Notas 2 71 3" xfId="34314"/>
    <cellStyle name="Notas 2 71 3 2" xfId="34315"/>
    <cellStyle name="Notas 2 71 4" xfId="34316"/>
    <cellStyle name="Notas 2 71 4 2" xfId="34317"/>
    <cellStyle name="Notas 2 71 5" xfId="34318"/>
    <cellStyle name="Notas 2 71 5 2" xfId="34319"/>
    <cellStyle name="Notas 2 71 6" xfId="34320"/>
    <cellStyle name="Notas 2 71 6 2" xfId="34321"/>
    <cellStyle name="Notas 2 71 7" xfId="34322"/>
    <cellStyle name="Notas 2 71 7 2" xfId="34323"/>
    <cellStyle name="Notas 2 71 8" xfId="34324"/>
    <cellStyle name="Notas 2 71 8 2" xfId="34325"/>
    <cellStyle name="Notas 2 71 9" xfId="34326"/>
    <cellStyle name="Notas 2 71 9 2" xfId="34327"/>
    <cellStyle name="Notas 2 72" xfId="34328"/>
    <cellStyle name="Notas 2 72 10" xfId="34329"/>
    <cellStyle name="Notas 2 72 10 2" xfId="34330"/>
    <cellStyle name="Notas 2 72 11" xfId="34331"/>
    <cellStyle name="Notas 2 72 11 2" xfId="34332"/>
    <cellStyle name="Notas 2 72 12" xfId="34333"/>
    <cellStyle name="Notas 2 72 12 2" xfId="34334"/>
    <cellStyle name="Notas 2 72 13" xfId="34335"/>
    <cellStyle name="Notas 2 72 13 2" xfId="34336"/>
    <cellStyle name="Notas 2 72 14" xfId="34337"/>
    <cellStyle name="Notas 2 72 2" xfId="34338"/>
    <cellStyle name="Notas 2 72 2 2" xfId="34339"/>
    <cellStyle name="Notas 2 72 3" xfId="34340"/>
    <cellStyle name="Notas 2 72 3 2" xfId="34341"/>
    <cellStyle name="Notas 2 72 4" xfId="34342"/>
    <cellStyle name="Notas 2 72 4 2" xfId="34343"/>
    <cellStyle name="Notas 2 72 5" xfId="34344"/>
    <cellStyle name="Notas 2 72 5 2" xfId="34345"/>
    <cellStyle name="Notas 2 72 6" xfId="34346"/>
    <cellStyle name="Notas 2 72 6 2" xfId="34347"/>
    <cellStyle name="Notas 2 72 7" xfId="34348"/>
    <cellStyle name="Notas 2 72 7 2" xfId="34349"/>
    <cellStyle name="Notas 2 72 8" xfId="34350"/>
    <cellStyle name="Notas 2 72 8 2" xfId="34351"/>
    <cellStyle name="Notas 2 72 9" xfId="34352"/>
    <cellStyle name="Notas 2 72 9 2" xfId="34353"/>
    <cellStyle name="Notas 2 73" xfId="34354"/>
    <cellStyle name="Notas 2 73 2" xfId="34355"/>
    <cellStyle name="Notas 2 74" xfId="34356"/>
    <cellStyle name="Notas 2 74 2" xfId="34357"/>
    <cellStyle name="Notas 2 75" xfId="34358"/>
    <cellStyle name="Notas 2 75 2" xfId="34359"/>
    <cellStyle name="Notas 2 76" xfId="34360"/>
    <cellStyle name="Notas 2 76 2" xfId="34361"/>
    <cellStyle name="Notas 2 77" xfId="34362"/>
    <cellStyle name="Notas 2 77 2" xfId="34363"/>
    <cellStyle name="Notas 2 78" xfId="34364"/>
    <cellStyle name="Notas 2 78 2" xfId="34365"/>
    <cellStyle name="Notas 2 79" xfId="34366"/>
    <cellStyle name="Notas 2 79 2" xfId="34367"/>
    <cellStyle name="Notas 2 8" xfId="34368"/>
    <cellStyle name="Notas 2 8 10" xfId="34369"/>
    <cellStyle name="Notas 2 8 10 2" xfId="34370"/>
    <cellStyle name="Notas 2 8 11" xfId="34371"/>
    <cellStyle name="Notas 2 8 11 2" xfId="34372"/>
    <cellStyle name="Notas 2 8 12" xfId="34373"/>
    <cellStyle name="Notas 2 8 12 2" xfId="34374"/>
    <cellStyle name="Notas 2 8 13" xfId="34375"/>
    <cellStyle name="Notas 2 8 13 2" xfId="34376"/>
    <cellStyle name="Notas 2 8 14" xfId="34377"/>
    <cellStyle name="Notas 2 8 2" xfId="34378"/>
    <cellStyle name="Notas 2 8 2 2" xfId="34379"/>
    <cellStyle name="Notas 2 8 3" xfId="34380"/>
    <cellStyle name="Notas 2 8 3 2" xfId="34381"/>
    <cellStyle name="Notas 2 8 4" xfId="34382"/>
    <cellStyle name="Notas 2 8 4 2" xfId="34383"/>
    <cellStyle name="Notas 2 8 5" xfId="34384"/>
    <cellStyle name="Notas 2 8 5 2" xfId="34385"/>
    <cellStyle name="Notas 2 8 6" xfId="34386"/>
    <cellStyle name="Notas 2 8 6 2" xfId="34387"/>
    <cellStyle name="Notas 2 8 7" xfId="34388"/>
    <cellStyle name="Notas 2 8 7 2" xfId="34389"/>
    <cellStyle name="Notas 2 8 8" xfId="34390"/>
    <cellStyle name="Notas 2 8 8 2" xfId="34391"/>
    <cellStyle name="Notas 2 8 9" xfId="34392"/>
    <cellStyle name="Notas 2 8 9 2" xfId="34393"/>
    <cellStyle name="Notas 2 80" xfId="34394"/>
    <cellStyle name="Notas 2 80 2" xfId="34395"/>
    <cellStyle name="Notas 2 81" xfId="34396"/>
    <cellStyle name="Notas 2 81 2" xfId="34397"/>
    <cellStyle name="Notas 2 82" xfId="34398"/>
    <cellStyle name="Notas 2 82 2" xfId="34399"/>
    <cellStyle name="Notas 2 83" xfId="34400"/>
    <cellStyle name="Notas 2 83 2" xfId="34401"/>
    <cellStyle name="Notas 2 84" xfId="34402"/>
    <cellStyle name="Notas 2 84 2" xfId="34403"/>
    <cellStyle name="Notas 2 9" xfId="34404"/>
    <cellStyle name="Notas 2 9 10" xfId="34405"/>
    <cellStyle name="Notas 2 9 10 2" xfId="34406"/>
    <cellStyle name="Notas 2 9 11" xfId="34407"/>
    <cellStyle name="Notas 2 9 11 2" xfId="34408"/>
    <cellStyle name="Notas 2 9 12" xfId="34409"/>
    <cellStyle name="Notas 2 9 12 2" xfId="34410"/>
    <cellStyle name="Notas 2 9 13" xfId="34411"/>
    <cellStyle name="Notas 2 9 13 2" xfId="34412"/>
    <cellStyle name="Notas 2 9 14" xfId="34413"/>
    <cellStyle name="Notas 2 9 2" xfId="34414"/>
    <cellStyle name="Notas 2 9 2 2" xfId="34415"/>
    <cellStyle name="Notas 2 9 3" xfId="34416"/>
    <cellStyle name="Notas 2 9 3 2" xfId="34417"/>
    <cellStyle name="Notas 2 9 4" xfId="34418"/>
    <cellStyle name="Notas 2 9 4 2" xfId="34419"/>
    <cellStyle name="Notas 2 9 5" xfId="34420"/>
    <cellStyle name="Notas 2 9 5 2" xfId="34421"/>
    <cellStyle name="Notas 2 9 6" xfId="34422"/>
    <cellStyle name="Notas 2 9 6 2" xfId="34423"/>
    <cellStyle name="Notas 2 9 7" xfId="34424"/>
    <cellStyle name="Notas 2 9 7 2" xfId="34425"/>
    <cellStyle name="Notas 2 9 8" xfId="34426"/>
    <cellStyle name="Notas 2 9 8 2" xfId="34427"/>
    <cellStyle name="Notas 2 9 9" xfId="34428"/>
    <cellStyle name="Notas 2 9 9 2" xfId="34429"/>
    <cellStyle name="Notas 3" xfId="34430"/>
    <cellStyle name="Notas 3 10" xfId="34431"/>
    <cellStyle name="Notas 3 10 10" xfId="34432"/>
    <cellStyle name="Notas 3 10 10 2" xfId="34433"/>
    <cellStyle name="Notas 3 10 11" xfId="34434"/>
    <cellStyle name="Notas 3 10 11 2" xfId="34435"/>
    <cellStyle name="Notas 3 10 12" xfId="34436"/>
    <cellStyle name="Notas 3 10 12 2" xfId="34437"/>
    <cellStyle name="Notas 3 10 13" xfId="34438"/>
    <cellStyle name="Notas 3 10 13 2" xfId="34439"/>
    <cellStyle name="Notas 3 10 14" xfId="34440"/>
    <cellStyle name="Notas 3 10 2" xfId="34441"/>
    <cellStyle name="Notas 3 10 2 2" xfId="34442"/>
    <cellStyle name="Notas 3 10 3" xfId="34443"/>
    <cellStyle name="Notas 3 10 3 2" xfId="34444"/>
    <cellStyle name="Notas 3 10 4" xfId="34445"/>
    <cellStyle name="Notas 3 10 4 2" xfId="34446"/>
    <cellStyle name="Notas 3 10 5" xfId="34447"/>
    <cellStyle name="Notas 3 10 5 2" xfId="34448"/>
    <cellStyle name="Notas 3 10 6" xfId="34449"/>
    <cellStyle name="Notas 3 10 6 2" xfId="34450"/>
    <cellStyle name="Notas 3 10 7" xfId="34451"/>
    <cellStyle name="Notas 3 10 7 2" xfId="34452"/>
    <cellStyle name="Notas 3 10 8" xfId="34453"/>
    <cellStyle name="Notas 3 10 8 2" xfId="34454"/>
    <cellStyle name="Notas 3 10 9" xfId="34455"/>
    <cellStyle name="Notas 3 10 9 2" xfId="34456"/>
    <cellStyle name="Notas 3 11" xfId="34457"/>
    <cellStyle name="Notas 3 11 10" xfId="34458"/>
    <cellStyle name="Notas 3 11 10 2" xfId="34459"/>
    <cellStyle name="Notas 3 11 11" xfId="34460"/>
    <cellStyle name="Notas 3 11 11 2" xfId="34461"/>
    <cellStyle name="Notas 3 11 12" xfId="34462"/>
    <cellStyle name="Notas 3 11 12 2" xfId="34463"/>
    <cellStyle name="Notas 3 11 13" xfId="34464"/>
    <cellStyle name="Notas 3 11 13 2" xfId="34465"/>
    <cellStyle name="Notas 3 11 14" xfId="34466"/>
    <cellStyle name="Notas 3 11 2" xfId="34467"/>
    <cellStyle name="Notas 3 11 2 2" xfId="34468"/>
    <cellStyle name="Notas 3 11 3" xfId="34469"/>
    <cellStyle name="Notas 3 11 3 2" xfId="34470"/>
    <cellStyle name="Notas 3 11 4" xfId="34471"/>
    <cellStyle name="Notas 3 11 4 2" xfId="34472"/>
    <cellStyle name="Notas 3 11 5" xfId="34473"/>
    <cellStyle name="Notas 3 11 5 2" xfId="34474"/>
    <cellStyle name="Notas 3 11 6" xfId="34475"/>
    <cellStyle name="Notas 3 11 6 2" xfId="34476"/>
    <cellStyle name="Notas 3 11 7" xfId="34477"/>
    <cellStyle name="Notas 3 11 7 2" xfId="34478"/>
    <cellStyle name="Notas 3 11 8" xfId="34479"/>
    <cellStyle name="Notas 3 11 8 2" xfId="34480"/>
    <cellStyle name="Notas 3 11 9" xfId="34481"/>
    <cellStyle name="Notas 3 11 9 2" xfId="34482"/>
    <cellStyle name="Notas 3 12" xfId="34483"/>
    <cellStyle name="Notas 3 12 10" xfId="34484"/>
    <cellStyle name="Notas 3 12 10 2" xfId="34485"/>
    <cellStyle name="Notas 3 12 11" xfId="34486"/>
    <cellStyle name="Notas 3 12 11 2" xfId="34487"/>
    <cellStyle name="Notas 3 12 12" xfId="34488"/>
    <cellStyle name="Notas 3 12 12 2" xfId="34489"/>
    <cellStyle name="Notas 3 12 13" xfId="34490"/>
    <cellStyle name="Notas 3 12 13 2" xfId="34491"/>
    <cellStyle name="Notas 3 12 14" xfId="34492"/>
    <cellStyle name="Notas 3 12 2" xfId="34493"/>
    <cellStyle name="Notas 3 12 2 2" xfId="34494"/>
    <cellStyle name="Notas 3 12 3" xfId="34495"/>
    <cellStyle name="Notas 3 12 3 2" xfId="34496"/>
    <cellStyle name="Notas 3 12 4" xfId="34497"/>
    <cellStyle name="Notas 3 12 4 2" xfId="34498"/>
    <cellStyle name="Notas 3 12 5" xfId="34499"/>
    <cellStyle name="Notas 3 12 5 2" xfId="34500"/>
    <cellStyle name="Notas 3 12 6" xfId="34501"/>
    <cellStyle name="Notas 3 12 6 2" xfId="34502"/>
    <cellStyle name="Notas 3 12 7" xfId="34503"/>
    <cellStyle name="Notas 3 12 7 2" xfId="34504"/>
    <cellStyle name="Notas 3 12 8" xfId="34505"/>
    <cellStyle name="Notas 3 12 8 2" xfId="34506"/>
    <cellStyle name="Notas 3 12 9" xfId="34507"/>
    <cellStyle name="Notas 3 12 9 2" xfId="34508"/>
    <cellStyle name="Notas 3 13" xfId="34509"/>
    <cellStyle name="Notas 3 13 10" xfId="34510"/>
    <cellStyle name="Notas 3 13 10 2" xfId="34511"/>
    <cellStyle name="Notas 3 13 11" xfId="34512"/>
    <cellStyle name="Notas 3 13 11 2" xfId="34513"/>
    <cellStyle name="Notas 3 13 12" xfId="34514"/>
    <cellStyle name="Notas 3 13 12 2" xfId="34515"/>
    <cellStyle name="Notas 3 13 13" xfId="34516"/>
    <cellStyle name="Notas 3 13 13 2" xfId="34517"/>
    <cellStyle name="Notas 3 13 14" xfId="34518"/>
    <cellStyle name="Notas 3 13 2" xfId="34519"/>
    <cellStyle name="Notas 3 13 2 2" xfId="34520"/>
    <cellStyle name="Notas 3 13 3" xfId="34521"/>
    <cellStyle name="Notas 3 13 3 2" xfId="34522"/>
    <cellStyle name="Notas 3 13 4" xfId="34523"/>
    <cellStyle name="Notas 3 13 4 2" xfId="34524"/>
    <cellStyle name="Notas 3 13 5" xfId="34525"/>
    <cellStyle name="Notas 3 13 5 2" xfId="34526"/>
    <cellStyle name="Notas 3 13 6" xfId="34527"/>
    <cellStyle name="Notas 3 13 6 2" xfId="34528"/>
    <cellStyle name="Notas 3 13 7" xfId="34529"/>
    <cellStyle name="Notas 3 13 7 2" xfId="34530"/>
    <cellStyle name="Notas 3 13 8" xfId="34531"/>
    <cellStyle name="Notas 3 13 8 2" xfId="34532"/>
    <cellStyle name="Notas 3 13 9" xfId="34533"/>
    <cellStyle name="Notas 3 13 9 2" xfId="34534"/>
    <cellStyle name="Notas 3 14" xfId="34535"/>
    <cellStyle name="Notas 3 14 10" xfId="34536"/>
    <cellStyle name="Notas 3 14 10 2" xfId="34537"/>
    <cellStyle name="Notas 3 14 11" xfId="34538"/>
    <cellStyle name="Notas 3 14 11 2" xfId="34539"/>
    <cellStyle name="Notas 3 14 12" xfId="34540"/>
    <cellStyle name="Notas 3 14 12 2" xfId="34541"/>
    <cellStyle name="Notas 3 14 13" xfId="34542"/>
    <cellStyle name="Notas 3 14 13 2" xfId="34543"/>
    <cellStyle name="Notas 3 14 14" xfId="34544"/>
    <cellStyle name="Notas 3 14 2" xfId="34545"/>
    <cellStyle name="Notas 3 14 2 2" xfId="34546"/>
    <cellStyle name="Notas 3 14 3" xfId="34547"/>
    <cellStyle name="Notas 3 14 3 2" xfId="34548"/>
    <cellStyle name="Notas 3 14 4" xfId="34549"/>
    <cellStyle name="Notas 3 14 4 2" xfId="34550"/>
    <cellStyle name="Notas 3 14 5" xfId="34551"/>
    <cellStyle name="Notas 3 14 5 2" xfId="34552"/>
    <cellStyle name="Notas 3 14 6" xfId="34553"/>
    <cellStyle name="Notas 3 14 6 2" xfId="34554"/>
    <cellStyle name="Notas 3 14 7" xfId="34555"/>
    <cellStyle name="Notas 3 14 7 2" xfId="34556"/>
    <cellStyle name="Notas 3 14 8" xfId="34557"/>
    <cellStyle name="Notas 3 14 8 2" xfId="34558"/>
    <cellStyle name="Notas 3 14 9" xfId="34559"/>
    <cellStyle name="Notas 3 14 9 2" xfId="34560"/>
    <cellStyle name="Notas 3 15" xfId="34561"/>
    <cellStyle name="Notas 3 15 10" xfId="34562"/>
    <cellStyle name="Notas 3 15 10 2" xfId="34563"/>
    <cellStyle name="Notas 3 15 11" xfId="34564"/>
    <cellStyle name="Notas 3 15 11 2" xfId="34565"/>
    <cellStyle name="Notas 3 15 12" xfId="34566"/>
    <cellStyle name="Notas 3 15 12 2" xfId="34567"/>
    <cellStyle name="Notas 3 15 13" xfId="34568"/>
    <cellStyle name="Notas 3 15 13 2" xfId="34569"/>
    <cellStyle name="Notas 3 15 14" xfId="34570"/>
    <cellStyle name="Notas 3 15 2" xfId="34571"/>
    <cellStyle name="Notas 3 15 2 2" xfId="34572"/>
    <cellStyle name="Notas 3 15 3" xfId="34573"/>
    <cellStyle name="Notas 3 15 3 2" xfId="34574"/>
    <cellStyle name="Notas 3 15 4" xfId="34575"/>
    <cellStyle name="Notas 3 15 4 2" xfId="34576"/>
    <cellStyle name="Notas 3 15 5" xfId="34577"/>
    <cellStyle name="Notas 3 15 5 2" xfId="34578"/>
    <cellStyle name="Notas 3 15 6" xfId="34579"/>
    <cellStyle name="Notas 3 15 6 2" xfId="34580"/>
    <cellStyle name="Notas 3 15 7" xfId="34581"/>
    <cellStyle name="Notas 3 15 7 2" xfId="34582"/>
    <cellStyle name="Notas 3 15 8" xfId="34583"/>
    <cellStyle name="Notas 3 15 8 2" xfId="34584"/>
    <cellStyle name="Notas 3 15 9" xfId="34585"/>
    <cellStyle name="Notas 3 15 9 2" xfId="34586"/>
    <cellStyle name="Notas 3 16" xfId="34587"/>
    <cellStyle name="Notas 3 16 10" xfId="34588"/>
    <cellStyle name="Notas 3 16 10 2" xfId="34589"/>
    <cellStyle name="Notas 3 16 11" xfId="34590"/>
    <cellStyle name="Notas 3 16 11 2" xfId="34591"/>
    <cellStyle name="Notas 3 16 12" xfId="34592"/>
    <cellStyle name="Notas 3 16 12 2" xfId="34593"/>
    <cellStyle name="Notas 3 16 13" xfId="34594"/>
    <cellStyle name="Notas 3 16 13 2" xfId="34595"/>
    <cellStyle name="Notas 3 16 14" xfId="34596"/>
    <cellStyle name="Notas 3 16 2" xfId="34597"/>
    <cellStyle name="Notas 3 16 2 2" xfId="34598"/>
    <cellStyle name="Notas 3 16 3" xfId="34599"/>
    <cellStyle name="Notas 3 16 3 2" xfId="34600"/>
    <cellStyle name="Notas 3 16 4" xfId="34601"/>
    <cellStyle name="Notas 3 16 4 2" xfId="34602"/>
    <cellStyle name="Notas 3 16 5" xfId="34603"/>
    <cellStyle name="Notas 3 16 5 2" xfId="34604"/>
    <cellStyle name="Notas 3 16 6" xfId="34605"/>
    <cellStyle name="Notas 3 16 6 2" xfId="34606"/>
    <cellStyle name="Notas 3 16 7" xfId="34607"/>
    <cellStyle name="Notas 3 16 7 2" xfId="34608"/>
    <cellStyle name="Notas 3 16 8" xfId="34609"/>
    <cellStyle name="Notas 3 16 8 2" xfId="34610"/>
    <cellStyle name="Notas 3 16 9" xfId="34611"/>
    <cellStyle name="Notas 3 16 9 2" xfId="34612"/>
    <cellStyle name="Notas 3 17" xfId="34613"/>
    <cellStyle name="Notas 3 17 10" xfId="34614"/>
    <cellStyle name="Notas 3 17 10 2" xfId="34615"/>
    <cellStyle name="Notas 3 17 11" xfId="34616"/>
    <cellStyle name="Notas 3 17 11 2" xfId="34617"/>
    <cellStyle name="Notas 3 17 12" xfId="34618"/>
    <cellStyle name="Notas 3 17 12 2" xfId="34619"/>
    <cellStyle name="Notas 3 17 13" xfId="34620"/>
    <cellStyle name="Notas 3 17 13 2" xfId="34621"/>
    <cellStyle name="Notas 3 17 14" xfId="34622"/>
    <cellStyle name="Notas 3 17 2" xfId="34623"/>
    <cellStyle name="Notas 3 17 2 2" xfId="34624"/>
    <cellStyle name="Notas 3 17 3" xfId="34625"/>
    <cellStyle name="Notas 3 17 3 2" xfId="34626"/>
    <cellStyle name="Notas 3 17 4" xfId="34627"/>
    <cellStyle name="Notas 3 17 4 2" xfId="34628"/>
    <cellStyle name="Notas 3 17 5" xfId="34629"/>
    <cellStyle name="Notas 3 17 5 2" xfId="34630"/>
    <cellStyle name="Notas 3 17 6" xfId="34631"/>
    <cellStyle name="Notas 3 17 6 2" xfId="34632"/>
    <cellStyle name="Notas 3 17 7" xfId="34633"/>
    <cellStyle name="Notas 3 17 7 2" xfId="34634"/>
    <cellStyle name="Notas 3 17 8" xfId="34635"/>
    <cellStyle name="Notas 3 17 8 2" xfId="34636"/>
    <cellStyle name="Notas 3 17 9" xfId="34637"/>
    <cellStyle name="Notas 3 17 9 2" xfId="34638"/>
    <cellStyle name="Notas 3 18" xfId="34639"/>
    <cellStyle name="Notas 3 18 10" xfId="34640"/>
    <cellStyle name="Notas 3 18 10 2" xfId="34641"/>
    <cellStyle name="Notas 3 18 11" xfId="34642"/>
    <cellStyle name="Notas 3 18 11 2" xfId="34643"/>
    <cellStyle name="Notas 3 18 12" xfId="34644"/>
    <cellStyle name="Notas 3 18 12 2" xfId="34645"/>
    <cellStyle name="Notas 3 18 13" xfId="34646"/>
    <cellStyle name="Notas 3 18 13 2" xfId="34647"/>
    <cellStyle name="Notas 3 18 14" xfId="34648"/>
    <cellStyle name="Notas 3 18 2" xfId="34649"/>
    <cellStyle name="Notas 3 18 2 2" xfId="34650"/>
    <cellStyle name="Notas 3 18 3" xfId="34651"/>
    <cellStyle name="Notas 3 18 3 2" xfId="34652"/>
    <cellStyle name="Notas 3 18 4" xfId="34653"/>
    <cellStyle name="Notas 3 18 4 2" xfId="34654"/>
    <cellStyle name="Notas 3 18 5" xfId="34655"/>
    <cellStyle name="Notas 3 18 5 2" xfId="34656"/>
    <cellStyle name="Notas 3 18 6" xfId="34657"/>
    <cellStyle name="Notas 3 18 6 2" xfId="34658"/>
    <cellStyle name="Notas 3 18 7" xfId="34659"/>
    <cellStyle name="Notas 3 18 7 2" xfId="34660"/>
    <cellStyle name="Notas 3 18 8" xfId="34661"/>
    <cellStyle name="Notas 3 18 8 2" xfId="34662"/>
    <cellStyle name="Notas 3 18 9" xfId="34663"/>
    <cellStyle name="Notas 3 18 9 2" xfId="34664"/>
    <cellStyle name="Notas 3 19" xfId="34665"/>
    <cellStyle name="Notas 3 19 10" xfId="34666"/>
    <cellStyle name="Notas 3 19 10 2" xfId="34667"/>
    <cellStyle name="Notas 3 19 11" xfId="34668"/>
    <cellStyle name="Notas 3 19 11 2" xfId="34669"/>
    <cellStyle name="Notas 3 19 12" xfId="34670"/>
    <cellStyle name="Notas 3 19 12 2" xfId="34671"/>
    <cellStyle name="Notas 3 19 13" xfId="34672"/>
    <cellStyle name="Notas 3 19 13 2" xfId="34673"/>
    <cellStyle name="Notas 3 19 14" xfId="34674"/>
    <cellStyle name="Notas 3 19 2" xfId="34675"/>
    <cellStyle name="Notas 3 19 2 2" xfId="34676"/>
    <cellStyle name="Notas 3 19 3" xfId="34677"/>
    <cellStyle name="Notas 3 19 3 2" xfId="34678"/>
    <cellStyle name="Notas 3 19 4" xfId="34679"/>
    <cellStyle name="Notas 3 19 4 2" xfId="34680"/>
    <cellStyle name="Notas 3 19 5" xfId="34681"/>
    <cellStyle name="Notas 3 19 5 2" xfId="34682"/>
    <cellStyle name="Notas 3 19 6" xfId="34683"/>
    <cellStyle name="Notas 3 19 6 2" xfId="34684"/>
    <cellStyle name="Notas 3 19 7" xfId="34685"/>
    <cellStyle name="Notas 3 19 7 2" xfId="34686"/>
    <cellStyle name="Notas 3 19 8" xfId="34687"/>
    <cellStyle name="Notas 3 19 8 2" xfId="34688"/>
    <cellStyle name="Notas 3 19 9" xfId="34689"/>
    <cellStyle name="Notas 3 19 9 2" xfId="34690"/>
    <cellStyle name="Notas 3 2" xfId="34691"/>
    <cellStyle name="Notas 3 2 10" xfId="34692"/>
    <cellStyle name="Notas 3 2 10 2" xfId="34693"/>
    <cellStyle name="Notas 3 2 11" xfId="34694"/>
    <cellStyle name="Notas 3 2 11 2" xfId="34695"/>
    <cellStyle name="Notas 3 2 12" xfId="34696"/>
    <cellStyle name="Notas 3 2 12 2" xfId="34697"/>
    <cellStyle name="Notas 3 2 13" xfId="34698"/>
    <cellStyle name="Notas 3 2 13 2" xfId="34699"/>
    <cellStyle name="Notas 3 2 14" xfId="34700"/>
    <cellStyle name="Notas 3 2 2" xfId="34701"/>
    <cellStyle name="Notas 3 2 2 2" xfId="34702"/>
    <cellStyle name="Notas 3 2 3" xfId="34703"/>
    <cellStyle name="Notas 3 2 3 2" xfId="34704"/>
    <cellStyle name="Notas 3 2 4" xfId="34705"/>
    <cellStyle name="Notas 3 2 4 2" xfId="34706"/>
    <cellStyle name="Notas 3 2 5" xfId="34707"/>
    <cellStyle name="Notas 3 2 5 2" xfId="34708"/>
    <cellStyle name="Notas 3 2 6" xfId="34709"/>
    <cellStyle name="Notas 3 2 6 2" xfId="34710"/>
    <cellStyle name="Notas 3 2 7" xfId="34711"/>
    <cellStyle name="Notas 3 2 7 2" xfId="34712"/>
    <cellStyle name="Notas 3 2 8" xfId="34713"/>
    <cellStyle name="Notas 3 2 8 2" xfId="34714"/>
    <cellStyle name="Notas 3 2 9" xfId="34715"/>
    <cellStyle name="Notas 3 2 9 2" xfId="34716"/>
    <cellStyle name="Notas 3 20" xfId="34717"/>
    <cellStyle name="Notas 3 20 10" xfId="34718"/>
    <cellStyle name="Notas 3 20 10 2" xfId="34719"/>
    <cellStyle name="Notas 3 20 11" xfId="34720"/>
    <cellStyle name="Notas 3 20 11 2" xfId="34721"/>
    <cellStyle name="Notas 3 20 12" xfId="34722"/>
    <cellStyle name="Notas 3 20 12 2" xfId="34723"/>
    <cellStyle name="Notas 3 20 13" xfId="34724"/>
    <cellStyle name="Notas 3 20 13 2" xfId="34725"/>
    <cellStyle name="Notas 3 20 14" xfId="34726"/>
    <cellStyle name="Notas 3 20 2" xfId="34727"/>
    <cellStyle name="Notas 3 20 2 2" xfId="34728"/>
    <cellStyle name="Notas 3 20 3" xfId="34729"/>
    <cellStyle name="Notas 3 20 3 2" xfId="34730"/>
    <cellStyle name="Notas 3 20 4" xfId="34731"/>
    <cellStyle name="Notas 3 20 4 2" xfId="34732"/>
    <cellStyle name="Notas 3 20 5" xfId="34733"/>
    <cellStyle name="Notas 3 20 5 2" xfId="34734"/>
    <cellStyle name="Notas 3 20 6" xfId="34735"/>
    <cellStyle name="Notas 3 20 6 2" xfId="34736"/>
    <cellStyle name="Notas 3 20 7" xfId="34737"/>
    <cellStyle name="Notas 3 20 7 2" xfId="34738"/>
    <cellStyle name="Notas 3 20 8" xfId="34739"/>
    <cellStyle name="Notas 3 20 8 2" xfId="34740"/>
    <cellStyle name="Notas 3 20 9" xfId="34741"/>
    <cellStyle name="Notas 3 20 9 2" xfId="34742"/>
    <cellStyle name="Notas 3 21" xfId="34743"/>
    <cellStyle name="Notas 3 21 10" xfId="34744"/>
    <cellStyle name="Notas 3 21 10 2" xfId="34745"/>
    <cellStyle name="Notas 3 21 11" xfId="34746"/>
    <cellStyle name="Notas 3 21 11 2" xfId="34747"/>
    <cellStyle name="Notas 3 21 12" xfId="34748"/>
    <cellStyle name="Notas 3 21 12 2" xfId="34749"/>
    <cellStyle name="Notas 3 21 13" xfId="34750"/>
    <cellStyle name="Notas 3 21 13 2" xfId="34751"/>
    <cellStyle name="Notas 3 21 14" xfId="34752"/>
    <cellStyle name="Notas 3 21 2" xfId="34753"/>
    <cellStyle name="Notas 3 21 2 2" xfId="34754"/>
    <cellStyle name="Notas 3 21 3" xfId="34755"/>
    <cellStyle name="Notas 3 21 3 2" xfId="34756"/>
    <cellStyle name="Notas 3 21 4" xfId="34757"/>
    <cellStyle name="Notas 3 21 4 2" xfId="34758"/>
    <cellStyle name="Notas 3 21 5" xfId="34759"/>
    <cellStyle name="Notas 3 21 5 2" xfId="34760"/>
    <cellStyle name="Notas 3 21 6" xfId="34761"/>
    <cellStyle name="Notas 3 21 6 2" xfId="34762"/>
    <cellStyle name="Notas 3 21 7" xfId="34763"/>
    <cellStyle name="Notas 3 21 7 2" xfId="34764"/>
    <cellStyle name="Notas 3 21 8" xfId="34765"/>
    <cellStyle name="Notas 3 21 8 2" xfId="34766"/>
    <cellStyle name="Notas 3 21 9" xfId="34767"/>
    <cellStyle name="Notas 3 21 9 2" xfId="34768"/>
    <cellStyle name="Notas 3 22" xfId="34769"/>
    <cellStyle name="Notas 3 22 10" xfId="34770"/>
    <cellStyle name="Notas 3 22 10 2" xfId="34771"/>
    <cellStyle name="Notas 3 22 11" xfId="34772"/>
    <cellStyle name="Notas 3 22 11 2" xfId="34773"/>
    <cellStyle name="Notas 3 22 12" xfId="34774"/>
    <cellStyle name="Notas 3 22 12 2" xfId="34775"/>
    <cellStyle name="Notas 3 22 13" xfId="34776"/>
    <cellStyle name="Notas 3 22 13 2" xfId="34777"/>
    <cellStyle name="Notas 3 22 14" xfId="34778"/>
    <cellStyle name="Notas 3 22 2" xfId="34779"/>
    <cellStyle name="Notas 3 22 2 2" xfId="34780"/>
    <cellStyle name="Notas 3 22 3" xfId="34781"/>
    <cellStyle name="Notas 3 22 3 2" xfId="34782"/>
    <cellStyle name="Notas 3 22 4" xfId="34783"/>
    <cellStyle name="Notas 3 22 4 2" xfId="34784"/>
    <cellStyle name="Notas 3 22 5" xfId="34785"/>
    <cellStyle name="Notas 3 22 5 2" xfId="34786"/>
    <cellStyle name="Notas 3 22 6" xfId="34787"/>
    <cellStyle name="Notas 3 22 6 2" xfId="34788"/>
    <cellStyle name="Notas 3 22 7" xfId="34789"/>
    <cellStyle name="Notas 3 22 7 2" xfId="34790"/>
    <cellStyle name="Notas 3 22 8" xfId="34791"/>
    <cellStyle name="Notas 3 22 8 2" xfId="34792"/>
    <cellStyle name="Notas 3 22 9" xfId="34793"/>
    <cellStyle name="Notas 3 22 9 2" xfId="34794"/>
    <cellStyle name="Notas 3 23" xfId="34795"/>
    <cellStyle name="Notas 3 23 10" xfId="34796"/>
    <cellStyle name="Notas 3 23 10 2" xfId="34797"/>
    <cellStyle name="Notas 3 23 11" xfId="34798"/>
    <cellStyle name="Notas 3 23 11 2" xfId="34799"/>
    <cellStyle name="Notas 3 23 12" xfId="34800"/>
    <cellStyle name="Notas 3 23 12 2" xfId="34801"/>
    <cellStyle name="Notas 3 23 13" xfId="34802"/>
    <cellStyle name="Notas 3 23 13 2" xfId="34803"/>
    <cellStyle name="Notas 3 23 14" xfId="34804"/>
    <cellStyle name="Notas 3 23 2" xfId="34805"/>
    <cellStyle name="Notas 3 23 2 2" xfId="34806"/>
    <cellStyle name="Notas 3 23 3" xfId="34807"/>
    <cellStyle name="Notas 3 23 3 2" xfId="34808"/>
    <cellStyle name="Notas 3 23 4" xfId="34809"/>
    <cellStyle name="Notas 3 23 4 2" xfId="34810"/>
    <cellStyle name="Notas 3 23 5" xfId="34811"/>
    <cellStyle name="Notas 3 23 5 2" xfId="34812"/>
    <cellStyle name="Notas 3 23 6" xfId="34813"/>
    <cellStyle name="Notas 3 23 6 2" xfId="34814"/>
    <cellStyle name="Notas 3 23 7" xfId="34815"/>
    <cellStyle name="Notas 3 23 7 2" xfId="34816"/>
    <cellStyle name="Notas 3 23 8" xfId="34817"/>
    <cellStyle name="Notas 3 23 8 2" xfId="34818"/>
    <cellStyle name="Notas 3 23 9" xfId="34819"/>
    <cellStyle name="Notas 3 23 9 2" xfId="34820"/>
    <cellStyle name="Notas 3 24" xfId="34821"/>
    <cellStyle name="Notas 3 24 10" xfId="34822"/>
    <cellStyle name="Notas 3 24 10 2" xfId="34823"/>
    <cellStyle name="Notas 3 24 11" xfId="34824"/>
    <cellStyle name="Notas 3 24 11 2" xfId="34825"/>
    <cellStyle name="Notas 3 24 12" xfId="34826"/>
    <cellStyle name="Notas 3 24 12 2" xfId="34827"/>
    <cellStyle name="Notas 3 24 13" xfId="34828"/>
    <cellStyle name="Notas 3 24 13 2" xfId="34829"/>
    <cellStyle name="Notas 3 24 14" xfId="34830"/>
    <cellStyle name="Notas 3 24 2" xfId="34831"/>
    <cellStyle name="Notas 3 24 2 2" xfId="34832"/>
    <cellStyle name="Notas 3 24 3" xfId="34833"/>
    <cellStyle name="Notas 3 24 3 2" xfId="34834"/>
    <cellStyle name="Notas 3 24 4" xfId="34835"/>
    <cellStyle name="Notas 3 24 4 2" xfId="34836"/>
    <cellStyle name="Notas 3 24 5" xfId="34837"/>
    <cellStyle name="Notas 3 24 5 2" xfId="34838"/>
    <cellStyle name="Notas 3 24 6" xfId="34839"/>
    <cellStyle name="Notas 3 24 6 2" xfId="34840"/>
    <cellStyle name="Notas 3 24 7" xfId="34841"/>
    <cellStyle name="Notas 3 24 7 2" xfId="34842"/>
    <cellStyle name="Notas 3 24 8" xfId="34843"/>
    <cellStyle name="Notas 3 24 8 2" xfId="34844"/>
    <cellStyle name="Notas 3 24 9" xfId="34845"/>
    <cellStyle name="Notas 3 24 9 2" xfId="34846"/>
    <cellStyle name="Notas 3 25" xfId="34847"/>
    <cellStyle name="Notas 3 25 10" xfId="34848"/>
    <cellStyle name="Notas 3 25 10 2" xfId="34849"/>
    <cellStyle name="Notas 3 25 11" xfId="34850"/>
    <cellStyle name="Notas 3 25 11 2" xfId="34851"/>
    <cellStyle name="Notas 3 25 12" xfId="34852"/>
    <cellStyle name="Notas 3 25 12 2" xfId="34853"/>
    <cellStyle name="Notas 3 25 13" xfId="34854"/>
    <cellStyle name="Notas 3 25 13 2" xfId="34855"/>
    <cellStyle name="Notas 3 25 14" xfId="34856"/>
    <cellStyle name="Notas 3 25 2" xfId="34857"/>
    <cellStyle name="Notas 3 25 2 2" xfId="34858"/>
    <cellStyle name="Notas 3 25 3" xfId="34859"/>
    <cellStyle name="Notas 3 25 3 2" xfId="34860"/>
    <cellStyle name="Notas 3 25 4" xfId="34861"/>
    <cellStyle name="Notas 3 25 4 2" xfId="34862"/>
    <cellStyle name="Notas 3 25 5" xfId="34863"/>
    <cellStyle name="Notas 3 25 5 2" xfId="34864"/>
    <cellStyle name="Notas 3 25 6" xfId="34865"/>
    <cellStyle name="Notas 3 25 6 2" xfId="34866"/>
    <cellStyle name="Notas 3 25 7" xfId="34867"/>
    <cellStyle name="Notas 3 25 7 2" xfId="34868"/>
    <cellStyle name="Notas 3 25 8" xfId="34869"/>
    <cellStyle name="Notas 3 25 8 2" xfId="34870"/>
    <cellStyle name="Notas 3 25 9" xfId="34871"/>
    <cellStyle name="Notas 3 25 9 2" xfId="34872"/>
    <cellStyle name="Notas 3 26" xfId="34873"/>
    <cellStyle name="Notas 3 26 10" xfId="34874"/>
    <cellStyle name="Notas 3 26 10 2" xfId="34875"/>
    <cellStyle name="Notas 3 26 11" xfId="34876"/>
    <cellStyle name="Notas 3 26 11 2" xfId="34877"/>
    <cellStyle name="Notas 3 26 12" xfId="34878"/>
    <cellStyle name="Notas 3 26 12 2" xfId="34879"/>
    <cellStyle name="Notas 3 26 13" xfId="34880"/>
    <cellStyle name="Notas 3 26 13 2" xfId="34881"/>
    <cellStyle name="Notas 3 26 14" xfId="34882"/>
    <cellStyle name="Notas 3 26 2" xfId="34883"/>
    <cellStyle name="Notas 3 26 2 2" xfId="34884"/>
    <cellStyle name="Notas 3 26 3" xfId="34885"/>
    <cellStyle name="Notas 3 26 3 2" xfId="34886"/>
    <cellStyle name="Notas 3 26 4" xfId="34887"/>
    <cellStyle name="Notas 3 26 4 2" xfId="34888"/>
    <cellStyle name="Notas 3 26 5" xfId="34889"/>
    <cellStyle name="Notas 3 26 5 2" xfId="34890"/>
    <cellStyle name="Notas 3 26 6" xfId="34891"/>
    <cellStyle name="Notas 3 26 6 2" xfId="34892"/>
    <cellStyle name="Notas 3 26 7" xfId="34893"/>
    <cellStyle name="Notas 3 26 7 2" xfId="34894"/>
    <cellStyle name="Notas 3 26 8" xfId="34895"/>
    <cellStyle name="Notas 3 26 8 2" xfId="34896"/>
    <cellStyle name="Notas 3 26 9" xfId="34897"/>
    <cellStyle name="Notas 3 26 9 2" xfId="34898"/>
    <cellStyle name="Notas 3 27" xfId="34899"/>
    <cellStyle name="Notas 3 27 10" xfId="34900"/>
    <cellStyle name="Notas 3 27 10 2" xfId="34901"/>
    <cellStyle name="Notas 3 27 11" xfId="34902"/>
    <cellStyle name="Notas 3 27 11 2" xfId="34903"/>
    <cellStyle name="Notas 3 27 12" xfId="34904"/>
    <cellStyle name="Notas 3 27 12 2" xfId="34905"/>
    <cellStyle name="Notas 3 27 13" xfId="34906"/>
    <cellStyle name="Notas 3 27 13 2" xfId="34907"/>
    <cellStyle name="Notas 3 27 14" xfId="34908"/>
    <cellStyle name="Notas 3 27 2" xfId="34909"/>
    <cellStyle name="Notas 3 27 2 2" xfId="34910"/>
    <cellStyle name="Notas 3 27 3" xfId="34911"/>
    <cellStyle name="Notas 3 27 3 2" xfId="34912"/>
    <cellStyle name="Notas 3 27 4" xfId="34913"/>
    <cellStyle name="Notas 3 27 4 2" xfId="34914"/>
    <cellStyle name="Notas 3 27 5" xfId="34915"/>
    <cellStyle name="Notas 3 27 5 2" xfId="34916"/>
    <cellStyle name="Notas 3 27 6" xfId="34917"/>
    <cellStyle name="Notas 3 27 6 2" xfId="34918"/>
    <cellStyle name="Notas 3 27 7" xfId="34919"/>
    <cellStyle name="Notas 3 27 7 2" xfId="34920"/>
    <cellStyle name="Notas 3 27 8" xfId="34921"/>
    <cellStyle name="Notas 3 27 8 2" xfId="34922"/>
    <cellStyle name="Notas 3 27 9" xfId="34923"/>
    <cellStyle name="Notas 3 27 9 2" xfId="34924"/>
    <cellStyle name="Notas 3 28" xfId="34925"/>
    <cellStyle name="Notas 3 28 10" xfId="34926"/>
    <cellStyle name="Notas 3 28 10 2" xfId="34927"/>
    <cellStyle name="Notas 3 28 11" xfId="34928"/>
    <cellStyle name="Notas 3 28 11 2" xfId="34929"/>
    <cellStyle name="Notas 3 28 12" xfId="34930"/>
    <cellStyle name="Notas 3 28 12 2" xfId="34931"/>
    <cellStyle name="Notas 3 28 13" xfId="34932"/>
    <cellStyle name="Notas 3 28 13 2" xfId="34933"/>
    <cellStyle name="Notas 3 28 14" xfId="34934"/>
    <cellStyle name="Notas 3 28 2" xfId="34935"/>
    <cellStyle name="Notas 3 28 2 2" xfId="34936"/>
    <cellStyle name="Notas 3 28 3" xfId="34937"/>
    <cellStyle name="Notas 3 28 3 2" xfId="34938"/>
    <cellStyle name="Notas 3 28 4" xfId="34939"/>
    <cellStyle name="Notas 3 28 4 2" xfId="34940"/>
    <cellStyle name="Notas 3 28 5" xfId="34941"/>
    <cellStyle name="Notas 3 28 5 2" xfId="34942"/>
    <cellStyle name="Notas 3 28 6" xfId="34943"/>
    <cellStyle name="Notas 3 28 6 2" xfId="34944"/>
    <cellStyle name="Notas 3 28 7" xfId="34945"/>
    <cellStyle name="Notas 3 28 7 2" xfId="34946"/>
    <cellStyle name="Notas 3 28 8" xfId="34947"/>
    <cellStyle name="Notas 3 28 8 2" xfId="34948"/>
    <cellStyle name="Notas 3 28 9" xfId="34949"/>
    <cellStyle name="Notas 3 28 9 2" xfId="34950"/>
    <cellStyle name="Notas 3 29" xfId="34951"/>
    <cellStyle name="Notas 3 29 10" xfId="34952"/>
    <cellStyle name="Notas 3 29 10 2" xfId="34953"/>
    <cellStyle name="Notas 3 29 11" xfId="34954"/>
    <cellStyle name="Notas 3 29 11 2" xfId="34955"/>
    <cellStyle name="Notas 3 29 12" xfId="34956"/>
    <cellStyle name="Notas 3 29 12 2" xfId="34957"/>
    <cellStyle name="Notas 3 29 13" xfId="34958"/>
    <cellStyle name="Notas 3 29 13 2" xfId="34959"/>
    <cellStyle name="Notas 3 29 14" xfId="34960"/>
    <cellStyle name="Notas 3 29 2" xfId="34961"/>
    <cellStyle name="Notas 3 29 2 2" xfId="34962"/>
    <cellStyle name="Notas 3 29 3" xfId="34963"/>
    <cellStyle name="Notas 3 29 3 2" xfId="34964"/>
    <cellStyle name="Notas 3 29 4" xfId="34965"/>
    <cellStyle name="Notas 3 29 4 2" xfId="34966"/>
    <cellStyle name="Notas 3 29 5" xfId="34967"/>
    <cellStyle name="Notas 3 29 5 2" xfId="34968"/>
    <cellStyle name="Notas 3 29 6" xfId="34969"/>
    <cellStyle name="Notas 3 29 6 2" xfId="34970"/>
    <cellStyle name="Notas 3 29 7" xfId="34971"/>
    <cellStyle name="Notas 3 29 7 2" xfId="34972"/>
    <cellStyle name="Notas 3 29 8" xfId="34973"/>
    <cellStyle name="Notas 3 29 8 2" xfId="34974"/>
    <cellStyle name="Notas 3 29 9" xfId="34975"/>
    <cellStyle name="Notas 3 29 9 2" xfId="34976"/>
    <cellStyle name="Notas 3 3" xfId="34977"/>
    <cellStyle name="Notas 3 3 10" xfId="34978"/>
    <cellStyle name="Notas 3 3 10 2" xfId="34979"/>
    <cellStyle name="Notas 3 3 11" xfId="34980"/>
    <cellStyle name="Notas 3 3 11 2" xfId="34981"/>
    <cellStyle name="Notas 3 3 12" xfId="34982"/>
    <cellStyle name="Notas 3 3 12 2" xfId="34983"/>
    <cellStyle name="Notas 3 3 13" xfId="34984"/>
    <cellStyle name="Notas 3 3 13 2" xfId="34985"/>
    <cellStyle name="Notas 3 3 14" xfId="34986"/>
    <cellStyle name="Notas 3 3 2" xfId="34987"/>
    <cellStyle name="Notas 3 3 2 2" xfId="34988"/>
    <cellStyle name="Notas 3 3 3" xfId="34989"/>
    <cellStyle name="Notas 3 3 3 2" xfId="34990"/>
    <cellStyle name="Notas 3 3 4" xfId="34991"/>
    <cellStyle name="Notas 3 3 4 2" xfId="34992"/>
    <cellStyle name="Notas 3 3 5" xfId="34993"/>
    <cellStyle name="Notas 3 3 5 2" xfId="34994"/>
    <cellStyle name="Notas 3 3 6" xfId="34995"/>
    <cellStyle name="Notas 3 3 6 2" xfId="34996"/>
    <cellStyle name="Notas 3 3 7" xfId="34997"/>
    <cellStyle name="Notas 3 3 7 2" xfId="34998"/>
    <cellStyle name="Notas 3 3 8" xfId="34999"/>
    <cellStyle name="Notas 3 3 8 2" xfId="35000"/>
    <cellStyle name="Notas 3 3 9" xfId="35001"/>
    <cellStyle name="Notas 3 3 9 2" xfId="35002"/>
    <cellStyle name="Notas 3 30" xfId="35003"/>
    <cellStyle name="Notas 3 30 10" xfId="35004"/>
    <cellStyle name="Notas 3 30 10 2" xfId="35005"/>
    <cellStyle name="Notas 3 30 11" xfId="35006"/>
    <cellStyle name="Notas 3 30 11 2" xfId="35007"/>
    <cellStyle name="Notas 3 30 12" xfId="35008"/>
    <cellStyle name="Notas 3 30 12 2" xfId="35009"/>
    <cellStyle name="Notas 3 30 13" xfId="35010"/>
    <cellStyle name="Notas 3 30 13 2" xfId="35011"/>
    <cellStyle name="Notas 3 30 14" xfId="35012"/>
    <cellStyle name="Notas 3 30 2" xfId="35013"/>
    <cellStyle name="Notas 3 30 2 2" xfId="35014"/>
    <cellStyle name="Notas 3 30 3" xfId="35015"/>
    <cellStyle name="Notas 3 30 3 2" xfId="35016"/>
    <cellStyle name="Notas 3 30 4" xfId="35017"/>
    <cellStyle name="Notas 3 30 4 2" xfId="35018"/>
    <cellStyle name="Notas 3 30 5" xfId="35019"/>
    <cellStyle name="Notas 3 30 5 2" xfId="35020"/>
    <cellStyle name="Notas 3 30 6" xfId="35021"/>
    <cellStyle name="Notas 3 30 6 2" xfId="35022"/>
    <cellStyle name="Notas 3 30 7" xfId="35023"/>
    <cellStyle name="Notas 3 30 7 2" xfId="35024"/>
    <cellStyle name="Notas 3 30 8" xfId="35025"/>
    <cellStyle name="Notas 3 30 8 2" xfId="35026"/>
    <cellStyle name="Notas 3 30 9" xfId="35027"/>
    <cellStyle name="Notas 3 30 9 2" xfId="35028"/>
    <cellStyle name="Notas 3 31" xfId="35029"/>
    <cellStyle name="Notas 3 31 10" xfId="35030"/>
    <cellStyle name="Notas 3 31 10 2" xfId="35031"/>
    <cellStyle name="Notas 3 31 11" xfId="35032"/>
    <cellStyle name="Notas 3 31 11 2" xfId="35033"/>
    <cellStyle name="Notas 3 31 12" xfId="35034"/>
    <cellStyle name="Notas 3 31 12 2" xfId="35035"/>
    <cellStyle name="Notas 3 31 13" xfId="35036"/>
    <cellStyle name="Notas 3 31 13 2" xfId="35037"/>
    <cellStyle name="Notas 3 31 14" xfId="35038"/>
    <cellStyle name="Notas 3 31 2" xfId="35039"/>
    <cellStyle name="Notas 3 31 2 2" xfId="35040"/>
    <cellStyle name="Notas 3 31 3" xfId="35041"/>
    <cellStyle name="Notas 3 31 3 2" xfId="35042"/>
    <cellStyle name="Notas 3 31 4" xfId="35043"/>
    <cellStyle name="Notas 3 31 4 2" xfId="35044"/>
    <cellStyle name="Notas 3 31 5" xfId="35045"/>
    <cellStyle name="Notas 3 31 5 2" xfId="35046"/>
    <cellStyle name="Notas 3 31 6" xfId="35047"/>
    <cellStyle name="Notas 3 31 6 2" xfId="35048"/>
    <cellStyle name="Notas 3 31 7" xfId="35049"/>
    <cellStyle name="Notas 3 31 7 2" xfId="35050"/>
    <cellStyle name="Notas 3 31 8" xfId="35051"/>
    <cellStyle name="Notas 3 31 8 2" xfId="35052"/>
    <cellStyle name="Notas 3 31 9" xfId="35053"/>
    <cellStyle name="Notas 3 31 9 2" xfId="35054"/>
    <cellStyle name="Notas 3 32" xfId="35055"/>
    <cellStyle name="Notas 3 32 10" xfId="35056"/>
    <cellStyle name="Notas 3 32 10 2" xfId="35057"/>
    <cellStyle name="Notas 3 32 11" xfId="35058"/>
    <cellStyle name="Notas 3 32 11 2" xfId="35059"/>
    <cellStyle name="Notas 3 32 12" xfId="35060"/>
    <cellStyle name="Notas 3 32 12 2" xfId="35061"/>
    <cellStyle name="Notas 3 32 13" xfId="35062"/>
    <cellStyle name="Notas 3 32 13 2" xfId="35063"/>
    <cellStyle name="Notas 3 32 14" xfId="35064"/>
    <cellStyle name="Notas 3 32 2" xfId="35065"/>
    <cellStyle name="Notas 3 32 2 2" xfId="35066"/>
    <cellStyle name="Notas 3 32 3" xfId="35067"/>
    <cellStyle name="Notas 3 32 3 2" xfId="35068"/>
    <cellStyle name="Notas 3 32 4" xfId="35069"/>
    <cellStyle name="Notas 3 32 4 2" xfId="35070"/>
    <cellStyle name="Notas 3 32 5" xfId="35071"/>
    <cellStyle name="Notas 3 32 5 2" xfId="35072"/>
    <cellStyle name="Notas 3 32 6" xfId="35073"/>
    <cellStyle name="Notas 3 32 6 2" xfId="35074"/>
    <cellStyle name="Notas 3 32 7" xfId="35075"/>
    <cellStyle name="Notas 3 32 7 2" xfId="35076"/>
    <cellStyle name="Notas 3 32 8" xfId="35077"/>
    <cellStyle name="Notas 3 32 8 2" xfId="35078"/>
    <cellStyle name="Notas 3 32 9" xfId="35079"/>
    <cellStyle name="Notas 3 32 9 2" xfId="35080"/>
    <cellStyle name="Notas 3 33" xfId="35081"/>
    <cellStyle name="Notas 3 33 10" xfId="35082"/>
    <cellStyle name="Notas 3 33 10 2" xfId="35083"/>
    <cellStyle name="Notas 3 33 11" xfId="35084"/>
    <cellStyle name="Notas 3 33 11 2" xfId="35085"/>
    <cellStyle name="Notas 3 33 12" xfId="35086"/>
    <cellStyle name="Notas 3 33 12 2" xfId="35087"/>
    <cellStyle name="Notas 3 33 13" xfId="35088"/>
    <cellStyle name="Notas 3 33 13 2" xfId="35089"/>
    <cellStyle name="Notas 3 33 14" xfId="35090"/>
    <cellStyle name="Notas 3 33 2" xfId="35091"/>
    <cellStyle name="Notas 3 33 2 2" xfId="35092"/>
    <cellStyle name="Notas 3 33 3" xfId="35093"/>
    <cellStyle name="Notas 3 33 3 2" xfId="35094"/>
    <cellStyle name="Notas 3 33 4" xfId="35095"/>
    <cellStyle name="Notas 3 33 4 2" xfId="35096"/>
    <cellStyle name="Notas 3 33 5" xfId="35097"/>
    <cellStyle name="Notas 3 33 5 2" xfId="35098"/>
    <cellStyle name="Notas 3 33 6" xfId="35099"/>
    <cellStyle name="Notas 3 33 6 2" xfId="35100"/>
    <cellStyle name="Notas 3 33 7" xfId="35101"/>
    <cellStyle name="Notas 3 33 7 2" xfId="35102"/>
    <cellStyle name="Notas 3 33 8" xfId="35103"/>
    <cellStyle name="Notas 3 33 8 2" xfId="35104"/>
    <cellStyle name="Notas 3 33 9" xfId="35105"/>
    <cellStyle name="Notas 3 33 9 2" xfId="35106"/>
    <cellStyle name="Notas 3 34" xfId="35107"/>
    <cellStyle name="Notas 3 34 10" xfId="35108"/>
    <cellStyle name="Notas 3 34 10 2" xfId="35109"/>
    <cellStyle name="Notas 3 34 11" xfId="35110"/>
    <cellStyle name="Notas 3 34 11 2" xfId="35111"/>
    <cellStyle name="Notas 3 34 12" xfId="35112"/>
    <cellStyle name="Notas 3 34 12 2" xfId="35113"/>
    <cellStyle name="Notas 3 34 13" xfId="35114"/>
    <cellStyle name="Notas 3 34 13 2" xfId="35115"/>
    <cellStyle name="Notas 3 34 14" xfId="35116"/>
    <cellStyle name="Notas 3 34 2" xfId="35117"/>
    <cellStyle name="Notas 3 34 2 2" xfId="35118"/>
    <cellStyle name="Notas 3 34 3" xfId="35119"/>
    <cellStyle name="Notas 3 34 3 2" xfId="35120"/>
    <cellStyle name="Notas 3 34 4" xfId="35121"/>
    <cellStyle name="Notas 3 34 4 2" xfId="35122"/>
    <cellStyle name="Notas 3 34 5" xfId="35123"/>
    <cellStyle name="Notas 3 34 5 2" xfId="35124"/>
    <cellStyle name="Notas 3 34 6" xfId="35125"/>
    <cellStyle name="Notas 3 34 6 2" xfId="35126"/>
    <cellStyle name="Notas 3 34 7" xfId="35127"/>
    <cellStyle name="Notas 3 34 7 2" xfId="35128"/>
    <cellStyle name="Notas 3 34 8" xfId="35129"/>
    <cellStyle name="Notas 3 34 8 2" xfId="35130"/>
    <cellStyle name="Notas 3 34 9" xfId="35131"/>
    <cellStyle name="Notas 3 34 9 2" xfId="35132"/>
    <cellStyle name="Notas 3 35" xfId="35133"/>
    <cellStyle name="Notas 3 35 10" xfId="35134"/>
    <cellStyle name="Notas 3 35 10 2" xfId="35135"/>
    <cellStyle name="Notas 3 35 11" xfId="35136"/>
    <cellStyle name="Notas 3 35 11 2" xfId="35137"/>
    <cellStyle name="Notas 3 35 12" xfId="35138"/>
    <cellStyle name="Notas 3 35 12 2" xfId="35139"/>
    <cellStyle name="Notas 3 35 13" xfId="35140"/>
    <cellStyle name="Notas 3 35 13 2" xfId="35141"/>
    <cellStyle name="Notas 3 35 14" xfId="35142"/>
    <cellStyle name="Notas 3 35 2" xfId="35143"/>
    <cellStyle name="Notas 3 35 2 2" xfId="35144"/>
    <cellStyle name="Notas 3 35 3" xfId="35145"/>
    <cellStyle name="Notas 3 35 3 2" xfId="35146"/>
    <cellStyle name="Notas 3 35 4" xfId="35147"/>
    <cellStyle name="Notas 3 35 4 2" xfId="35148"/>
    <cellStyle name="Notas 3 35 5" xfId="35149"/>
    <cellStyle name="Notas 3 35 5 2" xfId="35150"/>
    <cellStyle name="Notas 3 35 6" xfId="35151"/>
    <cellStyle name="Notas 3 35 6 2" xfId="35152"/>
    <cellStyle name="Notas 3 35 7" xfId="35153"/>
    <cellStyle name="Notas 3 35 7 2" xfId="35154"/>
    <cellStyle name="Notas 3 35 8" xfId="35155"/>
    <cellStyle name="Notas 3 35 8 2" xfId="35156"/>
    <cellStyle name="Notas 3 35 9" xfId="35157"/>
    <cellStyle name="Notas 3 35 9 2" xfId="35158"/>
    <cellStyle name="Notas 3 36" xfId="35159"/>
    <cellStyle name="Notas 3 36 10" xfId="35160"/>
    <cellStyle name="Notas 3 36 10 2" xfId="35161"/>
    <cellStyle name="Notas 3 36 11" xfId="35162"/>
    <cellStyle name="Notas 3 36 11 2" xfId="35163"/>
    <cellStyle name="Notas 3 36 12" xfId="35164"/>
    <cellStyle name="Notas 3 36 12 2" xfId="35165"/>
    <cellStyle name="Notas 3 36 13" xfId="35166"/>
    <cellStyle name="Notas 3 36 13 2" xfId="35167"/>
    <cellStyle name="Notas 3 36 14" xfId="35168"/>
    <cellStyle name="Notas 3 36 2" xfId="35169"/>
    <cellStyle name="Notas 3 36 2 2" xfId="35170"/>
    <cellStyle name="Notas 3 36 3" xfId="35171"/>
    <cellStyle name="Notas 3 36 3 2" xfId="35172"/>
    <cellStyle name="Notas 3 36 4" xfId="35173"/>
    <cellStyle name="Notas 3 36 4 2" xfId="35174"/>
    <cellStyle name="Notas 3 36 5" xfId="35175"/>
    <cellStyle name="Notas 3 36 5 2" xfId="35176"/>
    <cellStyle name="Notas 3 36 6" xfId="35177"/>
    <cellStyle name="Notas 3 36 6 2" xfId="35178"/>
    <cellStyle name="Notas 3 36 7" xfId="35179"/>
    <cellStyle name="Notas 3 36 7 2" xfId="35180"/>
    <cellStyle name="Notas 3 36 8" xfId="35181"/>
    <cellStyle name="Notas 3 36 8 2" xfId="35182"/>
    <cellStyle name="Notas 3 36 9" xfId="35183"/>
    <cellStyle name="Notas 3 36 9 2" xfId="35184"/>
    <cellStyle name="Notas 3 37" xfId="35185"/>
    <cellStyle name="Notas 3 37 10" xfId="35186"/>
    <cellStyle name="Notas 3 37 10 2" xfId="35187"/>
    <cellStyle name="Notas 3 37 11" xfId="35188"/>
    <cellStyle name="Notas 3 37 11 2" xfId="35189"/>
    <cellStyle name="Notas 3 37 12" xfId="35190"/>
    <cellStyle name="Notas 3 37 12 2" xfId="35191"/>
    <cellStyle name="Notas 3 37 13" xfId="35192"/>
    <cellStyle name="Notas 3 37 13 2" xfId="35193"/>
    <cellStyle name="Notas 3 37 14" xfId="35194"/>
    <cellStyle name="Notas 3 37 2" xfId="35195"/>
    <cellStyle name="Notas 3 37 2 2" xfId="35196"/>
    <cellStyle name="Notas 3 37 3" xfId="35197"/>
    <cellStyle name="Notas 3 37 3 2" xfId="35198"/>
    <cellStyle name="Notas 3 37 4" xfId="35199"/>
    <cellStyle name="Notas 3 37 4 2" xfId="35200"/>
    <cellStyle name="Notas 3 37 5" xfId="35201"/>
    <cellStyle name="Notas 3 37 5 2" xfId="35202"/>
    <cellStyle name="Notas 3 37 6" xfId="35203"/>
    <cellStyle name="Notas 3 37 6 2" xfId="35204"/>
    <cellStyle name="Notas 3 37 7" xfId="35205"/>
    <cellStyle name="Notas 3 37 7 2" xfId="35206"/>
    <cellStyle name="Notas 3 37 8" xfId="35207"/>
    <cellStyle name="Notas 3 37 8 2" xfId="35208"/>
    <cellStyle name="Notas 3 37 9" xfId="35209"/>
    <cellStyle name="Notas 3 37 9 2" xfId="35210"/>
    <cellStyle name="Notas 3 38" xfId="35211"/>
    <cellStyle name="Notas 3 38 10" xfId="35212"/>
    <cellStyle name="Notas 3 38 10 2" xfId="35213"/>
    <cellStyle name="Notas 3 38 11" xfId="35214"/>
    <cellStyle name="Notas 3 38 11 2" xfId="35215"/>
    <cellStyle name="Notas 3 38 12" xfId="35216"/>
    <cellStyle name="Notas 3 38 12 2" xfId="35217"/>
    <cellStyle name="Notas 3 38 13" xfId="35218"/>
    <cellStyle name="Notas 3 38 13 2" xfId="35219"/>
    <cellStyle name="Notas 3 38 14" xfId="35220"/>
    <cellStyle name="Notas 3 38 2" xfId="35221"/>
    <cellStyle name="Notas 3 38 2 2" xfId="35222"/>
    <cellStyle name="Notas 3 38 3" xfId="35223"/>
    <cellStyle name="Notas 3 38 3 2" xfId="35224"/>
    <cellStyle name="Notas 3 38 4" xfId="35225"/>
    <cellStyle name="Notas 3 38 4 2" xfId="35226"/>
    <cellStyle name="Notas 3 38 5" xfId="35227"/>
    <cellStyle name="Notas 3 38 5 2" xfId="35228"/>
    <cellStyle name="Notas 3 38 6" xfId="35229"/>
    <cellStyle name="Notas 3 38 6 2" xfId="35230"/>
    <cellStyle name="Notas 3 38 7" xfId="35231"/>
    <cellStyle name="Notas 3 38 7 2" xfId="35232"/>
    <cellStyle name="Notas 3 38 8" xfId="35233"/>
    <cellStyle name="Notas 3 38 8 2" xfId="35234"/>
    <cellStyle name="Notas 3 38 9" xfId="35235"/>
    <cellStyle name="Notas 3 38 9 2" xfId="35236"/>
    <cellStyle name="Notas 3 39" xfId="35237"/>
    <cellStyle name="Notas 3 39 10" xfId="35238"/>
    <cellStyle name="Notas 3 39 10 2" xfId="35239"/>
    <cellStyle name="Notas 3 39 11" xfId="35240"/>
    <cellStyle name="Notas 3 39 11 2" xfId="35241"/>
    <cellStyle name="Notas 3 39 12" xfId="35242"/>
    <cellStyle name="Notas 3 39 12 2" xfId="35243"/>
    <cellStyle name="Notas 3 39 13" xfId="35244"/>
    <cellStyle name="Notas 3 39 13 2" xfId="35245"/>
    <cellStyle name="Notas 3 39 14" xfId="35246"/>
    <cellStyle name="Notas 3 39 2" xfId="35247"/>
    <cellStyle name="Notas 3 39 2 2" xfId="35248"/>
    <cellStyle name="Notas 3 39 3" xfId="35249"/>
    <cellStyle name="Notas 3 39 3 2" xfId="35250"/>
    <cellStyle name="Notas 3 39 4" xfId="35251"/>
    <cellStyle name="Notas 3 39 4 2" xfId="35252"/>
    <cellStyle name="Notas 3 39 5" xfId="35253"/>
    <cellStyle name="Notas 3 39 5 2" xfId="35254"/>
    <cellStyle name="Notas 3 39 6" xfId="35255"/>
    <cellStyle name="Notas 3 39 6 2" xfId="35256"/>
    <cellStyle name="Notas 3 39 7" xfId="35257"/>
    <cellStyle name="Notas 3 39 7 2" xfId="35258"/>
    <cellStyle name="Notas 3 39 8" xfId="35259"/>
    <cellStyle name="Notas 3 39 8 2" xfId="35260"/>
    <cellStyle name="Notas 3 39 9" xfId="35261"/>
    <cellStyle name="Notas 3 39 9 2" xfId="35262"/>
    <cellStyle name="Notas 3 4" xfId="35263"/>
    <cellStyle name="Notas 3 4 10" xfId="35264"/>
    <cellStyle name="Notas 3 4 10 2" xfId="35265"/>
    <cellStyle name="Notas 3 4 11" xfId="35266"/>
    <cellStyle name="Notas 3 4 11 2" xfId="35267"/>
    <cellStyle name="Notas 3 4 12" xfId="35268"/>
    <cellStyle name="Notas 3 4 12 2" xfId="35269"/>
    <cellStyle name="Notas 3 4 13" xfId="35270"/>
    <cellStyle name="Notas 3 4 13 2" xfId="35271"/>
    <cellStyle name="Notas 3 4 14" xfId="35272"/>
    <cellStyle name="Notas 3 4 2" xfId="35273"/>
    <cellStyle name="Notas 3 4 2 2" xfId="35274"/>
    <cellStyle name="Notas 3 4 3" xfId="35275"/>
    <cellStyle name="Notas 3 4 3 2" xfId="35276"/>
    <cellStyle name="Notas 3 4 4" xfId="35277"/>
    <cellStyle name="Notas 3 4 4 2" xfId="35278"/>
    <cellStyle name="Notas 3 4 5" xfId="35279"/>
    <cellStyle name="Notas 3 4 5 2" xfId="35280"/>
    <cellStyle name="Notas 3 4 6" xfId="35281"/>
    <cellStyle name="Notas 3 4 6 2" xfId="35282"/>
    <cellStyle name="Notas 3 4 7" xfId="35283"/>
    <cellStyle name="Notas 3 4 7 2" xfId="35284"/>
    <cellStyle name="Notas 3 4 8" xfId="35285"/>
    <cellStyle name="Notas 3 4 8 2" xfId="35286"/>
    <cellStyle name="Notas 3 4 9" xfId="35287"/>
    <cellStyle name="Notas 3 4 9 2" xfId="35288"/>
    <cellStyle name="Notas 3 40" xfId="35289"/>
    <cellStyle name="Notas 3 40 10" xfId="35290"/>
    <cellStyle name="Notas 3 40 10 2" xfId="35291"/>
    <cellStyle name="Notas 3 40 11" xfId="35292"/>
    <cellStyle name="Notas 3 40 11 2" xfId="35293"/>
    <cellStyle name="Notas 3 40 12" xfId="35294"/>
    <cellStyle name="Notas 3 40 12 2" xfId="35295"/>
    <cellStyle name="Notas 3 40 13" xfId="35296"/>
    <cellStyle name="Notas 3 40 13 2" xfId="35297"/>
    <cellStyle name="Notas 3 40 14" xfId="35298"/>
    <cellStyle name="Notas 3 40 2" xfId="35299"/>
    <cellStyle name="Notas 3 40 2 2" xfId="35300"/>
    <cellStyle name="Notas 3 40 3" xfId="35301"/>
    <cellStyle name="Notas 3 40 3 2" xfId="35302"/>
    <cellStyle name="Notas 3 40 4" xfId="35303"/>
    <cellStyle name="Notas 3 40 4 2" xfId="35304"/>
    <cellStyle name="Notas 3 40 5" xfId="35305"/>
    <cellStyle name="Notas 3 40 5 2" xfId="35306"/>
    <cellStyle name="Notas 3 40 6" xfId="35307"/>
    <cellStyle name="Notas 3 40 6 2" xfId="35308"/>
    <cellStyle name="Notas 3 40 7" xfId="35309"/>
    <cellStyle name="Notas 3 40 7 2" xfId="35310"/>
    <cellStyle name="Notas 3 40 8" xfId="35311"/>
    <cellStyle name="Notas 3 40 8 2" xfId="35312"/>
    <cellStyle name="Notas 3 40 9" xfId="35313"/>
    <cellStyle name="Notas 3 40 9 2" xfId="35314"/>
    <cellStyle name="Notas 3 41" xfId="35315"/>
    <cellStyle name="Notas 3 41 10" xfId="35316"/>
    <cellStyle name="Notas 3 41 10 2" xfId="35317"/>
    <cellStyle name="Notas 3 41 11" xfId="35318"/>
    <cellStyle name="Notas 3 41 11 2" xfId="35319"/>
    <cellStyle name="Notas 3 41 12" xfId="35320"/>
    <cellStyle name="Notas 3 41 12 2" xfId="35321"/>
    <cellStyle name="Notas 3 41 13" xfId="35322"/>
    <cellStyle name="Notas 3 41 13 2" xfId="35323"/>
    <cellStyle name="Notas 3 41 14" xfId="35324"/>
    <cellStyle name="Notas 3 41 2" xfId="35325"/>
    <cellStyle name="Notas 3 41 2 2" xfId="35326"/>
    <cellStyle name="Notas 3 41 3" xfId="35327"/>
    <cellStyle name="Notas 3 41 3 2" xfId="35328"/>
    <cellStyle name="Notas 3 41 4" xfId="35329"/>
    <cellStyle name="Notas 3 41 4 2" xfId="35330"/>
    <cellStyle name="Notas 3 41 5" xfId="35331"/>
    <cellStyle name="Notas 3 41 5 2" xfId="35332"/>
    <cellStyle name="Notas 3 41 6" xfId="35333"/>
    <cellStyle name="Notas 3 41 6 2" xfId="35334"/>
    <cellStyle name="Notas 3 41 7" xfId="35335"/>
    <cellStyle name="Notas 3 41 7 2" xfId="35336"/>
    <cellStyle name="Notas 3 41 8" xfId="35337"/>
    <cellStyle name="Notas 3 41 8 2" xfId="35338"/>
    <cellStyle name="Notas 3 41 9" xfId="35339"/>
    <cellStyle name="Notas 3 41 9 2" xfId="35340"/>
    <cellStyle name="Notas 3 42" xfId="35341"/>
    <cellStyle name="Notas 3 42 10" xfId="35342"/>
    <cellStyle name="Notas 3 42 10 2" xfId="35343"/>
    <cellStyle name="Notas 3 42 11" xfId="35344"/>
    <cellStyle name="Notas 3 42 11 2" xfId="35345"/>
    <cellStyle name="Notas 3 42 12" xfId="35346"/>
    <cellStyle name="Notas 3 42 12 2" xfId="35347"/>
    <cellStyle name="Notas 3 42 13" xfId="35348"/>
    <cellStyle name="Notas 3 42 13 2" xfId="35349"/>
    <cellStyle name="Notas 3 42 14" xfId="35350"/>
    <cellStyle name="Notas 3 42 2" xfId="35351"/>
    <cellStyle name="Notas 3 42 2 2" xfId="35352"/>
    <cellStyle name="Notas 3 42 3" xfId="35353"/>
    <cellStyle name="Notas 3 42 3 2" xfId="35354"/>
    <cellStyle name="Notas 3 42 4" xfId="35355"/>
    <cellStyle name="Notas 3 42 4 2" xfId="35356"/>
    <cellStyle name="Notas 3 42 5" xfId="35357"/>
    <cellStyle name="Notas 3 42 5 2" xfId="35358"/>
    <cellStyle name="Notas 3 42 6" xfId="35359"/>
    <cellStyle name="Notas 3 42 6 2" xfId="35360"/>
    <cellStyle name="Notas 3 42 7" xfId="35361"/>
    <cellStyle name="Notas 3 42 7 2" xfId="35362"/>
    <cellStyle name="Notas 3 42 8" xfId="35363"/>
    <cellStyle name="Notas 3 42 8 2" xfId="35364"/>
    <cellStyle name="Notas 3 42 9" xfId="35365"/>
    <cellStyle name="Notas 3 42 9 2" xfId="35366"/>
    <cellStyle name="Notas 3 43" xfId="35367"/>
    <cellStyle name="Notas 3 43 10" xfId="35368"/>
    <cellStyle name="Notas 3 43 10 2" xfId="35369"/>
    <cellStyle name="Notas 3 43 11" xfId="35370"/>
    <cellStyle name="Notas 3 43 11 2" xfId="35371"/>
    <cellStyle name="Notas 3 43 12" xfId="35372"/>
    <cellStyle name="Notas 3 43 12 2" xfId="35373"/>
    <cellStyle name="Notas 3 43 13" xfId="35374"/>
    <cellStyle name="Notas 3 43 13 2" xfId="35375"/>
    <cellStyle name="Notas 3 43 14" xfId="35376"/>
    <cellStyle name="Notas 3 43 2" xfId="35377"/>
    <cellStyle name="Notas 3 43 2 2" xfId="35378"/>
    <cellStyle name="Notas 3 43 3" xfId="35379"/>
    <cellStyle name="Notas 3 43 3 2" xfId="35380"/>
    <cellStyle name="Notas 3 43 4" xfId="35381"/>
    <cellStyle name="Notas 3 43 4 2" xfId="35382"/>
    <cellStyle name="Notas 3 43 5" xfId="35383"/>
    <cellStyle name="Notas 3 43 5 2" xfId="35384"/>
    <cellStyle name="Notas 3 43 6" xfId="35385"/>
    <cellStyle name="Notas 3 43 6 2" xfId="35386"/>
    <cellStyle name="Notas 3 43 7" xfId="35387"/>
    <cellStyle name="Notas 3 43 7 2" xfId="35388"/>
    <cellStyle name="Notas 3 43 8" xfId="35389"/>
    <cellStyle name="Notas 3 43 8 2" xfId="35390"/>
    <cellStyle name="Notas 3 43 9" xfId="35391"/>
    <cellStyle name="Notas 3 43 9 2" xfId="35392"/>
    <cellStyle name="Notas 3 44" xfId="35393"/>
    <cellStyle name="Notas 3 44 10" xfId="35394"/>
    <cellStyle name="Notas 3 44 10 2" xfId="35395"/>
    <cellStyle name="Notas 3 44 11" xfId="35396"/>
    <cellStyle name="Notas 3 44 11 2" xfId="35397"/>
    <cellStyle name="Notas 3 44 12" xfId="35398"/>
    <cellStyle name="Notas 3 44 12 2" xfId="35399"/>
    <cellStyle name="Notas 3 44 13" xfId="35400"/>
    <cellStyle name="Notas 3 44 13 2" xfId="35401"/>
    <cellStyle name="Notas 3 44 14" xfId="35402"/>
    <cellStyle name="Notas 3 44 2" xfId="35403"/>
    <cellStyle name="Notas 3 44 2 2" xfId="35404"/>
    <cellStyle name="Notas 3 44 3" xfId="35405"/>
    <cellStyle name="Notas 3 44 3 2" xfId="35406"/>
    <cellStyle name="Notas 3 44 4" xfId="35407"/>
    <cellStyle name="Notas 3 44 4 2" xfId="35408"/>
    <cellStyle name="Notas 3 44 5" xfId="35409"/>
    <cellStyle name="Notas 3 44 5 2" xfId="35410"/>
    <cellStyle name="Notas 3 44 6" xfId="35411"/>
    <cellStyle name="Notas 3 44 6 2" xfId="35412"/>
    <cellStyle name="Notas 3 44 7" xfId="35413"/>
    <cellStyle name="Notas 3 44 7 2" xfId="35414"/>
    <cellStyle name="Notas 3 44 8" xfId="35415"/>
    <cellStyle name="Notas 3 44 8 2" xfId="35416"/>
    <cellStyle name="Notas 3 44 9" xfId="35417"/>
    <cellStyle name="Notas 3 44 9 2" xfId="35418"/>
    <cellStyle name="Notas 3 45" xfId="35419"/>
    <cellStyle name="Notas 3 45 10" xfId="35420"/>
    <cellStyle name="Notas 3 45 10 2" xfId="35421"/>
    <cellStyle name="Notas 3 45 11" xfId="35422"/>
    <cellStyle name="Notas 3 45 11 2" xfId="35423"/>
    <cellStyle name="Notas 3 45 12" xfId="35424"/>
    <cellStyle name="Notas 3 45 12 2" xfId="35425"/>
    <cellStyle name="Notas 3 45 13" xfId="35426"/>
    <cellStyle name="Notas 3 45 13 2" xfId="35427"/>
    <cellStyle name="Notas 3 45 14" xfId="35428"/>
    <cellStyle name="Notas 3 45 2" xfId="35429"/>
    <cellStyle name="Notas 3 45 2 2" xfId="35430"/>
    <cellStyle name="Notas 3 45 3" xfId="35431"/>
    <cellStyle name="Notas 3 45 3 2" xfId="35432"/>
    <cellStyle name="Notas 3 45 4" xfId="35433"/>
    <cellStyle name="Notas 3 45 4 2" xfId="35434"/>
    <cellStyle name="Notas 3 45 5" xfId="35435"/>
    <cellStyle name="Notas 3 45 5 2" xfId="35436"/>
    <cellStyle name="Notas 3 45 6" xfId="35437"/>
    <cellStyle name="Notas 3 45 6 2" xfId="35438"/>
    <cellStyle name="Notas 3 45 7" xfId="35439"/>
    <cellStyle name="Notas 3 45 7 2" xfId="35440"/>
    <cellStyle name="Notas 3 45 8" xfId="35441"/>
    <cellStyle name="Notas 3 45 8 2" xfId="35442"/>
    <cellStyle name="Notas 3 45 9" xfId="35443"/>
    <cellStyle name="Notas 3 45 9 2" xfId="35444"/>
    <cellStyle name="Notas 3 46" xfId="35445"/>
    <cellStyle name="Notas 3 46 10" xfId="35446"/>
    <cellStyle name="Notas 3 46 10 2" xfId="35447"/>
    <cellStyle name="Notas 3 46 11" xfId="35448"/>
    <cellStyle name="Notas 3 46 11 2" xfId="35449"/>
    <cellStyle name="Notas 3 46 12" xfId="35450"/>
    <cellStyle name="Notas 3 46 12 2" xfId="35451"/>
    <cellStyle name="Notas 3 46 13" xfId="35452"/>
    <cellStyle name="Notas 3 46 13 2" xfId="35453"/>
    <cellStyle name="Notas 3 46 14" xfId="35454"/>
    <cellStyle name="Notas 3 46 2" xfId="35455"/>
    <cellStyle name="Notas 3 46 2 2" xfId="35456"/>
    <cellStyle name="Notas 3 46 3" xfId="35457"/>
    <cellStyle name="Notas 3 46 3 2" xfId="35458"/>
    <cellStyle name="Notas 3 46 4" xfId="35459"/>
    <cellStyle name="Notas 3 46 4 2" xfId="35460"/>
    <cellStyle name="Notas 3 46 5" xfId="35461"/>
    <cellStyle name="Notas 3 46 5 2" xfId="35462"/>
    <cellStyle name="Notas 3 46 6" xfId="35463"/>
    <cellStyle name="Notas 3 46 6 2" xfId="35464"/>
    <cellStyle name="Notas 3 46 7" xfId="35465"/>
    <cellStyle name="Notas 3 46 7 2" xfId="35466"/>
    <cellStyle name="Notas 3 46 8" xfId="35467"/>
    <cellStyle name="Notas 3 46 8 2" xfId="35468"/>
    <cellStyle name="Notas 3 46 9" xfId="35469"/>
    <cellStyle name="Notas 3 46 9 2" xfId="35470"/>
    <cellStyle name="Notas 3 47" xfId="35471"/>
    <cellStyle name="Notas 3 47 10" xfId="35472"/>
    <cellStyle name="Notas 3 47 10 2" xfId="35473"/>
    <cellStyle name="Notas 3 47 11" xfId="35474"/>
    <cellStyle name="Notas 3 47 11 2" xfId="35475"/>
    <cellStyle name="Notas 3 47 12" xfId="35476"/>
    <cellStyle name="Notas 3 47 12 2" xfId="35477"/>
    <cellStyle name="Notas 3 47 13" xfId="35478"/>
    <cellStyle name="Notas 3 47 13 2" xfId="35479"/>
    <cellStyle name="Notas 3 47 14" xfId="35480"/>
    <cellStyle name="Notas 3 47 2" xfId="35481"/>
    <cellStyle name="Notas 3 47 2 2" xfId="35482"/>
    <cellStyle name="Notas 3 47 3" xfId="35483"/>
    <cellStyle name="Notas 3 47 3 2" xfId="35484"/>
    <cellStyle name="Notas 3 47 4" xfId="35485"/>
    <cellStyle name="Notas 3 47 4 2" xfId="35486"/>
    <cellStyle name="Notas 3 47 5" xfId="35487"/>
    <cellStyle name="Notas 3 47 5 2" xfId="35488"/>
    <cellStyle name="Notas 3 47 6" xfId="35489"/>
    <cellStyle name="Notas 3 47 6 2" xfId="35490"/>
    <cellStyle name="Notas 3 47 7" xfId="35491"/>
    <cellStyle name="Notas 3 47 7 2" xfId="35492"/>
    <cellStyle name="Notas 3 47 8" xfId="35493"/>
    <cellStyle name="Notas 3 47 8 2" xfId="35494"/>
    <cellStyle name="Notas 3 47 9" xfId="35495"/>
    <cellStyle name="Notas 3 47 9 2" xfId="35496"/>
    <cellStyle name="Notas 3 48" xfId="35497"/>
    <cellStyle name="Notas 3 48 10" xfId="35498"/>
    <cellStyle name="Notas 3 48 10 2" xfId="35499"/>
    <cellStyle name="Notas 3 48 11" xfId="35500"/>
    <cellStyle name="Notas 3 48 11 2" xfId="35501"/>
    <cellStyle name="Notas 3 48 12" xfId="35502"/>
    <cellStyle name="Notas 3 48 12 2" xfId="35503"/>
    <cellStyle name="Notas 3 48 13" xfId="35504"/>
    <cellStyle name="Notas 3 48 13 2" xfId="35505"/>
    <cellStyle name="Notas 3 48 14" xfId="35506"/>
    <cellStyle name="Notas 3 48 2" xfId="35507"/>
    <cellStyle name="Notas 3 48 2 2" xfId="35508"/>
    <cellStyle name="Notas 3 48 3" xfId="35509"/>
    <cellStyle name="Notas 3 48 3 2" xfId="35510"/>
    <cellStyle name="Notas 3 48 4" xfId="35511"/>
    <cellStyle name="Notas 3 48 4 2" xfId="35512"/>
    <cellStyle name="Notas 3 48 5" xfId="35513"/>
    <cellStyle name="Notas 3 48 5 2" xfId="35514"/>
    <cellStyle name="Notas 3 48 6" xfId="35515"/>
    <cellStyle name="Notas 3 48 6 2" xfId="35516"/>
    <cellStyle name="Notas 3 48 7" xfId="35517"/>
    <cellStyle name="Notas 3 48 7 2" xfId="35518"/>
    <cellStyle name="Notas 3 48 8" xfId="35519"/>
    <cellStyle name="Notas 3 48 8 2" xfId="35520"/>
    <cellStyle name="Notas 3 48 9" xfId="35521"/>
    <cellStyle name="Notas 3 48 9 2" xfId="35522"/>
    <cellStyle name="Notas 3 49" xfId="35523"/>
    <cellStyle name="Notas 3 49 10" xfId="35524"/>
    <cellStyle name="Notas 3 49 10 2" xfId="35525"/>
    <cellStyle name="Notas 3 49 11" xfId="35526"/>
    <cellStyle name="Notas 3 49 11 2" xfId="35527"/>
    <cellStyle name="Notas 3 49 12" xfId="35528"/>
    <cellStyle name="Notas 3 49 12 2" xfId="35529"/>
    <cellStyle name="Notas 3 49 13" xfId="35530"/>
    <cellStyle name="Notas 3 49 13 2" xfId="35531"/>
    <cellStyle name="Notas 3 49 14" xfId="35532"/>
    <cellStyle name="Notas 3 49 2" xfId="35533"/>
    <cellStyle name="Notas 3 49 2 2" xfId="35534"/>
    <cellStyle name="Notas 3 49 3" xfId="35535"/>
    <cellStyle name="Notas 3 49 3 2" xfId="35536"/>
    <cellStyle name="Notas 3 49 4" xfId="35537"/>
    <cellStyle name="Notas 3 49 4 2" xfId="35538"/>
    <cellStyle name="Notas 3 49 5" xfId="35539"/>
    <cellStyle name="Notas 3 49 5 2" xfId="35540"/>
    <cellStyle name="Notas 3 49 6" xfId="35541"/>
    <cellStyle name="Notas 3 49 6 2" xfId="35542"/>
    <cellStyle name="Notas 3 49 7" xfId="35543"/>
    <cellStyle name="Notas 3 49 7 2" xfId="35544"/>
    <cellStyle name="Notas 3 49 8" xfId="35545"/>
    <cellStyle name="Notas 3 49 8 2" xfId="35546"/>
    <cellStyle name="Notas 3 49 9" xfId="35547"/>
    <cellStyle name="Notas 3 49 9 2" xfId="35548"/>
    <cellStyle name="Notas 3 5" xfId="35549"/>
    <cellStyle name="Notas 3 5 10" xfId="35550"/>
    <cellStyle name="Notas 3 5 10 2" xfId="35551"/>
    <cellStyle name="Notas 3 5 11" xfId="35552"/>
    <cellStyle name="Notas 3 5 11 2" xfId="35553"/>
    <cellStyle name="Notas 3 5 12" xfId="35554"/>
    <cellStyle name="Notas 3 5 12 2" xfId="35555"/>
    <cellStyle name="Notas 3 5 13" xfId="35556"/>
    <cellStyle name="Notas 3 5 13 2" xfId="35557"/>
    <cellStyle name="Notas 3 5 14" xfId="35558"/>
    <cellStyle name="Notas 3 5 2" xfId="35559"/>
    <cellStyle name="Notas 3 5 2 2" xfId="35560"/>
    <cellStyle name="Notas 3 5 3" xfId="35561"/>
    <cellStyle name="Notas 3 5 3 2" xfId="35562"/>
    <cellStyle name="Notas 3 5 4" xfId="35563"/>
    <cellStyle name="Notas 3 5 4 2" xfId="35564"/>
    <cellStyle name="Notas 3 5 5" xfId="35565"/>
    <cellStyle name="Notas 3 5 5 2" xfId="35566"/>
    <cellStyle name="Notas 3 5 6" xfId="35567"/>
    <cellStyle name="Notas 3 5 6 2" xfId="35568"/>
    <cellStyle name="Notas 3 5 7" xfId="35569"/>
    <cellStyle name="Notas 3 5 7 2" xfId="35570"/>
    <cellStyle name="Notas 3 5 8" xfId="35571"/>
    <cellStyle name="Notas 3 5 8 2" xfId="35572"/>
    <cellStyle name="Notas 3 5 9" xfId="35573"/>
    <cellStyle name="Notas 3 5 9 2" xfId="35574"/>
    <cellStyle name="Notas 3 50" xfId="35575"/>
    <cellStyle name="Notas 3 50 10" xfId="35576"/>
    <cellStyle name="Notas 3 50 10 2" xfId="35577"/>
    <cellStyle name="Notas 3 50 11" xfId="35578"/>
    <cellStyle name="Notas 3 50 11 2" xfId="35579"/>
    <cellStyle name="Notas 3 50 12" xfId="35580"/>
    <cellStyle name="Notas 3 50 12 2" xfId="35581"/>
    <cellStyle name="Notas 3 50 13" xfId="35582"/>
    <cellStyle name="Notas 3 50 13 2" xfId="35583"/>
    <cellStyle name="Notas 3 50 14" xfId="35584"/>
    <cellStyle name="Notas 3 50 2" xfId="35585"/>
    <cellStyle name="Notas 3 50 2 2" xfId="35586"/>
    <cellStyle name="Notas 3 50 3" xfId="35587"/>
    <cellStyle name="Notas 3 50 3 2" xfId="35588"/>
    <cellStyle name="Notas 3 50 4" xfId="35589"/>
    <cellStyle name="Notas 3 50 4 2" xfId="35590"/>
    <cellStyle name="Notas 3 50 5" xfId="35591"/>
    <cellStyle name="Notas 3 50 5 2" xfId="35592"/>
    <cellStyle name="Notas 3 50 6" xfId="35593"/>
    <cellStyle name="Notas 3 50 6 2" xfId="35594"/>
    <cellStyle name="Notas 3 50 7" xfId="35595"/>
    <cellStyle name="Notas 3 50 7 2" xfId="35596"/>
    <cellStyle name="Notas 3 50 8" xfId="35597"/>
    <cellStyle name="Notas 3 50 8 2" xfId="35598"/>
    <cellStyle name="Notas 3 50 9" xfId="35599"/>
    <cellStyle name="Notas 3 50 9 2" xfId="35600"/>
    <cellStyle name="Notas 3 51" xfId="35601"/>
    <cellStyle name="Notas 3 51 10" xfId="35602"/>
    <cellStyle name="Notas 3 51 10 2" xfId="35603"/>
    <cellStyle name="Notas 3 51 11" xfId="35604"/>
    <cellStyle name="Notas 3 51 11 2" xfId="35605"/>
    <cellStyle name="Notas 3 51 12" xfId="35606"/>
    <cellStyle name="Notas 3 51 12 2" xfId="35607"/>
    <cellStyle name="Notas 3 51 13" xfId="35608"/>
    <cellStyle name="Notas 3 51 13 2" xfId="35609"/>
    <cellStyle name="Notas 3 51 14" xfId="35610"/>
    <cellStyle name="Notas 3 51 2" xfId="35611"/>
    <cellStyle name="Notas 3 51 2 2" xfId="35612"/>
    <cellStyle name="Notas 3 51 3" xfId="35613"/>
    <cellStyle name="Notas 3 51 3 2" xfId="35614"/>
    <cellStyle name="Notas 3 51 4" xfId="35615"/>
    <cellStyle name="Notas 3 51 4 2" xfId="35616"/>
    <cellStyle name="Notas 3 51 5" xfId="35617"/>
    <cellStyle name="Notas 3 51 5 2" xfId="35618"/>
    <cellStyle name="Notas 3 51 6" xfId="35619"/>
    <cellStyle name="Notas 3 51 6 2" xfId="35620"/>
    <cellStyle name="Notas 3 51 7" xfId="35621"/>
    <cellStyle name="Notas 3 51 7 2" xfId="35622"/>
    <cellStyle name="Notas 3 51 8" xfId="35623"/>
    <cellStyle name="Notas 3 51 8 2" xfId="35624"/>
    <cellStyle name="Notas 3 51 9" xfId="35625"/>
    <cellStyle name="Notas 3 51 9 2" xfId="35626"/>
    <cellStyle name="Notas 3 52" xfId="35627"/>
    <cellStyle name="Notas 3 52 10" xfId="35628"/>
    <cellStyle name="Notas 3 52 10 2" xfId="35629"/>
    <cellStyle name="Notas 3 52 11" xfId="35630"/>
    <cellStyle name="Notas 3 52 11 2" xfId="35631"/>
    <cellStyle name="Notas 3 52 12" xfId="35632"/>
    <cellStyle name="Notas 3 52 12 2" xfId="35633"/>
    <cellStyle name="Notas 3 52 13" xfId="35634"/>
    <cellStyle name="Notas 3 52 13 2" xfId="35635"/>
    <cellStyle name="Notas 3 52 14" xfId="35636"/>
    <cellStyle name="Notas 3 52 2" xfId="35637"/>
    <cellStyle name="Notas 3 52 2 2" xfId="35638"/>
    <cellStyle name="Notas 3 52 3" xfId="35639"/>
    <cellStyle name="Notas 3 52 3 2" xfId="35640"/>
    <cellStyle name="Notas 3 52 4" xfId="35641"/>
    <cellStyle name="Notas 3 52 4 2" xfId="35642"/>
    <cellStyle name="Notas 3 52 5" xfId="35643"/>
    <cellStyle name="Notas 3 52 5 2" xfId="35644"/>
    <cellStyle name="Notas 3 52 6" xfId="35645"/>
    <cellStyle name="Notas 3 52 6 2" xfId="35646"/>
    <cellStyle name="Notas 3 52 7" xfId="35647"/>
    <cellStyle name="Notas 3 52 7 2" xfId="35648"/>
    <cellStyle name="Notas 3 52 8" xfId="35649"/>
    <cellStyle name="Notas 3 52 8 2" xfId="35650"/>
    <cellStyle name="Notas 3 52 9" xfId="35651"/>
    <cellStyle name="Notas 3 52 9 2" xfId="35652"/>
    <cellStyle name="Notas 3 53" xfId="35653"/>
    <cellStyle name="Notas 3 53 10" xfId="35654"/>
    <cellStyle name="Notas 3 53 10 2" xfId="35655"/>
    <cellStyle name="Notas 3 53 11" xfId="35656"/>
    <cellStyle name="Notas 3 53 11 2" xfId="35657"/>
    <cellStyle name="Notas 3 53 12" xfId="35658"/>
    <cellStyle name="Notas 3 53 12 2" xfId="35659"/>
    <cellStyle name="Notas 3 53 13" xfId="35660"/>
    <cellStyle name="Notas 3 53 13 2" xfId="35661"/>
    <cellStyle name="Notas 3 53 14" xfId="35662"/>
    <cellStyle name="Notas 3 53 2" xfId="35663"/>
    <cellStyle name="Notas 3 53 2 2" xfId="35664"/>
    <cellStyle name="Notas 3 53 3" xfId="35665"/>
    <cellStyle name="Notas 3 53 3 2" xfId="35666"/>
    <cellStyle name="Notas 3 53 4" xfId="35667"/>
    <cellStyle name="Notas 3 53 4 2" xfId="35668"/>
    <cellStyle name="Notas 3 53 5" xfId="35669"/>
    <cellStyle name="Notas 3 53 5 2" xfId="35670"/>
    <cellStyle name="Notas 3 53 6" xfId="35671"/>
    <cellStyle name="Notas 3 53 6 2" xfId="35672"/>
    <cellStyle name="Notas 3 53 7" xfId="35673"/>
    <cellStyle name="Notas 3 53 7 2" xfId="35674"/>
    <cellStyle name="Notas 3 53 8" xfId="35675"/>
    <cellStyle name="Notas 3 53 8 2" xfId="35676"/>
    <cellStyle name="Notas 3 53 9" xfId="35677"/>
    <cellStyle name="Notas 3 53 9 2" xfId="35678"/>
    <cellStyle name="Notas 3 54" xfId="35679"/>
    <cellStyle name="Notas 3 54 10" xfId="35680"/>
    <cellStyle name="Notas 3 54 10 2" xfId="35681"/>
    <cellStyle name="Notas 3 54 11" xfId="35682"/>
    <cellStyle name="Notas 3 54 11 2" xfId="35683"/>
    <cellStyle name="Notas 3 54 12" xfId="35684"/>
    <cellStyle name="Notas 3 54 12 2" xfId="35685"/>
    <cellStyle name="Notas 3 54 13" xfId="35686"/>
    <cellStyle name="Notas 3 54 13 2" xfId="35687"/>
    <cellStyle name="Notas 3 54 14" xfId="35688"/>
    <cellStyle name="Notas 3 54 2" xfId="35689"/>
    <cellStyle name="Notas 3 54 2 2" xfId="35690"/>
    <cellStyle name="Notas 3 54 3" xfId="35691"/>
    <cellStyle name="Notas 3 54 3 2" xfId="35692"/>
    <cellStyle name="Notas 3 54 4" xfId="35693"/>
    <cellStyle name="Notas 3 54 4 2" xfId="35694"/>
    <cellStyle name="Notas 3 54 5" xfId="35695"/>
    <cellStyle name="Notas 3 54 5 2" xfId="35696"/>
    <cellStyle name="Notas 3 54 6" xfId="35697"/>
    <cellStyle name="Notas 3 54 6 2" xfId="35698"/>
    <cellStyle name="Notas 3 54 7" xfId="35699"/>
    <cellStyle name="Notas 3 54 7 2" xfId="35700"/>
    <cellStyle name="Notas 3 54 8" xfId="35701"/>
    <cellStyle name="Notas 3 54 8 2" xfId="35702"/>
    <cellStyle name="Notas 3 54 9" xfId="35703"/>
    <cellStyle name="Notas 3 54 9 2" xfId="35704"/>
    <cellStyle name="Notas 3 55" xfId="35705"/>
    <cellStyle name="Notas 3 55 10" xfId="35706"/>
    <cellStyle name="Notas 3 55 10 2" xfId="35707"/>
    <cellStyle name="Notas 3 55 11" xfId="35708"/>
    <cellStyle name="Notas 3 55 11 2" xfId="35709"/>
    <cellStyle name="Notas 3 55 12" xfId="35710"/>
    <cellStyle name="Notas 3 55 12 2" xfId="35711"/>
    <cellStyle name="Notas 3 55 13" xfId="35712"/>
    <cellStyle name="Notas 3 55 13 2" xfId="35713"/>
    <cellStyle name="Notas 3 55 14" xfId="35714"/>
    <cellStyle name="Notas 3 55 2" xfId="35715"/>
    <cellStyle name="Notas 3 55 2 2" xfId="35716"/>
    <cellStyle name="Notas 3 55 3" xfId="35717"/>
    <cellStyle name="Notas 3 55 3 2" xfId="35718"/>
    <cellStyle name="Notas 3 55 4" xfId="35719"/>
    <cellStyle name="Notas 3 55 4 2" xfId="35720"/>
    <cellStyle name="Notas 3 55 5" xfId="35721"/>
    <cellStyle name="Notas 3 55 5 2" xfId="35722"/>
    <cellStyle name="Notas 3 55 6" xfId="35723"/>
    <cellStyle name="Notas 3 55 6 2" xfId="35724"/>
    <cellStyle name="Notas 3 55 7" xfId="35725"/>
    <cellStyle name="Notas 3 55 7 2" xfId="35726"/>
    <cellStyle name="Notas 3 55 8" xfId="35727"/>
    <cellStyle name="Notas 3 55 8 2" xfId="35728"/>
    <cellStyle name="Notas 3 55 9" xfId="35729"/>
    <cellStyle name="Notas 3 55 9 2" xfId="35730"/>
    <cellStyle name="Notas 3 56" xfId="35731"/>
    <cellStyle name="Notas 3 56 10" xfId="35732"/>
    <cellStyle name="Notas 3 56 10 2" xfId="35733"/>
    <cellStyle name="Notas 3 56 11" xfId="35734"/>
    <cellStyle name="Notas 3 56 11 2" xfId="35735"/>
    <cellStyle name="Notas 3 56 12" xfId="35736"/>
    <cellStyle name="Notas 3 56 12 2" xfId="35737"/>
    <cellStyle name="Notas 3 56 13" xfId="35738"/>
    <cellStyle name="Notas 3 56 13 2" xfId="35739"/>
    <cellStyle name="Notas 3 56 14" xfId="35740"/>
    <cellStyle name="Notas 3 56 2" xfId="35741"/>
    <cellStyle name="Notas 3 56 2 2" xfId="35742"/>
    <cellStyle name="Notas 3 56 3" xfId="35743"/>
    <cellStyle name="Notas 3 56 3 2" xfId="35744"/>
    <cellStyle name="Notas 3 56 4" xfId="35745"/>
    <cellStyle name="Notas 3 56 4 2" xfId="35746"/>
    <cellStyle name="Notas 3 56 5" xfId="35747"/>
    <cellStyle name="Notas 3 56 5 2" xfId="35748"/>
    <cellStyle name="Notas 3 56 6" xfId="35749"/>
    <cellStyle name="Notas 3 56 6 2" xfId="35750"/>
    <cellStyle name="Notas 3 56 7" xfId="35751"/>
    <cellStyle name="Notas 3 56 7 2" xfId="35752"/>
    <cellStyle name="Notas 3 56 8" xfId="35753"/>
    <cellStyle name="Notas 3 56 8 2" xfId="35754"/>
    <cellStyle name="Notas 3 56 9" xfId="35755"/>
    <cellStyle name="Notas 3 56 9 2" xfId="35756"/>
    <cellStyle name="Notas 3 57" xfId="35757"/>
    <cellStyle name="Notas 3 57 10" xfId="35758"/>
    <cellStyle name="Notas 3 57 10 2" xfId="35759"/>
    <cellStyle name="Notas 3 57 11" xfId="35760"/>
    <cellStyle name="Notas 3 57 11 2" xfId="35761"/>
    <cellStyle name="Notas 3 57 12" xfId="35762"/>
    <cellStyle name="Notas 3 57 12 2" xfId="35763"/>
    <cellStyle name="Notas 3 57 13" xfId="35764"/>
    <cellStyle name="Notas 3 57 13 2" xfId="35765"/>
    <cellStyle name="Notas 3 57 14" xfId="35766"/>
    <cellStyle name="Notas 3 57 2" xfId="35767"/>
    <cellStyle name="Notas 3 57 2 2" xfId="35768"/>
    <cellStyle name="Notas 3 57 3" xfId="35769"/>
    <cellStyle name="Notas 3 57 3 2" xfId="35770"/>
    <cellStyle name="Notas 3 57 4" xfId="35771"/>
    <cellStyle name="Notas 3 57 4 2" xfId="35772"/>
    <cellStyle name="Notas 3 57 5" xfId="35773"/>
    <cellStyle name="Notas 3 57 5 2" xfId="35774"/>
    <cellStyle name="Notas 3 57 6" xfId="35775"/>
    <cellStyle name="Notas 3 57 6 2" xfId="35776"/>
    <cellStyle name="Notas 3 57 7" xfId="35777"/>
    <cellStyle name="Notas 3 57 7 2" xfId="35778"/>
    <cellStyle name="Notas 3 57 8" xfId="35779"/>
    <cellStyle name="Notas 3 57 8 2" xfId="35780"/>
    <cellStyle name="Notas 3 57 9" xfId="35781"/>
    <cellStyle name="Notas 3 57 9 2" xfId="35782"/>
    <cellStyle name="Notas 3 58" xfId="35783"/>
    <cellStyle name="Notas 3 58 10" xfId="35784"/>
    <cellStyle name="Notas 3 58 10 2" xfId="35785"/>
    <cellStyle name="Notas 3 58 11" xfId="35786"/>
    <cellStyle name="Notas 3 58 11 2" xfId="35787"/>
    <cellStyle name="Notas 3 58 12" xfId="35788"/>
    <cellStyle name="Notas 3 58 12 2" xfId="35789"/>
    <cellStyle name="Notas 3 58 13" xfId="35790"/>
    <cellStyle name="Notas 3 58 13 2" xfId="35791"/>
    <cellStyle name="Notas 3 58 14" xfId="35792"/>
    <cellStyle name="Notas 3 58 2" xfId="35793"/>
    <cellStyle name="Notas 3 58 2 2" xfId="35794"/>
    <cellStyle name="Notas 3 58 3" xfId="35795"/>
    <cellStyle name="Notas 3 58 3 2" xfId="35796"/>
    <cellStyle name="Notas 3 58 4" xfId="35797"/>
    <cellStyle name="Notas 3 58 4 2" xfId="35798"/>
    <cellStyle name="Notas 3 58 5" xfId="35799"/>
    <cellStyle name="Notas 3 58 5 2" xfId="35800"/>
    <cellStyle name="Notas 3 58 6" xfId="35801"/>
    <cellStyle name="Notas 3 58 6 2" xfId="35802"/>
    <cellStyle name="Notas 3 58 7" xfId="35803"/>
    <cellStyle name="Notas 3 58 7 2" xfId="35804"/>
    <cellStyle name="Notas 3 58 8" xfId="35805"/>
    <cellStyle name="Notas 3 58 8 2" xfId="35806"/>
    <cellStyle name="Notas 3 58 9" xfId="35807"/>
    <cellStyle name="Notas 3 58 9 2" xfId="35808"/>
    <cellStyle name="Notas 3 59" xfId="35809"/>
    <cellStyle name="Notas 3 59 10" xfId="35810"/>
    <cellStyle name="Notas 3 59 10 2" xfId="35811"/>
    <cellStyle name="Notas 3 59 11" xfId="35812"/>
    <cellStyle name="Notas 3 59 11 2" xfId="35813"/>
    <cellStyle name="Notas 3 59 12" xfId="35814"/>
    <cellStyle name="Notas 3 59 12 2" xfId="35815"/>
    <cellStyle name="Notas 3 59 13" xfId="35816"/>
    <cellStyle name="Notas 3 59 13 2" xfId="35817"/>
    <cellStyle name="Notas 3 59 14" xfId="35818"/>
    <cellStyle name="Notas 3 59 2" xfId="35819"/>
    <cellStyle name="Notas 3 59 2 2" xfId="35820"/>
    <cellStyle name="Notas 3 59 3" xfId="35821"/>
    <cellStyle name="Notas 3 59 3 2" xfId="35822"/>
    <cellStyle name="Notas 3 59 4" xfId="35823"/>
    <cellStyle name="Notas 3 59 4 2" xfId="35824"/>
    <cellStyle name="Notas 3 59 5" xfId="35825"/>
    <cellStyle name="Notas 3 59 5 2" xfId="35826"/>
    <cellStyle name="Notas 3 59 6" xfId="35827"/>
    <cellStyle name="Notas 3 59 6 2" xfId="35828"/>
    <cellStyle name="Notas 3 59 7" xfId="35829"/>
    <cellStyle name="Notas 3 59 7 2" xfId="35830"/>
    <cellStyle name="Notas 3 59 8" xfId="35831"/>
    <cellStyle name="Notas 3 59 8 2" xfId="35832"/>
    <cellStyle name="Notas 3 59 9" xfId="35833"/>
    <cellStyle name="Notas 3 59 9 2" xfId="35834"/>
    <cellStyle name="Notas 3 6" xfId="35835"/>
    <cellStyle name="Notas 3 6 10" xfId="35836"/>
    <cellStyle name="Notas 3 6 10 2" xfId="35837"/>
    <cellStyle name="Notas 3 6 11" xfId="35838"/>
    <cellStyle name="Notas 3 6 11 2" xfId="35839"/>
    <cellStyle name="Notas 3 6 12" xfId="35840"/>
    <cellStyle name="Notas 3 6 12 2" xfId="35841"/>
    <cellStyle name="Notas 3 6 13" xfId="35842"/>
    <cellStyle name="Notas 3 6 13 2" xfId="35843"/>
    <cellStyle name="Notas 3 6 14" xfId="35844"/>
    <cellStyle name="Notas 3 6 2" xfId="35845"/>
    <cellStyle name="Notas 3 6 2 2" xfId="35846"/>
    <cellStyle name="Notas 3 6 3" xfId="35847"/>
    <cellStyle name="Notas 3 6 3 2" xfId="35848"/>
    <cellStyle name="Notas 3 6 4" xfId="35849"/>
    <cellStyle name="Notas 3 6 4 2" xfId="35850"/>
    <cellStyle name="Notas 3 6 5" xfId="35851"/>
    <cellStyle name="Notas 3 6 5 2" xfId="35852"/>
    <cellStyle name="Notas 3 6 6" xfId="35853"/>
    <cellStyle name="Notas 3 6 6 2" xfId="35854"/>
    <cellStyle name="Notas 3 6 7" xfId="35855"/>
    <cellStyle name="Notas 3 6 7 2" xfId="35856"/>
    <cellStyle name="Notas 3 6 8" xfId="35857"/>
    <cellStyle name="Notas 3 6 8 2" xfId="35858"/>
    <cellStyle name="Notas 3 6 9" xfId="35859"/>
    <cellStyle name="Notas 3 6 9 2" xfId="35860"/>
    <cellStyle name="Notas 3 60" xfId="35861"/>
    <cellStyle name="Notas 3 60 10" xfId="35862"/>
    <cellStyle name="Notas 3 60 10 2" xfId="35863"/>
    <cellStyle name="Notas 3 60 11" xfId="35864"/>
    <cellStyle name="Notas 3 60 11 2" xfId="35865"/>
    <cellStyle name="Notas 3 60 12" xfId="35866"/>
    <cellStyle name="Notas 3 60 12 2" xfId="35867"/>
    <cellStyle name="Notas 3 60 13" xfId="35868"/>
    <cellStyle name="Notas 3 60 13 2" xfId="35869"/>
    <cellStyle name="Notas 3 60 14" xfId="35870"/>
    <cellStyle name="Notas 3 60 2" xfId="35871"/>
    <cellStyle name="Notas 3 60 2 2" xfId="35872"/>
    <cellStyle name="Notas 3 60 3" xfId="35873"/>
    <cellStyle name="Notas 3 60 3 2" xfId="35874"/>
    <cellStyle name="Notas 3 60 4" xfId="35875"/>
    <cellStyle name="Notas 3 60 4 2" xfId="35876"/>
    <cellStyle name="Notas 3 60 5" xfId="35877"/>
    <cellStyle name="Notas 3 60 5 2" xfId="35878"/>
    <cellStyle name="Notas 3 60 6" xfId="35879"/>
    <cellStyle name="Notas 3 60 6 2" xfId="35880"/>
    <cellStyle name="Notas 3 60 7" xfId="35881"/>
    <cellStyle name="Notas 3 60 7 2" xfId="35882"/>
    <cellStyle name="Notas 3 60 8" xfId="35883"/>
    <cellStyle name="Notas 3 60 8 2" xfId="35884"/>
    <cellStyle name="Notas 3 60 9" xfId="35885"/>
    <cellStyle name="Notas 3 60 9 2" xfId="35886"/>
    <cellStyle name="Notas 3 61" xfId="35887"/>
    <cellStyle name="Notas 3 61 10" xfId="35888"/>
    <cellStyle name="Notas 3 61 10 2" xfId="35889"/>
    <cellStyle name="Notas 3 61 11" xfId="35890"/>
    <cellStyle name="Notas 3 61 11 2" xfId="35891"/>
    <cellStyle name="Notas 3 61 12" xfId="35892"/>
    <cellStyle name="Notas 3 61 12 2" xfId="35893"/>
    <cellStyle name="Notas 3 61 13" xfId="35894"/>
    <cellStyle name="Notas 3 61 13 2" xfId="35895"/>
    <cellStyle name="Notas 3 61 14" xfId="35896"/>
    <cellStyle name="Notas 3 61 2" xfId="35897"/>
    <cellStyle name="Notas 3 61 2 2" xfId="35898"/>
    <cellStyle name="Notas 3 61 3" xfId="35899"/>
    <cellStyle name="Notas 3 61 3 2" xfId="35900"/>
    <cellStyle name="Notas 3 61 4" xfId="35901"/>
    <cellStyle name="Notas 3 61 4 2" xfId="35902"/>
    <cellStyle name="Notas 3 61 5" xfId="35903"/>
    <cellStyle name="Notas 3 61 5 2" xfId="35904"/>
    <cellStyle name="Notas 3 61 6" xfId="35905"/>
    <cellStyle name="Notas 3 61 6 2" xfId="35906"/>
    <cellStyle name="Notas 3 61 7" xfId="35907"/>
    <cellStyle name="Notas 3 61 7 2" xfId="35908"/>
    <cellStyle name="Notas 3 61 8" xfId="35909"/>
    <cellStyle name="Notas 3 61 8 2" xfId="35910"/>
    <cellStyle name="Notas 3 61 9" xfId="35911"/>
    <cellStyle name="Notas 3 61 9 2" xfId="35912"/>
    <cellStyle name="Notas 3 62" xfId="35913"/>
    <cellStyle name="Notas 3 62 10" xfId="35914"/>
    <cellStyle name="Notas 3 62 10 2" xfId="35915"/>
    <cellStyle name="Notas 3 62 11" xfId="35916"/>
    <cellStyle name="Notas 3 62 11 2" xfId="35917"/>
    <cellStyle name="Notas 3 62 12" xfId="35918"/>
    <cellStyle name="Notas 3 62 12 2" xfId="35919"/>
    <cellStyle name="Notas 3 62 13" xfId="35920"/>
    <cellStyle name="Notas 3 62 13 2" xfId="35921"/>
    <cellStyle name="Notas 3 62 14" xfId="35922"/>
    <cellStyle name="Notas 3 62 2" xfId="35923"/>
    <cellStyle name="Notas 3 62 2 2" xfId="35924"/>
    <cellStyle name="Notas 3 62 3" xfId="35925"/>
    <cellStyle name="Notas 3 62 3 2" xfId="35926"/>
    <cellStyle name="Notas 3 62 4" xfId="35927"/>
    <cellStyle name="Notas 3 62 4 2" xfId="35928"/>
    <cellStyle name="Notas 3 62 5" xfId="35929"/>
    <cellStyle name="Notas 3 62 5 2" xfId="35930"/>
    <cellStyle name="Notas 3 62 6" xfId="35931"/>
    <cellStyle name="Notas 3 62 6 2" xfId="35932"/>
    <cellStyle name="Notas 3 62 7" xfId="35933"/>
    <cellStyle name="Notas 3 62 7 2" xfId="35934"/>
    <cellStyle name="Notas 3 62 8" xfId="35935"/>
    <cellStyle name="Notas 3 62 8 2" xfId="35936"/>
    <cellStyle name="Notas 3 62 9" xfId="35937"/>
    <cellStyle name="Notas 3 62 9 2" xfId="35938"/>
    <cellStyle name="Notas 3 63" xfId="35939"/>
    <cellStyle name="Notas 3 63 10" xfId="35940"/>
    <cellStyle name="Notas 3 63 10 2" xfId="35941"/>
    <cellStyle name="Notas 3 63 11" xfId="35942"/>
    <cellStyle name="Notas 3 63 11 2" xfId="35943"/>
    <cellStyle name="Notas 3 63 12" xfId="35944"/>
    <cellStyle name="Notas 3 63 12 2" xfId="35945"/>
    <cellStyle name="Notas 3 63 13" xfId="35946"/>
    <cellStyle name="Notas 3 63 13 2" xfId="35947"/>
    <cellStyle name="Notas 3 63 14" xfId="35948"/>
    <cellStyle name="Notas 3 63 2" xfId="35949"/>
    <cellStyle name="Notas 3 63 2 2" xfId="35950"/>
    <cellStyle name="Notas 3 63 3" xfId="35951"/>
    <cellStyle name="Notas 3 63 3 2" xfId="35952"/>
    <cellStyle name="Notas 3 63 4" xfId="35953"/>
    <cellStyle name="Notas 3 63 4 2" xfId="35954"/>
    <cellStyle name="Notas 3 63 5" xfId="35955"/>
    <cellStyle name="Notas 3 63 5 2" xfId="35956"/>
    <cellStyle name="Notas 3 63 6" xfId="35957"/>
    <cellStyle name="Notas 3 63 6 2" xfId="35958"/>
    <cellStyle name="Notas 3 63 7" xfId="35959"/>
    <cellStyle name="Notas 3 63 7 2" xfId="35960"/>
    <cellStyle name="Notas 3 63 8" xfId="35961"/>
    <cellStyle name="Notas 3 63 8 2" xfId="35962"/>
    <cellStyle name="Notas 3 63 9" xfId="35963"/>
    <cellStyle name="Notas 3 63 9 2" xfId="35964"/>
    <cellStyle name="Notas 3 64" xfId="35965"/>
    <cellStyle name="Notas 3 64 10" xfId="35966"/>
    <cellStyle name="Notas 3 64 10 2" xfId="35967"/>
    <cellStyle name="Notas 3 64 11" xfId="35968"/>
    <cellStyle name="Notas 3 64 11 2" xfId="35969"/>
    <cellStyle name="Notas 3 64 12" xfId="35970"/>
    <cellStyle name="Notas 3 64 12 2" xfId="35971"/>
    <cellStyle name="Notas 3 64 13" xfId="35972"/>
    <cellStyle name="Notas 3 64 13 2" xfId="35973"/>
    <cellStyle name="Notas 3 64 14" xfId="35974"/>
    <cellStyle name="Notas 3 64 2" xfId="35975"/>
    <cellStyle name="Notas 3 64 2 2" xfId="35976"/>
    <cellStyle name="Notas 3 64 3" xfId="35977"/>
    <cellStyle name="Notas 3 64 3 2" xfId="35978"/>
    <cellStyle name="Notas 3 64 4" xfId="35979"/>
    <cellStyle name="Notas 3 64 4 2" xfId="35980"/>
    <cellStyle name="Notas 3 64 5" xfId="35981"/>
    <cellStyle name="Notas 3 64 5 2" xfId="35982"/>
    <cellStyle name="Notas 3 64 6" xfId="35983"/>
    <cellStyle name="Notas 3 64 6 2" xfId="35984"/>
    <cellStyle name="Notas 3 64 7" xfId="35985"/>
    <cellStyle name="Notas 3 64 7 2" xfId="35986"/>
    <cellStyle name="Notas 3 64 8" xfId="35987"/>
    <cellStyle name="Notas 3 64 8 2" xfId="35988"/>
    <cellStyle name="Notas 3 64 9" xfId="35989"/>
    <cellStyle name="Notas 3 64 9 2" xfId="35990"/>
    <cellStyle name="Notas 3 65" xfId="35991"/>
    <cellStyle name="Notas 3 65 10" xfId="35992"/>
    <cellStyle name="Notas 3 65 10 2" xfId="35993"/>
    <cellStyle name="Notas 3 65 11" xfId="35994"/>
    <cellStyle name="Notas 3 65 11 2" xfId="35995"/>
    <cellStyle name="Notas 3 65 12" xfId="35996"/>
    <cellStyle name="Notas 3 65 12 2" xfId="35997"/>
    <cellStyle name="Notas 3 65 13" xfId="35998"/>
    <cellStyle name="Notas 3 65 13 2" xfId="35999"/>
    <cellStyle name="Notas 3 65 14" xfId="36000"/>
    <cellStyle name="Notas 3 65 2" xfId="36001"/>
    <cellStyle name="Notas 3 65 2 2" xfId="36002"/>
    <cellStyle name="Notas 3 65 3" xfId="36003"/>
    <cellStyle name="Notas 3 65 3 2" xfId="36004"/>
    <cellStyle name="Notas 3 65 4" xfId="36005"/>
    <cellStyle name="Notas 3 65 4 2" xfId="36006"/>
    <cellStyle name="Notas 3 65 5" xfId="36007"/>
    <cellStyle name="Notas 3 65 5 2" xfId="36008"/>
    <cellStyle name="Notas 3 65 6" xfId="36009"/>
    <cellStyle name="Notas 3 65 6 2" xfId="36010"/>
    <cellStyle name="Notas 3 65 7" xfId="36011"/>
    <cellStyle name="Notas 3 65 7 2" xfId="36012"/>
    <cellStyle name="Notas 3 65 8" xfId="36013"/>
    <cellStyle name="Notas 3 65 8 2" xfId="36014"/>
    <cellStyle name="Notas 3 65 9" xfId="36015"/>
    <cellStyle name="Notas 3 65 9 2" xfId="36016"/>
    <cellStyle name="Notas 3 66" xfId="36017"/>
    <cellStyle name="Notas 3 66 10" xfId="36018"/>
    <cellStyle name="Notas 3 66 10 2" xfId="36019"/>
    <cellStyle name="Notas 3 66 11" xfId="36020"/>
    <cellStyle name="Notas 3 66 11 2" xfId="36021"/>
    <cellStyle name="Notas 3 66 12" xfId="36022"/>
    <cellStyle name="Notas 3 66 12 2" xfId="36023"/>
    <cellStyle name="Notas 3 66 13" xfId="36024"/>
    <cellStyle name="Notas 3 66 13 2" xfId="36025"/>
    <cellStyle name="Notas 3 66 14" xfId="36026"/>
    <cellStyle name="Notas 3 66 2" xfId="36027"/>
    <cellStyle name="Notas 3 66 2 2" xfId="36028"/>
    <cellStyle name="Notas 3 66 3" xfId="36029"/>
    <cellStyle name="Notas 3 66 3 2" xfId="36030"/>
    <cellStyle name="Notas 3 66 4" xfId="36031"/>
    <cellStyle name="Notas 3 66 4 2" xfId="36032"/>
    <cellStyle name="Notas 3 66 5" xfId="36033"/>
    <cellStyle name="Notas 3 66 5 2" xfId="36034"/>
    <cellStyle name="Notas 3 66 6" xfId="36035"/>
    <cellStyle name="Notas 3 66 6 2" xfId="36036"/>
    <cellStyle name="Notas 3 66 7" xfId="36037"/>
    <cellStyle name="Notas 3 66 7 2" xfId="36038"/>
    <cellStyle name="Notas 3 66 8" xfId="36039"/>
    <cellStyle name="Notas 3 66 8 2" xfId="36040"/>
    <cellStyle name="Notas 3 66 9" xfId="36041"/>
    <cellStyle name="Notas 3 66 9 2" xfId="36042"/>
    <cellStyle name="Notas 3 67" xfId="36043"/>
    <cellStyle name="Notas 3 67 10" xfId="36044"/>
    <cellStyle name="Notas 3 67 10 2" xfId="36045"/>
    <cellStyle name="Notas 3 67 11" xfId="36046"/>
    <cellStyle name="Notas 3 67 11 2" xfId="36047"/>
    <cellStyle name="Notas 3 67 12" xfId="36048"/>
    <cellStyle name="Notas 3 67 12 2" xfId="36049"/>
    <cellStyle name="Notas 3 67 13" xfId="36050"/>
    <cellStyle name="Notas 3 67 13 2" xfId="36051"/>
    <cellStyle name="Notas 3 67 14" xfId="36052"/>
    <cellStyle name="Notas 3 67 2" xfId="36053"/>
    <cellStyle name="Notas 3 67 2 2" xfId="36054"/>
    <cellStyle name="Notas 3 67 3" xfId="36055"/>
    <cellStyle name="Notas 3 67 3 2" xfId="36056"/>
    <cellStyle name="Notas 3 67 4" xfId="36057"/>
    <cellStyle name="Notas 3 67 4 2" xfId="36058"/>
    <cellStyle name="Notas 3 67 5" xfId="36059"/>
    <cellStyle name="Notas 3 67 5 2" xfId="36060"/>
    <cellStyle name="Notas 3 67 6" xfId="36061"/>
    <cellStyle name="Notas 3 67 6 2" xfId="36062"/>
    <cellStyle name="Notas 3 67 7" xfId="36063"/>
    <cellStyle name="Notas 3 67 7 2" xfId="36064"/>
    <cellStyle name="Notas 3 67 8" xfId="36065"/>
    <cellStyle name="Notas 3 67 8 2" xfId="36066"/>
    <cellStyle name="Notas 3 67 9" xfId="36067"/>
    <cellStyle name="Notas 3 67 9 2" xfId="36068"/>
    <cellStyle name="Notas 3 68" xfId="36069"/>
    <cellStyle name="Notas 3 68 10" xfId="36070"/>
    <cellStyle name="Notas 3 68 10 2" xfId="36071"/>
    <cellStyle name="Notas 3 68 11" xfId="36072"/>
    <cellStyle name="Notas 3 68 11 2" xfId="36073"/>
    <cellStyle name="Notas 3 68 12" xfId="36074"/>
    <cellStyle name="Notas 3 68 12 2" xfId="36075"/>
    <cellStyle name="Notas 3 68 13" xfId="36076"/>
    <cellStyle name="Notas 3 68 13 2" xfId="36077"/>
    <cellStyle name="Notas 3 68 14" xfId="36078"/>
    <cellStyle name="Notas 3 68 2" xfId="36079"/>
    <cellStyle name="Notas 3 68 2 2" xfId="36080"/>
    <cellStyle name="Notas 3 68 3" xfId="36081"/>
    <cellStyle name="Notas 3 68 3 2" xfId="36082"/>
    <cellStyle name="Notas 3 68 4" xfId="36083"/>
    <cellStyle name="Notas 3 68 4 2" xfId="36084"/>
    <cellStyle name="Notas 3 68 5" xfId="36085"/>
    <cellStyle name="Notas 3 68 5 2" xfId="36086"/>
    <cellStyle name="Notas 3 68 6" xfId="36087"/>
    <cellStyle name="Notas 3 68 6 2" xfId="36088"/>
    <cellStyle name="Notas 3 68 7" xfId="36089"/>
    <cellStyle name="Notas 3 68 7 2" xfId="36090"/>
    <cellStyle name="Notas 3 68 8" xfId="36091"/>
    <cellStyle name="Notas 3 68 8 2" xfId="36092"/>
    <cellStyle name="Notas 3 68 9" xfId="36093"/>
    <cellStyle name="Notas 3 68 9 2" xfId="36094"/>
    <cellStyle name="Notas 3 69" xfId="36095"/>
    <cellStyle name="Notas 3 69 10" xfId="36096"/>
    <cellStyle name="Notas 3 69 10 2" xfId="36097"/>
    <cellStyle name="Notas 3 69 11" xfId="36098"/>
    <cellStyle name="Notas 3 69 11 2" xfId="36099"/>
    <cellStyle name="Notas 3 69 12" xfId="36100"/>
    <cellStyle name="Notas 3 69 12 2" xfId="36101"/>
    <cellStyle name="Notas 3 69 13" xfId="36102"/>
    <cellStyle name="Notas 3 69 13 2" xfId="36103"/>
    <cellStyle name="Notas 3 69 14" xfId="36104"/>
    <cellStyle name="Notas 3 69 2" xfId="36105"/>
    <cellStyle name="Notas 3 69 2 2" xfId="36106"/>
    <cellStyle name="Notas 3 69 3" xfId="36107"/>
    <cellStyle name="Notas 3 69 3 2" xfId="36108"/>
    <cellStyle name="Notas 3 69 4" xfId="36109"/>
    <cellStyle name="Notas 3 69 4 2" xfId="36110"/>
    <cellStyle name="Notas 3 69 5" xfId="36111"/>
    <cellStyle name="Notas 3 69 5 2" xfId="36112"/>
    <cellStyle name="Notas 3 69 6" xfId="36113"/>
    <cellStyle name="Notas 3 69 6 2" xfId="36114"/>
    <cellStyle name="Notas 3 69 7" xfId="36115"/>
    <cellStyle name="Notas 3 69 7 2" xfId="36116"/>
    <cellStyle name="Notas 3 69 8" xfId="36117"/>
    <cellStyle name="Notas 3 69 8 2" xfId="36118"/>
    <cellStyle name="Notas 3 69 9" xfId="36119"/>
    <cellStyle name="Notas 3 69 9 2" xfId="36120"/>
    <cellStyle name="Notas 3 7" xfId="36121"/>
    <cellStyle name="Notas 3 7 10" xfId="36122"/>
    <cellStyle name="Notas 3 7 10 2" xfId="36123"/>
    <cellStyle name="Notas 3 7 11" xfId="36124"/>
    <cellStyle name="Notas 3 7 11 2" xfId="36125"/>
    <cellStyle name="Notas 3 7 12" xfId="36126"/>
    <cellStyle name="Notas 3 7 12 2" xfId="36127"/>
    <cellStyle name="Notas 3 7 13" xfId="36128"/>
    <cellStyle name="Notas 3 7 13 2" xfId="36129"/>
    <cellStyle name="Notas 3 7 14" xfId="36130"/>
    <cellStyle name="Notas 3 7 2" xfId="36131"/>
    <cellStyle name="Notas 3 7 2 2" xfId="36132"/>
    <cellStyle name="Notas 3 7 3" xfId="36133"/>
    <cellStyle name="Notas 3 7 3 2" xfId="36134"/>
    <cellStyle name="Notas 3 7 4" xfId="36135"/>
    <cellStyle name="Notas 3 7 4 2" xfId="36136"/>
    <cellStyle name="Notas 3 7 5" xfId="36137"/>
    <cellStyle name="Notas 3 7 5 2" xfId="36138"/>
    <cellStyle name="Notas 3 7 6" xfId="36139"/>
    <cellStyle name="Notas 3 7 6 2" xfId="36140"/>
    <cellStyle name="Notas 3 7 7" xfId="36141"/>
    <cellStyle name="Notas 3 7 7 2" xfId="36142"/>
    <cellStyle name="Notas 3 7 8" xfId="36143"/>
    <cellStyle name="Notas 3 7 8 2" xfId="36144"/>
    <cellStyle name="Notas 3 7 9" xfId="36145"/>
    <cellStyle name="Notas 3 7 9 2" xfId="36146"/>
    <cellStyle name="Notas 3 70" xfId="36147"/>
    <cellStyle name="Notas 3 70 10" xfId="36148"/>
    <cellStyle name="Notas 3 70 10 2" xfId="36149"/>
    <cellStyle name="Notas 3 70 11" xfId="36150"/>
    <cellStyle name="Notas 3 70 11 2" xfId="36151"/>
    <cellStyle name="Notas 3 70 12" xfId="36152"/>
    <cellStyle name="Notas 3 70 12 2" xfId="36153"/>
    <cellStyle name="Notas 3 70 13" xfId="36154"/>
    <cellStyle name="Notas 3 70 13 2" xfId="36155"/>
    <cellStyle name="Notas 3 70 14" xfId="36156"/>
    <cellStyle name="Notas 3 70 2" xfId="36157"/>
    <cellStyle name="Notas 3 70 2 2" xfId="36158"/>
    <cellStyle name="Notas 3 70 3" xfId="36159"/>
    <cellStyle name="Notas 3 70 3 2" xfId="36160"/>
    <cellStyle name="Notas 3 70 4" xfId="36161"/>
    <cellStyle name="Notas 3 70 4 2" xfId="36162"/>
    <cellStyle name="Notas 3 70 5" xfId="36163"/>
    <cellStyle name="Notas 3 70 5 2" xfId="36164"/>
    <cellStyle name="Notas 3 70 6" xfId="36165"/>
    <cellStyle name="Notas 3 70 6 2" xfId="36166"/>
    <cellStyle name="Notas 3 70 7" xfId="36167"/>
    <cellStyle name="Notas 3 70 7 2" xfId="36168"/>
    <cellStyle name="Notas 3 70 8" xfId="36169"/>
    <cellStyle name="Notas 3 70 8 2" xfId="36170"/>
    <cellStyle name="Notas 3 70 9" xfId="36171"/>
    <cellStyle name="Notas 3 70 9 2" xfId="36172"/>
    <cellStyle name="Notas 3 71" xfId="36173"/>
    <cellStyle name="Notas 3 71 2" xfId="36174"/>
    <cellStyle name="Notas 3 72" xfId="36175"/>
    <cellStyle name="Notas 3 72 2" xfId="36176"/>
    <cellStyle name="Notas 3 73" xfId="36177"/>
    <cellStyle name="Notas 3 73 2" xfId="36178"/>
    <cellStyle name="Notas 3 74" xfId="36179"/>
    <cellStyle name="Notas 3 74 2" xfId="36180"/>
    <cellStyle name="Notas 3 75" xfId="36181"/>
    <cellStyle name="Notas 3 75 2" xfId="36182"/>
    <cellStyle name="Notas 3 76" xfId="36183"/>
    <cellStyle name="Notas 3 76 2" xfId="36184"/>
    <cellStyle name="Notas 3 77" xfId="36185"/>
    <cellStyle name="Notas 3 77 2" xfId="36186"/>
    <cellStyle name="Notas 3 78" xfId="36187"/>
    <cellStyle name="Notas 3 78 2" xfId="36188"/>
    <cellStyle name="Notas 3 79" xfId="36189"/>
    <cellStyle name="Notas 3 79 2" xfId="36190"/>
    <cellStyle name="Notas 3 8" xfId="36191"/>
    <cellStyle name="Notas 3 8 10" xfId="36192"/>
    <cellStyle name="Notas 3 8 10 2" xfId="36193"/>
    <cellStyle name="Notas 3 8 11" xfId="36194"/>
    <cellStyle name="Notas 3 8 11 2" xfId="36195"/>
    <cellStyle name="Notas 3 8 12" xfId="36196"/>
    <cellStyle name="Notas 3 8 12 2" xfId="36197"/>
    <cellStyle name="Notas 3 8 13" xfId="36198"/>
    <cellStyle name="Notas 3 8 13 2" xfId="36199"/>
    <cellStyle name="Notas 3 8 14" xfId="36200"/>
    <cellStyle name="Notas 3 8 2" xfId="36201"/>
    <cellStyle name="Notas 3 8 2 2" xfId="36202"/>
    <cellStyle name="Notas 3 8 3" xfId="36203"/>
    <cellStyle name="Notas 3 8 3 2" xfId="36204"/>
    <cellStyle name="Notas 3 8 4" xfId="36205"/>
    <cellStyle name="Notas 3 8 4 2" xfId="36206"/>
    <cellStyle name="Notas 3 8 5" xfId="36207"/>
    <cellStyle name="Notas 3 8 5 2" xfId="36208"/>
    <cellStyle name="Notas 3 8 6" xfId="36209"/>
    <cellStyle name="Notas 3 8 6 2" xfId="36210"/>
    <cellStyle name="Notas 3 8 7" xfId="36211"/>
    <cellStyle name="Notas 3 8 7 2" xfId="36212"/>
    <cellStyle name="Notas 3 8 8" xfId="36213"/>
    <cellStyle name="Notas 3 8 8 2" xfId="36214"/>
    <cellStyle name="Notas 3 8 9" xfId="36215"/>
    <cellStyle name="Notas 3 8 9 2" xfId="36216"/>
    <cellStyle name="Notas 3 80" xfId="36217"/>
    <cellStyle name="Notas 3 80 2" xfId="36218"/>
    <cellStyle name="Notas 3 81" xfId="36219"/>
    <cellStyle name="Notas 3 81 2" xfId="36220"/>
    <cellStyle name="Notas 3 82" xfId="36221"/>
    <cellStyle name="Notas 3 9" xfId="36222"/>
    <cellStyle name="Notas 3 9 10" xfId="36223"/>
    <cellStyle name="Notas 3 9 10 2" xfId="36224"/>
    <cellStyle name="Notas 3 9 11" xfId="36225"/>
    <cellStyle name="Notas 3 9 11 2" xfId="36226"/>
    <cellStyle name="Notas 3 9 12" xfId="36227"/>
    <cellStyle name="Notas 3 9 12 2" xfId="36228"/>
    <cellStyle name="Notas 3 9 13" xfId="36229"/>
    <cellStyle name="Notas 3 9 13 2" xfId="36230"/>
    <cellStyle name="Notas 3 9 14" xfId="36231"/>
    <cellStyle name="Notas 3 9 2" xfId="36232"/>
    <cellStyle name="Notas 3 9 2 2" xfId="36233"/>
    <cellStyle name="Notas 3 9 3" xfId="36234"/>
    <cellStyle name="Notas 3 9 3 2" xfId="36235"/>
    <cellStyle name="Notas 3 9 4" xfId="36236"/>
    <cellStyle name="Notas 3 9 4 2" xfId="36237"/>
    <cellStyle name="Notas 3 9 5" xfId="36238"/>
    <cellStyle name="Notas 3 9 5 2" xfId="36239"/>
    <cellStyle name="Notas 3 9 6" xfId="36240"/>
    <cellStyle name="Notas 3 9 6 2" xfId="36241"/>
    <cellStyle name="Notas 3 9 7" xfId="36242"/>
    <cellStyle name="Notas 3 9 7 2" xfId="36243"/>
    <cellStyle name="Notas 3 9 8" xfId="36244"/>
    <cellStyle name="Notas 3 9 8 2" xfId="36245"/>
    <cellStyle name="Notas 3 9 9" xfId="36246"/>
    <cellStyle name="Notas 3 9 9 2" xfId="36247"/>
    <cellStyle name="Porcentaje" xfId="3" builtinId="5"/>
    <cellStyle name="Porcentaje 2" xfId="36248"/>
    <cellStyle name="Porcentaje 2 2" xfId="36249"/>
    <cellStyle name="Porcentaje 3" xfId="36250"/>
    <cellStyle name="Porcentaje 4" xfId="36430"/>
    <cellStyle name="Porcentual 2" xfId="36251"/>
    <cellStyle name="Porcentual 2 2" xfId="36252"/>
    <cellStyle name="Porcentual 2 3" xfId="36253"/>
    <cellStyle name="Porcentual 3" xfId="36450"/>
    <cellStyle name="Salida 2" xfId="36254"/>
    <cellStyle name="Salida 2 10" xfId="36255"/>
    <cellStyle name="Salida 2 10 2" xfId="36256"/>
    <cellStyle name="Salida 2 11" xfId="36257"/>
    <cellStyle name="Salida 2 11 2" xfId="36258"/>
    <cellStyle name="Salida 2 12" xfId="36259"/>
    <cellStyle name="Salida 2 12 2" xfId="36260"/>
    <cellStyle name="Salida 2 13" xfId="36261"/>
    <cellStyle name="Salida 2 13 2" xfId="36262"/>
    <cellStyle name="Salida 2 14" xfId="36263"/>
    <cellStyle name="Salida 2 2" xfId="36264"/>
    <cellStyle name="Salida 2 2 10" xfId="36265"/>
    <cellStyle name="Salida 2 2 10 2" xfId="36266"/>
    <cellStyle name="Salida 2 2 11" xfId="36267"/>
    <cellStyle name="Salida 2 2 11 2" xfId="36268"/>
    <cellStyle name="Salida 2 2 12" xfId="36269"/>
    <cellStyle name="Salida 2 2 12 2" xfId="36270"/>
    <cellStyle name="Salida 2 2 13" xfId="36271"/>
    <cellStyle name="Salida 2 2 2" xfId="36272"/>
    <cellStyle name="Salida 2 2 2 2" xfId="36273"/>
    <cellStyle name="Salida 2 2 3" xfId="36274"/>
    <cellStyle name="Salida 2 2 3 2" xfId="36275"/>
    <cellStyle name="Salida 2 2 4" xfId="36276"/>
    <cellStyle name="Salida 2 2 4 2" xfId="36277"/>
    <cellStyle name="Salida 2 2 5" xfId="36278"/>
    <cellStyle name="Salida 2 2 5 2" xfId="36279"/>
    <cellStyle name="Salida 2 2 6" xfId="36280"/>
    <cellStyle name="Salida 2 2 6 2" xfId="36281"/>
    <cellStyle name="Salida 2 2 7" xfId="36282"/>
    <cellStyle name="Salida 2 2 7 2" xfId="36283"/>
    <cellStyle name="Salida 2 2 8" xfId="36284"/>
    <cellStyle name="Salida 2 2 8 2" xfId="36285"/>
    <cellStyle name="Salida 2 2 9" xfId="36286"/>
    <cellStyle name="Salida 2 2 9 2" xfId="36287"/>
    <cellStyle name="Salida 2 3" xfId="36288"/>
    <cellStyle name="Salida 2 3 2" xfId="36289"/>
    <cellStyle name="Salida 2 4" xfId="36290"/>
    <cellStyle name="Salida 2 4 2" xfId="36291"/>
    <cellStyle name="Salida 2 5" xfId="36292"/>
    <cellStyle name="Salida 2 5 2" xfId="36293"/>
    <cellStyle name="Salida 2 6" xfId="36294"/>
    <cellStyle name="Salida 2 6 2" xfId="36295"/>
    <cellStyle name="Salida 2 7" xfId="36296"/>
    <cellStyle name="Salida 2 7 2" xfId="36297"/>
    <cellStyle name="Salida 2 8" xfId="36298"/>
    <cellStyle name="Salida 2 8 2" xfId="36299"/>
    <cellStyle name="Salida 2 9" xfId="36300"/>
    <cellStyle name="Salida 2 9 2" xfId="36301"/>
    <cellStyle name="Salida 3" xfId="36302"/>
    <cellStyle name="Salida 3 10" xfId="36303"/>
    <cellStyle name="Salida 3 10 2" xfId="36304"/>
    <cellStyle name="Salida 3 11" xfId="36305"/>
    <cellStyle name="Salida 3 11 2" xfId="36306"/>
    <cellStyle name="Salida 3 12" xfId="36307"/>
    <cellStyle name="Salida 3 12 2" xfId="36308"/>
    <cellStyle name="Salida 3 13" xfId="36309"/>
    <cellStyle name="Salida 3 2" xfId="36310"/>
    <cellStyle name="Salida 3 2 2" xfId="36311"/>
    <cellStyle name="Salida 3 3" xfId="36312"/>
    <cellStyle name="Salida 3 3 2" xfId="36313"/>
    <cellStyle name="Salida 3 4" xfId="36314"/>
    <cellStyle name="Salida 3 4 2" xfId="36315"/>
    <cellStyle name="Salida 3 5" xfId="36316"/>
    <cellStyle name="Salida 3 5 2" xfId="36317"/>
    <cellStyle name="Salida 3 6" xfId="36318"/>
    <cellStyle name="Salida 3 6 2" xfId="36319"/>
    <cellStyle name="Salida 3 7" xfId="36320"/>
    <cellStyle name="Salida 3 7 2" xfId="36321"/>
    <cellStyle name="Salida 3 8" xfId="36322"/>
    <cellStyle name="Salida 3 8 2" xfId="36323"/>
    <cellStyle name="Salida 3 9" xfId="36324"/>
    <cellStyle name="Salida 3 9 2" xfId="36325"/>
    <cellStyle name="Texto de advertencia 2" xfId="36326"/>
    <cellStyle name="Texto de advertencia 2 2" xfId="36327"/>
    <cellStyle name="Texto de advertencia 3" xfId="36328"/>
    <cellStyle name="Texto explicativo 2" xfId="36329"/>
    <cellStyle name="Texto explicativo 2 2" xfId="36330"/>
    <cellStyle name="Texto explicativo 3" xfId="36331"/>
    <cellStyle name="Título 1 2" xfId="36332"/>
    <cellStyle name="Título 1 2 2" xfId="36333"/>
    <cellStyle name="Título 1 3" xfId="36334"/>
    <cellStyle name="Título 2 2" xfId="36335"/>
    <cellStyle name="Título 2 2 2" xfId="36336"/>
    <cellStyle name="Título 2 3" xfId="36337"/>
    <cellStyle name="Título 3 2" xfId="36338"/>
    <cellStyle name="Título 3 2 2" xfId="36339"/>
    <cellStyle name="Título 3 3" xfId="36340"/>
    <cellStyle name="Título 4" xfId="36341"/>
    <cellStyle name="Título 4 2" xfId="36342"/>
    <cellStyle name="Título 5" xfId="36343"/>
    <cellStyle name="Total 2" xfId="36344"/>
    <cellStyle name="Total 2 10" xfId="36345"/>
    <cellStyle name="Total 2 10 2" xfId="36346"/>
    <cellStyle name="Total 2 11" xfId="36347"/>
    <cellStyle name="Total 2 11 2" xfId="36348"/>
    <cellStyle name="Total 2 12" xfId="36349"/>
    <cellStyle name="Total 2 12 2" xfId="36350"/>
    <cellStyle name="Total 2 13" xfId="36351"/>
    <cellStyle name="Total 2 13 2" xfId="36352"/>
    <cellStyle name="Total 2 14" xfId="36353"/>
    <cellStyle name="Total 2 2" xfId="36354"/>
    <cellStyle name="Total 2 2 10" xfId="36355"/>
    <cellStyle name="Total 2 2 10 2" xfId="36356"/>
    <cellStyle name="Total 2 2 11" xfId="36357"/>
    <cellStyle name="Total 2 2 11 2" xfId="36358"/>
    <cellStyle name="Total 2 2 12" xfId="36359"/>
    <cellStyle name="Total 2 2 12 2" xfId="36360"/>
    <cellStyle name="Total 2 2 13" xfId="36361"/>
    <cellStyle name="Total 2 2 2" xfId="36362"/>
    <cellStyle name="Total 2 2 2 2" xfId="36363"/>
    <cellStyle name="Total 2 2 3" xfId="36364"/>
    <cellStyle name="Total 2 2 3 2" xfId="36365"/>
    <cellStyle name="Total 2 2 4" xfId="36366"/>
    <cellStyle name="Total 2 2 4 2" xfId="36367"/>
    <cellStyle name="Total 2 2 5" xfId="36368"/>
    <cellStyle name="Total 2 2 5 2" xfId="36369"/>
    <cellStyle name="Total 2 2 6" xfId="36370"/>
    <cellStyle name="Total 2 2 6 2" xfId="36371"/>
    <cellStyle name="Total 2 2 7" xfId="36372"/>
    <cellStyle name="Total 2 2 7 2" xfId="36373"/>
    <cellStyle name="Total 2 2 8" xfId="36374"/>
    <cellStyle name="Total 2 2 8 2" xfId="36375"/>
    <cellStyle name="Total 2 2 9" xfId="36376"/>
    <cellStyle name="Total 2 2 9 2" xfId="36377"/>
    <cellStyle name="Total 2 3" xfId="36378"/>
    <cellStyle name="Total 2 3 2" xfId="36379"/>
    <cellStyle name="Total 2 4" xfId="36380"/>
    <cellStyle name="Total 2 4 2" xfId="36381"/>
    <cellStyle name="Total 2 5" xfId="36382"/>
    <cellStyle name="Total 2 5 2" xfId="36383"/>
    <cellStyle name="Total 2 6" xfId="36384"/>
    <cellStyle name="Total 2 6 2" xfId="36385"/>
    <cellStyle name="Total 2 7" xfId="36386"/>
    <cellStyle name="Total 2 7 2" xfId="36387"/>
    <cellStyle name="Total 2 8" xfId="36388"/>
    <cellStyle name="Total 2 8 2" xfId="36389"/>
    <cellStyle name="Total 2 9" xfId="36390"/>
    <cellStyle name="Total 2 9 2" xfId="36391"/>
    <cellStyle name="Total 3" xfId="36392"/>
    <cellStyle name="Total 3 10" xfId="36393"/>
    <cellStyle name="Total 3 10 2" xfId="36394"/>
    <cellStyle name="Total 3 11" xfId="36395"/>
    <cellStyle name="Total 3 11 2" xfId="36396"/>
    <cellStyle name="Total 3 12" xfId="36397"/>
    <cellStyle name="Total 3 12 2" xfId="36398"/>
    <cellStyle name="Total 3 13" xfId="36399"/>
    <cellStyle name="Total 3 2" xfId="36400"/>
    <cellStyle name="Total 3 2 2" xfId="36401"/>
    <cellStyle name="Total 3 3" xfId="36402"/>
    <cellStyle name="Total 3 3 2" xfId="36403"/>
    <cellStyle name="Total 3 4" xfId="36404"/>
    <cellStyle name="Total 3 4 2" xfId="36405"/>
    <cellStyle name="Total 3 5" xfId="36406"/>
    <cellStyle name="Total 3 5 2" xfId="36407"/>
    <cellStyle name="Total 3 6" xfId="36408"/>
    <cellStyle name="Total 3 6 2" xfId="36409"/>
    <cellStyle name="Total 3 7" xfId="36410"/>
    <cellStyle name="Total 3 7 2" xfId="36411"/>
    <cellStyle name="Total 3 8" xfId="36412"/>
    <cellStyle name="Total 3 8 2" xfId="36413"/>
    <cellStyle name="Total 3 9" xfId="36414"/>
    <cellStyle name="Total 3 9 2" xfId="36415"/>
  </cellStyles>
  <dxfs count="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theme" Target="theme/theme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calcChain" Target="calcChain.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01.xml.rels><?xml version="1.0" encoding="UTF-8" standalone="yes"?>
<Relationships xmlns="http://schemas.openxmlformats.org/package/2006/relationships"><Relationship Id="rId3" Type="http://schemas.openxmlformats.org/officeDocument/2006/relationships/hyperlink" Target="http://www.vivaleercopec.cl/2" TargetMode="External"/><Relationship Id="rId2" Type="http://schemas.openxmlformats.org/officeDocument/2006/relationships/hyperlink" Target="http://www.fundacionlafuente.cl/" TargetMode="External"/><Relationship Id="rId1" Type="http://schemas.openxmlformats.org/officeDocument/2006/relationships/hyperlink" Target="http://www.bibliotecaviva.cl/" TargetMode="External"/><Relationship Id="rId6" Type="http://schemas.openxmlformats.org/officeDocument/2006/relationships/printerSettings" Target="../printerSettings/printerSettings138.bin"/><Relationship Id="rId5" Type="http://schemas.openxmlformats.org/officeDocument/2006/relationships/hyperlink" Target="http://www.troquel.cl/3" TargetMode="External"/><Relationship Id="rId4" Type="http://schemas.openxmlformats.org/officeDocument/2006/relationships/hyperlink" Target="http://www.lecturaparatodos.cl/3" TargetMode="External"/></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0"/>
  <sheetViews>
    <sheetView tabSelected="1" workbookViewId="0">
      <selection activeCell="A142" sqref="A142"/>
    </sheetView>
  </sheetViews>
  <sheetFormatPr baseColWidth="10" defaultRowHeight="15" x14ac:dyDescent="0.25"/>
  <cols>
    <col min="1" max="1" width="20.7109375" style="2299" customWidth="1"/>
    <col min="2" max="2" width="123.5703125" style="2302" customWidth="1"/>
    <col min="3" max="16384" width="11.42578125" style="2299"/>
  </cols>
  <sheetData>
    <row r="1" spans="1:2" ht="33.75" customHeight="1" x14ac:dyDescent="0.25">
      <c r="A1" s="2297" t="s">
        <v>5045</v>
      </c>
      <c r="B1" s="2298" t="s">
        <v>4337</v>
      </c>
    </row>
    <row r="2" spans="1:2" ht="30" x14ac:dyDescent="0.25">
      <c r="A2" s="2300" t="s">
        <v>4357</v>
      </c>
      <c r="B2" s="2301" t="s">
        <v>4358</v>
      </c>
    </row>
    <row r="3" spans="1:2" ht="30" x14ac:dyDescent="0.25">
      <c r="A3" s="2300" t="s">
        <v>4359</v>
      </c>
      <c r="B3" s="2301" t="s">
        <v>4360</v>
      </c>
    </row>
    <row r="4" spans="1:2" x14ac:dyDescent="0.25">
      <c r="A4" s="2300" t="s">
        <v>4361</v>
      </c>
      <c r="B4" s="2301" t="s">
        <v>4362</v>
      </c>
    </row>
    <row r="5" spans="1:2" ht="30" x14ac:dyDescent="0.25">
      <c r="A5" s="2300" t="s">
        <v>4363</v>
      </c>
      <c r="B5" s="2301" t="s">
        <v>4364</v>
      </c>
    </row>
    <row r="6" spans="1:2" ht="30" x14ac:dyDescent="0.25">
      <c r="A6" s="2300" t="s">
        <v>4365</v>
      </c>
      <c r="B6" s="2301" t="s">
        <v>4366</v>
      </c>
    </row>
    <row r="7" spans="1:2" ht="30" x14ac:dyDescent="0.25">
      <c r="A7" s="2300" t="s">
        <v>4367</v>
      </c>
      <c r="B7" s="2301" t="s">
        <v>4368</v>
      </c>
    </row>
    <row r="8" spans="1:2" ht="30" x14ac:dyDescent="0.25">
      <c r="A8" s="2300" t="s">
        <v>4369</v>
      </c>
      <c r="B8" s="2301" t="s">
        <v>4370</v>
      </c>
    </row>
    <row r="9" spans="1:2" x14ac:dyDescent="0.25">
      <c r="A9" s="2300" t="s">
        <v>4371</v>
      </c>
      <c r="B9" s="2301" t="s">
        <v>4372</v>
      </c>
    </row>
    <row r="10" spans="1:2" x14ac:dyDescent="0.25">
      <c r="A10" s="2300" t="s">
        <v>4373</v>
      </c>
      <c r="B10" s="2301" t="s">
        <v>4374</v>
      </c>
    </row>
    <row r="11" spans="1:2" x14ac:dyDescent="0.25">
      <c r="A11" s="2300" t="s">
        <v>4375</v>
      </c>
      <c r="B11" s="2301" t="s">
        <v>4376</v>
      </c>
    </row>
    <row r="12" spans="1:2" x14ac:dyDescent="0.25">
      <c r="A12" s="2300" t="s">
        <v>4377</v>
      </c>
      <c r="B12" s="2301" t="s">
        <v>4378</v>
      </c>
    </row>
    <row r="13" spans="1:2" ht="30" x14ac:dyDescent="0.25">
      <c r="A13" s="2300" t="s">
        <v>4379</v>
      </c>
      <c r="B13" s="2301" t="s">
        <v>4380</v>
      </c>
    </row>
    <row r="14" spans="1:2" ht="30" x14ac:dyDescent="0.25">
      <c r="A14" s="2300" t="s">
        <v>4381</v>
      </c>
      <c r="B14" s="2301" t="s">
        <v>4382</v>
      </c>
    </row>
    <row r="15" spans="1:2" ht="30" x14ac:dyDescent="0.25">
      <c r="A15" s="2300" t="s">
        <v>4383</v>
      </c>
      <c r="B15" s="2301" t="s">
        <v>4384</v>
      </c>
    </row>
    <row r="16" spans="1:2" ht="30" x14ac:dyDescent="0.25">
      <c r="A16" s="2300" t="s">
        <v>4385</v>
      </c>
      <c r="B16" s="2301" t="s">
        <v>4386</v>
      </c>
    </row>
    <row r="17" spans="1:2" ht="30" x14ac:dyDescent="0.25">
      <c r="A17" s="2300" t="s">
        <v>4387</v>
      </c>
      <c r="B17" s="2301" t="s">
        <v>4388</v>
      </c>
    </row>
    <row r="18" spans="1:2" x14ac:dyDescent="0.25">
      <c r="A18" s="2300" t="s">
        <v>4389</v>
      </c>
      <c r="B18" s="2301" t="s">
        <v>4390</v>
      </c>
    </row>
    <row r="19" spans="1:2" x14ac:dyDescent="0.25">
      <c r="A19" s="2300" t="s">
        <v>4391</v>
      </c>
      <c r="B19" s="2301" t="s">
        <v>4392</v>
      </c>
    </row>
    <row r="20" spans="1:2" x14ac:dyDescent="0.25">
      <c r="A20" s="2300" t="s">
        <v>4393</v>
      </c>
      <c r="B20" s="2301" t="s">
        <v>4394</v>
      </c>
    </row>
    <row r="21" spans="1:2" x14ac:dyDescent="0.25">
      <c r="A21" s="2300" t="s">
        <v>4395</v>
      </c>
      <c r="B21" s="2301" t="s">
        <v>4396</v>
      </c>
    </row>
    <row r="22" spans="1:2" x14ac:dyDescent="0.25">
      <c r="A22" s="2300" t="s">
        <v>4397</v>
      </c>
      <c r="B22" s="2301" t="s">
        <v>4398</v>
      </c>
    </row>
    <row r="23" spans="1:2" x14ac:dyDescent="0.25">
      <c r="A23" s="2300" t="s">
        <v>4399</v>
      </c>
      <c r="B23" s="2301" t="s">
        <v>4400</v>
      </c>
    </row>
    <row r="24" spans="1:2" x14ac:dyDescent="0.25">
      <c r="A24" s="2300" t="s">
        <v>4401</v>
      </c>
      <c r="B24" s="2301" t="s">
        <v>4402</v>
      </c>
    </row>
    <row r="25" spans="1:2" ht="30" x14ac:dyDescent="0.25">
      <c r="A25" s="2300" t="s">
        <v>4403</v>
      </c>
      <c r="B25" s="2301" t="s">
        <v>4404</v>
      </c>
    </row>
    <row r="26" spans="1:2" x14ac:dyDescent="0.25">
      <c r="A26" s="2300" t="s">
        <v>4405</v>
      </c>
      <c r="B26" s="2301" t="s">
        <v>4406</v>
      </c>
    </row>
    <row r="27" spans="1:2" ht="30" x14ac:dyDescent="0.25">
      <c r="A27" s="2300" t="s">
        <v>4407</v>
      </c>
      <c r="B27" s="2301" t="s">
        <v>4408</v>
      </c>
    </row>
    <row r="28" spans="1:2" ht="30" x14ac:dyDescent="0.25">
      <c r="A28" s="2300" t="s">
        <v>4409</v>
      </c>
      <c r="B28" s="2301" t="s">
        <v>4410</v>
      </c>
    </row>
    <row r="29" spans="1:2" ht="30" x14ac:dyDescent="0.25">
      <c r="A29" s="2300" t="s">
        <v>4411</v>
      </c>
      <c r="B29" s="2301" t="s">
        <v>4412</v>
      </c>
    </row>
    <row r="30" spans="1:2" ht="30" x14ac:dyDescent="0.25">
      <c r="A30" s="2300" t="s">
        <v>4413</v>
      </c>
      <c r="B30" s="2301" t="s">
        <v>4414</v>
      </c>
    </row>
    <row r="31" spans="1:2" ht="30" x14ac:dyDescent="0.25">
      <c r="A31" s="2300" t="s">
        <v>4415</v>
      </c>
      <c r="B31" s="2301" t="s">
        <v>4416</v>
      </c>
    </row>
    <row r="32" spans="1:2" ht="45" x14ac:dyDescent="0.25">
      <c r="A32" s="2300" t="s">
        <v>4417</v>
      </c>
      <c r="B32" s="2301" t="s">
        <v>4418</v>
      </c>
    </row>
    <row r="33" spans="1:2" ht="30" x14ac:dyDescent="0.25">
      <c r="A33" s="2300" t="s">
        <v>4419</v>
      </c>
      <c r="B33" s="2301" t="s">
        <v>4420</v>
      </c>
    </row>
    <row r="34" spans="1:2" ht="30" x14ac:dyDescent="0.25">
      <c r="A34" s="2300" t="s">
        <v>4421</v>
      </c>
      <c r="B34" s="2301" t="s">
        <v>4422</v>
      </c>
    </row>
    <row r="35" spans="1:2" ht="30" x14ac:dyDescent="0.25">
      <c r="A35" s="2300" t="s">
        <v>4423</v>
      </c>
      <c r="B35" s="2301" t="s">
        <v>4424</v>
      </c>
    </row>
    <row r="36" spans="1:2" x14ac:dyDescent="0.25">
      <c r="A36" s="2300" t="s">
        <v>4425</v>
      </c>
      <c r="B36" s="2301" t="s">
        <v>4426</v>
      </c>
    </row>
    <row r="37" spans="1:2" x14ac:dyDescent="0.25">
      <c r="A37" s="2300" t="s">
        <v>4427</v>
      </c>
      <c r="B37" s="2301" t="s">
        <v>4428</v>
      </c>
    </row>
    <row r="38" spans="1:2" ht="30" x14ac:dyDescent="0.25">
      <c r="A38" s="2300" t="s">
        <v>4429</v>
      </c>
      <c r="B38" s="2301" t="s">
        <v>4430</v>
      </c>
    </row>
    <row r="39" spans="1:2" x14ac:dyDescent="0.25">
      <c r="A39" s="2300" t="s">
        <v>4431</v>
      </c>
      <c r="B39" s="2301" t="s">
        <v>4432</v>
      </c>
    </row>
    <row r="40" spans="1:2" x14ac:dyDescent="0.25">
      <c r="A40" s="2300" t="s">
        <v>4433</v>
      </c>
      <c r="B40" s="2301" t="s">
        <v>4434</v>
      </c>
    </row>
    <row r="41" spans="1:2" x14ac:dyDescent="0.25">
      <c r="A41" s="2300" t="s">
        <v>4435</v>
      </c>
      <c r="B41" s="2301" t="s">
        <v>4436</v>
      </c>
    </row>
    <row r="42" spans="1:2" ht="30" x14ac:dyDescent="0.25">
      <c r="A42" s="2300" t="s">
        <v>4437</v>
      </c>
      <c r="B42" s="2301" t="s">
        <v>4438</v>
      </c>
    </row>
    <row r="43" spans="1:2" x14ac:dyDescent="0.25">
      <c r="A43" s="2300" t="s">
        <v>4439</v>
      </c>
      <c r="B43" s="2301" t="s">
        <v>4440</v>
      </c>
    </row>
    <row r="44" spans="1:2" x14ac:dyDescent="0.25">
      <c r="A44" s="2300" t="s">
        <v>4441</v>
      </c>
      <c r="B44" s="2301" t="s">
        <v>4442</v>
      </c>
    </row>
    <row r="45" spans="1:2" x14ac:dyDescent="0.25">
      <c r="A45" s="2300" t="s">
        <v>4443</v>
      </c>
      <c r="B45" s="2301" t="s">
        <v>4444</v>
      </c>
    </row>
    <row r="46" spans="1:2" ht="30" x14ac:dyDescent="0.25">
      <c r="A46" s="2300" t="s">
        <v>4445</v>
      </c>
      <c r="B46" s="2301" t="s">
        <v>4446</v>
      </c>
    </row>
    <row r="47" spans="1:2" ht="30" x14ac:dyDescent="0.25">
      <c r="A47" s="2300" t="s">
        <v>4447</v>
      </c>
      <c r="B47" s="2301" t="s">
        <v>4448</v>
      </c>
    </row>
    <row r="48" spans="1:2" ht="30" x14ac:dyDescent="0.25">
      <c r="A48" s="2300" t="s">
        <v>4449</v>
      </c>
      <c r="B48" s="2301" t="s">
        <v>4450</v>
      </c>
    </row>
    <row r="49" spans="1:2" ht="30" x14ac:dyDescent="0.25">
      <c r="A49" s="2300" t="s">
        <v>4451</v>
      </c>
      <c r="B49" s="2301" t="s">
        <v>4452</v>
      </c>
    </row>
    <row r="50" spans="1:2" ht="30" x14ac:dyDescent="0.25">
      <c r="A50" s="2300" t="s">
        <v>4453</v>
      </c>
      <c r="B50" s="2301" t="s">
        <v>4454</v>
      </c>
    </row>
    <row r="51" spans="1:2" x14ac:dyDescent="0.25">
      <c r="A51" s="2300" t="s">
        <v>4455</v>
      </c>
      <c r="B51" s="2301" t="s">
        <v>4456</v>
      </c>
    </row>
    <row r="52" spans="1:2" ht="30" x14ac:dyDescent="0.25">
      <c r="A52" s="2300" t="s">
        <v>4457</v>
      </c>
      <c r="B52" s="2301" t="s">
        <v>4458</v>
      </c>
    </row>
    <row r="53" spans="1:2" ht="30" x14ac:dyDescent="0.25">
      <c r="A53" s="2300" t="s">
        <v>4459</v>
      </c>
      <c r="B53" s="2301" t="s">
        <v>4460</v>
      </c>
    </row>
    <row r="54" spans="1:2" ht="30" x14ac:dyDescent="0.25">
      <c r="A54" s="2300" t="s">
        <v>4461</v>
      </c>
      <c r="B54" s="2301" t="s">
        <v>4462</v>
      </c>
    </row>
    <row r="55" spans="1:2" ht="30" x14ac:dyDescent="0.25">
      <c r="A55" s="2300" t="s">
        <v>4463</v>
      </c>
      <c r="B55" s="2301" t="s">
        <v>4464</v>
      </c>
    </row>
    <row r="56" spans="1:2" ht="30" x14ac:dyDescent="0.25">
      <c r="A56" s="2300" t="s">
        <v>4465</v>
      </c>
      <c r="B56" s="2301" t="s">
        <v>4466</v>
      </c>
    </row>
    <row r="57" spans="1:2" ht="30" x14ac:dyDescent="0.25">
      <c r="A57" s="2300" t="s">
        <v>4467</v>
      </c>
      <c r="B57" s="2301" t="s">
        <v>4468</v>
      </c>
    </row>
    <row r="58" spans="1:2" ht="30" x14ac:dyDescent="0.25">
      <c r="A58" s="2300" t="s">
        <v>4469</v>
      </c>
      <c r="B58" s="2301" t="s">
        <v>4470</v>
      </c>
    </row>
    <row r="59" spans="1:2" ht="30" x14ac:dyDescent="0.25">
      <c r="A59" s="2300" t="s">
        <v>4471</v>
      </c>
      <c r="B59" s="2301" t="s">
        <v>4472</v>
      </c>
    </row>
    <row r="60" spans="1:2" ht="30" x14ac:dyDescent="0.25">
      <c r="A60" s="2300" t="s">
        <v>4473</v>
      </c>
      <c r="B60" s="2301" t="s">
        <v>4474</v>
      </c>
    </row>
    <row r="61" spans="1:2" ht="30" x14ac:dyDescent="0.25">
      <c r="A61" s="2300" t="s">
        <v>4475</v>
      </c>
      <c r="B61" s="2301" t="s">
        <v>4476</v>
      </c>
    </row>
    <row r="62" spans="1:2" ht="30" x14ac:dyDescent="0.25">
      <c r="A62" s="2300" t="s">
        <v>4477</v>
      </c>
      <c r="B62" s="2301" t="s">
        <v>4478</v>
      </c>
    </row>
    <row r="63" spans="1:2" ht="30" x14ac:dyDescent="0.25">
      <c r="A63" s="2300" t="s">
        <v>4479</v>
      </c>
      <c r="B63" s="2301" t="s">
        <v>4480</v>
      </c>
    </row>
    <row r="64" spans="1:2" ht="30" x14ac:dyDescent="0.25">
      <c r="A64" s="2300" t="s">
        <v>4481</v>
      </c>
      <c r="B64" s="2301" t="s">
        <v>4482</v>
      </c>
    </row>
    <row r="65" spans="1:2" ht="30" x14ac:dyDescent="0.25">
      <c r="A65" s="2300" t="s">
        <v>4483</v>
      </c>
      <c r="B65" s="2301" t="s">
        <v>4484</v>
      </c>
    </row>
    <row r="66" spans="1:2" ht="30" x14ac:dyDescent="0.25">
      <c r="A66" s="2300" t="s">
        <v>4485</v>
      </c>
      <c r="B66" s="2301" t="s">
        <v>4486</v>
      </c>
    </row>
    <row r="67" spans="1:2" ht="30" x14ac:dyDescent="0.25">
      <c r="A67" s="2300" t="s">
        <v>4487</v>
      </c>
      <c r="B67" s="2301" t="s">
        <v>4488</v>
      </c>
    </row>
    <row r="68" spans="1:2" ht="30" x14ac:dyDescent="0.25">
      <c r="A68" s="2300" t="s">
        <v>4489</v>
      </c>
      <c r="B68" s="2301" t="s">
        <v>4490</v>
      </c>
    </row>
    <row r="69" spans="1:2" ht="30" x14ac:dyDescent="0.25">
      <c r="A69" s="2300" t="s">
        <v>4473</v>
      </c>
      <c r="B69" s="2301" t="s">
        <v>4491</v>
      </c>
    </row>
    <row r="70" spans="1:2" ht="30" x14ac:dyDescent="0.25">
      <c r="A70" s="2300" t="s">
        <v>4492</v>
      </c>
      <c r="B70" s="2301" t="s">
        <v>4493</v>
      </c>
    </row>
    <row r="71" spans="1:2" ht="30" x14ac:dyDescent="0.25">
      <c r="A71" s="2300" t="s">
        <v>4494</v>
      </c>
      <c r="B71" s="2301" t="s">
        <v>4495</v>
      </c>
    </row>
    <row r="72" spans="1:2" ht="30" x14ac:dyDescent="0.25">
      <c r="A72" s="2300" t="s">
        <v>4496</v>
      </c>
      <c r="B72" s="2301" t="s">
        <v>4497</v>
      </c>
    </row>
    <row r="73" spans="1:2" ht="30" x14ac:dyDescent="0.25">
      <c r="A73" s="2300" t="s">
        <v>4498</v>
      </c>
      <c r="B73" s="2301" t="s">
        <v>4499</v>
      </c>
    </row>
    <row r="74" spans="1:2" ht="30" x14ac:dyDescent="0.25">
      <c r="A74" s="2300" t="s">
        <v>4500</v>
      </c>
      <c r="B74" s="2301" t="s">
        <v>4501</v>
      </c>
    </row>
    <row r="75" spans="1:2" ht="30" x14ac:dyDescent="0.25">
      <c r="A75" s="2300" t="s">
        <v>4502</v>
      </c>
      <c r="B75" s="2301" t="s">
        <v>4503</v>
      </c>
    </row>
    <row r="76" spans="1:2" ht="30" x14ac:dyDescent="0.25">
      <c r="A76" s="2300" t="s">
        <v>4504</v>
      </c>
      <c r="B76" s="2301" t="s">
        <v>4505</v>
      </c>
    </row>
    <row r="77" spans="1:2" ht="30" x14ac:dyDescent="0.25">
      <c r="A77" s="2300" t="s">
        <v>4506</v>
      </c>
      <c r="B77" s="2301" t="s">
        <v>4507</v>
      </c>
    </row>
    <row r="78" spans="1:2" x14ac:dyDescent="0.25">
      <c r="A78" s="2300" t="s">
        <v>4508</v>
      </c>
      <c r="B78" s="2301" t="s">
        <v>4509</v>
      </c>
    </row>
    <row r="79" spans="1:2" ht="30" x14ac:dyDescent="0.25">
      <c r="A79" s="2300" t="s">
        <v>4510</v>
      </c>
      <c r="B79" s="2301" t="s">
        <v>4511</v>
      </c>
    </row>
    <row r="80" spans="1:2" x14ac:dyDescent="0.25">
      <c r="A80" s="2300" t="s">
        <v>4512</v>
      </c>
      <c r="B80" s="2301" t="s">
        <v>4513</v>
      </c>
    </row>
    <row r="81" spans="1:2" ht="30" x14ac:dyDescent="0.25">
      <c r="A81" s="2300" t="s">
        <v>4514</v>
      </c>
      <c r="B81" s="2301" t="s">
        <v>4515</v>
      </c>
    </row>
    <row r="82" spans="1:2" ht="30" x14ac:dyDescent="0.25">
      <c r="A82" s="2300" t="s">
        <v>4516</v>
      </c>
      <c r="B82" s="2301" t="s">
        <v>4517</v>
      </c>
    </row>
    <row r="83" spans="1:2" x14ac:dyDescent="0.25">
      <c r="A83" s="2300" t="s">
        <v>4518</v>
      </c>
      <c r="B83" s="2301" t="s">
        <v>4519</v>
      </c>
    </row>
    <row r="84" spans="1:2" x14ac:dyDescent="0.25">
      <c r="A84" s="2300" t="s">
        <v>4520</v>
      </c>
      <c r="B84" s="2301" t="s">
        <v>4521</v>
      </c>
    </row>
    <row r="85" spans="1:2" ht="30" x14ac:dyDescent="0.25">
      <c r="A85" s="2300" t="s">
        <v>4522</v>
      </c>
      <c r="B85" s="2301" t="s">
        <v>4523</v>
      </c>
    </row>
    <row r="86" spans="1:2" ht="30" x14ac:dyDescent="0.25">
      <c r="A86" s="2300" t="s">
        <v>4524</v>
      </c>
      <c r="B86" s="2301" t="s">
        <v>4525</v>
      </c>
    </row>
    <row r="87" spans="1:2" ht="30" x14ac:dyDescent="0.25">
      <c r="A87" s="2300" t="s">
        <v>4526</v>
      </c>
      <c r="B87" s="2301" t="s">
        <v>4527</v>
      </c>
    </row>
    <row r="88" spans="1:2" ht="30" x14ac:dyDescent="0.25">
      <c r="A88" s="2300" t="s">
        <v>4528</v>
      </c>
      <c r="B88" s="2301" t="s">
        <v>4529</v>
      </c>
    </row>
    <row r="89" spans="1:2" ht="30" x14ac:dyDescent="0.25">
      <c r="A89" s="2300" t="s">
        <v>4530</v>
      </c>
      <c r="B89" s="2301" t="s">
        <v>4531</v>
      </c>
    </row>
    <row r="90" spans="1:2" x14ac:dyDescent="0.25">
      <c r="A90" s="2300" t="s">
        <v>4532</v>
      </c>
      <c r="B90" s="2301" t="s">
        <v>4533</v>
      </c>
    </row>
    <row r="91" spans="1:2" x14ac:dyDescent="0.25">
      <c r="A91" s="2300" t="s">
        <v>4534</v>
      </c>
      <c r="B91" s="2301" t="s">
        <v>4535</v>
      </c>
    </row>
    <row r="92" spans="1:2" ht="30" x14ac:dyDescent="0.25">
      <c r="A92" s="2300" t="s">
        <v>4536</v>
      </c>
      <c r="B92" s="2301" t="s">
        <v>4537</v>
      </c>
    </row>
    <row r="93" spans="1:2" ht="30" x14ac:dyDescent="0.25">
      <c r="A93" s="2300" t="s">
        <v>4538</v>
      </c>
      <c r="B93" s="2301" t="s">
        <v>4539</v>
      </c>
    </row>
    <row r="94" spans="1:2" ht="30" x14ac:dyDescent="0.25">
      <c r="A94" s="2300" t="s">
        <v>4540</v>
      </c>
      <c r="B94" s="2301" t="s">
        <v>4541</v>
      </c>
    </row>
    <row r="95" spans="1:2" x14ac:dyDescent="0.25">
      <c r="A95" s="2300" t="s">
        <v>4542</v>
      </c>
      <c r="B95" s="2301" t="s">
        <v>4543</v>
      </c>
    </row>
    <row r="96" spans="1:2" ht="30" x14ac:dyDescent="0.25">
      <c r="A96" s="2300" t="s">
        <v>4544</v>
      </c>
      <c r="B96" s="2301" t="s">
        <v>4545</v>
      </c>
    </row>
    <row r="97" spans="1:2" ht="30" x14ac:dyDescent="0.25">
      <c r="A97" s="2300" t="s">
        <v>4546</v>
      </c>
      <c r="B97" s="2301" t="s">
        <v>4547</v>
      </c>
    </row>
    <row r="98" spans="1:2" ht="30" x14ac:dyDescent="0.25">
      <c r="A98" s="2300" t="s">
        <v>4548</v>
      </c>
      <c r="B98" s="2301" t="s">
        <v>4549</v>
      </c>
    </row>
    <row r="99" spans="1:2" ht="30" x14ac:dyDescent="0.25">
      <c r="A99" s="2300" t="s">
        <v>4550</v>
      </c>
      <c r="B99" s="2301" t="s">
        <v>4551</v>
      </c>
    </row>
    <row r="100" spans="1:2" ht="30" x14ac:dyDescent="0.25">
      <c r="A100" s="2300" t="s">
        <v>4552</v>
      </c>
      <c r="B100" s="2301" t="s">
        <v>4553</v>
      </c>
    </row>
    <row r="101" spans="1:2" ht="30" x14ac:dyDescent="0.25">
      <c r="A101" s="2300" t="s">
        <v>4554</v>
      </c>
      <c r="B101" s="2301" t="s">
        <v>4555</v>
      </c>
    </row>
    <row r="102" spans="1:2" ht="30" x14ac:dyDescent="0.25">
      <c r="A102" s="2300" t="s">
        <v>4556</v>
      </c>
      <c r="B102" s="2301" t="s">
        <v>4557</v>
      </c>
    </row>
    <row r="103" spans="1:2" x14ac:dyDescent="0.25">
      <c r="A103" s="2300" t="s">
        <v>4558</v>
      </c>
      <c r="B103" s="2301" t="s">
        <v>4559</v>
      </c>
    </row>
    <row r="104" spans="1:2" x14ac:dyDescent="0.25">
      <c r="A104" s="2300" t="s">
        <v>4560</v>
      </c>
      <c r="B104" s="2301" t="s">
        <v>4561</v>
      </c>
    </row>
    <row r="105" spans="1:2" ht="30" x14ac:dyDescent="0.25">
      <c r="A105" s="2300" t="s">
        <v>4562</v>
      </c>
      <c r="B105" s="2301" t="s">
        <v>4563</v>
      </c>
    </row>
    <row r="106" spans="1:2" ht="30" x14ac:dyDescent="0.25">
      <c r="A106" s="2300" t="s">
        <v>4564</v>
      </c>
      <c r="B106" s="2301" t="s">
        <v>4565</v>
      </c>
    </row>
    <row r="107" spans="1:2" ht="30" x14ac:dyDescent="0.25">
      <c r="A107" s="2300" t="s">
        <v>4566</v>
      </c>
      <c r="B107" s="2301" t="s">
        <v>4567</v>
      </c>
    </row>
    <row r="108" spans="1:2" x14ac:dyDescent="0.25">
      <c r="A108" s="2300" t="s">
        <v>4568</v>
      </c>
      <c r="B108" s="2301" t="s">
        <v>4569</v>
      </c>
    </row>
    <row r="109" spans="1:2" x14ac:dyDescent="0.25">
      <c r="A109" s="2300" t="s">
        <v>4570</v>
      </c>
      <c r="B109" s="2301" t="s">
        <v>4571</v>
      </c>
    </row>
    <row r="110" spans="1:2" ht="30" x14ac:dyDescent="0.25">
      <c r="A110" s="2300" t="s">
        <v>4572</v>
      </c>
      <c r="B110" s="2301" t="s">
        <v>4573</v>
      </c>
    </row>
    <row r="111" spans="1:2" x14ac:dyDescent="0.25">
      <c r="A111" s="2300" t="s">
        <v>4574</v>
      </c>
      <c r="B111" s="2301" t="s">
        <v>4575</v>
      </c>
    </row>
    <row r="112" spans="1:2" ht="30" x14ac:dyDescent="0.25">
      <c r="A112" s="2300" t="s">
        <v>4576</v>
      </c>
      <c r="B112" s="2301" t="s">
        <v>4577</v>
      </c>
    </row>
    <row r="113" spans="1:2" ht="30" x14ac:dyDescent="0.25">
      <c r="A113" s="2300" t="s">
        <v>4578</v>
      </c>
      <c r="B113" s="2301" t="s">
        <v>4579</v>
      </c>
    </row>
    <row r="114" spans="1:2" x14ac:dyDescent="0.25">
      <c r="A114" s="2300" t="s">
        <v>4580</v>
      </c>
      <c r="B114" s="2301" t="s">
        <v>4581</v>
      </c>
    </row>
    <row r="115" spans="1:2" x14ac:dyDescent="0.25">
      <c r="A115" s="2300" t="s">
        <v>4582</v>
      </c>
      <c r="B115" s="2301" t="s">
        <v>4583</v>
      </c>
    </row>
    <row r="116" spans="1:2" ht="30" x14ac:dyDescent="0.25">
      <c r="A116" s="2300" t="s">
        <v>4584</v>
      </c>
      <c r="B116" s="2301" t="s">
        <v>4585</v>
      </c>
    </row>
    <row r="117" spans="1:2" ht="30" x14ac:dyDescent="0.25">
      <c r="A117" s="2300" t="s">
        <v>4586</v>
      </c>
      <c r="B117" s="2301" t="s">
        <v>4587</v>
      </c>
    </row>
    <row r="118" spans="1:2" x14ac:dyDescent="0.25">
      <c r="A118" s="2300" t="s">
        <v>4588</v>
      </c>
      <c r="B118" s="2301" t="s">
        <v>4589</v>
      </c>
    </row>
    <row r="119" spans="1:2" x14ac:dyDescent="0.25">
      <c r="A119" s="2300" t="s">
        <v>4590</v>
      </c>
      <c r="B119" s="2301" t="s">
        <v>4591</v>
      </c>
    </row>
    <row r="120" spans="1:2" ht="30" x14ac:dyDescent="0.25">
      <c r="A120" s="2300" t="s">
        <v>4592</v>
      </c>
      <c r="B120" s="2301" t="s">
        <v>4593</v>
      </c>
    </row>
    <row r="121" spans="1:2" ht="30" x14ac:dyDescent="0.25">
      <c r="A121" s="2300" t="s">
        <v>4594</v>
      </c>
      <c r="B121" s="2301" t="s">
        <v>4595</v>
      </c>
    </row>
    <row r="122" spans="1:2" x14ac:dyDescent="0.25">
      <c r="A122" s="2300" t="s">
        <v>4596</v>
      </c>
      <c r="B122" s="2301" t="s">
        <v>4597</v>
      </c>
    </row>
    <row r="123" spans="1:2" ht="30" x14ac:dyDescent="0.25">
      <c r="A123" s="2300" t="s">
        <v>4598</v>
      </c>
      <c r="B123" s="2301" t="s">
        <v>4599</v>
      </c>
    </row>
    <row r="124" spans="1:2" x14ac:dyDescent="0.25">
      <c r="A124" s="2300" t="s">
        <v>4600</v>
      </c>
      <c r="B124" s="2301" t="s">
        <v>4601</v>
      </c>
    </row>
    <row r="125" spans="1:2" ht="30" x14ac:dyDescent="0.25">
      <c r="A125" s="2300" t="s">
        <v>4602</v>
      </c>
      <c r="B125" s="2301" t="s">
        <v>4603</v>
      </c>
    </row>
    <row r="126" spans="1:2" ht="30" x14ac:dyDescent="0.25">
      <c r="A126" s="2300" t="s">
        <v>4604</v>
      </c>
      <c r="B126" s="2301" t="s">
        <v>4605</v>
      </c>
    </row>
    <row r="127" spans="1:2" ht="30" x14ac:dyDescent="0.25">
      <c r="A127" s="2300" t="s">
        <v>4606</v>
      </c>
      <c r="B127" s="2301" t="s">
        <v>4607</v>
      </c>
    </row>
    <row r="128" spans="1:2" ht="30" x14ac:dyDescent="0.25">
      <c r="A128" s="2300" t="s">
        <v>4608</v>
      </c>
      <c r="B128" s="2301" t="s">
        <v>5056</v>
      </c>
    </row>
    <row r="129" spans="1:2" ht="30" x14ac:dyDescent="0.25">
      <c r="A129" s="2300" t="s">
        <v>4609</v>
      </c>
      <c r="B129" s="2301" t="s">
        <v>5058</v>
      </c>
    </row>
    <row r="130" spans="1:2" x14ac:dyDescent="0.25">
      <c r="A130" s="2300" t="s">
        <v>4610</v>
      </c>
      <c r="B130" s="2301" t="s">
        <v>4611</v>
      </c>
    </row>
    <row r="131" spans="1:2" x14ac:dyDescent="0.25">
      <c r="A131" s="2300" t="s">
        <v>4612</v>
      </c>
      <c r="B131" s="2301" t="s">
        <v>4613</v>
      </c>
    </row>
    <row r="132" spans="1:2" x14ac:dyDescent="0.25">
      <c r="A132" s="2300" t="s">
        <v>4614</v>
      </c>
      <c r="B132" s="2301" t="s">
        <v>4615</v>
      </c>
    </row>
    <row r="133" spans="1:2" x14ac:dyDescent="0.25">
      <c r="A133" s="2300" t="s">
        <v>4616</v>
      </c>
      <c r="B133" s="2301" t="s">
        <v>4617</v>
      </c>
    </row>
    <row r="134" spans="1:2" x14ac:dyDescent="0.25">
      <c r="A134" s="2300" t="s">
        <v>4618</v>
      </c>
      <c r="B134" s="2301" t="s">
        <v>4619</v>
      </c>
    </row>
    <row r="135" spans="1:2" ht="30" x14ac:dyDescent="0.25">
      <c r="A135" s="2300" t="s">
        <v>4620</v>
      </c>
      <c r="B135" s="2301" t="s">
        <v>4621</v>
      </c>
    </row>
    <row r="136" spans="1:2" x14ac:dyDescent="0.25">
      <c r="A136" s="2300" t="s">
        <v>4622</v>
      </c>
      <c r="B136" s="2301" t="s">
        <v>4623</v>
      </c>
    </row>
    <row r="137" spans="1:2" x14ac:dyDescent="0.25">
      <c r="A137" s="2300" t="s">
        <v>4624</v>
      </c>
      <c r="B137" s="2301" t="s">
        <v>4625</v>
      </c>
    </row>
    <row r="138" spans="1:2" ht="30" x14ac:dyDescent="0.25">
      <c r="A138" s="2300" t="s">
        <v>4626</v>
      </c>
      <c r="B138" s="2301" t="s">
        <v>4627</v>
      </c>
    </row>
    <row r="139" spans="1:2" x14ac:dyDescent="0.25">
      <c r="A139" s="2300" t="s">
        <v>4628</v>
      </c>
      <c r="B139" s="2301" t="s">
        <v>4629</v>
      </c>
    </row>
    <row r="140" spans="1:2" x14ac:dyDescent="0.25">
      <c r="A140" s="2300" t="s">
        <v>4630</v>
      </c>
      <c r="B140" s="2301" t="s">
        <v>4631</v>
      </c>
    </row>
    <row r="141" spans="1:2" x14ac:dyDescent="0.25">
      <c r="A141" s="2300" t="s">
        <v>4632</v>
      </c>
      <c r="B141" s="2301" t="s">
        <v>4633</v>
      </c>
    </row>
    <row r="142" spans="1:2" x14ac:dyDescent="0.25">
      <c r="A142" s="2300" t="s">
        <v>4634</v>
      </c>
      <c r="B142" s="2301" t="s">
        <v>4635</v>
      </c>
    </row>
    <row r="143" spans="1:2" ht="30" x14ac:dyDescent="0.25">
      <c r="A143" s="2300" t="s">
        <v>4636</v>
      </c>
      <c r="B143" s="2301" t="s">
        <v>4637</v>
      </c>
    </row>
    <row r="144" spans="1:2" x14ac:dyDescent="0.25">
      <c r="A144" s="2300" t="s">
        <v>4638</v>
      </c>
      <c r="B144" s="2301" t="s">
        <v>4639</v>
      </c>
    </row>
    <row r="145" spans="1:2" x14ac:dyDescent="0.25">
      <c r="A145" s="2300" t="s">
        <v>4640</v>
      </c>
      <c r="B145" s="2301" t="s">
        <v>4641</v>
      </c>
    </row>
    <row r="146" spans="1:2" x14ac:dyDescent="0.25">
      <c r="A146" s="2300" t="s">
        <v>4642</v>
      </c>
      <c r="B146" s="2301" t="s">
        <v>4643</v>
      </c>
    </row>
    <row r="147" spans="1:2" x14ac:dyDescent="0.25">
      <c r="A147" s="2300" t="s">
        <v>4644</v>
      </c>
      <c r="B147" s="2301" t="s">
        <v>4645</v>
      </c>
    </row>
    <row r="148" spans="1:2" x14ac:dyDescent="0.25">
      <c r="A148" s="2300" t="s">
        <v>4646</v>
      </c>
      <c r="B148" s="2301" t="s">
        <v>4647</v>
      </c>
    </row>
    <row r="149" spans="1:2" x14ac:dyDescent="0.25">
      <c r="A149" s="2300" t="s">
        <v>4648</v>
      </c>
      <c r="B149" s="2301" t="s">
        <v>4649</v>
      </c>
    </row>
    <row r="150" spans="1:2" x14ac:dyDescent="0.25">
      <c r="A150" s="2300" t="s">
        <v>4650</v>
      </c>
      <c r="B150" s="2301" t="s">
        <v>4651</v>
      </c>
    </row>
    <row r="151" spans="1:2" x14ac:dyDescent="0.25">
      <c r="A151" s="2300" t="s">
        <v>4652</v>
      </c>
      <c r="B151" s="2301" t="s">
        <v>4653</v>
      </c>
    </row>
    <row r="152" spans="1:2" x14ac:dyDescent="0.25">
      <c r="A152" s="2300" t="s">
        <v>4654</v>
      </c>
      <c r="B152" s="2301" t="s">
        <v>4655</v>
      </c>
    </row>
    <row r="153" spans="1:2" ht="30" x14ac:dyDescent="0.25">
      <c r="A153" s="2300" t="s">
        <v>4656</v>
      </c>
      <c r="B153" s="2301" t="s">
        <v>4657</v>
      </c>
    </row>
    <row r="154" spans="1:2" ht="30" x14ac:dyDescent="0.25">
      <c r="A154" s="2300" t="s">
        <v>4658</v>
      </c>
      <c r="B154" s="2301" t="s">
        <v>4659</v>
      </c>
    </row>
    <row r="155" spans="1:2" x14ac:dyDescent="0.25">
      <c r="A155" s="2300" t="s">
        <v>4660</v>
      </c>
      <c r="B155" s="2301" t="s">
        <v>4661</v>
      </c>
    </row>
    <row r="156" spans="1:2" x14ac:dyDescent="0.25">
      <c r="A156" s="2300" t="s">
        <v>4662</v>
      </c>
      <c r="B156" s="2301" t="s">
        <v>4663</v>
      </c>
    </row>
    <row r="157" spans="1:2" ht="30" x14ac:dyDescent="0.25">
      <c r="A157" s="2300" t="s">
        <v>4664</v>
      </c>
      <c r="B157" s="2301" t="s">
        <v>4665</v>
      </c>
    </row>
    <row r="158" spans="1:2" x14ac:dyDescent="0.25">
      <c r="A158" s="2300" t="s">
        <v>4666</v>
      </c>
      <c r="B158" s="2301" t="s">
        <v>4667</v>
      </c>
    </row>
    <row r="159" spans="1:2" x14ac:dyDescent="0.25">
      <c r="A159" s="2300" t="s">
        <v>4668</v>
      </c>
      <c r="B159" s="2301" t="s">
        <v>4669</v>
      </c>
    </row>
    <row r="160" spans="1:2" ht="30" x14ac:dyDescent="0.25">
      <c r="A160" s="2300" t="s">
        <v>4670</v>
      </c>
      <c r="B160" s="2301" t="s">
        <v>4671</v>
      </c>
    </row>
    <row r="161" spans="1:2" x14ac:dyDescent="0.25">
      <c r="A161" s="2300" t="s">
        <v>4672</v>
      </c>
      <c r="B161" s="2301" t="s">
        <v>4673</v>
      </c>
    </row>
    <row r="162" spans="1:2" ht="30" x14ac:dyDescent="0.25">
      <c r="A162" s="2300" t="s">
        <v>4674</v>
      </c>
      <c r="B162" s="2301" t="s">
        <v>4675</v>
      </c>
    </row>
    <row r="163" spans="1:2" ht="30" x14ac:dyDescent="0.25">
      <c r="A163" s="2300" t="s">
        <v>4676</v>
      </c>
      <c r="B163" s="2301" t="s">
        <v>4677</v>
      </c>
    </row>
    <row r="164" spans="1:2" x14ac:dyDescent="0.25">
      <c r="A164" s="2300" t="s">
        <v>4678</v>
      </c>
      <c r="B164" s="2301" t="s">
        <v>4679</v>
      </c>
    </row>
    <row r="165" spans="1:2" ht="30" x14ac:dyDescent="0.25">
      <c r="A165" s="2300" t="s">
        <v>4680</v>
      </c>
      <c r="B165" s="2301" t="s">
        <v>4681</v>
      </c>
    </row>
    <row r="166" spans="1:2" ht="30" x14ac:dyDescent="0.25">
      <c r="A166" s="2300" t="s">
        <v>4682</v>
      </c>
      <c r="B166" s="2301" t="s">
        <v>4683</v>
      </c>
    </row>
    <row r="167" spans="1:2" ht="30" x14ac:dyDescent="0.25">
      <c r="A167" s="2300" t="s">
        <v>4684</v>
      </c>
      <c r="B167" s="2301" t="s">
        <v>4685</v>
      </c>
    </row>
    <row r="168" spans="1:2" ht="30" x14ac:dyDescent="0.25">
      <c r="A168" s="2300" t="s">
        <v>4686</v>
      </c>
      <c r="B168" s="2301" t="s">
        <v>4687</v>
      </c>
    </row>
    <row r="169" spans="1:2" ht="30" x14ac:dyDescent="0.25">
      <c r="A169" s="2300" t="s">
        <v>4688</v>
      </c>
      <c r="B169" s="2301" t="s">
        <v>4689</v>
      </c>
    </row>
    <row r="170" spans="1:2" x14ac:dyDescent="0.25">
      <c r="A170" s="2300" t="s">
        <v>4690</v>
      </c>
      <c r="B170" s="2301" t="s">
        <v>4691</v>
      </c>
    </row>
    <row r="171" spans="1:2" ht="30" x14ac:dyDescent="0.25">
      <c r="A171" s="2300" t="s">
        <v>4692</v>
      </c>
      <c r="B171" s="2301" t="s">
        <v>4693</v>
      </c>
    </row>
    <row r="172" spans="1:2" x14ac:dyDescent="0.25">
      <c r="A172" s="2300" t="s">
        <v>4694</v>
      </c>
      <c r="B172" s="2301" t="s">
        <v>4695</v>
      </c>
    </row>
    <row r="173" spans="1:2" ht="30" x14ac:dyDescent="0.25">
      <c r="A173" s="2300" t="s">
        <v>4696</v>
      </c>
      <c r="B173" s="2301" t="s">
        <v>4697</v>
      </c>
    </row>
    <row r="174" spans="1:2" ht="30" x14ac:dyDescent="0.25">
      <c r="A174" s="2300" t="s">
        <v>4698</v>
      </c>
      <c r="B174" s="2301" t="s">
        <v>4699</v>
      </c>
    </row>
    <row r="175" spans="1:2" ht="30" x14ac:dyDescent="0.25">
      <c r="A175" s="2300" t="s">
        <v>4700</v>
      </c>
      <c r="B175" s="2301" t="s">
        <v>4701</v>
      </c>
    </row>
    <row r="176" spans="1:2" ht="30" x14ac:dyDescent="0.25">
      <c r="A176" s="2300" t="s">
        <v>4702</v>
      </c>
      <c r="B176" s="2301" t="s">
        <v>4703</v>
      </c>
    </row>
    <row r="177" spans="1:2" x14ac:dyDescent="0.25">
      <c r="A177" s="2300" t="s">
        <v>4704</v>
      </c>
      <c r="B177" s="2301" t="s">
        <v>4705</v>
      </c>
    </row>
    <row r="178" spans="1:2" x14ac:dyDescent="0.25">
      <c r="A178" s="2300" t="s">
        <v>4706</v>
      </c>
      <c r="B178" s="2301" t="s">
        <v>4707</v>
      </c>
    </row>
    <row r="179" spans="1:2" ht="30" x14ac:dyDescent="0.25">
      <c r="A179" s="2300" t="s">
        <v>4708</v>
      </c>
      <c r="B179" s="2301" t="s">
        <v>4709</v>
      </c>
    </row>
    <row r="180" spans="1:2" x14ac:dyDescent="0.25">
      <c r="A180" s="2300" t="s">
        <v>4710</v>
      </c>
      <c r="B180" s="2301" t="s">
        <v>4711</v>
      </c>
    </row>
    <row r="181" spans="1:2" x14ac:dyDescent="0.25">
      <c r="A181" s="2300" t="s">
        <v>4712</v>
      </c>
      <c r="B181" s="2301" t="s">
        <v>4713</v>
      </c>
    </row>
    <row r="182" spans="1:2" ht="30" x14ac:dyDescent="0.25">
      <c r="A182" s="2300" t="s">
        <v>4714</v>
      </c>
      <c r="B182" s="2301" t="s">
        <v>4715</v>
      </c>
    </row>
    <row r="183" spans="1:2" ht="30" x14ac:dyDescent="0.25">
      <c r="A183" s="2300" t="s">
        <v>4716</v>
      </c>
      <c r="B183" s="2301" t="s">
        <v>4717</v>
      </c>
    </row>
    <row r="184" spans="1:2" ht="30" x14ac:dyDescent="0.25">
      <c r="A184" s="2300" t="s">
        <v>4718</v>
      </c>
      <c r="B184" s="2301" t="s">
        <v>4719</v>
      </c>
    </row>
    <row r="185" spans="1:2" x14ac:dyDescent="0.25">
      <c r="A185" s="2300" t="s">
        <v>4720</v>
      </c>
      <c r="B185" s="2301" t="s">
        <v>4721</v>
      </c>
    </row>
    <row r="186" spans="1:2" ht="45" x14ac:dyDescent="0.25">
      <c r="A186" s="2300" t="s">
        <v>4722</v>
      </c>
      <c r="B186" s="2301" t="s">
        <v>4723</v>
      </c>
    </row>
    <row r="187" spans="1:2" ht="45" x14ac:dyDescent="0.25">
      <c r="A187" s="2300" t="s">
        <v>4724</v>
      </c>
      <c r="B187" s="2301" t="s">
        <v>4725</v>
      </c>
    </row>
    <row r="188" spans="1:2" x14ac:dyDescent="0.25">
      <c r="A188" s="2300" t="s">
        <v>4726</v>
      </c>
      <c r="B188" s="2301" t="s">
        <v>4727</v>
      </c>
    </row>
    <row r="189" spans="1:2" x14ac:dyDescent="0.25">
      <c r="A189" s="2300" t="s">
        <v>4728</v>
      </c>
      <c r="B189" s="2301" t="s">
        <v>4729</v>
      </c>
    </row>
    <row r="190" spans="1:2" x14ac:dyDescent="0.25">
      <c r="A190" s="2300" t="s">
        <v>4730</v>
      </c>
      <c r="B190" s="2301" t="s">
        <v>4731</v>
      </c>
    </row>
    <row r="191" spans="1:2" x14ac:dyDescent="0.25">
      <c r="A191" s="2300" t="s">
        <v>4732</v>
      </c>
      <c r="B191" s="2301" t="s">
        <v>4733</v>
      </c>
    </row>
    <row r="192" spans="1:2" ht="30" x14ac:dyDescent="0.25">
      <c r="A192" s="2300" t="s">
        <v>4734</v>
      </c>
      <c r="B192" s="2301" t="s">
        <v>4735</v>
      </c>
    </row>
    <row r="193" spans="1:2" ht="30" x14ac:dyDescent="0.25">
      <c r="A193" s="2300" t="s">
        <v>4736</v>
      </c>
      <c r="B193" s="2301" t="s">
        <v>5060</v>
      </c>
    </row>
    <row r="194" spans="1:2" x14ac:dyDescent="0.25">
      <c r="A194" s="2300" t="s">
        <v>4737</v>
      </c>
      <c r="B194" s="2301" t="s">
        <v>4738</v>
      </c>
    </row>
    <row r="195" spans="1:2" x14ac:dyDescent="0.25">
      <c r="A195" s="2300" t="s">
        <v>4739</v>
      </c>
      <c r="B195" s="2301" t="s">
        <v>4740</v>
      </c>
    </row>
    <row r="196" spans="1:2" x14ac:dyDescent="0.25">
      <c r="A196" s="2300" t="s">
        <v>4741</v>
      </c>
      <c r="B196" s="2301" t="s">
        <v>4742</v>
      </c>
    </row>
    <row r="197" spans="1:2" x14ac:dyDescent="0.25">
      <c r="A197" s="2300" t="s">
        <v>4743</v>
      </c>
      <c r="B197" s="2301" t="s">
        <v>4744</v>
      </c>
    </row>
    <row r="198" spans="1:2" x14ac:dyDescent="0.25">
      <c r="A198" s="2300" t="s">
        <v>4745</v>
      </c>
      <c r="B198" s="2301" t="s">
        <v>4746</v>
      </c>
    </row>
    <row r="199" spans="1:2" x14ac:dyDescent="0.25">
      <c r="A199" s="2300" t="s">
        <v>4747</v>
      </c>
      <c r="B199" s="2301" t="s">
        <v>4748</v>
      </c>
    </row>
    <row r="200" spans="1:2" ht="30" x14ac:dyDescent="0.25">
      <c r="A200" s="2300" t="s">
        <v>4749</v>
      </c>
      <c r="B200" s="2301" t="s">
        <v>4750</v>
      </c>
    </row>
    <row r="201" spans="1:2" x14ac:dyDescent="0.25">
      <c r="A201" s="2300" t="s">
        <v>4751</v>
      </c>
      <c r="B201" s="2301" t="s">
        <v>4752</v>
      </c>
    </row>
    <row r="202" spans="1:2" ht="30" x14ac:dyDescent="0.25">
      <c r="A202" s="2300" t="s">
        <v>4753</v>
      </c>
      <c r="B202" s="2301" t="s">
        <v>4754</v>
      </c>
    </row>
    <row r="203" spans="1:2" ht="30" x14ac:dyDescent="0.25">
      <c r="A203" s="2300" t="s">
        <v>4755</v>
      </c>
      <c r="B203" s="2301" t="s">
        <v>4756</v>
      </c>
    </row>
    <row r="204" spans="1:2" x14ac:dyDescent="0.25">
      <c r="A204" s="2300" t="s">
        <v>4757</v>
      </c>
      <c r="B204" s="2301" t="s">
        <v>4758</v>
      </c>
    </row>
    <row r="205" spans="1:2" x14ac:dyDescent="0.25">
      <c r="A205" s="2300" t="s">
        <v>4759</v>
      </c>
      <c r="B205" s="2301" t="s">
        <v>4760</v>
      </c>
    </row>
    <row r="206" spans="1:2" x14ac:dyDescent="0.25">
      <c r="A206" s="2300" t="s">
        <v>4761</v>
      </c>
      <c r="B206" s="2301" t="s">
        <v>4762</v>
      </c>
    </row>
    <row r="207" spans="1:2" x14ac:dyDescent="0.25">
      <c r="A207" s="2300" t="s">
        <v>4763</v>
      </c>
      <c r="B207" s="2301" t="s">
        <v>4764</v>
      </c>
    </row>
    <row r="208" spans="1:2" ht="30" x14ac:dyDescent="0.25">
      <c r="A208" s="2300" t="s">
        <v>4765</v>
      </c>
      <c r="B208" s="2301" t="s">
        <v>4766</v>
      </c>
    </row>
    <row r="209" spans="1:2" ht="30" x14ac:dyDescent="0.25">
      <c r="A209" s="2300" t="s">
        <v>4767</v>
      </c>
      <c r="B209" s="2301" t="s">
        <v>4768</v>
      </c>
    </row>
    <row r="210" spans="1:2" ht="30" x14ac:dyDescent="0.25">
      <c r="A210" s="2300" t="s">
        <v>4769</v>
      </c>
      <c r="B210" s="2301" t="s">
        <v>4770</v>
      </c>
    </row>
    <row r="211" spans="1:2" ht="30" x14ac:dyDescent="0.25">
      <c r="A211" s="2300" t="s">
        <v>4771</v>
      </c>
      <c r="B211" s="2301" t="s">
        <v>4772</v>
      </c>
    </row>
    <row r="212" spans="1:2" ht="30" x14ac:dyDescent="0.25">
      <c r="A212" s="2300" t="s">
        <v>4773</v>
      </c>
      <c r="B212" s="2301" t="s">
        <v>4774</v>
      </c>
    </row>
    <row r="213" spans="1:2" x14ac:dyDescent="0.25">
      <c r="A213" s="2300" t="s">
        <v>4775</v>
      </c>
      <c r="B213" s="2301" t="s">
        <v>4776</v>
      </c>
    </row>
    <row r="214" spans="1:2" x14ac:dyDescent="0.25">
      <c r="A214" s="2300" t="s">
        <v>4777</v>
      </c>
      <c r="B214" s="2301" t="s">
        <v>4778</v>
      </c>
    </row>
    <row r="215" spans="1:2" x14ac:dyDescent="0.25">
      <c r="A215" s="2300" t="s">
        <v>4779</v>
      </c>
      <c r="B215" s="2301" t="s">
        <v>4780</v>
      </c>
    </row>
    <row r="216" spans="1:2" x14ac:dyDescent="0.25">
      <c r="A216" s="2300" t="s">
        <v>4781</v>
      </c>
      <c r="B216" s="2301" t="s">
        <v>4782</v>
      </c>
    </row>
    <row r="217" spans="1:2" x14ac:dyDescent="0.25">
      <c r="A217" s="2300" t="s">
        <v>4783</v>
      </c>
      <c r="B217" s="2301" t="s">
        <v>4784</v>
      </c>
    </row>
    <row r="218" spans="1:2" x14ac:dyDescent="0.25">
      <c r="A218" s="2300" t="s">
        <v>4785</v>
      </c>
      <c r="B218" s="2301" t="s">
        <v>4786</v>
      </c>
    </row>
    <row r="219" spans="1:2" x14ac:dyDescent="0.25">
      <c r="A219" s="2300" t="s">
        <v>4787</v>
      </c>
      <c r="B219" s="2301" t="s">
        <v>4788</v>
      </c>
    </row>
    <row r="220" spans="1:2" x14ac:dyDescent="0.25">
      <c r="A220" s="2300" t="s">
        <v>4789</v>
      </c>
      <c r="B220" s="2301" t="s">
        <v>4790</v>
      </c>
    </row>
    <row r="221" spans="1:2" x14ac:dyDescent="0.25">
      <c r="A221" s="2300" t="s">
        <v>4791</v>
      </c>
      <c r="B221" s="2301" t="s">
        <v>4792</v>
      </c>
    </row>
    <row r="222" spans="1:2" x14ac:dyDescent="0.25">
      <c r="A222" s="2300" t="s">
        <v>4793</v>
      </c>
      <c r="B222" s="2301" t="s">
        <v>4794</v>
      </c>
    </row>
    <row r="223" spans="1:2" x14ac:dyDescent="0.25">
      <c r="A223" s="2300" t="s">
        <v>4795</v>
      </c>
      <c r="B223" s="2301" t="s">
        <v>4796</v>
      </c>
    </row>
    <row r="224" spans="1:2" x14ac:dyDescent="0.25">
      <c r="A224" s="2300" t="s">
        <v>4797</v>
      </c>
      <c r="B224" s="2301" t="s">
        <v>4798</v>
      </c>
    </row>
    <row r="225" spans="1:2" x14ac:dyDescent="0.25">
      <c r="A225" s="2300" t="s">
        <v>4799</v>
      </c>
      <c r="B225" s="2301" t="s">
        <v>4800</v>
      </c>
    </row>
    <row r="226" spans="1:2" x14ac:dyDescent="0.25">
      <c r="A226" s="2300" t="s">
        <v>4801</v>
      </c>
      <c r="B226" s="2301" t="s">
        <v>4802</v>
      </c>
    </row>
    <row r="227" spans="1:2" ht="30" x14ac:dyDescent="0.25">
      <c r="A227" s="2300" t="s">
        <v>4803</v>
      </c>
      <c r="B227" s="2301" t="s">
        <v>4804</v>
      </c>
    </row>
    <row r="228" spans="1:2" ht="30" x14ac:dyDescent="0.25">
      <c r="A228" s="2300" t="s">
        <v>4805</v>
      </c>
      <c r="B228" s="2301" t="s">
        <v>4806</v>
      </c>
    </row>
    <row r="229" spans="1:2" ht="30" x14ac:dyDescent="0.25">
      <c r="A229" s="2300" t="s">
        <v>4807</v>
      </c>
      <c r="B229" s="2301" t="s">
        <v>4808</v>
      </c>
    </row>
    <row r="230" spans="1:2" x14ac:dyDescent="0.25">
      <c r="A230" s="2300" t="s">
        <v>4809</v>
      </c>
      <c r="B230" s="2301" t="s">
        <v>4810</v>
      </c>
    </row>
    <row r="231" spans="1:2" x14ac:dyDescent="0.25">
      <c r="A231" s="2300" t="s">
        <v>4811</v>
      </c>
      <c r="B231" s="2301" t="s">
        <v>4812</v>
      </c>
    </row>
    <row r="232" spans="1:2" x14ac:dyDescent="0.25">
      <c r="A232" s="2300" t="s">
        <v>4813</v>
      </c>
      <c r="B232" s="2301" t="s">
        <v>4814</v>
      </c>
    </row>
    <row r="233" spans="1:2" ht="30" x14ac:dyDescent="0.25">
      <c r="A233" s="2300" t="s">
        <v>4815</v>
      </c>
      <c r="B233" s="2301" t="s">
        <v>4816</v>
      </c>
    </row>
    <row r="234" spans="1:2" x14ac:dyDescent="0.25">
      <c r="A234" s="2300" t="s">
        <v>4817</v>
      </c>
      <c r="B234" s="2301" t="s">
        <v>4818</v>
      </c>
    </row>
    <row r="235" spans="1:2" x14ac:dyDescent="0.25">
      <c r="A235" s="2300" t="s">
        <v>4819</v>
      </c>
      <c r="B235" s="2301" t="s">
        <v>4820</v>
      </c>
    </row>
    <row r="236" spans="1:2" x14ac:dyDescent="0.25">
      <c r="A236" s="2300" t="s">
        <v>4821</v>
      </c>
      <c r="B236" s="2301" t="s">
        <v>4822</v>
      </c>
    </row>
    <row r="237" spans="1:2" x14ac:dyDescent="0.25">
      <c r="A237" s="2300" t="s">
        <v>4823</v>
      </c>
      <c r="B237" s="2301" t="s">
        <v>4824</v>
      </c>
    </row>
    <row r="238" spans="1:2" x14ac:dyDescent="0.25">
      <c r="A238" s="2300" t="s">
        <v>4825</v>
      </c>
      <c r="B238" s="2301" t="s">
        <v>4826</v>
      </c>
    </row>
    <row r="239" spans="1:2" x14ac:dyDescent="0.25">
      <c r="A239" s="2300" t="s">
        <v>5049</v>
      </c>
      <c r="B239" s="2301" t="s">
        <v>5050</v>
      </c>
    </row>
    <row r="240" spans="1:2" x14ac:dyDescent="0.25">
      <c r="A240" s="2300" t="s">
        <v>5051</v>
      </c>
      <c r="B240" s="2301" t="s">
        <v>5052</v>
      </c>
    </row>
    <row r="241" spans="1:2" x14ac:dyDescent="0.25">
      <c r="A241" s="2300" t="s">
        <v>4827</v>
      </c>
      <c r="B241" s="2301" t="s">
        <v>4828</v>
      </c>
    </row>
    <row r="242" spans="1:2" x14ac:dyDescent="0.25">
      <c r="A242" s="2300" t="s">
        <v>5053</v>
      </c>
      <c r="B242" s="2301" t="s">
        <v>5054</v>
      </c>
    </row>
    <row r="243" spans="1:2" x14ac:dyDescent="0.25">
      <c r="A243" s="2300" t="s">
        <v>4829</v>
      </c>
      <c r="B243" s="2301" t="s">
        <v>4830</v>
      </c>
    </row>
    <row r="244" spans="1:2" ht="30" x14ac:dyDescent="0.25">
      <c r="A244" s="2300" t="s">
        <v>4831</v>
      </c>
      <c r="B244" s="2301" t="s">
        <v>4832</v>
      </c>
    </row>
    <row r="245" spans="1:2" ht="30" x14ac:dyDescent="0.25">
      <c r="A245" s="2300" t="s">
        <v>4833</v>
      </c>
      <c r="B245" s="2301" t="s">
        <v>4834</v>
      </c>
    </row>
    <row r="246" spans="1:2" ht="30" x14ac:dyDescent="0.25">
      <c r="A246" s="2300" t="s">
        <v>4835</v>
      </c>
      <c r="B246" s="2301" t="s">
        <v>4836</v>
      </c>
    </row>
    <row r="247" spans="1:2" ht="30" x14ac:dyDescent="0.25">
      <c r="A247" s="2300" t="s">
        <v>4837</v>
      </c>
      <c r="B247" s="2301" t="s">
        <v>4838</v>
      </c>
    </row>
    <row r="248" spans="1:2" ht="30" x14ac:dyDescent="0.25">
      <c r="A248" s="2300" t="s">
        <v>4839</v>
      </c>
      <c r="B248" s="2301" t="s">
        <v>4840</v>
      </c>
    </row>
    <row r="249" spans="1:2" ht="30" x14ac:dyDescent="0.25">
      <c r="A249" s="2300" t="s">
        <v>4841</v>
      </c>
      <c r="B249" s="2301" t="s">
        <v>4842</v>
      </c>
    </row>
    <row r="250" spans="1:2" ht="30" x14ac:dyDescent="0.25">
      <c r="A250" s="2300" t="s">
        <v>4843</v>
      </c>
      <c r="B250" s="2301" t="s">
        <v>4844</v>
      </c>
    </row>
    <row r="251" spans="1:2" x14ac:dyDescent="0.25">
      <c r="A251" s="2300" t="s">
        <v>4845</v>
      </c>
      <c r="B251" s="2301" t="s">
        <v>4846</v>
      </c>
    </row>
    <row r="252" spans="1:2" ht="30" x14ac:dyDescent="0.25">
      <c r="A252" s="2300" t="s">
        <v>4847</v>
      </c>
      <c r="B252" s="2301" t="s">
        <v>4848</v>
      </c>
    </row>
    <row r="253" spans="1:2" ht="30" x14ac:dyDescent="0.25">
      <c r="A253" s="2300" t="s">
        <v>4849</v>
      </c>
      <c r="B253" s="2301" t="s">
        <v>4850</v>
      </c>
    </row>
    <row r="254" spans="1:2" x14ac:dyDescent="0.25">
      <c r="A254" s="2300" t="s">
        <v>4851</v>
      </c>
      <c r="B254" s="2301" t="s">
        <v>4852</v>
      </c>
    </row>
    <row r="255" spans="1:2" ht="30" x14ac:dyDescent="0.25">
      <c r="A255" s="2300" t="s">
        <v>4853</v>
      </c>
      <c r="B255" s="2301" t="s">
        <v>4854</v>
      </c>
    </row>
    <row r="256" spans="1:2" x14ac:dyDescent="0.25">
      <c r="A256" s="2300" t="s">
        <v>4855</v>
      </c>
      <c r="B256" s="2301" t="s">
        <v>4856</v>
      </c>
    </row>
    <row r="257" spans="1:2" x14ac:dyDescent="0.25">
      <c r="A257" s="2300" t="s">
        <v>4857</v>
      </c>
      <c r="B257" s="2301" t="s">
        <v>4858</v>
      </c>
    </row>
    <row r="258" spans="1:2" x14ac:dyDescent="0.25">
      <c r="A258" s="2300" t="s">
        <v>4859</v>
      </c>
      <c r="B258" s="2301" t="s">
        <v>4860</v>
      </c>
    </row>
    <row r="259" spans="1:2" x14ac:dyDescent="0.25">
      <c r="A259" s="2300" t="s">
        <v>4861</v>
      </c>
      <c r="B259" s="2301" t="s">
        <v>4862</v>
      </c>
    </row>
    <row r="260" spans="1:2" x14ac:dyDescent="0.25">
      <c r="A260" s="2300" t="s">
        <v>4863</v>
      </c>
      <c r="B260" s="2301" t="s">
        <v>4864</v>
      </c>
    </row>
    <row r="261" spans="1:2" ht="30" x14ac:dyDescent="0.25">
      <c r="A261" s="2300" t="s">
        <v>4865</v>
      </c>
      <c r="B261" s="2301" t="s">
        <v>4866</v>
      </c>
    </row>
    <row r="262" spans="1:2" x14ac:dyDescent="0.25">
      <c r="A262" s="2300" t="s">
        <v>4867</v>
      </c>
      <c r="B262" s="2301" t="s">
        <v>4868</v>
      </c>
    </row>
    <row r="263" spans="1:2" ht="30" x14ac:dyDescent="0.25">
      <c r="A263" s="2300" t="s">
        <v>4869</v>
      </c>
      <c r="B263" s="2301" t="s">
        <v>4870</v>
      </c>
    </row>
    <row r="264" spans="1:2" x14ac:dyDescent="0.25">
      <c r="A264" s="2300" t="s">
        <v>4871</v>
      </c>
      <c r="B264" s="2301" t="s">
        <v>4872</v>
      </c>
    </row>
    <row r="265" spans="1:2" x14ac:dyDescent="0.25">
      <c r="A265" s="2300" t="s">
        <v>4873</v>
      </c>
      <c r="B265" s="2301" t="s">
        <v>4874</v>
      </c>
    </row>
    <row r="266" spans="1:2" x14ac:dyDescent="0.25">
      <c r="A266" s="2300" t="s">
        <v>4875</v>
      </c>
      <c r="B266" s="2301" t="s">
        <v>4876</v>
      </c>
    </row>
    <row r="267" spans="1:2" ht="30" x14ac:dyDescent="0.25">
      <c r="A267" s="2300" t="s">
        <v>4877</v>
      </c>
      <c r="B267" s="2301" t="s">
        <v>4878</v>
      </c>
    </row>
    <row r="268" spans="1:2" x14ac:dyDescent="0.25">
      <c r="A268" s="2300" t="s">
        <v>4879</v>
      </c>
      <c r="B268" s="2301" t="s">
        <v>4880</v>
      </c>
    </row>
    <row r="269" spans="1:2" x14ac:dyDescent="0.25">
      <c r="A269" s="2300" t="s">
        <v>4881</v>
      </c>
      <c r="B269" s="2301" t="s">
        <v>4882</v>
      </c>
    </row>
    <row r="270" spans="1:2" x14ac:dyDescent="0.25">
      <c r="A270" s="2300" t="s">
        <v>4883</v>
      </c>
      <c r="B270" s="2301" t="s">
        <v>4884</v>
      </c>
    </row>
    <row r="271" spans="1:2" ht="30" x14ac:dyDescent="0.25">
      <c r="A271" s="2300" t="s">
        <v>4885</v>
      </c>
      <c r="B271" s="2301" t="s">
        <v>4886</v>
      </c>
    </row>
    <row r="272" spans="1:2" ht="30" x14ac:dyDescent="0.25">
      <c r="A272" s="2300" t="s">
        <v>4887</v>
      </c>
      <c r="B272" s="2301" t="s">
        <v>4888</v>
      </c>
    </row>
    <row r="273" spans="1:2" x14ac:dyDescent="0.25">
      <c r="A273" s="2300" t="s">
        <v>4889</v>
      </c>
      <c r="B273" s="2301" t="s">
        <v>4890</v>
      </c>
    </row>
    <row r="274" spans="1:2" x14ac:dyDescent="0.25">
      <c r="A274" s="2300" t="s">
        <v>4891</v>
      </c>
      <c r="B274" s="2301" t="s">
        <v>4892</v>
      </c>
    </row>
    <row r="275" spans="1:2" ht="30" x14ac:dyDescent="0.25">
      <c r="A275" s="2300" t="s">
        <v>4893</v>
      </c>
      <c r="B275" s="2301" t="s">
        <v>4894</v>
      </c>
    </row>
    <row r="276" spans="1:2" ht="30" x14ac:dyDescent="0.25">
      <c r="A276" s="2300" t="s">
        <v>4895</v>
      </c>
      <c r="B276" s="2301" t="s">
        <v>4896</v>
      </c>
    </row>
    <row r="277" spans="1:2" ht="30" x14ac:dyDescent="0.25">
      <c r="A277" s="2300" t="s">
        <v>4897</v>
      </c>
      <c r="B277" s="2301" t="s">
        <v>4898</v>
      </c>
    </row>
    <row r="278" spans="1:2" ht="30" x14ac:dyDescent="0.25">
      <c r="A278" s="2300" t="s">
        <v>4899</v>
      </c>
      <c r="B278" s="2301" t="s">
        <v>4900</v>
      </c>
    </row>
    <row r="279" spans="1:2" x14ac:dyDescent="0.25">
      <c r="A279" s="2300" t="s">
        <v>4901</v>
      </c>
      <c r="B279" s="2301" t="s">
        <v>4902</v>
      </c>
    </row>
    <row r="280" spans="1:2" x14ac:dyDescent="0.25">
      <c r="A280" s="2300" t="s">
        <v>4903</v>
      </c>
      <c r="B280" s="2301" t="s">
        <v>4904</v>
      </c>
    </row>
    <row r="281" spans="1:2" x14ac:dyDescent="0.25">
      <c r="A281" s="2300" t="s">
        <v>4905</v>
      </c>
      <c r="B281" s="2301" t="s">
        <v>4906</v>
      </c>
    </row>
    <row r="282" spans="1:2" x14ac:dyDescent="0.25">
      <c r="A282" s="2300" t="s">
        <v>4907</v>
      </c>
      <c r="B282" s="2301" t="s">
        <v>4908</v>
      </c>
    </row>
    <row r="283" spans="1:2" x14ac:dyDescent="0.25">
      <c r="A283" s="2300" t="s">
        <v>4909</v>
      </c>
      <c r="B283" s="2301" t="s">
        <v>4910</v>
      </c>
    </row>
    <row r="284" spans="1:2" x14ac:dyDescent="0.25">
      <c r="A284" s="2300" t="s">
        <v>4911</v>
      </c>
      <c r="B284" s="2301" t="s">
        <v>4912</v>
      </c>
    </row>
    <row r="285" spans="1:2" x14ac:dyDescent="0.25">
      <c r="A285" s="2300" t="s">
        <v>4913</v>
      </c>
      <c r="B285" s="2301" t="s">
        <v>4914</v>
      </c>
    </row>
    <row r="286" spans="1:2" ht="30" x14ac:dyDescent="0.25">
      <c r="A286" s="2300" t="s">
        <v>4915</v>
      </c>
      <c r="B286" s="2301" t="s">
        <v>4916</v>
      </c>
    </row>
    <row r="287" spans="1:2" ht="30" x14ac:dyDescent="0.25">
      <c r="A287" s="2300" t="s">
        <v>4917</v>
      </c>
      <c r="B287" s="2301" t="s">
        <v>4918</v>
      </c>
    </row>
    <row r="288" spans="1:2" ht="30" x14ac:dyDescent="0.25">
      <c r="A288" s="2300" t="s">
        <v>4919</v>
      </c>
      <c r="B288" s="2301" t="s">
        <v>4920</v>
      </c>
    </row>
    <row r="289" spans="1:2" x14ac:dyDescent="0.25">
      <c r="A289" s="2300" t="s">
        <v>4921</v>
      </c>
      <c r="B289" s="2301" t="s">
        <v>4922</v>
      </c>
    </row>
    <row r="290" spans="1:2" x14ac:dyDescent="0.25">
      <c r="A290" s="2300" t="s">
        <v>4923</v>
      </c>
      <c r="B290" s="2301" t="s">
        <v>4924</v>
      </c>
    </row>
    <row r="291" spans="1:2" ht="30" x14ac:dyDescent="0.25">
      <c r="A291" s="2300" t="s">
        <v>4925</v>
      </c>
      <c r="B291" s="2301" t="s">
        <v>4926</v>
      </c>
    </row>
    <row r="292" spans="1:2" ht="30" x14ac:dyDescent="0.25">
      <c r="A292" s="2300" t="s">
        <v>4927</v>
      </c>
      <c r="B292" s="2301" t="s">
        <v>4928</v>
      </c>
    </row>
    <row r="293" spans="1:2" ht="30" x14ac:dyDescent="0.25">
      <c r="A293" s="2300" t="s">
        <v>4929</v>
      </c>
      <c r="B293" s="2301" t="s">
        <v>4930</v>
      </c>
    </row>
    <row r="294" spans="1:2" ht="30" x14ac:dyDescent="0.25">
      <c r="A294" s="2300" t="s">
        <v>4931</v>
      </c>
      <c r="B294" s="2301" t="s">
        <v>4932</v>
      </c>
    </row>
    <row r="295" spans="1:2" ht="45" x14ac:dyDescent="0.25">
      <c r="A295" s="2300" t="s">
        <v>4933</v>
      </c>
      <c r="B295" s="2301" t="s">
        <v>4934</v>
      </c>
    </row>
    <row r="296" spans="1:2" ht="30" x14ac:dyDescent="0.25">
      <c r="A296" s="2300" t="s">
        <v>4935</v>
      </c>
      <c r="B296" s="2301" t="s">
        <v>4936</v>
      </c>
    </row>
    <row r="297" spans="1:2" ht="30" x14ac:dyDescent="0.25">
      <c r="A297" s="2300" t="s">
        <v>4937</v>
      </c>
      <c r="B297" s="2301" t="s">
        <v>4938</v>
      </c>
    </row>
    <row r="298" spans="1:2" ht="30" x14ac:dyDescent="0.25">
      <c r="A298" s="2300" t="s">
        <v>4939</v>
      </c>
      <c r="B298" s="2301" t="s">
        <v>4940</v>
      </c>
    </row>
    <row r="299" spans="1:2" ht="30" x14ac:dyDescent="0.25">
      <c r="A299" s="2300" t="s">
        <v>4941</v>
      </c>
      <c r="B299" s="2301" t="s">
        <v>4942</v>
      </c>
    </row>
    <row r="300" spans="1:2" ht="30" x14ac:dyDescent="0.25">
      <c r="A300" s="2300" t="s">
        <v>4943</v>
      </c>
      <c r="B300" s="2301" t="s">
        <v>4944</v>
      </c>
    </row>
    <row r="301" spans="1:2" ht="30" x14ac:dyDescent="0.25">
      <c r="A301" s="2300" t="s">
        <v>4945</v>
      </c>
      <c r="B301" s="2301" t="s">
        <v>4946</v>
      </c>
    </row>
    <row r="302" spans="1:2" ht="30" x14ac:dyDescent="0.25">
      <c r="A302" s="2300" t="s">
        <v>4947</v>
      </c>
      <c r="B302" s="2301" t="s">
        <v>4948</v>
      </c>
    </row>
    <row r="303" spans="1:2" ht="30" x14ac:dyDescent="0.25">
      <c r="A303" s="2300" t="s">
        <v>4949</v>
      </c>
      <c r="B303" s="2301" t="s">
        <v>4950</v>
      </c>
    </row>
    <row r="304" spans="1:2" ht="30" x14ac:dyDescent="0.25">
      <c r="A304" s="2300" t="s">
        <v>4951</v>
      </c>
      <c r="B304" s="2301" t="s">
        <v>4952</v>
      </c>
    </row>
    <row r="305" spans="1:2" ht="30" x14ac:dyDescent="0.25">
      <c r="A305" s="2300" t="s">
        <v>4953</v>
      </c>
      <c r="B305" s="2301" t="s">
        <v>4954</v>
      </c>
    </row>
    <row r="306" spans="1:2" x14ac:dyDescent="0.25">
      <c r="A306" s="2300" t="s">
        <v>4955</v>
      </c>
      <c r="B306" s="2301" t="s">
        <v>4956</v>
      </c>
    </row>
    <row r="307" spans="1:2" ht="30" x14ac:dyDescent="0.25">
      <c r="A307" s="2300" t="s">
        <v>4957</v>
      </c>
      <c r="B307" s="2301" t="s">
        <v>4958</v>
      </c>
    </row>
    <row r="308" spans="1:2" ht="30" x14ac:dyDescent="0.25">
      <c r="A308" s="2300" t="s">
        <v>4959</v>
      </c>
      <c r="B308" s="2301" t="s">
        <v>4960</v>
      </c>
    </row>
    <row r="309" spans="1:2" ht="30" x14ac:dyDescent="0.25">
      <c r="A309" s="2300" t="s">
        <v>4961</v>
      </c>
      <c r="B309" s="2301" t="s">
        <v>4962</v>
      </c>
    </row>
    <row r="310" spans="1:2" ht="30" x14ac:dyDescent="0.25">
      <c r="A310" s="2300" t="s">
        <v>4963</v>
      </c>
      <c r="B310" s="2301" t="s">
        <v>4964</v>
      </c>
    </row>
    <row r="311" spans="1:2" ht="30" x14ac:dyDescent="0.25">
      <c r="A311" s="2300" t="s">
        <v>4965</v>
      </c>
      <c r="B311" s="2301" t="s">
        <v>4966</v>
      </c>
    </row>
    <row r="312" spans="1:2" ht="30" x14ac:dyDescent="0.25">
      <c r="A312" s="2300" t="s">
        <v>4967</v>
      </c>
      <c r="B312" s="2301" t="s">
        <v>4968</v>
      </c>
    </row>
    <row r="313" spans="1:2" ht="30" x14ac:dyDescent="0.25">
      <c r="A313" s="2300" t="s">
        <v>4969</v>
      </c>
      <c r="B313" s="2301" t="s">
        <v>4970</v>
      </c>
    </row>
    <row r="314" spans="1:2" ht="30" x14ac:dyDescent="0.25">
      <c r="A314" s="2300" t="s">
        <v>4971</v>
      </c>
      <c r="B314" s="2301" t="s">
        <v>4972</v>
      </c>
    </row>
    <row r="315" spans="1:2" ht="30" x14ac:dyDescent="0.25">
      <c r="A315" s="2300" t="s">
        <v>4973</v>
      </c>
      <c r="B315" s="2301" t="s">
        <v>4974</v>
      </c>
    </row>
    <row r="316" spans="1:2" ht="30" x14ac:dyDescent="0.25">
      <c r="A316" s="2300" t="s">
        <v>4975</v>
      </c>
      <c r="B316" s="2301" t="s">
        <v>4976</v>
      </c>
    </row>
    <row r="317" spans="1:2" x14ac:dyDescent="0.25">
      <c r="A317" s="2300" t="s">
        <v>4977</v>
      </c>
      <c r="B317" s="2301" t="s">
        <v>4978</v>
      </c>
    </row>
    <row r="318" spans="1:2" ht="30" x14ac:dyDescent="0.25">
      <c r="A318" s="2300" t="s">
        <v>4979</v>
      </c>
      <c r="B318" s="2301" t="s">
        <v>4980</v>
      </c>
    </row>
    <row r="319" spans="1:2" x14ac:dyDescent="0.25">
      <c r="A319" s="2300" t="s">
        <v>4981</v>
      </c>
      <c r="B319" s="2301" t="s">
        <v>4982</v>
      </c>
    </row>
    <row r="320" spans="1:2" x14ac:dyDescent="0.25">
      <c r="A320" s="2300" t="s">
        <v>4983</v>
      </c>
      <c r="B320" s="2301" t="s">
        <v>4984</v>
      </c>
    </row>
    <row r="321" spans="1:2" ht="30" x14ac:dyDescent="0.25">
      <c r="A321" s="2300" t="s">
        <v>4985</v>
      </c>
      <c r="B321" s="2301" t="s">
        <v>4986</v>
      </c>
    </row>
    <row r="322" spans="1:2" ht="30" x14ac:dyDescent="0.25">
      <c r="A322" s="2300" t="s">
        <v>4987</v>
      </c>
      <c r="B322" s="2301" t="s">
        <v>4988</v>
      </c>
    </row>
    <row r="323" spans="1:2" x14ac:dyDescent="0.25">
      <c r="A323" s="2300" t="s">
        <v>4989</v>
      </c>
      <c r="B323" s="2301" t="s">
        <v>4990</v>
      </c>
    </row>
    <row r="324" spans="1:2" x14ac:dyDescent="0.25">
      <c r="A324" s="2300" t="s">
        <v>4991</v>
      </c>
      <c r="B324" s="2301" t="s">
        <v>4992</v>
      </c>
    </row>
    <row r="325" spans="1:2" x14ac:dyDescent="0.25">
      <c r="A325" s="2300" t="s">
        <v>4993</v>
      </c>
      <c r="B325" s="2301" t="s">
        <v>4994</v>
      </c>
    </row>
    <row r="326" spans="1:2" x14ac:dyDescent="0.25">
      <c r="A326" s="2300" t="s">
        <v>4995</v>
      </c>
      <c r="B326" s="2301" t="s">
        <v>4996</v>
      </c>
    </row>
    <row r="327" spans="1:2" x14ac:dyDescent="0.25">
      <c r="A327" s="2300" t="s">
        <v>4997</v>
      </c>
      <c r="B327" s="2301" t="s">
        <v>4998</v>
      </c>
    </row>
    <row r="328" spans="1:2" ht="30" x14ac:dyDescent="0.25">
      <c r="A328" s="2300" t="s">
        <v>4999</v>
      </c>
      <c r="B328" s="2301" t="s">
        <v>5000</v>
      </c>
    </row>
    <row r="329" spans="1:2" ht="45" x14ac:dyDescent="0.25">
      <c r="A329" s="2300" t="s">
        <v>5001</v>
      </c>
      <c r="B329" s="2301" t="s">
        <v>5002</v>
      </c>
    </row>
    <row r="330" spans="1:2" ht="30" x14ac:dyDescent="0.25">
      <c r="A330" s="2300" t="s">
        <v>5003</v>
      </c>
      <c r="B330" s="2301" t="s">
        <v>5004</v>
      </c>
    </row>
    <row r="331" spans="1:2" ht="30" x14ac:dyDescent="0.25">
      <c r="A331" s="2300" t="s">
        <v>5005</v>
      </c>
      <c r="B331" s="2301" t="s">
        <v>5006</v>
      </c>
    </row>
    <row r="332" spans="1:2" ht="30" x14ac:dyDescent="0.25">
      <c r="A332" s="2300" t="s">
        <v>5007</v>
      </c>
      <c r="B332" s="2301" t="s">
        <v>5008</v>
      </c>
    </row>
    <row r="333" spans="1:2" ht="30" x14ac:dyDescent="0.25">
      <c r="A333" s="2300" t="s">
        <v>5009</v>
      </c>
      <c r="B333" s="2301" t="s">
        <v>5010</v>
      </c>
    </row>
    <row r="334" spans="1:2" ht="30" x14ac:dyDescent="0.25">
      <c r="A334" s="2300" t="s">
        <v>5011</v>
      </c>
      <c r="B334" s="2301" t="s">
        <v>5012</v>
      </c>
    </row>
    <row r="335" spans="1:2" ht="30" x14ac:dyDescent="0.25">
      <c r="A335" s="2300" t="s">
        <v>5013</v>
      </c>
      <c r="B335" s="2301" t="s">
        <v>5014</v>
      </c>
    </row>
    <row r="336" spans="1:2" ht="30" x14ac:dyDescent="0.25">
      <c r="A336" s="2300" t="s">
        <v>5015</v>
      </c>
      <c r="B336" s="2301" t="s">
        <v>5016</v>
      </c>
    </row>
    <row r="337" spans="1:2" ht="30" x14ac:dyDescent="0.25">
      <c r="A337" s="2300" t="s">
        <v>5017</v>
      </c>
      <c r="B337" s="2301" t="s">
        <v>5018</v>
      </c>
    </row>
    <row r="338" spans="1:2" ht="30" x14ac:dyDescent="0.25">
      <c r="A338" s="2300" t="s">
        <v>5019</v>
      </c>
      <c r="B338" s="2301" t="s">
        <v>5020</v>
      </c>
    </row>
    <row r="339" spans="1:2" ht="30" x14ac:dyDescent="0.25">
      <c r="A339" s="2300" t="s">
        <v>5021</v>
      </c>
      <c r="B339" s="2301" t="s">
        <v>5022</v>
      </c>
    </row>
    <row r="340" spans="1:2" ht="30" x14ac:dyDescent="0.25">
      <c r="A340" s="2300" t="s">
        <v>5023</v>
      </c>
      <c r="B340" s="2301" t="s">
        <v>5024</v>
      </c>
    </row>
    <row r="341" spans="1:2" ht="30" x14ac:dyDescent="0.25">
      <c r="A341" s="2300" t="s">
        <v>5025</v>
      </c>
      <c r="B341" s="2301" t="s">
        <v>5026</v>
      </c>
    </row>
    <row r="342" spans="1:2" ht="30" x14ac:dyDescent="0.25">
      <c r="A342" s="2300" t="s">
        <v>5027</v>
      </c>
      <c r="B342" s="2301" t="s">
        <v>5028</v>
      </c>
    </row>
    <row r="343" spans="1:2" ht="30" x14ac:dyDescent="0.25">
      <c r="A343" s="2300" t="s">
        <v>5029</v>
      </c>
      <c r="B343" s="2301" t="s">
        <v>5030</v>
      </c>
    </row>
    <row r="344" spans="1:2" ht="30" x14ac:dyDescent="0.25">
      <c r="A344" s="2300" t="s">
        <v>5031</v>
      </c>
      <c r="B344" s="2301" t="s">
        <v>5032</v>
      </c>
    </row>
    <row r="345" spans="1:2" x14ac:dyDescent="0.25">
      <c r="A345" s="2300" t="s">
        <v>5033</v>
      </c>
      <c r="B345" s="2301" t="s">
        <v>5034</v>
      </c>
    </row>
    <row r="346" spans="1:2" x14ac:dyDescent="0.25">
      <c r="A346" s="2300" t="s">
        <v>5035</v>
      </c>
      <c r="B346" s="2301" t="s">
        <v>5036</v>
      </c>
    </row>
    <row r="347" spans="1:2" ht="30" x14ac:dyDescent="0.25">
      <c r="A347" s="2300" t="s">
        <v>5037</v>
      </c>
      <c r="B347" s="2301" t="s">
        <v>5038</v>
      </c>
    </row>
    <row r="348" spans="1:2" ht="30" x14ac:dyDescent="0.25">
      <c r="A348" s="2300" t="s">
        <v>5039</v>
      </c>
      <c r="B348" s="2301" t="s">
        <v>5040</v>
      </c>
    </row>
    <row r="349" spans="1:2" ht="30" x14ac:dyDescent="0.25">
      <c r="A349" s="2300" t="s">
        <v>5041</v>
      </c>
      <c r="B349" s="2301" t="s">
        <v>5042</v>
      </c>
    </row>
    <row r="350" spans="1:2" ht="30" x14ac:dyDescent="0.25">
      <c r="A350" s="2300" t="s">
        <v>5043</v>
      </c>
      <c r="B350" s="2301" t="s">
        <v>5044</v>
      </c>
    </row>
  </sheetData>
  <hyperlinks>
    <hyperlink ref="A2" location="'10.1'!A1" display="TABLA 10.1: NÚMERO DE PROYECTOS PRESENTADOS Y FINANCIADOS A TRAVÉS DEL FONDO DE APOYO A LA INVESTIGACIÓN PATRIMONIAL (FAIP), SEGÚN REGIÓN. 2011-2015"/>
    <hyperlink ref="A3" location="'10.2'!A1" display="TABLA 10.2: NÚMERO DE PUBLICACIONES DE LA DIRECCIÓN DE BIBLIOTECAS, ARCHIVOS Y MUSEOS (DIBAM), SEGÚN UNIDAD DE ORIGEN Y TIPO DE PUBLICACIÓN. 2011-2015"/>
    <hyperlink ref="A4" location="'10.3'!A1" display="TABLA 10.3: NÚMERO DE ARCHIVOS PÚBLICOS DE LA DIRECCIÓN DE BIBLIOTECAS, ARCHIVOS Y MUSEOS (DIBAM), SEGÚN REGIÓN. 2011-2015"/>
    <hyperlink ref="A5" location="'10.4'!A1" display="TABLA 10.4: NÚMERO DE DOCUMENTOS CONTENIDOS EN LOS ARCHIVOS PÚBLICOS DE LA DIRECCIÓN DE BIBLIOTECAS, ARCHIVOS Y MUSEOS (DIBAM), SEGÚN REGIÓN. 2015"/>
    <hyperlink ref="A6" location="'10.5'!A1" display="TABLA 10.5: NÚMERO TOTAL DE USUARIOS PRESENCIALES Y REMOTOS DE ARCHIVOS PÚBLICOS DE LA DIRECCIÓN DE BIBLIOTECAS, ARCHIVOS Y MUSEOS (DIBAM). 2011-2015"/>
    <hyperlink ref="A7" location="'10.6'!A1" display="TABLA 10.6: NÚMERO DE USUARIOS PRESENCIALES DE ARCHIVOS PÚBLICOS DE LA DIRECCIÓN DE BIBLIOTECAS, ARCHIVOS Y MUSEOS (DIBAM), SEGÚN REGIÓN. 2011-2015"/>
    <hyperlink ref="A8" location="'10.7'!A1" display="TABLA 10.7: DATOS DEL CENTRO NACIONAL DE CONSERVACIÓN Y RESTAURACIÓN DE LA DIRECCIÓN DE BIBLIOTECAS, ARCHIVOS Y MUSEOS (DIBAM). 2011-2015"/>
    <hyperlink ref="A9" location="'10.8'!A1" display="TABLA 10.8: OTROS DATOS DE LOS MUSEOS DE LA DIRECCIÓN DE BIBLIOTECAS, ARCHIVOS Y MUSEOS (DIBAM). 2015"/>
    <hyperlink ref="A10" location="'10.9'!A1" display="TABLA 10.9: NÚMERO DE MUSEOS DE LA DIRECCIÓN DE BIBLIOTECAS, ARCHIVOS Y MUSEOS (DIBAM), SEGÚN REGIÓN. 2011-2015"/>
    <hyperlink ref="A11" location="'10.10'!A1" display="TABLA 10.10: PERSONAL DE MUSEOS DE LA DIRECCIÓN DE BIBLIOTECAS, ARCHIVOS Y MUSEOS (DIBAM), SEGÚN CATEGORÍA OCUPACIONAL. 2015"/>
    <hyperlink ref="A12" location="'10.11'!A1" display="TABLA 10.11: NÚMERO DE MUSEOS DE LA DIRECCIÓN DE BIBLIOTECAS, ARCHIVOS Y MUSEOS (DIBAM), SEGÚN TIPO DE COLECCIÓN. 2011-2015"/>
    <hyperlink ref="A13" location="'10.12'!A1" display="TABLA 10.12: NÚMERO DE AUTORIZACIONES DE SALIDA DEL TERRITORIO NACIONAL ENTREGADAS POR EL MUSEO NACIONAL DE BELLAS ARTES DE OBRAS DE ARTE (LEY 17.236),  SEGÚN CONTINENTE DE DESTINO. 2015"/>
    <hyperlink ref="A14" location="'10.13'!A1" display="TABLA 10.13: NÚMERO DE EXPOSICIONES POR MUSEO DE LA DIRECCIÓN DE BIBLIOTECAS, ARCHIVOS Y MUSEOS (DIBAM) , SEGÚN TIPO DE EXPOSICIÓN Y NACIONALIDAD. 2015"/>
    <hyperlink ref="A15" location="'10.14'!A1" display="TABLA 10.14: NÚMERO DE PIEZAS RESTAURADAS, POR MUSEO DE LA DIRECCIÓN DE BIBLIOTECAS, ARCHIVOS Y MUSEOS (DIBAM)POR TIPO DE MUSEO (NACIONAL Y REGIONAL), SEGÚN TIPO DE PIEZA. 2015"/>
    <hyperlink ref="A16" location="'10.15'!A1" display="TABLA 10.15: NÚMERO DE PIEZAS RESTAURADAS POR MUSEOS DE LA SUBDIRECCIÓN DE MUSEOS DE LA DIRECCIÓN DE BIBLIOTECAS, ARCHIVOS Y MUSEOS (DIBAM), SEGÚN TIPO DE PIEZA. 2011-2015"/>
    <hyperlink ref="A17" location="'10.16'!A1" display="TABLA 10.16: NÚMERO DE PIEZAS RESTAURADAS EN LOS MUSEOS DE LA SUBDIRECCIÓN DE MUSEOS DE LA DIRECCIÓN DE BIBLIOTECAS, ARCHIVOS Y MUSEOS (DIBAM), POR TIPO DE PIEZA, SEGÚN REGIÓN. 2015"/>
    <hyperlink ref="A18" location="'10.17'!A1" display="TABLA 10.17: NÚMERO DE VISITANTES DE MUSEOS DE LA DIRECCIÓN DE BIBLIOTECAS, ARCHIVOS Y MUSEOS (DIBAM), SEGÚN TIPO DE ENTRADA. 2015"/>
    <hyperlink ref="A19" location="'10.18'!A1" display="TABLA 10.18: NÚMERO DE USUARIOS DE LOS MUSEOS DE LA DIRECCIÓN DE BIBLIOTECAS, ARCHIVOS Y MUSEOS (DIBAM), SEGÚN GRUPOS DE EDAD. 2015"/>
    <hyperlink ref="A20" location="'10.19'!A1" display="TABLA 10.19: NÚMERO DE AUTORIZACIONES DE SALIDA DE MONUMENTOS DEL TERRITORIO NACIONAL, SEGÚN TIPO DE MONUMENTO. 2011-2015"/>
    <hyperlink ref="A21" location="'10.20'!A1" display="TABLA 10.20: NÚMERO DE AUTORIZACIONES DE SALIDA DE MONUMENTOS, SEGÚN DESTINO. 2011-2015"/>
    <hyperlink ref="A22" location="'10.21'!A1" display="TABLA 10.21: NÚMERO DE AUTORIZACIONES POR DESTINO, SEGÚN TIPO DE MONUMENTO. 2015"/>
    <hyperlink ref="A23" location="'10.22'!A1" display="TABLA 10.22: NÚMERO DE SOLICITUDES DE DECLARACIÓN DE MONUMENTOS NACIONALES RECIBIDAS, SEGÚN TIPO DE MONUMENTO Y REGIÓN. 2015"/>
    <hyperlink ref="A24" location="'10.23'!A1" display="TABLA 10.23: NÚMERO DE MONUMENTOS NACIONALES DECLARADOS POR DECRETO, SEGÚN TIPO DE MONUMENTO Y REGIÓN. 2015"/>
    <hyperlink ref="A25" location="'10.24'!A1" display="TABLA 10.24: NÚMERO DE MONUMENTOS NACIONALES DECLARADOS POR DECRETO, SEGÚN TIPO DE MONUMENTO Y REGIÓN (HISTORICO, DESDE 1925). 2015"/>
    <hyperlink ref="A26" location="'10.25'!A1" display="TABLA 10.25: NÓMINA DE MONUMENTOS NACIONALES DECLARADOS, SEGÚN REGIÓN Y MONUMENTO. 2015"/>
    <hyperlink ref="A27" location="'10.26'!A1" display="TABLA 10.26: MATERIAL AUDIOVISUAL GENERADO POR EL CONSEJO NACIONAL DE LA CULTURA Y LAS ARTES (CNCA), SEGÚN PROGRAMA O PROYECTO Y TIPO DE MATERIAL. 2011-2015/1"/>
    <hyperlink ref="A28" location="'10.27'!A1" display="TABLA 10.27: NÚMERO DE PUBLICACIONES Y AUDIOS GENERADOS POR EL CONSEJO NACIONAL DE LA CULTURA Y LAS ARTES (CNCA), SEGÚN TIPO DE PRODUCTO. 2011-2015 "/>
    <hyperlink ref="A29" location="'10.28'!A1" display="TABLA 10.28: NÚMERO DE POSTULACIONES A TESORO HUMANO VIVO (THV), SEGÚN ÁMBITO DEL PATRIMONIO CULTURAL INMATERIAL Y RESULTADO DE POSTULACIÓN. 2014-2015 "/>
    <hyperlink ref="A30" location="'10.29'!A1" display="TABLA 10.29: NÚMERO DE POSTULANTES RECONOCIDOS COMO &quot;TESORO HUMANO VIVO&quot; (THV)  Y &quot;DESTACADOS&quot;, POR REGIÓN, SEGÚN TIPO DE POSTULACIÓN. 2014-2015/1"/>
    <hyperlink ref="A31" location="'10.30'!A1" display="TABLA 10.30: ADSCRIPCIONES A ÁMBITOS DEL PATRIMONIO CULTURAL INMATERIAL ASOCIADAS A LAS POSTULACIONES DE TESORO HUMANO VIVO POR TIPO DE POSTULACIÓN, SEGÚN TIPO DE POSTULANTE . 2014 - 2015 "/>
    <hyperlink ref="A32" location="'10.31'!A1" display="TABLA 10.31: NÚMERO DE EXPEDIENTES DE POSTULACIÓN AL INVENTARIO DEL PATRIMONIO CULTURAL INMATERIAL EN CHILE RECIBIDOS POR EL CONSEJO NACIONAL DE LA CULTURA Y LAS ARTES (CNCA) POR ÁMBITO DE PATRIMONIO INMATERIAL, SEGÚN Y REGIÓN Y NOMBRE DEL EXPEDIENTE. 2015 "/>
    <hyperlink ref="A33" location="'10.32'!A1" display="TABLA 10.32: EXPRESIONES IDENTIFICADAS POR EL INVENTARIO PRIORIZADO DEL PATRIMONIO CULTURAL INMATERIAL EN CHILE, SEGÚN ADSCRIPCIÓN A ÁMBITO DEL PATRIMONIO INMATERIAL. 2015 "/>
    <hyperlink ref="A34" location="'10.33'!A1" display="TABLA 10.33: NÚMERO DE ACERVOS CULTURALES REGISTRADOS EN EL SISTEMA DE INFORMACIÓN PARA LA GESTIÓN PATRIMONIAL (SIGPA), SEGÚN REGIÓN Y TIPO DE ACERVO. 2011-2015 "/>
    <hyperlink ref="A35" location="'10.34'!A1" display="TABLA 10.34: NÚMERO Y TIPO DE REGISTROS EN EL SISTEMA DE INFORMACIÓN PARA LA GESTIÓN PATRIMONIAL (SIGPA), SEGÚN ADSCRIPCIÓN A ÁMBITO DEL PATRIMONIO CULTURAL INMATERIAL Y TIPO DE ACERVO. 2011-2015 "/>
    <hyperlink ref="A36" location="'10.35'!A1" display="TABLA 10.35: NÚMERO DE INMUEBLES Y ACTIVIDADES REALIZADAS EN EL DÍA DEL PATRIMONIO CULTURAL EN EL PAÍS. 2015 /1"/>
    <hyperlink ref="A37" location="'10.36'!A1" display="TABLA 10.36: NÚMERO DE VISITAS EN EL DÍA DEL PATRIMONIO CULTURAL EN LA REGIÓN METROPOLITANA Y OTRAS REGIONES DEL PAÍS. 2015/1"/>
    <hyperlink ref="A38" location="'10.37'!A1" display="TABLA 10.37: NÚMERO DE BENEFICIARIOS DE PROGRAMA DE EDUCACIÓN AMBIENTAL (EDAM) DENTRO Y FUERA DE LAS ÁREAS SILVESTRES PROTEGIDAS (ASP), SEGÚN REGIÓN. 2012-2015"/>
    <hyperlink ref="A39" location="'10.38'!A1" display="TABLA 10.38: NÚMERO DE SANTUARIOS DE LA NATURALEZA DECLARADOS POR DECRETO, SEGÚN REGIÓN. 2015"/>
    <hyperlink ref="A40" location="'10.39'!A1" display="TABLA 10.39: NÚMERO DE SANTUARIOS DE LA NATURALEZA DECLARADOS POR DECRETO (HISTORICO, DESDE 1925), SEGÚN REGIÓN. 2015"/>
    <hyperlink ref="A41" location="'10.40'!A1" display="TABLA 10.40: NÓMINA DE SANTUARIOS DE LA NATURALEZA DECLARADOS, SEGÚN REGIÓN. 2015/1"/>
    <hyperlink ref="A42" location="'10.41'!A1" display="TABLA 10.41: DISTRIBUCIÓN NACIONAL Y SUPERFICIE (EN HECTÁREAS) DEL SISTEMA NACIONAL DE ÁREAS SILVESTRES PROTEGIDAS DEL ESTADO (SNASPE). 2015"/>
    <hyperlink ref="A43" location="'10.42'!A1" display="TABLA 10.42: NÓMINA Y SUPERFICIE (HÁ) DE LOS PARQUES NACIONALES SEGÚN REGIÓN. 2015"/>
    <hyperlink ref="A44" location="'10.43'!A1" display="TABLA 10.43: NÓMINA Y SUPERFICIE (HÁ) DE LAS RESERVAS NACIONALES SEGÚN REGIÓN. 2015"/>
    <hyperlink ref="A45" location="'10.44'!A1" display="TABLA 10.44: NÓMINA Y SUPERFICIE (HÁ) DE MONUMENTOS NATURALES SEGÚN REGIÓN. 2015"/>
    <hyperlink ref="A46" location="'10.45'!A1" display="TABLA 10.45: NÚMERO Y PORCENTAJE DE SUPERFICIE (EN HECTÁREAS) DE RESERVAS DE LA BIÓSFERA PRESENTES EN CHILE POR PERTENENCIA O NO PERTENENCIA A LAS ÁREAS SILVESTRES PROTEGIDAS (ASP), SEGÚN TIPO DE RESERVA DE LA BIÓSFERA. 2015"/>
    <hyperlink ref="A47" location="'10.46'!A1" display="TABLA 10.46: ANTECEDENTES GENERALES DE LAS RESERVAS DE LA BIÓSFERA PRESENTES EN CHILE POR AÑO DE CREACIÓN, FECHA DE MODIFICACIÓN Y SUPERFICIE (EN HECTÁREAS), SEGÚN REGIÓN. 2015"/>
    <hyperlink ref="A48" location="'10.47'!A1" display="TABLA 10.47: ANTECEDENTES GENERALES DE LOS SITIOS DE LA CONVENCIÓN RAMSAR PRESENTES EN CHILE, POR PERTENENCIA O NO PERTENENCIA A LAS ÁREAS SILVESTRES PROTEGIDAS (ASP), POR AÑO DE CREACIÓN Y SUPERFICIE (EN HECTÁREAS), SEGÚN REGIÓN. 2015"/>
    <hyperlink ref="A49" location="'10.48'!A1" display="TABLA 10.48: ESPECIES PRIORITARIAS EN FLORA, SUJETAS AL PLAN NACIONAL DE CONSERVACIÓN (PNC) POR AÑO DE ELABORACIÓN Y ESTADO DE CONSERVACIÓN, SEGÚN REGIÓN DE SECRETARÍA TÉCNICA. 2015/1"/>
    <hyperlink ref="A50" location="'10.49'!A1" display="TABLA 10.49: ESPECIES PRIORITARIAS EN FAUNA, SUJETAS AL PLAN NACIONAL DE CONSERVACIÓN (PNC) POR AÑO DE ELABORACIÓN Y ESTADO DE CONSERVACIÓN, SEGÚN REGIÓN DE SECRETARÍA TÉCNICA. 2015/1"/>
    <hyperlink ref="A51" location="'10.50'!A1" display="TABLA 10.50: RECURSOS CULTURALES SEGÚN LAS ÁREAS SILVESTRES PROTEGIDAS (ASP). 2015"/>
    <hyperlink ref="A52" location="'10.51'!A1" display="TABLA 10.51: VISITANTES TOTALES SEGÚN REGIÓN Y UNIDAD DEL SISTEMA NACIONAL DE ÁREAS SILVESTRES PROTEGIDAS DEL ESTADO (SNASPE). 2011-2015"/>
    <hyperlink ref="A53" location="'10.52'!A1" display="TABLA 10.52: NÚMERO DE VISITANTES A UNIDADES DEL SISTEMA NACIONAL DE ÁREAS SILVESTRES PROTEGIDAS DEL ESTADO (SNASPE) POR AÑO Y NACIONALIDAD (CHILENA Y EXTRANJERA), SEGÚN REGIÓN Y UNIDAD DEL SNASPE. 2011-2015"/>
    <hyperlink ref="A54" location="'10.53'!A1" display="TABLA 10.53: NÚMERO DE VISITANTES A UNIDADES DEL SISTEMA NACIONAL DE ÁREAS SILVESTRES PROTEGIDAS DEL ESTADO (SNASPE) POR AÑO Y SEXO, SEGÚN REGIÓN Y UNIDAD DEL SNASPE. 2011-2015"/>
    <hyperlink ref="A55" location="'10.54'!A1" display="TABLA 10.54: NÚMERO DE VISITANTES A UNIDADES DEL SISTEMA NACIONAL DE ÁREAS PROTEGIDAS DEL ESTADO (SNASPE) POR AÑO Y TRAMO DE EDAD, SEGÚN REGIÓN Y UNIDAD DEL SNASPE. 2011-2015"/>
    <hyperlink ref="A56" location="'10.55'!A1" display="TABLA 10.55: NÚMERO DE VISITANTES EN SITUACIÓN DE DISCAPACIDAD A UNIDADES DEL SISTEMA NACIONAL DE ÁREAS SILVESTRES PROTEGIDAS DEL ESTADO (SNASPE) POR AÑO, SEGÚN REGIÓN Y UNIDAD DEL SNASPE. 2011-2015"/>
    <hyperlink ref="A57" location="'10.56'!A1" display="TABLA 10.56: NÚMERO DE DENUNCIAS SIN APREHENDIDOS Y CON APREHENDIDOS, Y NÚMERO DE APREHENDIDOS, POR &quot;DAÑOS O APROPIACIÓN SOBRE MONUMENTOS NACIONALES (Art. 38-38 bis Ley 17.288)&quot;, SEGÚN REGIÓN. 2015"/>
    <hyperlink ref="A58" location="'10.57'!A1" display="TABLA 10.57: NÚMERO DE APREHENDIDOS POR &quot;DAÑOS O APROPIACIÓN SOBRE MONUMENTOS NACIONALES&quot;, POR SEXO Y GRUPOS DE EDAD, SEGÚN REGIÓN. 2015"/>
    <hyperlink ref="A59" location="'10.58'!A1" display="TABLA 10.58: CANTIDAD DE DENUNCIAS EN LA POLICÍA DE INVESTIGACIONES DE CHILE (PDI) POR EL DELITO DE LA LEY DE TRÁFICO ILÍCITO DE BIENES CULTURALES, SEGÚN REGIÓN POLICIAL. 2015"/>
    <hyperlink ref="A60" location="'10.59'!A1" display="TABLA 10.59: CANTIDAD DE DENUNCIAS EN LA POLICÍA DE INVESTIGACIONES DE CHILE (PDI) POR LOS DELITOS DE LA LEY DE TRÁFICO ILÍCITO DE BIENES CULTURALES, SEGÚN BIEN AFECTADO. 2015"/>
    <hyperlink ref="A61" location="'10.60'!A1" display="TABLA 10.60: CANTIDAD DE DENUNCIAS EN LA POLICÍA DE INVESTIGACIONES DE CHILE (PDI) POR DELITOS DE LA LEY DE TRÁFICO ILÍCITO DE BIENES CULTURALES, SEGÚN REGIÓN POLICIAL Y COMUNA DEL DELITO. 2015"/>
    <hyperlink ref="A62" location="'10.61'!A1" display="TABLA 10.61: NÚMERO DE DELITOS INVESTIGADOS POR LA POLICÍA DE INVESTIGACIONES DE CHILE (PDI) RELACIONADOS CON LA LEY DE TRÁFICO ILÍCITO DE BIENES CULTURALES, SEGÚN REGIÓN POLICIAL EN QUE SE HIZO LA DENUNCIA Y COMUNA DE OCURRENCIA DEL DELITO. 2015"/>
    <hyperlink ref="A63" location="'10.62'!A1" display="TABLA 10.62: NÚMERO DE DELITOS INVESTIGADOS POR LA POLICÍA DE INVESTIGACIONES DE CHILE (PDI) RELACIONADOS CON LA LEY DE TRÁFICO ILÍCITO DE BIENES CULTURALES, SEGÚN REGIÓN POLICIAL Y BIEN AFECTADO. 2015"/>
    <hyperlink ref="A64" location="'10.63'!A1" display="TABLA 10.63: NÚMERO DE DETENIDOS POR LA POLICÍA DE INVESTIGACIONES DE CHILE (PDI) RELACIONADOS CON LA LEY DE TRÁFICO ILÍCITO DE BIENES CULTURALES POR DELITO Y SEXO, SEGÚN REGIÓN POLICIAL. 2015"/>
    <hyperlink ref="A65" location="'10.64'!A1" display="TABLA 10.64: NÚMERO DE DETENIDOS POR LA POLICÍA DE INVESTIGACIONES DE CHILE (PDI) RELACIONADOS CON LA LEY DE TRÁFICO ILÍCITO DE BIENES CULTURALES POR GRUPO DE EDAD, SEGÚN REGIÓN POLICIAL. 2015"/>
    <hyperlink ref="A66" location="'10.65'!A1" display="TABLA 10.65: NÚMERO DE DETENIDOS POR LA POLICÍA DE INVESTIGACIONES DE CHILE (PDI) RELACIONADOS CON LA LEY DE TRÁFICO ILÍCITO DE BIENES CULTURALES POR DELITO, SEGÚN REGIÓN POLICIAL Y NACIONALIDAD. 2015"/>
    <hyperlink ref="A67" location="'10.66'!A1" display="TABLA 10.66: CANTIDAD DE DETENIDOS POR LA POLICÍA DE INVESTIGACIONES DE CHILE (PDI) RELACIONADOS CON LA LEY DE TRÁFICO ILÍCITO DE BIENES CULTURALES, SEGÚN REGIÓN POLICIAL Y COMUNA DE RESIDENCIA DEL DETENIDO. 2015"/>
    <hyperlink ref="A68" location="'10.67'!A1" display="TABLA 10.67: NÚMERO DE PERSONAS DETENIDAS POR LA LEY N° 17.288, QUE LEGISLA SOBRE MONUMENTOS NACIONALES, Y NÚMERO DE INCAUTACIONES, SEGÚN REGIÓN POLICIAL. 2015"/>
    <hyperlink ref="A69" location="'10.68'!A1" display="TABLA 10.59: NÚMERO DE PIEZAS PATRIMONIALES INCAUTADAS SEGÚN LA LEY N° 17.288, QUE LEGISLA SOBRE MONUMENTOS NACIONALES, SEGÚN ADUANA Y AVANZADA. 2015"/>
    <hyperlink ref="A70" location="'10.69'!A1" display="TABLA 10.69: NÓMINA DE PIEZAS PATRIMONIALES INCAUTADAS SEGÚN LA LEY N° 17.288, QUE LEGISLA SOBRE MONUMENTOS NACIONALES, SEGÚN AVANZADA. 2015"/>
    <hyperlink ref="A71" location="'10.70'!A1" display="TABLA 10.70: NÚMERO DE PIEZAS INCAUTADAS EN EL MARCO DE LA CONVENCIÓN SOBRE EL COMERCIO INTERNACIONAL DE ESPECIES AMENAZADAS DE FAUNA Y FLORA SILVESTRE (CITES), SEGÚN ADUANAS Y AVANZADA. 2015"/>
    <hyperlink ref="A72" location="'10.71'!A1" display="TABLA 10.71: NÓMINA DE PIEZAS INCAUTADAS EN EL MARCO DE LA CONVENCIÓN SOBRE EL COMERCIO INTERNACIONAL DE ESPECIES AMENAZADAS DE FAUNA Y FLORA SILVESTRE (CITES), SEGÚN ADUANA Y ESPECIES. 2014"/>
    <hyperlink ref="A73" location="'10.72'!A1" display="TABLA 10.72: CAUSAS INGRESADAS Y TERMINADAS EN JUZGADOS DE GARANTÍA Y DE LETRAS Y GARANTÍA POR INFRACCIÓN A LA LEY N° 17.288, QUE LEGISLA SOBRE MONUMENTOS NACIONALES, SEGÚN CORTE DE APELACIÓN. 2015"/>
    <hyperlink ref="A74" location="'10.73'!A1" display="TABLA 10.73: IMPUTADOS POR INFRACCIÓN A LA LEY N° 17.288, QUE LEGISLA SOBRE MONUMENTOS NACIONALES, Y NORMAS RELACIONADAS, SEGÚN CORTE DE APELACIÓN. 2015"/>
    <hyperlink ref="A75" location="'10.74'!A1" display="TABLA 10.74: DELITOS INGRESADOS AL MINISTERIO PÚBLICO EN RELACIÓN CON LA LEY N° 17.288, QUE LEGISLA SOBRE MONUMENTOS NACIONALES, SEGÚN REGIÓN DE FISCALÍA. 2011-2015"/>
    <hyperlink ref="A76" location="'10.75'!A1" display="TABLA 10.75: DELITOS TERMINADOS EN EL MINISTERIO PÚBLICO EN RELACIÓN CON LA LEY N° 17.288, QUE LEGISLA SOBRE MONUMENTOS NACIONALES, SEGÚN REGIÓN DE FISCALÍA. 2011-2015"/>
    <hyperlink ref="A77" location="'10.76'!A1" display="TABLA 10.76: SENTENCIAS DEFINITIVAS CONDENATORIAS EN RELACIÓN A LA LEY N° 17.288, QUE LEGISLA SOBRE MONUMENTOS NACIONALES, SEGÚN REGIÓN DE FISCALÍA. 2011-2015"/>
    <hyperlink ref="A78" location="'11.1'!A1" display="TABLA 11.1: NÚMERO DE ARTESANOS INSCRITOS EN SISTEMAS DE REGISTROS, SEGÚN INSTITUCIÓN Y REGIÓN. 2015"/>
    <hyperlink ref="A79" location="'11.2'!A1" display="TABLA 11.2: NÚMERO DE ARTESANOS INSCRITOS EN EL SISTEMA DE INFORMACIÓN NACIONAL DE ARTESANÍA DEL CONSEJO NACIONAL DE LA CULTURA Y LAS ARTES (CNCA) POR PUEBLO ORIGINARIO, SEGÚN REGIÓN. 2015"/>
    <hyperlink ref="A80" location="'11.3'!A1" display="TABLA 11.3: NÚMERO DE ARTESANOS POR DISCIPLINA, SEGÚN REGIÓN. 2015"/>
    <hyperlink ref="A81" location="'11.4'!A1" display="TABLA 11.4: DISTRIBUCIÓN REGIONAL DE OBJETOS DE ARTESANÍA CON SELLO DE EXCELENCIA DEL CONSEJO NACIONAL DE LA CULTURA Y LAS ARTES (CNCA) Y RECONOCIMIENTO UNESCO. 2008-2015/1"/>
    <hyperlink ref="A82" location="'11.5'!A1" display="TABLA 11.5: NÓMINA DE PRODUCTOS ARTESANALES CON SELLO DE EXCELENCIA DEL CONSEJO NACIONAL DE LA CULTURA Y LAS ARTES (CNCA) Y CON RECONOCIMIENTO UNESCO POR DISCIPLINA, REGIÓN Y COMUNA. 2015/1"/>
    <hyperlink ref="A83" location="'12.1'!A1" display="TABLA 12.1: NÚMERO DE AUTORES ASOCIADOS A LA SOCIEDAD DE CREADORES DE IMAGEN FIJA (CREAIMAGEN) POR SEXO, SEGÚN REGIÓN. 2015"/>
    <hyperlink ref="A84" location="'12.2'!A1" display="TABLA 12.2: NÚMERO DE SOCIOS INCORPORADOS A LA SOCIEDAD DE CREADORES DE IMAGEN FIJA (CREAIMAGEN) POR SEXO, SEGÚN REGIÓN. 2015"/>
    <hyperlink ref="A85" location="'12.3'!A1" display="TABLA 12.3: NÚMERO DE AUTORES AFILIADOS A LA SOCIEDAD DE CREADORES DE IMAGEN FIJA (CREAIMAGEN) QUE GENERARON DERECHOS EN CHILE Y EN EL EXTRANJERO. 2011-2015"/>
    <hyperlink ref="A86" location="'12.4'!A1" display="TABLA 12.4: NÚMERO DE AUTORIZACIONES REGISTRADAS POR LA SOCIEDAD DE CREADORES DE IMAGEN FIJA (CREAIMAGEN) SOBRE USO DE IMAGEN FIJA, CONCEDIDAS EN CHILE Y EN EL EXTRANJERO. 2011 - 2015"/>
    <hyperlink ref="A87" location="'12.5'!A1" display="TABLA 12.5: RECAUDACIÓN DE DERECHOS DE AUTOR POR LA SOCIEDAD DE CREADORES DE IMAGEN FIJA (CREAIMAGEN), SEGÚN ORIGEN DE LA OBRA Y DE LA RECAUDACIÓN (NACIONAL Y EXTRANJERA). 2011-2015"/>
    <hyperlink ref="A88" location="'12.6'!A1" display="TABLA 12.6: DISTRIBUCIÓN DE DERECHOS DE AUTOR POR LA SOCIEDAD DE CREADORES DE IMAGEN FIJA (CREAIMAGEN), SEGÚN ORIGEN DE LA OBRA Y DE LA RECAUDACIÓN (NACIONAL Y EXTRANJERA). 2011-2015"/>
    <hyperlink ref="A89" location="'12.7'!A1" display="TABLA 12.7: NÚMERO DE SOCIOS POR PROFESIÓN U OFICIO (REPORTEROS GRÁFICOS Y CAMARÓGRAFOS) ACTIVOS Y NO ACTIVOS, POR SEXO, SEGÚN REGIÓN. 2015/1"/>
    <hyperlink ref="A90" location="'12.8'!A1" display="TABLA 12.8: NÚMERO DE CONCURSOS, EXPOSICIONES Y DE VISITANTES A EXPOSICIONES, SEGÚN REGIÓN. 2011-2015 "/>
    <hyperlink ref="A91" location="'13.1'!A1" display="TABLA 13.1: NÚMERO DE ASOCIADOS AL SINDICATO DE ACTORES DE CHILE (SIDARTE) ACUMULADO A 2015 POR SEXO, SEGÚN REGIÓN. 2011-2015/R"/>
    <hyperlink ref="A92" location="'13.2'!A1" display="TABLA 13.2: NÚMERO DE ASOCIADOS AL SINDICATO DE ACTORES DE CHILE (SIDARTE) EGRESADOS DE LAS CARRERAS DE TEATRO ACUMULADO A 2015 POR SEXO, SEGÚN REGIÓN. 2011-2015/R"/>
    <hyperlink ref="A93" location="'13.3'!A1" display="TABLA 13.3: NÚMERO DE ASOCIADOS  AL SINDICATO DE ACTORES DE CHILE (SIDARTE) TITULADOS DE LAS CARRERAS DE TEATRO ACUMULADO A 2015 POR SEXO, SEGÚN REGIÓN. 2011-2015/R"/>
    <hyperlink ref="A94" location="'13.4'!A1" display="TABLA 13.4: NÚMERO DE ACTORES ASOCIADOS A LA CORPORACIÓN DE ACTORES DE CHILE (CHILEACTORES) AL 31 DE DICIEMBRE DE CADA AÑO. 2011-2015"/>
    <hyperlink ref="A95" location="'13.5'!A1" display="TABLA 13.5: NÚMERO DE SOCIOS DE LA ASOCIACIÓN DE AUTORES NACIONALES DE TEATRO, CINE Y AUDIOVISUALES (ATN), POR SEXO. 2011-2015"/>
    <hyperlink ref="A96" location="'13.6'!A1" display="TABLA 13.6: NÚMERO DE ASOCIADOS  AL SINDICATO DE ACTORES DE CHILE (SIDARTE) ADSCRITOS A INSTITUCIONES DE SALUD PREVISIONAL/1 ACUMULADO A 2015 POR SEXO, SEGÚN REGIÓN. 2011-2015/R"/>
    <hyperlink ref="A97" location="'13.7'!A1" display="TABLA 13.7: NÚMERO DE ASOCIADOS  AL SINDICATO DE ACTORES DE CHILE (SIDARTE) ADSCRITOS A LAS ADMINISTRADORAS DE FONDOS DE PENSIONES (AFP) ACUMULADO A 2015 POR SEXO, SEGÚN REGIÓN. 2011-2015/R"/>
    <hyperlink ref="A98" location="'13.8'!A1" display="TABLA 13.8: NÚMERO DE ASOCIADOS AL SINDICATO DE ACTORES DE CHILE (SIDARTE) ADSCRITOS A INSTITUCIONES PREVISIONALES DE SALUD/1 Y AFP ACUMULADO A 2015 POR SEXO, SEGÚN REGIÓN. 2011-2015/R"/>
    <hyperlink ref="A99" location="'13.9'!A1" display="TABLA 13.9: NÚMERO DE AUTORES QUE GENERARON DERECHOS DE AUTOR POR LA SOCIEDAD DE AUTORES NACIONALES DE TEATRO, CINE Y AUDIOVISUALES (ATN), SEGÚN NACIONALIDAD DEL AUTOR. 2011-2015 /1"/>
    <hyperlink ref="A100" location="'13.10'!A1" display="TABLA 13.10: NÚMERO DE AUTORIZACIONES CONCEDIDAS EN CHILE Y EN EL EXTRANJERO POR LA SOCIEDAD DE AUTORES NACIONALES DE TEATRO, CINE Y AUDIOVISUALES (ATN), SEGÚN TIPO DE OBRA. 2011-2015"/>
    <hyperlink ref="A101" location="'13.11'!A1" display="TABLA 13.11: MONTO DE DERECHOS RECAUDADOS POR LA SOCIEDAD DE AUTORES NACIONALES DE TEATRO, CINE Y AUDIOVISUALES (ATN), SEGÚN ORIGEN DE LAS OBRA. 2011-2015"/>
    <hyperlink ref="A102" location="'13.12'!A1" display="TABLA 13.12: MONTO DE DERECHOS DISTRIBUIDOS POR LA SOCIEDAD DE AUTORES NACIONALES DE TEATRO, CINE Y AUDIOVISUALES (ATN), SEGÚN NACIONALIDAD DEL AUTOR. 2011-2015"/>
    <hyperlink ref="A103" location="'13.13'!A1" display="TABLA 13.13: NÚMERO DE FUNCIONES DE ESPECTÁCULOS DE ARTES ESCÉNICAS POR TIPO DE ESPECTÁCULO. 2011-2015/1"/>
    <hyperlink ref="A104" location="'13.14'!A1" display="TABLA 13.14: NÚMERO DE FUNCIONES DE ESPECTÁCULOS DE ARTES ESCÉNICAS POR TIPO DE ESPECTÁCULO, SEGÚN REGIÓN. 2015/1 "/>
    <hyperlink ref="A105" location="'13.15'!A1" display="TABLA 13.15: NÚMERO DE ASISTENTES A ESPECTÁCULOS DE ARTES ESCÉNICAS, PAGANDO ENTRADA POR TIPO DE ESPECTÁCULO, SEGÚN REGIÓN. 2015/1"/>
    <hyperlink ref="A106" location="'13.16'!A1" display="TABLA 13.16: NÚMERO DE ASISTENTES A ESPECTÁCULOS DE ARTES ESCÉNICAS CON ENTRADA GRATUITA, POR TIPO DE ESPECTÁCULO, SEGÚN REGIÓN. 2015/1"/>
    <hyperlink ref="A107" location="'13.17'!A1" display="TABLA 13.17: NÚMERO DE ASISTENTES A ESPECTÁCULOS DE ARTES ESCÉNICAS, ENTRADA GRATUITA Y PAGADA, POR TIPO DE ESPECTÁCULO, SEGÚN REGIÓN. 2015/1"/>
    <hyperlink ref="A108" location="'13.18'!A1" display="TABLA 13.18: NÚMERO DE ASISTENTES A ESPECTÁCULOS DE ARTES ESCÉNICAS, PAGANDO ENTRADA, POR TIPO DE ESPECTÁCULO. 2011-2015/1"/>
    <hyperlink ref="A109" location="'13.19'!A1" display="TABLA 13.19: NÚMERO DE ASISTENTES A ESPECTÁCULOS DE ARTES ESCÉNICAS CON ENTRADA GRATUITA, POR TIPO DE ESPECTÁCULO. 2011-2015/1"/>
    <hyperlink ref="A110" location="'13.20'!A1" display="TABLA 13.20: NÚMERO DE ASISTENTES A ESPECTÁCULOS DE ARTES ESCÉNICAS, ENTRADA GRATUITA Y PAGADA, POR TIPO DE ESPECTÁCULO. 2011-2015/1"/>
    <hyperlink ref="A111" location="'13.21'!A1" display="TABLA 13.21: NÚMERO DE ASISTENTES A ESPECTÁCULOS DE ARTES ESCÉNICAS CON ENTRADA GRATUITA Y PAGADA POR MES, SEGÚN REGIÓN. 2015/1"/>
    <hyperlink ref="A112" location="'14.1'!A1" display="TABLA 14.1: NÚMERO Y PORCENTAJE DE ASOCIADOS (PERSONAS NATURALES) A LA SOCIEDAD CHILENA DEL DERECHO DE AUTOR (SCD), SEGÚN REGIÓN. 2011 - 2015"/>
    <hyperlink ref="A113" location="'14.2'!A1" display="TABLA 14.2: NÚMERO Y PORCENTAJE DE AUTORES ASOCIADOS A LA SOCIEDAD CHILENA DEL DERECHO DE AUTOR (SCD), POR SEXO, SEGÚN REGIÓN. 2015"/>
    <hyperlink ref="A114" location="'14.3'!A1" display="TABLA 14.3: NÚMERO Y PORCENTAJE DE ASOCIADOS A LA SOCIEDAD CHILENA DEL DERECHO DE AUTOR (SCD), SEGÚN TIPO DE ARTISTA. 2011 - 2015"/>
    <hyperlink ref="A115" location="'14.4'!A1" display="TABLA 14.4: NÚMERO DE OBRAS NACIONALES INSCRITAS EN LA SOCIEDAD CHILENA DEL DERECHO DE AUTOR (SCD). 2015"/>
    <hyperlink ref="A116" location="'14.5'!A1" display="TABLA 14.5: NÚMERO DE AUTORES ASOCIADOS A LA SOCIEDAD CHILENA DEL DERECHO DE AUTOR (SCD) Y NÚMERO DE AUTORES GENERADORES DE DERECHOS POR SEXO. 2015"/>
    <hyperlink ref="A117" location="'14.6'!A1" display="TABLA 14.6: NÚMERO DE SOCIOS QUE CUENTAN CON BENEFICIOS SOCIALES DE LA SOCIEDAD CHILENA DEL DERECHO DE AUTOR (SCD) POR AÑO Y TIPO DE BENEFICIO. 2014 - 2015 /1"/>
    <hyperlink ref="A118" location="'14.7'!A1" display="TABLA 14.7: NÚMERO DE ASOCIADOS EN LA ASOCIACIÓN DE PRODUCTORES FONOGRÁFICOS DE CHILE (IFPI) POR AÑO. 2011-2015"/>
    <hyperlink ref="A119" location="'14.8'!A1" display="TABLA 14.8: NÚMERO DE TRABAJADORES EN SELLOS DISCOGRÁFICOS. 2011-2015"/>
    <hyperlink ref="A120" location="'14.9'!A1" display="TABLA 14.9: NÚMERO Y PORCENTAJE DE DISCOS NACIONALES POR AÑO, SEGÚN TIPO DE PRODUCCIÓN, GÉNERO, APOYO DEL FONDO DE LA MÚSICA, MES DE PRODUCCIÓN, FORMATO, TIPO DE DISCO, REPERTORIO Y TRAYECTORIA. 2012-2015"/>
    <hyperlink ref="A121" location="'14.10'!A1" display="TABLA 14.10: NÚMERO DE PROYECTOS Y MONTOS ADJUDICADOS POR FONDO DE LA MÚSICA, POR LÍNEA DE CONCURSO, SEGÚN REGIÓN DE DOMICILIO DEL PARTICIPANTE. AÑO 2015/1"/>
    <hyperlink ref="A122" location="'14.11'!A1" display="TABLA 14.11: NÚMERO DE SELLOS DE GRABACIÓN. 2013-2015"/>
    <hyperlink ref="A123" location="'14.12'!A1" display="TABLA 14.12: MONTOS DE RECAUDACIÓN DE DERECHOS DE EJECUCIÓN AUTOR POR LA SOCIEDAD CHILENA DEL DERECHO DE AUTOR (SCD), SEGÚN MEDIO DE EMISIÓN. 2011-2015"/>
    <hyperlink ref="A124" location="'14.13'!A1" display="TABLA 14.13: MONTOS DE DISTRIBUCIÓN DE DERECHOS DE EJECUCIÓN AUTOR POR LA SOCIEDAD CHILENA DEL DERECHO DE AUTOR (SCD). 2011-2015"/>
    <hyperlink ref="A125" location="'14.14'!A1" display="TABLA 14.14: MONTOS DE RECAUDACIÓN Y DISTRIBUCIÓN DE DERECHOS FONOMECÁNICOS POR LA SOCIEDAD CHILENA DEL DERECHO DE AUTOR (SCD). 2011-2015"/>
    <hyperlink ref="A126" location="'14.15'!A1" display="TABLA 14.15: MONTOS DE RECAUDACIÓN DE DERECHOS DE EJECUCIÓN CONEXOS POR LA SOCIEDAD CHILENA DEL DERECHO DE AUTOR (SCD), SEGÚN MEDIO DE EMISIÓN. 2011-2015"/>
    <hyperlink ref="A127" location="'14.16'!A1" display="TABLA 14.16: MONTOS DE DISTRIBUCIÓN DE DERECHOS DE EJECUCIÓN CONEXOS, POR LA SOCIEDAD CHILENA DEL DERECHO DE AUTOR (SCD). 2011-2015"/>
    <hyperlink ref="A128" location="'14.17'!A1" display="TABLA 14.17: DERECHOS CONEXOS DE EJECUCIÓN DE LA SOCIEDAD DE PRODUCTORES FONOGRÁFICOS Y VIDEOGRÁFICOS DE CHILE A.G. (PROFOVI): RECAUDACIÓN Y DISTRIBUCIÓN, SEGÚN RUBRO Y SELLO. 2012-2015"/>
    <hyperlink ref="A129" location="'14.18'!A1" display="TABLA 14.18: DERECHOS DE REPRODUCCIÓN DE LA SOCIEDAD DE PRODUCTORES FONOGRÁFICOS Y VIDEOGRÁFICOS DE CHILE A.G. (PROFOVI): RECAUDACIÓN Y DISTRIBUCIÓN, SEGÚN SELLO. 2012-2015/1"/>
    <hyperlink ref="A130" location="'14.19'!A1" display="TABLA 14.19: VENTAS DE MATERIAL DISCOGRÁFICO Y UNIDADES VENDIDAS, SEGÚN FORMATO. 2011 - 2015"/>
    <hyperlink ref="A131" location="'14.20'!A1" display="TABLA 14.20: VENTAS DE MATERIAL DISCOGRÁFICO Y UNIDADES VENDIDAS, SEGÚN REPERTORIO. 2011 - 2015"/>
    <hyperlink ref="A132" location="'14.21'!A1" display="TABLA 14.21: NÚMERO DE USUARIOS SEGÚN TIPO DE ESTABLECIMIENTO. 2012 - 2015/1/2/3"/>
    <hyperlink ref="A133" location="'14.22'!A1" display="TABLA 14.22: NÚMERO DE FUNCIONES DE ESPECTÁCULOS MUSICALES, POR TIPO DE ESPECTÁCULO. 2011-2015/1"/>
    <hyperlink ref="A134" location="'14.23'!A1" display="TABLA 14.23: NÚMERO DE FUNCIONES DE ESPECTÁCULOS MUSICALES, POR TIPO DE ESPECTÁCULO, SEGÚN REGIÓN. 2015/1"/>
    <hyperlink ref="A135" location="'14.24'!A1" display="TABLA 14.24: NÚMERO DE ESPECTÁCULOS EMPADRONADOS POR LA SOCIEDAD CHILENA DEL DERECHO DE AUTOR (SCD), SEGÚN MODALIDAD DE ACCESO. 2012 - 2015/1/2"/>
    <hyperlink ref="A136" location="'14.25'!A1" display="TABLA 14.25: NÚMERO DE ASISTENTES A ESPECTÁCULOS MUSICALES, PAGANDO ENTRADA POR TIPO DE ESPECTÁCULO, SEGÚN REGIÓN. 2015/1"/>
    <hyperlink ref="A137" location="'14.26'!A1" display="TABLA 14.26: NÚMERO DE ASISTENTES A ESPECTÁCULOS MUSICALES CON ENTRADA GRATUITA POR TIPO DE ESPECTÁCULO, SEGÚN REGIÓN. 2015/1"/>
    <hyperlink ref="A138" location="'14.27'!A1" display="TABLA 14.27: NÚMERO DE ASISTENTES A ESPECTÁCULOS MUSICALES, CON ENTRADA GRATUITA Y PAGADA POR TIPO DE ESPECTÁCULO, SEGÚN REGIÓN. 2015/1"/>
    <hyperlink ref="A139" location="'14.28'!A1" display="TABLA 14.28: NÚMERO DE ASISTENTES A ESPECTÁCULOS MUSICALES, PAGANDO ENTRADA POR TIPO DE ESPECTÁCULO. 2011 - 2015/1"/>
    <hyperlink ref="A140" location="'14.29'!A1" display="TABLA 14.29: NÚMERO DE ASISTENTES A ESPECTÁCULOS MUSICALES CON ENTRADA GRATUITA, POR TIPO DE ESPECTÁCULO. 2011-2015/1"/>
    <hyperlink ref="A141" location="'14.30'!A1" display="TABLA 14.30: NÚMERO DE ASISTENTES A ESPECTÁCULOS MUSICALES, CON ENTRADA GRATUITA Y PAGADA POR TIPO DE ESPECTÁCULO. 2011 - 2015/1"/>
    <hyperlink ref="A142" location="'14.31'!A1" display="TABLA 14.31: NÚMERO DE ASISTENTES A ESPECTÁCULOS MUSICALES, CON ENTRADA GRATUITA Y PAGADA POR MES, SEGÚN REGIÓN. 2015/1"/>
    <hyperlink ref="A143" location="'14.32'!A1" display="TABLA 14.32: LISTADO DE CANCIONES NACIONALES MÁS ESCUCHADAS, SEGÚN REGISTROS DE LA SOCIEDAD CHILENA DEL DERECHO DE AUTOR (SCD). 2015"/>
    <hyperlink ref="A144" location="'14.33'!A1" display="TABLA 14.33: CANTIDAD DE DISCOS MUSICALES DESCARGADOS DESDE EL SITIO WEB PORTALDISC, SEGÚN LUGAR DE DESCARGA. 2011-2015"/>
    <hyperlink ref="A145" location="'14.34'!A1" display="TABLA 14.34: CANTIDAD DE DISCOS MUSICALES DESCARGADOS DESDE EL SITIO WEB PORTALDISC, SEGÚN REGIÓN. 2011-2015/1"/>
    <hyperlink ref="A146" location="'14.35'!A1" display="TABLA 14.35: NÚMERO DE DISCOS MUSICALES REGISTRADOS EN EL SITIO WEB PORTALDISC, SEGÚN GENERO. 2015 /1"/>
    <hyperlink ref="A147" location="'14.36'!A1" display="TABLA 14.36: CANTIDAD DE DISCOS DESCARGADOS EN EL SITIO WEB PORTALDISC POR LUGAR DE DESCARGA, SEGÚN GENERO. 2015/1"/>
    <hyperlink ref="A148" location="'14.37'!A1" display="TABLA 14.37: LISTADO DE LOS DIEZ ARTISTAS MUSICALES MÁS DESCARGADOS DESDE EL SITIO WEB PORTALDISC. 2015/1"/>
    <hyperlink ref="A149" location="'14.38'!A1" display="TABLA 14.38: CANTIDAD DE DISCOS MUSICALES MÁS DESCARGADOS DESDE EL SITIO WEB PORTALDISC. 2015/1"/>
    <hyperlink ref="A150" location="'15.1'!A1" display="TABLA 15.1: EVOLUCIÓN DE LA COBERTURA DE LAS BIBLIOTECAS CRA/1 POR ENSEÑANZA MEDIA (REGULAR). 1995-2015/2"/>
    <hyperlink ref="A151" location="'15.2'!A1" display="TABLA 15.2: EVOLUCIÓN DE LA COBERTURA DE LAS BIBLIOTECAS CRA/1 POR ENSEÑANZA BÁSICA (REGULAR). 2005-2015"/>
    <hyperlink ref="A152" location="'15.3'!A1" display="TABLA 15.3: CANTIDAD DE ESTABLECIMIENTOS EDUCACIONALES CON BIBLIOTECAS CRA/1 POR NIVEL EDUCACIONAL, SEGÚN REGIONES. 2015"/>
    <hyperlink ref="A153" location="'15.4'!A1" display="TABLA 15.4: NÚMERO DE ESTABLECIMIENTOS EDUCACIONALES Y ALUMNOS BENEFICIADOS CON BIBLIOTECAS CRA/1 POR ENSEÑANZA BÁSICA, SEGÚN REGIÓN. 2015"/>
    <hyperlink ref="A154" location="'15.5'!A1" display="TABLA 15.5: NÚMERO DE ESTABLECIMIENTOS EDUCACIONALES Y DE ALUMNOS DE EDUCACIÓN MEDIA BENEFICIADOS POR BIBLIOTECAS CRA/1, POR MODALIDAD DEL ESTABLECIMIENTO/2, SEGÚN REGIÓN. 2015"/>
    <hyperlink ref="A155" location="'15.6'!A1" display="TABLA 15.6: INVERSIÓN ANUAL MINEDUC EN COLECCIONES DE BÁSICA Y MEDIA. 2011-2015 (MM $2015)"/>
    <hyperlink ref="A156" location="'15.7'!A1" display="TABLA 15.7: NÚMERO DE TÍTULOS DE LIBROS REGISTRADOS EN EL INTERNATIONAL STANDARD BOOK NUMBER (ISBN), SEGÚN REGIÓN. 2011-2015 /1"/>
    <hyperlink ref="A157" location="'15.8'!A1" display="TABLA 15.8: NÚMERO DE PROYECTOS Y MONTOS ADJUDICADOS POR EL FONDO DEL LIBRO, POR LÍNEA DE CONCURSO, SEGÚN REGIÓN DE DOMICILIO DEL PARTICIPANTE. AÑO 2015 /1/2"/>
    <hyperlink ref="A158" location="'15.9'!A1" display="TABLA 15.9: NÚMERO DE SOCIOS DE LA SOCIEDAD DE DERECHOS LITERARIOS (SADEL), SEGÚN STATUS DE AFILIACIÓN Y SEXO. 2011-2015"/>
    <hyperlink ref="A159" location="'15.10'!A1" display="TABLA 15.10: NÚMERO DE SOCIOS INCORPORADOS A LA SOCIEDAD DE DERECHOS LITERARIOS (SADEL), SEGÚN STATUS DE AFILIACIÓN. 2015"/>
    <hyperlink ref="A160" location="'15.11'!A1" display="TABLA 15.11: NÚMERO DE TÍTULOS DE LIBROS REGISTRADOS EN EL INTERNATIONAL STANDARD BOOK NUMBER (ISBN), SEGÚN NÚMERO DE EDICIÓN. 2011-2015 /1"/>
    <hyperlink ref="A161" location="'15.12'!A1" display="TABLA 15.12: NÚMERO DE TÍTULOS DE LIBROS REGISTRADOS EN EL INTERNATIONAL STANDARD BOOK NUMBER (ISBN), SEGÚN MATERIA. 2011-2015 /1"/>
    <hyperlink ref="A162" location="'15.13'!A1" display="TABLA 15.13: NÚMERO DE TÍTULOS DE LIBROS DE LITERATURA CHILENA REGISTRADOS EN EL INTERNATIONAL STANDARD BOOK NUMBER (ISBN), SEGÚN GÉNERO. 2011-2015 /1"/>
    <hyperlink ref="A163" location="'15.14'!A1" display="TABLA 15.14: NÚMERO DE TÍTULOS DE LIBROS REGISTRADOS EN EL INTERNATIONAL STANDARD BOOK NUMBER (ISBN), SEGÚN SOPORTES DISTINTOS A PAPEL. 2011-2015 /1"/>
    <hyperlink ref="A164" location="'15.15'!A1" display="TABLA 15.15: NÚMERO DE TÍTULOS AUTOEDITADOS REGISTRADOS EN EL INTERNATIONAL STANDARD BOOK NUMBER (ISBN). 1994-2015 /1/2"/>
    <hyperlink ref="A165" location="'15.16'!A1" display="TABLA 15.16: NÚMERO DE TÍTULOS DE LIBROS REGISTRADOS EN EL INTERNATIONAL STANDARD BOOK NUMBER (ISBN), SEGÚN RANGOS DE PRODUCCIÓN. 2011-2015 /1"/>
    <hyperlink ref="A166" location="'15.17'!A1" display="TABLA 15.17: NÚMERO Y PORCENTAJE DE TRADUCCIONES REGISTRADAS EN EL INTERNATIONAL STANDARD BOOK NUMBER (ISBN), SEGÚN IDIOMA DE ORÍGEN E IDIOMA TRADUCIDO. 2011-2015 /1"/>
    <hyperlink ref="A167" location="'15.18'!A1" display="TABLA 15.18: EDITORES QUE SOLICITAN REGISTRO DE SU OBRA POR PRIMERA VEZ EN EL INTERNATIONAL STANDARD BOOK NUMBER (ISBN), SEGÚN REGIÓN. 2011-2015 /1"/>
    <hyperlink ref="A168" location="'15.19'!A1" display="TABLA 15.19: NÚMERO Y PORCENTAJE DE TÍTULOS REGISTRADOS EN EL INTERNATIONAL STANDARD BOOK NUMBER (ISBN), SEGÚN MES DE PRODUCCIÓN. 2011-2015 /1"/>
    <hyperlink ref="A169" location="'15.20'!A1" display="TABLA 15.20: NÚMERO DE TÍTULOS REGISTRADOS EN EL INTERNATIONAL STANDARD BOOK NUMBER (ISBN) POR UNIVERSIDADES CHILENAS. 2011-2015 /1 /2"/>
    <hyperlink ref="A170" location="'15.21'!A1" display="TABLA 15.21: RECAUDACIÓN DE LA SOCIEDAD DE DERECHOS LITERARIOS (SADEL) POR CONCEPTO DE LICENCIAS REPROGRÁFICAS. 2011-2015"/>
    <hyperlink ref="A171" location="'15.22'!A1" display="TABLA 15.22: RED DE BIBLIOTECAS PÚBLICAS, NÚMERO DE BIBLIOTECAS DEPENDIENTES O EN CONVENIOS CON LA DIRECCIÓN DE BIBLIOTECAS, ARCHIVOS Y MUSEOS (DIBAM), SEGÚN REGIÓN. 2015"/>
    <hyperlink ref="A172" location="'15.23'!A1" display="TABLA 15.23: NÚMERO DE SERVICIOS MÓVILES DE LA DIRECCIÓN DE BIBLIOTECAS, ARCHIVOS Y MUSEOS (DIBAM), SEGÚN REGIÓN. 2011-2015"/>
    <hyperlink ref="A173" location="'15.24'!A1" display="TABLA 15.24: NÚMERO DE BIBLIOTECAS PÚBLICAS DE LA DIRECCIÓN DE BIBLIOTECAS, ARCHIVOS Y MUSEOS (DIBAM) CON ACCESO GRATUITO A INTERNET. 2011-2015"/>
    <hyperlink ref="A174" location="'15.25'!A1" display="TABLA 15.25: NÚMERO DE EJEMPLARES INGRESADOS EN BIBLIOTECAS PÚBLICAS DE LA DIRECCIÓN DE BIBLIOTECAS, ARCHIVOS Y MUSEOS (DIBAM), SEGÚN TIPO DE COLECCIÓN. 2011-2015"/>
    <hyperlink ref="A175" location="'15.26'!A1" display="TABLA 15.26: NÚMERO DE EJEMPLARES EN BIBLIOTECAS PÚBLICAS DE LA DIRECCIÓN DE BIBLIOTECAS, ARCHIVOS Y MUSEOS (DIBAM), SEGÚN MATERIA. 2011-2015"/>
    <hyperlink ref="A176" location="'15.27'!A1" display="TABLA 15.27: NÚMERO DE EJEMPLARES EN BIBLIOTECAS PÚBLICAS DE LA DIRECCIÓN DE BIBLIOTECAS, ARCHIVOS Y MUSEOS (DIBAM), SEGÚN COLECCIÓN. 2011-2015"/>
    <hyperlink ref="A177" location="'15.28'!A1" display="TABLA 15.28: NÚMERO DE OBJETOS DIGITALES EN PLATAFORMA DESCUBRE. 2015/1"/>
    <hyperlink ref="A178" location="'15.29'!A1" display="TABLA 15.29: NÚMERO DE USUARIOS REGISTRADOS EN BIBLIOTECAS PÚBLICAS Y BIBLIOREDES. 2011-2015"/>
    <hyperlink ref="A179" location="'15.30'!A1" display="TABLA 15.30: NÚMERO DE SESIONES DE ACCESO GRATUITO A INTERNET EN LAS BIBLIOTECAS PÚBLICAS DE LA DIRECCIÓN DE BIBLIOTECAS, ARCHIVOS Y MUSEOS (DIBAM). 2011-2015/1 /2"/>
    <hyperlink ref="A180" location="'15.31'!A1" display="TABLA 15.31: NÚMERO DE VISITAS A PORTALES DE BIBLIOREDES. 2011-2015/1"/>
    <hyperlink ref="A181" location="'15.32'!A1" display="TABLA 15.32: NÚMERO DE CONSULTAS POR INTERNET A SITIOS WEB DE LA DIRECCIÓN DE BIBLIOTECAS, ARCHIVOS Y MUSEOS (DIBAM). 2011-2015/1"/>
    <hyperlink ref="A182" location="'15.33'!A1" display="TABLA 15.33: NÚMERO DE VISITANTES ESTIMADOS Y ARCHIVOS DESCARGADOS DESDE SITIOS WEB DE LA DIRECCIÓN DE BIBLIOTECAS, ARCHIVOS Y MUSEOS (DIBAM), SEGÚN SITIO WEB. 2011-2015"/>
    <hyperlink ref="A183" location="'15.34'!A1" display="TABLA 15.34: NÚMERO DE USUARIOS DE BIBLIOTECAS PÚBLICAS DE LA DIRECCIÓN DE BIBLIOTECAS, ARCHIVOS Y MUSEOS (DIBAM) QUE CIRCULAN AUTOMATIZADAS POR GRUPOS DE EDAD, SEGÚN REGIÓN. 2015/1"/>
    <hyperlink ref="A184" location="'15.34(R)'!A1" display="TABLA 15.34(R): NÚMERO DE USUARIOS DE BIBLIOTECAS PÚBLICAS DE LA DIRECCIÓN DE BIBLIOTECAS, ARCHIVOS Y MUSEOS (DIBAM) QUE CIRCULAN AUTOMATIZADAS POR GRUPOS DE EDAD, SEGÚN REGIÓN. 2014/1"/>
    <hyperlink ref="A185" location="'15.35'!A1" display="TABLA 15.35: NÚMERO DE USUARIOS DE BIBLIOTECA NACIONAL, BIBLIOTECA DE SANTIAGO, BIBLIOMETRO. 2011-2015"/>
    <hyperlink ref="A186" location="'15.36'!A1" display="TABLA 15.36: PRÉSTAMOS DE MATERIAL BIBLIOGRÁFICO DE BIBLIOTECAS PÚBLICAS Y PUNTOS DE PRÉSTAMOS ASOCIADOS DEL SISTEMA NACIONAL DE BIBLIOTECAS PÚBLICAS (SNBP) DEPENDIENTES DE LA DIRECCIÓN DE BIBLIOTECAS, ARCHIVOS Y MUSEOS (DIBAM) A DOMICILIO, SEGÚN REGIÓN. 2011-2015/1"/>
    <hyperlink ref="A187" location="'15.37'!A1" display="TABLA 15.37: PRÉSTAMOS DE MATERIAL BIBLIOGRÁFICO DE BIBLIOTECAS PÚBLICAS Y PUNTOS DE PRÉSTAMOS ASOCIADOS DEL SISTEMA NACIONAL DE BIBLIOTECAS PÚBLICAS (SNBP) DEPENDIENTES DE LA DIRECCIÓN DE BIBLIOTECAS, ARCHIVOS Y MUSEOS (DIBAM) A DOMICILIO, SEGÚN MES. 2011-2015/1"/>
    <hyperlink ref="A188" location="'15.38'!A1" display="TABLA 15.38: PRÉSTAMOS DE MATERIAL BIBLIOGRÁFICO EN FORMATO DIGITAL. 2015/1/2"/>
    <hyperlink ref="A189" location="'15.39'!A1" display="TABLA 15.39: NÚMERO DE FUNCIONES Y ASISTENTES A RECITALES DE POESÍA. 2011-2015/1"/>
    <hyperlink ref="A190" location="'15.40'!A1" display="TABLA 15.40: NÚMERO DE FUNCIONES Y ASISTENCIA A RECITALES DE POESÍA, SEGÚN REGIÓN. 2015/1"/>
    <hyperlink ref="A191" location="'15.41'!A1" display="TABLA 15.41: NÚMERO DE ESPECTADORES A RECITALES DE POESÍA, CON ENTRADA GRATUITA Y PAGADA POR MES, SEGÚN REGIÓN. 2015/1"/>
    <hyperlink ref="A192" location="'15.42'!A1" display="TABLA 15.42: NÚMERO DE SOCIOS DE LA ASOCIACIÓN NACIONAL DE LA PRENSA (ANP), POR SOPORTE DE PUBLICACIÓN, SEGÚN REGIÓN DE CASA MATRIZ. 2015"/>
    <hyperlink ref="A193" location="'15.43'!A1" display="TABLA 15.43: CONCURSO DE LECTORES INFANTILES: NÚMERO DE POSTULANTES Y NÚMERO DE GANADORES, SEGÚN REGIÓN, SEXO Y GRUPO DE EDAD. 2013-2015"/>
    <hyperlink ref="A194" location="'15.44'!A1" display="TABLA 15.44: OLIMPIADAS DE ACTUALIDAD POR NÚMERO DE COLEGIOS Y DE REGIONES PARTICIPANTES. 2011-2015"/>
    <hyperlink ref="A195" location="'15.45'!A1" display="TABLA 15.45: NÚMERO DE VISITAS, SOCIOS, MATERIAL BIBLIOGRÁFICO, PRÉSTAMOS Y ASISTENTES A ACTIVIDADES DE EXTENSIÓN, SEGÚN ZONA. 2015"/>
    <hyperlink ref="A196" location="'15.46'!A1" display="TABLA 15.46: NÚMERO DE VISITAS, SOCIOS, MATERIAL BIBLIOGRÁFICO, PRÉSTAMOS A BIBLIOTECAS VIVAS SEGÚN BIBLIOTECA. 2011-2015"/>
    <hyperlink ref="A197" location="'15.47'!A1" display="TABLA 15.47: NÚMERO Y PORCENTAJE DE NUEVOS INSCRITOS EN BIBLIOTECA VIVA, SEGÚN SEXO Y GRUPOS DE EDAD. 2014-2015"/>
    <hyperlink ref="A198" location="'15.48'!A1" display="TABLA 15.48: NÚMERO DE BIBLIOTECAS CREADAS Y LIBROS DONADOS, SEGÚN PROYECTOS DE FUNDACIÓN LA FUENTE. 2011-2015"/>
    <hyperlink ref="A199" location="'15.49'!A1" display="TABLA 15.49 : TOTAL DE GASTO DE LAS BIBLIOTECAS VIVAS, SEGÚN ZONA. 2013-2015"/>
    <hyperlink ref="A200" location="'15.50'!A1" display="TABLA 15.50: NÚMERO DE EJEMPLARES ADQUIRIDOS Y PRÉSTAMOS DE BIBLIOTECA VIVA, SEGÚN TIPO DE MATERIAL BIBLIOGRÁFICO Y CLASIFICACIÓN. 2013-2015"/>
    <hyperlink ref="A201" location="'15.51'!A1" display="TABLA 15.51: PÁGINAS FOMENTO LECTOR, VISITA PÁGINAS Y PRÉSTAMOS VIRTUALES DE BIBLIOTECA VIVA POR AÑO. 2011-2015"/>
    <hyperlink ref="A202" location="'16.1'!A1" display="TABLA 16.1: NÚMERO DE PROYECTOS Y MONTOS ADJUDICADOS POR EL FONDO AUDIOVISUAL, POR LÍNEA DE CONCURSO, SEGÚN REGIÓN DE DOMICILIO DEL PARTICIPANTE. AÑO 2015/1"/>
    <hyperlink ref="A203" location="'16.2'!A1" display="TABLA 16.2: NÚMERO DE EMISORAS DE FRECUENCIA MODULADA (FM), AMPLITUD MODULADA (AM) Y MÍNIMA COBERTURA (MC) REGISTRADAS EN LA SUBSECRETARÍA DE TELECOMUNICACIONES (SUBTEL). 2011-2015"/>
    <hyperlink ref="A204" location="'16.3'!A1" display="TABLA 16.3: SOPORTE PARA DIFUSIÓN Y COMERCIALIZACIÓN SEGÚN REGISTROS DE LA SOCIEDAD CHILENA DEL DERECHO DE AUTOR (SCD). 2015"/>
    <hyperlink ref="A205" location="'16.4'!A1" display="TABLA 16.4: NÚMERO DE SEÑALES DE RADIODIFUSIÓN POR BANDA DE TRANSMISIÓN, SEGÚN REGIÓN. 2015"/>
    <hyperlink ref="A206" location="'16.5'!A1" display="TABLA 16.5: NÚMERO DE SEÑALES DE RADIODIFUSIÓN, SEGÚN TRANSMISIÓN VIA INTERNET. 2015"/>
    <hyperlink ref="A207" location="'16.6'!A1" display="TABLA 16.6: NÚMERO DE SEÑALES DE RADIODIFUSIÓN POR POTENCIA DE SUS TRANSMISIONES, SEGÚN BANDA DE TRANSMISIÓN Y REGIÓN. 2015"/>
    <hyperlink ref="A208" location="'16.7'!A1" display="TABLA 16.7: NÚMERO DE SEÑALES DE RADIODIFUSIÓN QUE EFECTUARON TRANSMISIONES POR INTERVALOS DE HORAS DE TRANSMISIÓN, SEGÚN DÍAS DE LA SEMANA Y REGIÓN. 2015"/>
    <hyperlink ref="A209" location="'16.8'!A1" display="TABLA 16.8: NÚMERO DE SEÑALES DE RADIODIFUSIÓN, POR INTERVALOS DE HORAS DE TRANSMISIÓN DIARIA, SEGÚN BANDA DE TRANSMISIÓN Y DÍAS DE LA SEMANA. 2015"/>
    <hyperlink ref="A210" location="'16.9'!A1" display="TABLA 16.9: PORCENTAJE DE SEÑALES DE RADIODIFUSIÓN POR INTERVALOS DE HORAS DE TRANSMISIÓN DIARIA, SEGÚN BANDA DE TRANSMISIÓN Y DÍAS DE LA SEMANA. 2015"/>
    <hyperlink ref="A211" location="'16.10'!A1" display="TABLA 16.10: NÚMERO DE RADIOEMISORAS POR BANDA DE TRANSMISIÓN, SEGÚN TIPO DE PROGRAMA AL QUE LE ASIGNAN PRIMERA PRIORIDAD. 2015"/>
    <hyperlink ref="A212" location="'16.11'!A1" display="TABLA 16.11: NÚMERO DE RADIOEMISORAS POR BANDA DE TRANSMISIÓN, SEGÚN GRUPO DE EDAD DEL PÚBLICO AL QUE LE ASIGNAN PRIMERA PRIORIDAD. 2015/1"/>
    <hyperlink ref="A213" location="'16.12'!A1" display="TABLA 16.12: HORAS ANUALES Y PORCENTAJES DE TRANSMISIÓN DE LAS RADIOEMISORAS, SEGÚN TIPO DE PROGRAMA. 2015"/>
    <hyperlink ref="A214" location="'16.13'!A1" display="TABLA 16.13: PERSONAL DE LAS RADIOEMISORAS POR TIPO DE JORNADA, SEGÚN SEXO Y TIPO DE PERSONAL. 2015"/>
    <hyperlink ref="A215" location="'16.14'!A1" display="TABLA 16.14: INGRESOS DE LAS RADIOEMISORAS, SEGÚN FUENTE. 2015"/>
    <hyperlink ref="A216" location="'16.15'!A1" display="TABLA 16.15: GASTOS DE LAS RADIOEMISORAS, SEGÚN ORIGEN. 2015"/>
    <hyperlink ref="A217" location="'16.16'!A1" display="TABLA 16.16: INGRESOS Y GASTOS DE LAS RADIOEMISORAS, SEGÚN TAMAÑO DE LA EMPRESA. 2015"/>
    <hyperlink ref="A218" location="'16.17'!A1" display="TABLA 16.17: NÚMERO DE CANALES DE TELEVISIÓN ABIERTA, SEGÚN COBERTURA. 2011 - 2015/1"/>
    <hyperlink ref="A219" location="'16.18'!A1" display="TABLA 16.18: NÚMERO DE PERMISIONARIOS DE SERVICIOS LIMITADOS DE TELEVISIÓN. 2011-2015"/>
    <hyperlink ref="A220" location="'16.19'!A1" display="TABLA 16.19: HORAS DE EMISIÓN DE PROGRAMACIÓN DE TELEVISIÓN ABIERTA, SEGÚN PÚBLICO OBJETIVO. 2011-2015"/>
    <hyperlink ref="A221" location="'16.20'!A1" display="TABLA 16.20: HORAS DE EMISIÓN Y CONSUMO DE PROGRAMACIÓN DE TELEVISIÓN ABIERTA, SEGÚN GÉNERO TELEVISIVO. 2011 - 2015"/>
    <hyperlink ref="A222" location="'16.21'!A1" display="TABLA 16.21: HORAS DE EMISIÓN Y CONSUMO DE PROGRAMACIÓN DE TELEVISIÓN ABIERTA, SEGÚN PROCEDENCIA. 2011 - 2015"/>
    <hyperlink ref="A223" location="'16.22'!A1" display="TABLA 16.22: HORAS DE EMISIÓN DE PROGRAMACIÓN NACIONAL DE TELEVISIÓN ABIERTA, SEGÚN GÉNERO TELEVISIVO. 2011 - 2015"/>
    <hyperlink ref="A224" location="'16.23'!A1" display="TABLA 16.23: HORAS DE EMISIÓN DE PROGRAMACIÓN EXTRANJERA DE TELEVISIÓN ABIERTA, SEGÚN GÉNERO TELEVISIVO. 2011 - 2015"/>
    <hyperlink ref="A225" location="'16.24'!A1" display="TABLA 16.24: HORAS DE EMISIÓN Y CONSUMO DE PROGRAMACIÓN INFANTIL PARA NIÑOS MENORES DE 12 AÑOS, SEGÚN CATEGORÍA. 2013 - 2015 /1"/>
    <hyperlink ref="A226" location="'16.25'!A1" display="TABLA 16.25: HORAS DE EMISIÓN DE PROGRAMACIÓN CULTURAL/1 EN TELEVISIÓN ABIERTA, SEGÚN GÉNERO TELEVISIVO. 2011-2015"/>
    <hyperlink ref="A227" location="'16.26'!A1" display="TABLA 16.26: NÚMERO DE EXPLOTACIONES DE PRODUCCIONES NACIONALES Y EXTRANJERAS DE LA CORPORACIÓN DE ACTORES DE CHILE (CHILEACTORES), SEGÚN TIPO DE PRODUCCIÓN. 2011-2015 /1 3"/>
    <hyperlink ref="A228" location="'16.27'!A1" display="TABLA 16.27: RECAUDACIÓN Y DISTRIBUCIÓN DE DERECHOS DE COMUNICACIÓN PÚBLICA DE PRODUCCIONES NACIONALES Y EXTRANJERAS, SEGÚN MEDIO DE EMISIÓN./1 2011-2015"/>
    <hyperlink ref="A229" location="'16.28'!A1" display="TABLA 16.28: NÚMERO DE ACTORES FAVORECIDOS POR LA DISTRIBUCIÓN DE DERECHOS DE COMUNICACIÓN PÚBLICA DE LA CORPORACIÓN DE ACTORES DE CHILE (CHILEACTORES) POR TIPO DE REPARTO Y SEXO, SEGÚN AFILIACIÓN. 2013-2015"/>
    <hyperlink ref="A230" location="'16.29'!A1" display="TABLA 16.29: CONSUMO PROMEDIO ANUAL DE TELEVISIÓN ABIERTA POR HORAS, SEGÚN RANGO ETARIO. 2011 - 2015"/>
    <hyperlink ref="A231" location="'16.30'!A1" display="TABLA 16.30: CONSUMO PROMEDIO ANUAL DE TELEVISIÓN ABIERTA PARA NIÑOS DE 4 A 12 AÑOS DE EDAD, SEGÚN GÉNERO TELEVISIVO. 2013 - 2015 /1"/>
    <hyperlink ref="A232" location="'16.31'!A1" display="TABLA 16.31: HORAS DE EMISIÓN DE PROGRAMACIÓN INFANTIL DE TELEVISIÓN ABIERTA, SEGÚN PROCEDENCIA. 2013 - 2015 /1"/>
    <hyperlink ref="A233" location="'16.32'!A1" display="TABLA 16.32: HORAS DE EMISIÓN ANUAL (TIEMPO Y PORCENTAJE DE OFERTA Y CONSUMO) FINANCIADAS POR EL FONDO DEL CONSEJO NACIONAL DE TELEVISIÓN (CNTV), SEGÚN TIPO DE PROGRAMACIÓN. 2013 - 2015 /1"/>
    <hyperlink ref="A234" location="'16.33'!A1" display="TABLA 16.33: NÚMERO DE PELÍCULAS ESTRENADAS, SEGÚN ORIGEN DE LA PELÍCULA 2015"/>
    <hyperlink ref="A235" location="'16.34'!A1" display="TABLA 16.34: NÚMERO DE EMPRESAS DISTRIBUIDORAS DE CINE NACIONALES Y EXTRANJERAS, SEGÚN REGIÓN. 2015"/>
    <hyperlink ref="A236" location="'16.35'!A1" display="TABLA 16.35:  NÚMERO DE TRABAJADORES AL AÑO EN DISTRIBUIDORAS DE CINE POR SEXO, SEGÚN REGIÓN. 2015"/>
    <hyperlink ref="A237" location="'16.36'!A1" display="TABLA 16.36:  MONTOS RECAUDADOS DE PELÍCULAS ESTRENADAS Y EXHIBIDAS, SEGÚN ORIGEN DE LA PELÍCULA. 2015"/>
    <hyperlink ref="A238" location="'16.37'!A1" display="TABLA 16.37: NÚMERO DE FUNCIONES DE CINE POR TIPO DE ASISTENCIA, SEGÚN REGIÓN. 2015/1"/>
    <hyperlink ref="A239" location="'16.38'!A1" display="TABLA 16.38: NÚMERO DE SALAS DE EXHIBICIÓN Y CAPACIDAD, SEGÚN REGIÓN 2015"/>
    <hyperlink ref="A240" location="'16.39'!A1" display="TABLA 16.39: NÚMERO DE ESPECTADORES, POR ORIGEN DE LA PELÍCULA 2015."/>
    <hyperlink ref="A241" location="'16.40 (ex42)'!A1" display="TABLA 16.40: NÚMERO DE ESPECTADORES POR ORIGEN DE LA PELÍCULA SEGÚN REGIÓN. 2015"/>
    <hyperlink ref="A242" location="'16.41 (ex 43)'!A1" display="TABLA 16.41: NÚMERO DE ESPECTADORES POR CALIFICACIÓN CINEMATOGRÁFICA DE LA PELÍCULA, SEGÚN REGIÓN 2015."/>
    <hyperlink ref="A243" location="'16.42 (ex44)'!A1" display="TABLA 16.42: NÚMERO DE ESPECTADORES ANUALES POR MES, SEGÚN REGIÓN. 2015"/>
    <hyperlink ref="A244" location="'16.43'!A1" display="TABLA 16.43: NÚMERO DE ESPECTADORES A LAS VEINTE PELÍCULAS CON MAYOR VENTA DE ENTRADAS POR FECHA DE ESTRENO, CALIFICACIÓN, NÚMERO DE COPIAS VENDIDAS Y SEMANAS EN CARTELERA, SEGÚN TÍTULO DE LA PELÍCULA. 2015"/>
    <hyperlink ref="A245" location="'16.44'!A1" display="TABLA 16.44: NÚMERO DE ESPECTADORES A LAS TRES PELÍCULAS NACIONALES CON MAYOR VENTA DE ENTRADAS POR FECHA DE ESTRENO, CALIFICACIÓN, NÚMERO DE COPIAS VENDIDAS Y SEMANAS EN CARTELERA, SEGÚN TÍTULO DE LA PELÍCULA.2015 "/>
    <hyperlink ref="A246" location="'17.1'!A1" display="TABLA 17.1: MATRÍCULA DE JÓVENES/1 CON ESPECIALIDAD CREATIVA EN ENSEÑANZA MEDIA TÉCNICA PROFESIONAL Y ARTÍSTICA POR NÚMERO DE ESTABLECIMIENTOS QUE LA IMPARTEN, SEGÚN REGIÓN. 2015"/>
    <hyperlink ref="A247" location="'17.1 (R 2014)'!A1" display="TABLA 17.1 (R): MATRÍCULA DE JÓVENES/1 CON ESPECIALIDAD CREATIVA EN ENSEÑANZA MEDIA TÉCNICA PROFESIONAL Y ARTÍSTICA POR NÚMERO DE ESTABLECIMIENTOS QUE LA IMPARTEN, SEGÚN REGIÓN. 2014"/>
    <hyperlink ref="A248" location="'17.2'!A1" display="TABLA 17.2: NÚMERO DE ALUMNOS MATRICULADOS EN ENSEÑANZA MEDIA TÉCNICA PROFESIONAL Y ARTÍSTICA, SEGÚN ESPECIALIDAD CREATIVA/1. 2015"/>
    <hyperlink ref="A249" location="'17.3'!A1" display="TABLA 17.3: NÚMERO Y PORCENTAJE DE MATRÍCULAS DE JOVENES DE 15 A 29 AÑOS EN ENSEÑANZA MEDIA, SEGÚN ESPECIALIDAD CREATIVA O NO CREATIVA. 2014 - 2015"/>
    <hyperlink ref="A250" location="'17.4'!A1" display="TABLA 17.4: NÚMERO DE CARRERAS IMPARTIDAS POR CENTROS DE EDUCACIÓN SUPERIOR POR TIPO DE CARRERA, SEGÚN DOMINIO Y SUBDOMINIO CULTURAL. 2015/1"/>
    <hyperlink ref="A251" location="'17.5'!A1" display="TABLA 17.5: NÚMERO DE MATRÍCULA EN INSTITUCIONES DE EDUCACIÓN SUPERIOR, POR SEXO, SEGÚN DOMINIO Y SUBDOMINIO CULTURAL. 2015/1"/>
    <hyperlink ref="A252" location="'17.6'!A1" display="TABLA 17.6: NÚMERO DE CARRERAS IMPARTIDAS Y NÚMERO DE MATRICULADOS EN INSTITUCIONES DE EDUCACIÓN SUPERIOR POR REGIÓN, SEGÚN DOMINIO Y SUBDOMINO CULTURAL. 2015/1"/>
    <hyperlink ref="A253" location="'17.7'!A1" display="TABLA 17.7: NÚMERO DE CARRERAS CREATIVAS IMPARTIDAS EN INSTITUCIONES DE EDUCACIÓN SUPERIOR POR GRADO, SEGÚN DOMINIO Y SUBDOMINO CULTURAL. 2015/1"/>
    <hyperlink ref="A254" location="'17.8'!A1" display="TABLA 17.8: NÚMERO DE CARRERAS CREATIVAS POR DISCIPLINA, SEGÚN INSTITUCIÓN QUE LA IMPARTE EN CHILE. 2015/1"/>
    <hyperlink ref="A255" location="'17.9'!A1" display="TABLA 17.9: NÚMERO TOTAL DE CARRERAS CREATIVAS Y NÚMERO TOTAL DE MATRICULADOS, SEGÚN CENTRO DE EDUCACIÓN SUPERIOR E INSTITUCIÓN QUE LA IMPARTE. 2015/1"/>
    <hyperlink ref="A256" location="'18.1'!A1" display="TABLA 18.1: NÚMERO DE EMPRESAS PROVEEDORAS DE CONEXIÓN A INTERNET POR MODALIDAD, SEGÚN REGIÓN. 2011-2015/1"/>
    <hyperlink ref="A257" location="'18.2'!A1" display="TABLA 18.2: NÚMERO DE CONEXIONES A INTERNET POR TIPO DE ACCESO, SEGÚN REGIÓN. 2015"/>
    <hyperlink ref="A258" location="'18.3'!A1" display="TABLA 18.3: NÚMERO DE CONEXIONES FIJAS, SEGÚN TIPO DE SUSCRIPTOR. 2011-2015"/>
    <hyperlink ref="A259" location="'18.4'!A1" display="TABLA 18.4: TASA DE CONEXIONES FIJAS RESIDENCIALES POR CADA CIEN HABITANTES. 2011-2015"/>
    <hyperlink ref="A260" location="'18.5'!A1" display="TABLA 18.5:  NÚMERO DE CONEXIONES RESIDENCIALES DE BANDA ANCHA A INTERNET. 2011-2015"/>
    <hyperlink ref="A261" location="'18.6'!A1" display="TABLA 18.6: PENETRACIÓN DE INTERNET EN LA POBLACIÓN EN PORCENTAJE, SEGÚN LA UNIÓN INTERNACIONAL DE TELECOMUNICACIONES DE LAS NACIONES UNIDAS (UIT). 2011-2015"/>
    <hyperlink ref="A262" location="'18.7'!A1" display="TABLA 18.7: PENETRACIÓN MUNDIAL DE INTERNET POR CADA CIEN HABITANTES, COMPARACIÓN DE VARIOS PAÍSES. 2011-2015"/>
    <hyperlink ref="A263" location="'19.1'!A1" display="TABLA 19.1: NÚMERO DE PERSONAS CON RECONOCIMIENTO DE CALIDAD INDÍGENA (LEY 19.253) POR SEXO Y UNIDAD OPERATIVA, SEGÚN REGIÓN. 2013-2015"/>
    <hyperlink ref="A264" location="'19.2'!A1" display="TABLA 19.2: DISTRIBUCIÓN DE POBLACIÓN POR PUEBLO ORIGINARIO, SEGÚN RECONOCIMIENTO DE PUEBLOS ORIGINARIOS (LEY N° 19.253). 2012-2015"/>
    <hyperlink ref="A265" location="'19.3'!A1" display="TABLA 19.3: NÚMERO DE BECAS INDÍGENAS OTORGADAS POR NIVEL DE EDUCACIÓN Y SEXO SEGÚN REGIÓN.  2011-2015"/>
    <hyperlink ref="A266" location="'19.4'!A1" display="TABLA 19.4: MONTO DE LA INVERSIÓN EN BECAS INDÍGENAS POR NIVEL DE EDUCACIÓN, SEGÚN REGIÓN. 2011-2015"/>
    <hyperlink ref="A267" location="'19.5'!A1" display="TABLA 19.5: NÚMERO DE ALUMNOS INDÍGENAS BENEFICIARIOS DE BECAS INDÍGENAS POR NIVEL DE EDUCACIÓN, SEGÚN PUEBLO ORIGINARIO Y NIVEL DE EDUCACIÓN. 2011-2015"/>
    <hyperlink ref="A268" location="'19.6'!A1" display="TABLA 19.6: NÚMERO DE BECAS OTORGADAS EN POST-GRADO POR SEXO, SEGÚN REGIÓN. 2011-2015"/>
    <hyperlink ref="A269" location="'19.7'!A1" display="TABLA 19.7: NÚMERO DE PROGRAMAS FONDO DE CULTURA POR UNIDAD OPERATIVA Y MONTO DE LA INVERSIÓN, SEGÚN REGIÓN. 2011-2015"/>
    <hyperlink ref="A270" location="'19.8'!A1" display="TABLA 19.8: NÚMERO DE PROGRAMAS DE FONDO DE EDUCACIÓN POR UNIDAD OPERATIVA Y MONTO DE LA INVERSIÓN, SEGÚN REGIÓN. 2011-2015"/>
    <hyperlink ref="A271" location="'19.9'!A1" display="TABLA 19.9: DISTRIBUCIÓN REGIONAL DE FONDOS CONCURSABLES PARA SUBSIDIOS DE CAPACITACIÓN Y ESPECIALIZACIÓN DE PROFESIONALES Y TÉCNICOS INDÍGENAS POR SEXO, SEGÚN REGIÓN. 2011-2015"/>
    <hyperlink ref="A272" location="'19.10'!A1" display="TABLA 19.10: NÚMERO DE PROYECTOS DEL FONDO DE DESARROLLO INDÍGENA (FDI) Y MONTO DE LA INVERSIÓN, SEGÚN REGIÓN Y UNIDAD OPERATIVA. 2011-2015"/>
    <hyperlink ref="A273" location="'19.11'!A1" display="TABLA 19.11: NÚMERO DE INSCRIPCIONES EN EL REGISTRO PÚBLICO DE TIERRAS INDÍGENAS EMITIDOS, SEGÚN REGISTRO PÚBLICO Y REGIÓN. 2011-2015"/>
    <hyperlink ref="A274" location="'20.1'!A1" display="TABLA 20.1: NÚMERO DE RECINTOS ENTREGADOS POR ENCARGO DE GESTIÓN /1, SEGÚN REGIÓN. 2011-2015"/>
    <hyperlink ref="A275" location="'20.2'!A1" display="TABLA 20.2: NÚMERO DE PROYECTOS DEL FONDO NACIONAL DE FOMENTO PARA EL DEPORTE APROBADOS Y MONTOS, SEGÚN MODALIDAD DE ASIGNACIÓN. 2015"/>
    <hyperlink ref="A276" location="'20.3'!A1" display="TABLA 20.3: NÚMERO DE PROYECTOS DEL FONDO NACIONAL DE FOMENTO PARA EL DEPORTE APROBADOS Y MONTO, SEGÚN CATEGORÍA DEPORTIVA. 2015"/>
    <hyperlink ref="A277" location="'20.4'!A1" display="TABLA 20.4: NÚMERO DE PROYECTOS APROBADOS POR EL REGISTRO NACIONAL DE DONACIONES CON FINES DEPORTIVOS A TRAVÉS DEL SISTEMA DE FRANQUICIA TRIBUTARIA Y MONTO TOTAL DEL FINANCIAMIENTO EJECUTADO. 2011-2015"/>
    <hyperlink ref="A278" location="'20.5'!A1" display="TABLA 20.5: NÚMERO DE ORGANIZACIONES DEPORTIVAS INSCRITAS EN EL REGISTRO NACIONAL DE ORGANIZACIONES DEPORTIVAS (RNO), SEGÚN REGIÓN. 2011-2015"/>
    <hyperlink ref="A279" location="'20.6'!A1" display="TABLA 20.6: NÚMERO DE PERSONAS BENEFICIADAS CON LOS PROYECTOS APROBADOS POR SEXO, SEGÚN MODALIDAD DE ASIGNACIÓN. 2015"/>
    <hyperlink ref="A280" location="'20.7'!A1" display="TABLA 20.7: NÚMERO DE COMUNAS BENEFICIADAS CON LOS PROYECTOS APROBADOS, SEGÚN MODALIDAD DE ASIGNACIÓN. 2011-2015"/>
    <hyperlink ref="A281" location="'20.8'!A1" display="TABLA 20.8: NÚMERO DE COMPETENCIAS, SEGÚN PROGRAMA DE DEPORTE MASIVO. 2012-2015"/>
    <hyperlink ref="A282" location="'20.9'!A1" display="TABLA 20.9: NÚMERO DE PERSONAS PARTICIPANTES EN PROGRAMAS DE DEPORTE MASIVO/1, SEGÚN TIPO DE COMPETENCIAS. 2011-2015"/>
    <hyperlink ref="A283" location="'20.10'!A1" display="TABLA 20.10: NÚMERO DE DEPORTISTAS EN PROGRAMAS DE ALTO RENDIMIENTO (PRODDAR), POR SEXO, SEGÚN REGIÓN Y DISCIPLINA. 2015"/>
    <hyperlink ref="A284" location="'20.11'!A1" display="TABLA 20.11: NÚMERO DE FUNCIONES DE ESPECTÁCULOS PÚBLICOS DEPORTIVOS, POR TIPO DE ESPECTÁCULO. 2015/1"/>
    <hyperlink ref="A285" location="'20.12'!A1" display="TABLA 20.12: FUNCIONES DE ESPECTÁCULOS PÚBLICOS DEPORTIVOS POR TIPO DE ESPECTÁCULO, SEGÚN REGIÓN. 2015/1"/>
    <hyperlink ref="A286" location="'20.13'!A1" display="TABLA 20.13: NÚMERO DE ESPECTADORES QUE ASISTEN A LA REALIZACIÓN DE ESPECTÁCULOS PÚBLICOS DEPORTIVOS PAGANDO ENTRADA POR TIPO DE ESPECTÁCULO DEPORTIVO, SEGÚN REGIÓN. 2015/1"/>
    <hyperlink ref="A287" location="'20.14'!A1" display="TABLA 20.14: NÚMERO DE ESPECTADORES  QUE ASISTEN A LA REALIZACIÓN DE ESPECTÁCULOS PÚBLICOS DEPORTIVOS CON ENTRADA GRATUITA POR TIPO DE ESPECTÁCULO DEPORTIVO, SEGÚN REGIÓN. 2015/1"/>
    <hyperlink ref="A288" location="'20.15'!A1" display="TABLA 20.15: NÚMERO DE ESPECTADORES QUE ASISTEN A LA REALIZACIÓN DE ESPECTÁCULOS PÚBLICOS DEPORTIVOS ENTRADA GRATUITA Y PAGADA POR TIPO DE ESPECTÁCULO DEPORTIVO, SEGÚN REGIÓN. 2015/1"/>
    <hyperlink ref="A289" location="'20.16'!A1" display="TABLA 20.16: NÚMERO DE ASISTENTES A ESPECTÁCULOS PÚBLICOS DEPORTIVOS, PAGANDO ENTRADA, POR TIPO DE ESPECTÁCULO. 2011-2015/1"/>
    <hyperlink ref="A290" location="'20.17'!A1" display="TABLA 20.17: NÚMERO DE ASISTENTES A ESPECTÁCULOS PÚBLICOS DEPORTIVOS, ENTRADA GRATUITA, POR TIPO DE ESPECTÁCULO. 2011-2015/1"/>
    <hyperlink ref="A291" location="'20.18'!A1" display="TABLA 20.18: NÚMERO DE ASISTENTES A ESPECTÁCULOS PÚBLICOS DEPORTIVOS, ENTRADA GRATUITA Y PAGADA, POR TIPO DE ESPECTÁCULO. 2011-2015/1"/>
    <hyperlink ref="A292" location="'20.19'!A1" display="TABLA 20.19: NÚMERO DE ESPECTADORES ASISTENTES A ESPECTÁCULOS PÚBLICOS DEPORTIVOS CON ENTRADA GRATUITA Y PAGADA POR MES, SEGÚN REGIÓN. 2015/1"/>
    <hyperlink ref="A293" location="'21.1'!A1" display="TABLA 21.1: NÚMERO DE INSCRIPCIONES, CERTIFICADOS , CONSULTAS Y OTROS SERVICIOS REALIZADOS EN EL DEPARTAMENTO DE DERECHOS INTELECTUALES (DDI) DE LA DIRECCIÓN DE BIBLIOTECAS, ARCHIVOS Y MUSEOS (DIBAM), SEGÚN ÍTEM. 2011-2015"/>
    <hyperlink ref="A294" location="'21.2'!A1" display="TABLA 21.2: NÚMERO DE INSCRIPCIONES EN MATERIA DE DERECHOS DE AUTOR REGISTRADOS EN EL DEPARTAMENTO DE DERECHOS INTELECTUALES (DDI) DE LA DIRECCIÓN DE BIBLIOTECAS, ARCHIVOS Y MUSEOS (DIBAM), SEGÚN TIPO DE REGISTRO. 2011-2015 "/>
    <hyperlink ref="A295" location="'21.3'!A1" display="TABLA 21.3: NÚMERO DE INSCRIPCIONES EN MATERIA DE DERECHOS DE AUTOR A NIVEL NACIONAL REGISTRADOS EN EL DEPARTAMENTO DE DERECHOS INTELECTUALES (DDI) DE LA DIRECCIÓN DE BIBLIOTECAS, ARCHIVOS Y MUSEOS (DIBAM), SEGÚN SEXO Y TIPO DE SOLICITANTE. 2011-2015/1"/>
    <hyperlink ref="A296" location="'21.4'!A1" display="TABLA 21.4: INSCRIPCIÓN DE DERECHOS DE AUTOR, DERECHOS CONEXOS Y SEUDÓNIMOS, SEGÚN ORIGEN DE LA SOLICITUD, REGIÓN Y NACIONALIDAD (NACIONAL Y EXTRANJERA). 2011-2015/1"/>
    <hyperlink ref="A297" location="'22.1'!A1" display="TABLA 22.1: NÚMERO Y MONTOS DE PROYECTOS POSTULADOS, ELEGIBLES Y SELECCIONADOS, SEGÚN FONDOS CONCURSABLES DEL CONSEJO NACIONAL DE LA CULTURA Y LAS ARTES (CNCA). AÑO 2015 /1"/>
    <hyperlink ref="A298" location="'22.2'!A1" display="TABLA 22.2: NÚMERO DE PROYECTOS Y MONTOS ADJUDICADOS DEL FONDO NACIONAL DE DESARROLLO CULTURAL Y LAS ARTES (FONDART) PARA CONCURSO NACIONAL, POR LÍNEA DE CONCURSO, SEGÚN REGIÓN DE DOMICILIO DEL PARTICIPANTE. AÑO 2015 /1 /2"/>
    <hyperlink ref="A299" location="'22.3'!A1" display="TABLA 22.3: NÚMERO DE PROYECTOS Y MONTOS ADJUDICADOS DEL FONDO NACIONAL DE DESARROLLO CULTURAL Y LAS ARTES (FONDART) PARA CONCURSO REGIONAL, POR LÍNEA DE CONCURSO, SEGÚN REGIÓN DEL FONDO ENTREGADO. AÑO 2015 /1/2"/>
    <hyperlink ref="A300" location="'22.4'!A1" display="TABLA 22.4: NÚMERO DE PROYECTOS POSTULADOS Y SELECCIONADOS Y RECURSOS ASIGNADOS POR TIPO DE PERSONA (NATURAL Y JURÍDICA), SEGÚN FONDO Y AÑO 2011 - 2015"/>
    <hyperlink ref="A301" location="'22.5'!A1" display="TABLA 22.5: NÚMERO DE PROYECTOS POSTULADOS Y SELECCIONADOS Y RECURSOS ASIGNADOS POR SEXO PERSONAS NATURALES, SEGÚN FONDO Y AÑOS. 2011-2015"/>
    <hyperlink ref="A302" location="'23.1'!A1" display="TABLA 23.1: TOTAL NACIONAL DE LA ECONOMÍA Y TOTAL DE EMPRESAS Y EMPLEO POR INFORMACIÓN DE MUTUALES DE SEGURIDAD, SEGÚN DOMINIO CULTURAL. 2015 "/>
    <hyperlink ref="A303" location="'23.2'!A1" display="TABLA 23.2: NÚMERO DE EMPRESAS, TRABAJADORES, TRABAJADORES PROMEDIO Y REMUNERACIONES PROMEDIO PARA EMPRESAS CREATIVAS ASOCIADO A MUTUALES DE SEGURIDAD, SEGÚN DOMINIO Y SUBDOMINIO CULTURAL. 2015"/>
    <hyperlink ref="A304" location="'23.3'!A1" display="TABLA 23.3: NÚMERO DE EMPRESAS, NÚMERO DE TRABAJADORES Y PROMEDIO DE REMUNERACIONES EN EMPRESAS CREATIVAS, SEGÚN REGIÓN. 2015"/>
    <hyperlink ref="A305" location="'23.4'!A1" display="TABLA 23.4: NÚMERO DE EMPRESAS Y TRABAJADORES COTIZANTES EN MUTUALES, SU PARTICIPACION PROMEDIO POR EMPRESA Y SALARIOS PROMEDIO, SEGÚN SEXO Y DOMINIO Y SUBDOMINIO CULTURAL. 2015"/>
    <hyperlink ref="A306" location="'24.1'!A1" display="TABLA 24.1: COMERCIO EXTERIOR DE BIENES Y SERVICIOS CULTURALES Y CREATIVOS, SEGÚN DOMINIO CULTURAL. 2015/1"/>
    <hyperlink ref="A307" location="'24.2'!A1" display="TABLA 24.2: IMPORTACIÓN Y EXPORTACIÓN SEGÚN DOMINIO, SUBDOMINIO CULTURAL (MONTO EXPORTACIONES EN US$ FOB E IMPORTACIONES EN US$ CIF). 2013- 2015"/>
    <hyperlink ref="A308" location="'24.3'!A1" display="TABLA 24.3: MONTOS DE IMPORTACIONES Y EXPORTACIONES DE BIENES Y SERVICIOS CULTURALES Y CREATIVOS, SEGÚN DOMINIO Y SUBDOMINIO CULTURAL Y TIPO DE PRODUCTO (EXPORTACIONES EN US$ FOB E IMPORTACIONES EN US$ CIF). 2013 - 2015/1 "/>
    <hyperlink ref="A309" location="'24.4'!A1" display="TABLA 24.4: MONTOS DE IMPORTACIONES Y EXPORTACIONES DE BIENES Y SERVICIOS CULTURALES Y CREATIVOS, SEGÚN DOMINIO Y SUBDOMINIO CULTURAL Y TIPO DE PRODUCTO (EXPORTACIONES EN PESOS BASE 2015 FOB E IMPORTACIONES EN PESOS BASE 2015 CIF). 2013-2015/1"/>
    <hyperlink ref="A310" location="'24.5'!A1" display="TABLA 24.5: MONTOS DE EXPORTACIONES DE BIENES Y PRODUCTOS CULTURALES POR PAÍS DE DESTINO, SEGÚN DOMINIO Y SUBDOMINIO CULTURAL (EN US$ FOB). 2015/1 "/>
    <hyperlink ref="A311" location="'24.6'!A1" display="TABLA 24.6: MONTOS DE IMPORTACIONES DE BIENES Y PRODUCTOS CULTURALES POR PAÍS DE ORIGEN, SEGÚN DOMINIO Y SUBDOMINIO CULTURAL (EN US$ CIF). 2015/1"/>
    <hyperlink ref="A312" location="'24.7'!A1" display="TABLA 24.7: MONTOS DE IMPORTACIONES Y EXPORTACIONES DE «INSUMOS PARA LA CREACIÓN», SEGÚN DOMINIO Y SUBDOMINIO CULTURAL Y TIPO DE PRODUCTO (EXPORTACIONES EN US$ FOB E IMPORTACIONES EN US$ CIF). 2015/1"/>
    <hyperlink ref="A313" location="'24.8'!A1" display="TABLA 24.8: MONTOS DE IMPORTACIONES Y EXPORTACIONES DE «APARATOS PARA LA REPRODUCCIÓN», SEGÚN DOMINIO Y SUBDOMINIO CULTURAL Y TIPO DE PRODUCTO (EXPORTACIONES EN US$ FOB E IMPORTACIONES EN US$ CIF). 2015 /1  "/>
    <hyperlink ref="A314" location="'24.9'!A1" display="TABLA 24.9: MONTOS DE IMPORTACIONES Y EXPORTACIONES DE &quot;PRODUCTO TERMINADO&quot;, SEGÚN DOMINIO Y SUBDOMINIO CULTURAL Y TIPO DE PRODUCTO (EXPORTACIONES EN US$ FOB E IMPORTACIONES EN US$ CIF). 2015/1"/>
    <hyperlink ref="A315" location="'24.10'!A1" display="TABLA 24.10: MONTOS DE EXPORTACIONES DE BIENES Y PRODUCTOS CULTURALES POR REGIÓN DE ORIGEN, SEGÚN DOMINIO Y SUBDOMINIO CULTURAL (EN US$ FOB). 2015 "/>
    <hyperlink ref="A316" location="'24.11'!A1" display="TABLA 24.11: MONTOS DE EXPORTACIONES DE BIENES Y PRODUCTOS CULTURALES POR REGIÓN DE ORIGEN, SEGÚN DOMINIO Y SUBDOMINIO CULTURAL Y TIPO DE PRODUCTO (EN US$ FOB). 2015"/>
    <hyperlink ref="A317" location="'24.12'!A1" display="TABLA 24.12: MONTOS DE EXPORTACIONES DE SERVICIOS CULTURALES, SEGÚN DOMINIO Y SUBDOMINIO CULTURAL (EN US$ FOB). 2010-2015"/>
    <hyperlink ref="A318" location="'24.13'!A1" display="TABLA 24.13: MONTOS DE EXPORTACIONES DE SERVICIOS CULTURALES, SEGÚN DOMINIO Y SUBDOMINIO CULTURAL (EN PESOS CORRIENTES). 2010-2015/1 "/>
    <hyperlink ref="A319" location="'24.14'!A1" display="TABLA 24.14: MONTOS DE EXPORTACIONES DE SERVICIOS CULTURALES, SEGÚN DOMINIO Y SUBDOMINIO CULTURAL (EN PESOS DE 2015). 2010-2015/1"/>
    <hyperlink ref="A320" location="'24.15'!A1" display="TABLA 24.15: DETALLE DE EXPORTACIONES DE SERVICIOS CULTURALES SEGÚN DOMINIO Y SUBDOMINIO CULTURAL (MONTO EN US$ FOB ). 2015/1  "/>
    <hyperlink ref="A321" location="'24.16'!A1" display="TABLA 24.16: MONTOS DE EXPORTACIONES DE SERVICIOS CULTURALES POR PAÍS DE DESTINO, SEGÚN DOMINIO Y SUBDOMINIO CULTURAL (EN US$ FOB). 2015/1 "/>
    <hyperlink ref="A322" location="'24.17'!A1" display="TABLA 24.17: MONTOS DE EXPORTACIONES DE SERVICIOS CULTURALES POR REGIÓN DE ORIGEN, SEGÚN DOMINIO Y SUBDOMINIO CULTURAL (EN US$ FOB). 2015"/>
    <hyperlink ref="A323" location="'24.18'!A1" display="TABLA 24.18: MONTOS DE EXPORTACIONES DE SERVICIOS CULTURALES POR REGIÓN DE ORIGEN, SEGÚN TIPO DE SERVICIO (EN US$ FOB). 2015"/>
    <hyperlink ref="A324" location="'25.1'!A1" display="TABLA 25.1: PRESUPUESTO PÚBLICO DESTINADO A CULTURA Y TIEMPO LIBRE, SEGÚN INSTITUCIONES CULTURALES. 2015/1"/>
    <hyperlink ref="A325" location="'25.2'!A1" display="TABLA 25.2: PRESUPUESTO PÚBLICO DESTINADO A CULTURA Y TIEMPO LIBRE, SEGÚN INSTITUCIONES AFINES A LA CULTURA. 2015/1 "/>
    <hyperlink ref="A326" location="'25.3'!A1" display="TABLA 25.3: PRESUPUESTO PÚBLICO DESTINADO A CULTURA Y TIEMPO LIBRE, SEGÚN INSTITUCIONES CON PROGRAMAS CULTURALES. 2015/1"/>
    <hyperlink ref="A327" location="'25.4'!A1" display="TABLA 25.4: PRESUPUESTO PÚBLICO EJECUTADO DESTINADO A CULTURA Y TIEMPO LIBRE, SEGÚN INSTITUCIONES CON PROGRAMAS CULTURALES. 2015 "/>
    <hyperlink ref="A328" location="'25.5'!A1" display="TABLA 25.5: DISTRIBUCIÓN PORCENTUAL DEL PRESUPUESTO DESTINADO A CULTURA Y TIEMPO LIBRE, SEGÚN INSTITUCIONES CULTURALES, AFINES A LA CULTURA Y PROGRAMAS CULTURALES. 2015"/>
    <hyperlink ref="A329" location="'26.1'!A1" display="TABLA 26.1: NÚMERO DE DENUNCIAS SIN APREHENDIDOS Y DENUNCIAS CON APREHENDIDOS, Y NÚMERO DE APREHENDIDOS, POR INFRACCIONES A LA LEY DE PROPIEDAD INTELECTUAL (N° 17.336), CÓDIGO Nº 09099 «OTROS DELITOS CONTRA LA LEY DE PROPIEDAD INTELECTUAL», SEGÚN REGIÓN. 2015"/>
    <hyperlink ref="A330" location="'26.2'!A1" display="TABLA 26.2: NÚMERO DE APREHENDIDOS/1 POR INFRACCIONES LA LEY DE PROPIEDAD INTELECTUAL (N° 17.336), CÓDIGO N° 09099 «OTROS DELITOS CONTRA LA LEY DE PROPIEDAD INTELECTUAL», POR SEXO, EDAD, SEGÚN REGIÓN. 2015"/>
    <hyperlink ref="A331" location="'26.3'!A1" display="TABLA 26.3: NÚMERO DE DENUNCIAS POR «FALSIFICACIÓN DE OBRAS PROTEGIDAS» Y «VENTA ILÍCITA DE OBRAS PROTEGIDAS», LEY DE PROPIEDAD INTELECTUAL (N° 17.336), ART. 80 b, SEGÚN REGIÓN. 2015"/>
    <hyperlink ref="A332" location="'26.4'!A1" display="TABLA 26.4: NÚMERO DE APREHENDIDOS/1 POR INFRACCIONES A LA LEY DE PROPIEDAD INTELECTUAL (N° 17.336), CÓDIGO N° 09002 «FALSIFICACIÓN DE OBRAS PROTEGIDAS» Y CÓDIGO N° 09003 «VENTA ILÍCITA DE OBRAS PROTEGIDAS», POR SEXO, SEGÚN REGIÓN. 2015"/>
    <hyperlink ref="A333" location="'26.5'!A1" display="TABLA 26.5: NÚMERO DE DELITOS POR INFRACCIONES A LA LEY DE PROPIEDAD INTELECTUAL (N° 17.336) INVESTIGADOS POR LA POLICÍA DE INVESTIGACIONES DE CHILE (PDI), SEGÚN REGIÓN POLICIAL EN QUE SE HIZO LA DENUNCIA. 2015"/>
    <hyperlink ref="A334" location="'26.6'!A1" display="TABLA 26.6: NÚMERO DE DELITOS POR INFRACCIONES A LA LEY DE PROPIEDAD INTELECTUAL (N° 17.336) INVESTIGADOS POR LA POLICÍA DE INVESTIGACIONES DE CHILE (PDI), SEGÚN REGIÓN POLICIAL EN QUE SE HIZO LA DENUNCIA Y COMUNA DE OCURRENCIA DEL DELITO. 2015"/>
    <hyperlink ref="A335" location="'26.7'!A1" display="TABLA 26.7: NÚMERO DE DELITOS POR INFRACCIONES A LA LEY DE PROPIEDAD INTELECTUAL (N° 17.336) INVESTIGADOS POR LA POLICÍA DE INVESTIGACIONES DE CHILE (PDI), SEGÚN REGIÓN POLICIAL Y BIEN AFECTADO. 2015"/>
    <hyperlink ref="A336" location="'26.8'!A1" display="TABLA 26.8: NÚMERO DE DETENIDOS POR LA POLICÍA DE INVESTIGACIONES DE CHILE (PDI) POR INFRACCIONES A LA LEY DE PROPIEDAD INTELECTUAL (N° 17.336) POR DELITO, SEGÚN REGIÓN POLICIAL. 2015"/>
    <hyperlink ref="A337" location="'26.9'!A1" display="TABLA 26.9: NÚMERO DE DETENIDOS POR LA POLICÍA DE INVESTIGACIONES DE CHILE (PDI) POR INFRACCIONES A LA LEY DE PROPIEDAD INTELECTUAL (N° 17.336) POR DELITO, SEGÚN REGIÓN POLICIAL Y SEXO. 2015"/>
    <hyperlink ref="A338" location="'26.10'!A1" display="TABLA 26.10: NÚMERO DE DETENIDOS POR LA POLICÍA DE INVESTIGACIONES DE CHILE (PDI) POR INFRACCIONES A LA LEY DE PROPIEDAD INTELECTUAL (N° 17.336) POR DELITO, SEGÚN REGIÓN POLICIAL Y NACIONALIDAD. 2015"/>
    <hyperlink ref="A339" location="'26.11'!A1" display="TABLA 26.11: NÚMERO DE DETENIDOS POR LA POLICÍA DE INVESTIGACIONES DE CHILE (PDI) POR INFRACCIONES A LA LEY DE PROPIEDAD INTELECTUAL (N° 17.336) POR DELITO, SEGÚN REGIÓN POLICIAL Y GRUPOS DE EDAD. 2015"/>
    <hyperlink ref="A340" location="'26.12'!A1" display="TABLA 26.12: ARTÍCULOS INCAUTADOS POR LA POLICÍA DE INVESTIGACIONES DE CHILE (PDI) POR INFRACCIONES A LA LEY DE PROPIEDAD INTELECTUAL (N° 17.336), SEGÚN REGIÓN Y UNIDAD POLICIAL. 2015"/>
    <hyperlink ref="A341" location="'26.13'!A1" display="TABLA 26.13: CANTIDAD DE DETENIDOS POR LA POLICÍA DE INVESTIGACIONES DE CHILE (PDI) POR INFRACCIONES A LA LEY DE PROPIEDAD INTELECTUAL (N° 17.336), SEGÚN REGIÓN POLICIAL Y COMUNA RESIDENCIA DETENIDO. 2015"/>
    <hyperlink ref="A342" location="'26.14'!A1" display="TABLA 26.14: CANTIDAD DE DENUNCIAS EN LA POLICÍA DE INVESTIGACIONES DE CHILE (PDI) POR INFRACCIONES A LA LEY DE PROPIEDAD INTELECTUAL (N° 17.336), SEGÚN REGIÓN POLICIAL. 2015"/>
    <hyperlink ref="A343" location="'26.15'!A1" display="TABLA 26.15: CANTIDAD DE DENUNCIAS DE LA POLICÍA DE INVESTIGACIONES DE CHILE (PDI) POR INFRACCIONES A LA LEY DE PROPIEDAD INTELECTUAL (N° 17.336), SEGÚN BIEN AFECTADO. 2015"/>
    <hyperlink ref="A344" location="'26.16'!A1" display="TABLA 26.16: CANTIDAD DE DENUNCIAS DE LA POLICÍA DE INVESTIGACIONES DE CHILE (PDI) POR INFRACCIONES A LA LEY DE PROPIEDAD INTELECTUAL (N° 17.336), SEGÚN REGIÓN POLICIAL Y COMUNA DEL DELITO. 2015"/>
    <hyperlink ref="A345" location="'26.17'!A1" display="TABLA 26.17: IMPUTADOS POR INFRACCIÓN A LA LEY 17.336 DE PROPIEDAD INTELECTUAL, SEGÚN CORTE DE APELACIÓN. 2015"/>
    <hyperlink ref="A346" location="'26.18'!A1" display="TABLA 26.18: CONDENADOS POR IMPUTADOS POR INFRACCIONES A LA LEY N° 17.336, DE PROPIEDAD INTELECTUAL, SEGÚN CORTE DE APELACIÓN. 2015"/>
    <hyperlink ref="A347" location="'26.19'!A1" display="TABLA 26.19: CAUSAS INGRESADAS Y TERMINADAS EN JUZGADOS DE GARANTÍA Y DE LETRAS Y GARANTÍA POR IMPUTADOS POR INFRACCIONES A LA LEY N° 17.336, DE PROPIEDAD INTELECTUAL, SEGÚN CORTE DE APELACIÓN. 2015"/>
    <hyperlink ref="A348" location="'26.20'!A1" display="TABLA  26.20: DELITOS INGRESADOS AL MINISTERIO PÚBLICO EN RELACIÓN A LA LEY N° 17.336, DE PROPIEDAD INTELECTUAL, SEGÚN REGIÓN Y FISCALÍA. 2011-2015"/>
    <hyperlink ref="A349" location="'26.21'!A1" display="TABLA 26.21: DELITOS TERMINADOS EN EL MINISTERIO PÚBLICO EN RELACIÓN A LA LEY N° 17.336, DE PROPIEDAD INTELECTUAL, SEGÚN REGIÓN Y FISCALÍA. 2011-2015/1"/>
    <hyperlink ref="A350" location="'26.22'!A1" display="TABLA 26.22: SENTENCIAS DEFINITIVAS CONDENATORIAS EN RELACIÓN A LA LEY N° 17.336, DE PROPIEDAD INTELECTUAL, SEGÚN REGIÓN Y FISCALÍA. 2011-20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24"/>
  <sheetViews>
    <sheetView workbookViewId="0">
      <selection activeCell="A2" sqref="A2:F2"/>
    </sheetView>
  </sheetViews>
  <sheetFormatPr baseColWidth="10" defaultRowHeight="10.5" x14ac:dyDescent="0.15"/>
  <cols>
    <col min="1" max="1" width="22.85546875" style="1" customWidth="1"/>
    <col min="2" max="16384" width="11.42578125" style="1"/>
  </cols>
  <sheetData>
    <row r="1" spans="1:6" x14ac:dyDescent="0.15">
      <c r="A1" s="58"/>
    </row>
    <row r="2" spans="1:6" s="29" customFormat="1" ht="21.75" customHeight="1" x14ac:dyDescent="0.15">
      <c r="A2" s="2312" t="s">
        <v>84</v>
      </c>
      <c r="B2" s="2312"/>
      <c r="C2" s="2312"/>
      <c r="D2" s="2312"/>
      <c r="E2" s="2312"/>
      <c r="F2" s="2312"/>
    </row>
    <row r="3" spans="1:6" x14ac:dyDescent="0.15">
      <c r="A3" s="2305"/>
      <c r="B3" s="2305"/>
      <c r="C3" s="2305"/>
      <c r="D3" s="2305"/>
      <c r="E3" s="2305"/>
      <c r="F3" s="2305"/>
    </row>
    <row r="4" spans="1:6" ht="10.5" customHeight="1" x14ac:dyDescent="0.15">
      <c r="A4" s="2306" t="s">
        <v>1</v>
      </c>
      <c r="B4" s="2306" t="s">
        <v>85</v>
      </c>
      <c r="C4" s="2306"/>
      <c r="D4" s="2306"/>
      <c r="E4" s="2306"/>
      <c r="F4" s="2306"/>
    </row>
    <row r="5" spans="1:6" x14ac:dyDescent="0.15">
      <c r="A5" s="2306"/>
      <c r="B5" s="2">
        <v>2011</v>
      </c>
      <c r="C5" s="2">
        <v>2012</v>
      </c>
      <c r="D5" s="2">
        <v>2013</v>
      </c>
      <c r="E5" s="2">
        <v>2014</v>
      </c>
      <c r="F5" s="59">
        <v>2015</v>
      </c>
    </row>
    <row r="6" spans="1:6" x14ac:dyDescent="0.15">
      <c r="A6" s="30" t="s">
        <v>4</v>
      </c>
      <c r="B6" s="30">
        <f t="shared" ref="B6:E6" si="0">SUM(B7:B21)</f>
        <v>26</v>
      </c>
      <c r="C6" s="30">
        <f t="shared" si="0"/>
        <v>26</v>
      </c>
      <c r="D6" s="30">
        <f t="shared" si="0"/>
        <v>27</v>
      </c>
      <c r="E6" s="30">
        <f t="shared" si="0"/>
        <v>27</v>
      </c>
      <c r="F6" s="30">
        <v>27</v>
      </c>
    </row>
    <row r="7" spans="1:6" x14ac:dyDescent="0.15">
      <c r="A7" s="1" t="s">
        <v>5</v>
      </c>
      <c r="B7" s="32">
        <v>0</v>
      </c>
      <c r="C7" s="32">
        <v>0</v>
      </c>
      <c r="D7" s="32">
        <v>0</v>
      </c>
      <c r="E7" s="33">
        <v>0</v>
      </c>
      <c r="F7" s="20">
        <v>0</v>
      </c>
    </row>
    <row r="8" spans="1:6" x14ac:dyDescent="0.15">
      <c r="A8" s="1" t="s">
        <v>6</v>
      </c>
      <c r="B8" s="32">
        <v>0</v>
      </c>
      <c r="C8" s="32">
        <v>0</v>
      </c>
      <c r="D8" s="32">
        <v>0</v>
      </c>
      <c r="E8" s="33">
        <v>0</v>
      </c>
      <c r="F8" s="20">
        <v>0</v>
      </c>
    </row>
    <row r="9" spans="1:6" x14ac:dyDescent="0.15">
      <c r="A9" s="1" t="s">
        <v>7</v>
      </c>
      <c r="B9" s="32">
        <v>1</v>
      </c>
      <c r="C9" s="32">
        <v>1</v>
      </c>
      <c r="D9" s="32">
        <v>1</v>
      </c>
      <c r="E9" s="33">
        <v>1</v>
      </c>
      <c r="F9" s="20">
        <v>1</v>
      </c>
    </row>
    <row r="10" spans="1:6" x14ac:dyDescent="0.15">
      <c r="A10" s="1" t="s">
        <v>8</v>
      </c>
      <c r="B10" s="32">
        <v>1</v>
      </c>
      <c r="C10" s="32">
        <v>1</v>
      </c>
      <c r="D10" s="32">
        <v>1</v>
      </c>
      <c r="E10" s="33">
        <v>1</v>
      </c>
      <c r="F10" s="20">
        <v>1</v>
      </c>
    </row>
    <row r="11" spans="1:6" x14ac:dyDescent="0.15">
      <c r="A11" s="1" t="s">
        <v>9</v>
      </c>
      <c r="B11" s="32">
        <v>4</v>
      </c>
      <c r="C11" s="32">
        <v>4</v>
      </c>
      <c r="D11" s="32">
        <v>4</v>
      </c>
      <c r="E11" s="33">
        <v>4</v>
      </c>
      <c r="F11" s="20">
        <v>4</v>
      </c>
    </row>
    <row r="12" spans="1:6" x14ac:dyDescent="0.15">
      <c r="A12" s="1" t="s">
        <v>10</v>
      </c>
      <c r="B12" s="32">
        <v>2</v>
      </c>
      <c r="C12" s="32">
        <v>2</v>
      </c>
      <c r="D12" s="32">
        <v>2</v>
      </c>
      <c r="E12" s="33">
        <v>2</v>
      </c>
      <c r="F12" s="20">
        <v>2</v>
      </c>
    </row>
    <row r="13" spans="1:6" x14ac:dyDescent="0.15">
      <c r="A13" s="1" t="s">
        <v>11</v>
      </c>
      <c r="B13" s="32">
        <v>7</v>
      </c>
      <c r="C13" s="32">
        <v>7</v>
      </c>
      <c r="D13" s="32">
        <v>7</v>
      </c>
      <c r="E13" s="33">
        <v>7</v>
      </c>
      <c r="F13" s="20">
        <v>7</v>
      </c>
    </row>
    <row r="14" spans="1:6" x14ac:dyDescent="0.15">
      <c r="A14" s="1" t="s">
        <v>12</v>
      </c>
      <c r="B14" s="32">
        <v>1</v>
      </c>
      <c r="C14" s="32">
        <v>1</v>
      </c>
      <c r="D14" s="32">
        <v>1</v>
      </c>
      <c r="E14" s="33">
        <v>1</v>
      </c>
      <c r="F14" s="20">
        <v>1</v>
      </c>
    </row>
    <row r="15" spans="1:6" x14ac:dyDescent="0.15">
      <c r="A15" s="1" t="s">
        <v>13</v>
      </c>
      <c r="B15" s="32">
        <v>3</v>
      </c>
      <c r="C15" s="32">
        <v>3</v>
      </c>
      <c r="D15" s="32">
        <v>3</v>
      </c>
      <c r="E15" s="33">
        <v>3</v>
      </c>
      <c r="F15" s="20">
        <v>3</v>
      </c>
    </row>
    <row r="16" spans="1:6" x14ac:dyDescent="0.15">
      <c r="A16" s="1" t="s">
        <v>14</v>
      </c>
      <c r="B16" s="32">
        <v>2</v>
      </c>
      <c r="C16" s="32">
        <v>2</v>
      </c>
      <c r="D16" s="32">
        <v>2</v>
      </c>
      <c r="E16" s="33">
        <v>2</v>
      </c>
      <c r="F16" s="20">
        <v>2</v>
      </c>
    </row>
    <row r="17" spans="1:6" x14ac:dyDescent="0.15">
      <c r="A17" s="1" t="s">
        <v>15</v>
      </c>
      <c r="B17" s="32">
        <v>1</v>
      </c>
      <c r="C17" s="32">
        <v>1</v>
      </c>
      <c r="D17" s="32">
        <v>1</v>
      </c>
      <c r="E17" s="33">
        <v>1</v>
      </c>
      <c r="F17" s="20">
        <v>1</v>
      </c>
    </row>
    <row r="18" spans="1:6" x14ac:dyDescent="0.15">
      <c r="A18" s="1" t="s">
        <v>16</v>
      </c>
      <c r="B18" s="32">
        <v>1</v>
      </c>
      <c r="C18" s="32">
        <v>1</v>
      </c>
      <c r="D18" s="32">
        <v>1</v>
      </c>
      <c r="E18" s="33">
        <v>1</v>
      </c>
      <c r="F18" s="20">
        <v>1</v>
      </c>
    </row>
    <row r="19" spans="1:6" x14ac:dyDescent="0.15">
      <c r="A19" s="1" t="s">
        <v>17</v>
      </c>
      <c r="B19" s="32">
        <v>1</v>
      </c>
      <c r="C19" s="32">
        <v>1</v>
      </c>
      <c r="D19" s="32">
        <v>1</v>
      </c>
      <c r="E19" s="33">
        <v>1</v>
      </c>
      <c r="F19" s="20">
        <v>1</v>
      </c>
    </row>
    <row r="20" spans="1:6" x14ac:dyDescent="0.15">
      <c r="A20" s="1" t="s">
        <v>18</v>
      </c>
      <c r="B20" s="32">
        <v>0</v>
      </c>
      <c r="C20" s="32">
        <v>0</v>
      </c>
      <c r="D20" s="32">
        <v>1</v>
      </c>
      <c r="E20" s="33">
        <v>1</v>
      </c>
      <c r="F20" s="20">
        <v>1</v>
      </c>
    </row>
    <row r="21" spans="1:6" x14ac:dyDescent="0.15">
      <c r="A21" s="1" t="s">
        <v>19</v>
      </c>
      <c r="B21" s="32">
        <v>2</v>
      </c>
      <c r="C21" s="32">
        <v>2</v>
      </c>
      <c r="D21" s="32">
        <v>2</v>
      </c>
      <c r="E21" s="33">
        <v>2</v>
      </c>
      <c r="F21" s="20">
        <v>2</v>
      </c>
    </row>
    <row r="22" spans="1:6" ht="9.75" customHeight="1" x14ac:dyDescent="0.15">
      <c r="A22" s="2307"/>
      <c r="B22" s="2307"/>
      <c r="C22" s="2307"/>
      <c r="D22" s="2307"/>
      <c r="E22" s="2307"/>
      <c r="F22" s="2307"/>
    </row>
    <row r="23" spans="1:6" x14ac:dyDescent="0.15">
      <c r="A23" s="2307" t="s">
        <v>20</v>
      </c>
      <c r="B23" s="2307"/>
      <c r="C23" s="2307"/>
      <c r="D23" s="2307"/>
      <c r="E23" s="2307"/>
      <c r="F23" s="2307"/>
    </row>
    <row r="24" spans="1:6" x14ac:dyDescent="0.15">
      <c r="A24" s="2307" t="s">
        <v>21</v>
      </c>
      <c r="B24" s="2307"/>
      <c r="C24" s="2307"/>
      <c r="D24" s="2307"/>
      <c r="E24" s="2307"/>
      <c r="F24" s="2307"/>
    </row>
  </sheetData>
  <mergeCells count="7">
    <mergeCell ref="A24:F24"/>
    <mergeCell ref="A2:F2"/>
    <mergeCell ref="A3:F3"/>
    <mergeCell ref="A4:A5"/>
    <mergeCell ref="B4:F4"/>
    <mergeCell ref="A22:F22"/>
    <mergeCell ref="A23:F23"/>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I12"/>
  <sheetViews>
    <sheetView zoomScaleNormal="100" workbookViewId="0">
      <selection activeCell="A3" sqref="A3:N3"/>
    </sheetView>
  </sheetViews>
  <sheetFormatPr baseColWidth="10" defaultRowHeight="10.5" x14ac:dyDescent="0.15"/>
  <cols>
    <col min="1" max="1" width="31.85546875" style="448" customWidth="1"/>
    <col min="2" max="16384" width="11.42578125" style="448"/>
  </cols>
  <sheetData>
    <row r="1" spans="1:9" s="385" customFormat="1" x14ac:dyDescent="0.15">
      <c r="A1" s="2682"/>
      <c r="B1" s="2682"/>
      <c r="C1" s="2682"/>
      <c r="D1" s="2682"/>
      <c r="E1" s="2682"/>
      <c r="F1" s="2682"/>
    </row>
    <row r="2" spans="1:9" s="480" customFormat="1" ht="33" customHeight="1" x14ac:dyDescent="0.15">
      <c r="A2" s="2674" t="s">
        <v>1457</v>
      </c>
      <c r="B2" s="2674"/>
      <c r="C2" s="2674"/>
      <c r="D2" s="2674"/>
      <c r="E2" s="2674"/>
      <c r="F2" s="2674"/>
      <c r="H2" s="481"/>
      <c r="I2" s="481"/>
    </row>
    <row r="3" spans="1:9" s="385" customFormat="1" ht="11.25" customHeight="1" x14ac:dyDescent="0.15">
      <c r="A3" s="2683"/>
      <c r="B3" s="2683"/>
      <c r="C3" s="2683"/>
      <c r="D3" s="2683"/>
      <c r="E3" s="2683"/>
      <c r="F3" s="2683"/>
      <c r="H3" s="482"/>
      <c r="I3" s="482"/>
    </row>
    <row r="4" spans="1:9" s="385" customFormat="1" ht="18" customHeight="1" x14ac:dyDescent="0.15">
      <c r="A4" s="2616" t="s">
        <v>1458</v>
      </c>
      <c r="B4" s="2615" t="s">
        <v>2</v>
      </c>
      <c r="C4" s="2615"/>
      <c r="D4" s="2615"/>
      <c r="E4" s="2615"/>
      <c r="F4" s="2615"/>
      <c r="H4" s="515"/>
      <c r="I4" s="482"/>
    </row>
    <row r="5" spans="1:9" s="385" customFormat="1" ht="18" customHeight="1" x14ac:dyDescent="0.15">
      <c r="A5" s="2616"/>
      <c r="B5" s="365">
        <v>2011</v>
      </c>
      <c r="C5" s="365">
        <v>2012</v>
      </c>
      <c r="D5" s="365">
        <v>2013</v>
      </c>
      <c r="E5" s="365">
        <v>2014</v>
      </c>
      <c r="F5" s="365">
        <v>2015</v>
      </c>
      <c r="H5" s="516"/>
      <c r="I5" s="482"/>
    </row>
    <row r="6" spans="1:9" s="367" customFormat="1" x14ac:dyDescent="0.15">
      <c r="A6" s="367" t="s">
        <v>141</v>
      </c>
      <c r="B6" s="367">
        <f t="shared" ref="B6:E6" si="0">+B7+B10</f>
        <v>264</v>
      </c>
      <c r="C6" s="367">
        <f t="shared" si="0"/>
        <v>308</v>
      </c>
      <c r="D6" s="367">
        <f t="shared" si="0"/>
        <v>327</v>
      </c>
      <c r="E6" s="367">
        <f t="shared" si="0"/>
        <v>356</v>
      </c>
      <c r="F6" s="367">
        <f>+F7+F10</f>
        <v>434</v>
      </c>
      <c r="H6" s="516"/>
      <c r="I6" s="482"/>
    </row>
    <row r="7" spans="1:9" s="367" customFormat="1" x14ac:dyDescent="0.15">
      <c r="A7" s="367" t="s">
        <v>1459</v>
      </c>
      <c r="B7" s="367">
        <f t="shared" ref="B7:E7" si="1">SUM(B8:B9)</f>
        <v>243</v>
      </c>
      <c r="C7" s="367">
        <f t="shared" si="1"/>
        <v>280</v>
      </c>
      <c r="D7" s="367">
        <f t="shared" si="1"/>
        <v>292</v>
      </c>
      <c r="E7" s="367">
        <f t="shared" si="1"/>
        <v>311</v>
      </c>
      <c r="F7" s="367">
        <f>SUM(F8:F9)</f>
        <v>396</v>
      </c>
      <c r="H7" s="517"/>
      <c r="I7" s="482"/>
    </row>
    <row r="8" spans="1:9" s="385" customFormat="1" x14ac:dyDescent="0.15">
      <c r="A8" s="385" t="s">
        <v>1460</v>
      </c>
      <c r="B8" s="385">
        <v>159</v>
      </c>
      <c r="C8" s="512">
        <v>190</v>
      </c>
      <c r="D8" s="385">
        <v>186</v>
      </c>
      <c r="E8" s="385">
        <v>215</v>
      </c>
      <c r="F8" s="385">
        <v>295</v>
      </c>
      <c r="H8" s="517"/>
      <c r="I8" s="482"/>
    </row>
    <row r="9" spans="1:9" s="385" customFormat="1" x14ac:dyDescent="0.15">
      <c r="A9" s="385" t="s">
        <v>1461</v>
      </c>
      <c r="B9" s="385">
        <v>84</v>
      </c>
      <c r="C9" s="512">
        <v>90</v>
      </c>
      <c r="D9" s="385">
        <v>106</v>
      </c>
      <c r="E9" s="385">
        <v>96</v>
      </c>
      <c r="F9" s="385">
        <v>101</v>
      </c>
      <c r="H9" s="517"/>
      <c r="I9" s="482"/>
    </row>
    <row r="10" spans="1:9" s="367" customFormat="1" x14ac:dyDescent="0.15">
      <c r="A10" s="367" t="s">
        <v>1462</v>
      </c>
      <c r="B10" s="367">
        <v>21</v>
      </c>
      <c r="C10" s="518">
        <v>28</v>
      </c>
      <c r="D10" s="367">
        <v>35</v>
      </c>
      <c r="E10" s="367">
        <v>45</v>
      </c>
      <c r="F10" s="367">
        <v>38</v>
      </c>
      <c r="H10" s="491"/>
      <c r="I10" s="491"/>
    </row>
    <row r="11" spans="1:9" s="367" customFormat="1" ht="7.5" customHeight="1" x14ac:dyDescent="0.15">
      <c r="A11" s="2684"/>
      <c r="B11" s="2684"/>
      <c r="C11" s="2684"/>
      <c r="D11" s="2684"/>
      <c r="E11" s="2684"/>
      <c r="F11" s="2684"/>
      <c r="H11" s="491"/>
      <c r="I11" s="491"/>
    </row>
    <row r="12" spans="1:9" s="385" customFormat="1" x14ac:dyDescent="0.25">
      <c r="A12" s="2624" t="s">
        <v>1444</v>
      </c>
      <c r="B12" s="2624"/>
      <c r="C12" s="2624"/>
      <c r="D12" s="2624"/>
      <c r="E12" s="2624"/>
      <c r="F12" s="2624"/>
    </row>
  </sheetData>
  <mergeCells count="7">
    <mergeCell ref="A12:F12"/>
    <mergeCell ref="A1:F1"/>
    <mergeCell ref="A2:F2"/>
    <mergeCell ref="A3:F3"/>
    <mergeCell ref="A4:A5"/>
    <mergeCell ref="B4:F4"/>
    <mergeCell ref="A11:F11"/>
  </mergeCells>
  <conditionalFormatting sqref="C6:E10">
    <cfRule type="expression" dxfId="18" priority="1">
      <formula>IF(AND(#REF!="2",#REF!="2"),1)</formula>
    </cfRule>
  </conditionalFormatting>
  <conditionalFormatting sqref="F6:F10">
    <cfRule type="expression" dxfId="17" priority="2">
      <formula>IF(AND(#REF!="2",#REF!="2"),1)</formula>
    </cfRule>
  </conditionalFormatting>
  <pageMargins left="0.7" right="0.7" top="0.75" bottom="0.75" header="0.3" footer="0.3"/>
  <pageSetup paperSize="14"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H11"/>
  <sheetViews>
    <sheetView zoomScaleNormal="100" workbookViewId="0">
      <selection activeCell="I22" sqref="I22"/>
    </sheetView>
  </sheetViews>
  <sheetFormatPr baseColWidth="10" defaultRowHeight="10.5" x14ac:dyDescent="0.15"/>
  <cols>
    <col min="1" max="1" width="29.28515625" style="448" customWidth="1"/>
    <col min="2" max="3" width="15.140625" style="448" bestFit="1" customWidth="1"/>
    <col min="4" max="6" width="14.140625" style="448" bestFit="1" customWidth="1"/>
    <col min="7" max="16384" width="11.42578125" style="448"/>
  </cols>
  <sheetData>
    <row r="1" spans="1:8" x14ac:dyDescent="0.15">
      <c r="A1" s="519"/>
    </row>
    <row r="2" spans="1:8" s="520" customFormat="1" ht="26.25" customHeight="1" x14ac:dyDescent="0.25">
      <c r="A2" s="2674" t="s">
        <v>1463</v>
      </c>
      <c r="B2" s="2674"/>
      <c r="C2" s="2674"/>
      <c r="D2" s="2674"/>
      <c r="E2" s="2674"/>
      <c r="F2" s="2674"/>
      <c r="H2" s="521"/>
    </row>
    <row r="3" spans="1:8" s="385" customFormat="1" ht="11.25" customHeight="1" x14ac:dyDescent="0.25">
      <c r="A3" s="2675"/>
      <c r="B3" s="2675"/>
      <c r="C3" s="2675"/>
      <c r="D3" s="2675"/>
      <c r="E3" s="2675"/>
      <c r="F3" s="2675"/>
      <c r="H3" s="522"/>
    </row>
    <row r="4" spans="1:8" s="385" customFormat="1" ht="14.25" customHeight="1" x14ac:dyDescent="0.15">
      <c r="A4" s="2616" t="s">
        <v>1464</v>
      </c>
      <c r="B4" s="2615" t="s">
        <v>1465</v>
      </c>
      <c r="C4" s="2615"/>
      <c r="D4" s="2615"/>
      <c r="E4" s="2615"/>
      <c r="F4" s="2615"/>
      <c r="H4" s="482"/>
    </row>
    <row r="5" spans="1:8" s="385" customFormat="1" ht="14.25" customHeight="1" x14ac:dyDescent="0.15">
      <c r="A5" s="2616"/>
      <c r="B5" s="365">
        <v>2011</v>
      </c>
      <c r="C5" s="365">
        <v>2012</v>
      </c>
      <c r="D5" s="365">
        <v>2013</v>
      </c>
      <c r="E5" s="365">
        <v>2014</v>
      </c>
      <c r="F5" s="365">
        <v>2015</v>
      </c>
      <c r="H5" s="482"/>
    </row>
    <row r="6" spans="1:8" s="385" customFormat="1" ht="11.25" customHeight="1" x14ac:dyDescent="0.15">
      <c r="A6" s="367" t="s">
        <v>141</v>
      </c>
      <c r="B6" s="523">
        <f t="shared" ref="B6:E6" si="0">SUM(B7:B9)</f>
        <v>188902696</v>
      </c>
      <c r="C6" s="523">
        <f t="shared" si="0"/>
        <v>224948420</v>
      </c>
      <c r="D6" s="523">
        <f t="shared" si="0"/>
        <v>242861493</v>
      </c>
      <c r="E6" s="523">
        <f t="shared" si="0"/>
        <v>262767724</v>
      </c>
      <c r="F6" s="523">
        <f t="shared" ref="F6" si="1">SUM(F7:F9)</f>
        <v>263903184</v>
      </c>
      <c r="H6" s="482"/>
    </row>
    <row r="7" spans="1:8" s="385" customFormat="1" ht="11.25" customHeight="1" x14ac:dyDescent="0.15">
      <c r="A7" s="385" t="s">
        <v>1460</v>
      </c>
      <c r="B7" s="524">
        <v>100481949</v>
      </c>
      <c r="C7" s="525">
        <v>110489548</v>
      </c>
      <c r="D7" s="526">
        <v>136368938</v>
      </c>
      <c r="E7" s="527">
        <v>139549680</v>
      </c>
      <c r="F7" s="527">
        <v>138936225</v>
      </c>
      <c r="H7" s="482"/>
    </row>
    <row r="8" spans="1:8" s="385" customFormat="1" ht="11.25" customHeight="1" x14ac:dyDescent="0.15">
      <c r="A8" s="385" t="s">
        <v>1461</v>
      </c>
      <c r="B8" s="524">
        <v>75043336</v>
      </c>
      <c r="C8" s="525">
        <v>99866998</v>
      </c>
      <c r="D8" s="526">
        <v>90912625</v>
      </c>
      <c r="E8" s="527">
        <v>89572461</v>
      </c>
      <c r="F8" s="527">
        <v>92624150</v>
      </c>
      <c r="H8" s="482"/>
    </row>
    <row r="9" spans="1:8" s="385" customFormat="1" ht="11.25" customHeight="1" x14ac:dyDescent="0.15">
      <c r="A9" s="385" t="s">
        <v>1466</v>
      </c>
      <c r="B9" s="524">
        <v>13377411</v>
      </c>
      <c r="C9" s="525">
        <v>14591874</v>
      </c>
      <c r="D9" s="526">
        <v>15579930</v>
      </c>
      <c r="E9" s="527">
        <v>33645583</v>
      </c>
      <c r="F9" s="527">
        <v>32342809</v>
      </c>
      <c r="H9" s="482"/>
    </row>
    <row r="10" spans="1:8" s="385" customFormat="1" ht="10.5" customHeight="1" x14ac:dyDescent="0.15">
      <c r="A10" s="2685"/>
      <c r="B10" s="2685"/>
      <c r="C10" s="2685"/>
      <c r="D10" s="2685"/>
      <c r="E10" s="2685"/>
      <c r="F10" s="2685"/>
      <c r="H10" s="482"/>
    </row>
    <row r="11" spans="1:8" s="385" customFormat="1" ht="14.25" customHeight="1" x14ac:dyDescent="0.25">
      <c r="A11" s="2624" t="s">
        <v>1444</v>
      </c>
      <c r="B11" s="2624"/>
      <c r="C11" s="2624"/>
      <c r="D11" s="2624"/>
      <c r="E11" s="2624"/>
      <c r="F11" s="2624"/>
    </row>
  </sheetData>
  <mergeCells count="6">
    <mergeCell ref="A11:F11"/>
    <mergeCell ref="A2:F2"/>
    <mergeCell ref="A3:F3"/>
    <mergeCell ref="A4:A5"/>
    <mergeCell ref="B4:F4"/>
    <mergeCell ref="A10:F10"/>
  </mergeCells>
  <conditionalFormatting sqref="C6:F9">
    <cfRule type="expression" dxfId="16" priority="1">
      <formula>IF(AND(#REF!="2",#REF!="2"),1)</formula>
    </cfRule>
  </conditionalFormatting>
  <pageMargins left="0.7" right="0.7" top="0.75" bottom="0.75" header="0.3" footer="0.3"/>
  <pageSetup paperSize="14" scale="91"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2:F11"/>
  <sheetViews>
    <sheetView zoomScaleNormal="100" workbookViewId="0">
      <selection activeCell="C27" sqref="C27"/>
    </sheetView>
  </sheetViews>
  <sheetFormatPr baseColWidth="10" defaultRowHeight="10.5" x14ac:dyDescent="0.25"/>
  <cols>
    <col min="1" max="1" width="23.5703125" style="385" customWidth="1"/>
    <col min="2" max="6" width="16.42578125" style="385" customWidth="1"/>
    <col min="7" max="7" width="12.42578125" style="385" bestFit="1" customWidth="1"/>
    <col min="8" max="16384" width="11.42578125" style="385"/>
  </cols>
  <sheetData>
    <row r="2" spans="1:6" s="528" customFormat="1" ht="24.75" customHeight="1" x14ac:dyDescent="0.15">
      <c r="A2" s="2613" t="s">
        <v>1467</v>
      </c>
      <c r="B2" s="2613"/>
      <c r="C2" s="2613"/>
      <c r="D2" s="2613"/>
      <c r="E2" s="2613"/>
      <c r="F2" s="2613"/>
    </row>
    <row r="3" spans="1:6" ht="10.5" customHeight="1" x14ac:dyDescent="0.25">
      <c r="A3" s="2675"/>
      <c r="B3" s="2675"/>
      <c r="C3" s="2675"/>
      <c r="D3" s="2675"/>
      <c r="E3" s="2675"/>
      <c r="F3" s="2675"/>
    </row>
    <row r="4" spans="1:6" ht="16.5" customHeight="1" x14ac:dyDescent="0.25">
      <c r="A4" s="2616" t="s">
        <v>1468</v>
      </c>
      <c r="B4" s="2615" t="s">
        <v>1465</v>
      </c>
      <c r="C4" s="2615"/>
      <c r="D4" s="2615"/>
      <c r="E4" s="2615"/>
      <c r="F4" s="2615"/>
    </row>
    <row r="5" spans="1:6" ht="11.25" x14ac:dyDescent="0.25">
      <c r="A5" s="2616"/>
      <c r="B5" s="365">
        <v>2011</v>
      </c>
      <c r="C5" s="365" t="s">
        <v>1469</v>
      </c>
      <c r="D5" s="365">
        <v>2013</v>
      </c>
      <c r="E5" s="365">
        <v>2014</v>
      </c>
      <c r="F5" s="365">
        <v>2015</v>
      </c>
    </row>
    <row r="6" spans="1:6" s="367" customFormat="1" x14ac:dyDescent="0.25">
      <c r="A6" s="367" t="s">
        <v>141</v>
      </c>
      <c r="B6" s="529">
        <f t="shared" ref="B6:E6" si="0">SUM(B7:B8)</f>
        <v>138867789</v>
      </c>
      <c r="C6" s="529">
        <f t="shared" si="0"/>
        <v>194578031</v>
      </c>
      <c r="D6" s="529">
        <f t="shared" si="0"/>
        <v>170299927</v>
      </c>
      <c r="E6" s="529">
        <f t="shared" si="0"/>
        <v>233443445</v>
      </c>
      <c r="F6" s="529">
        <f t="shared" ref="F6" si="1">SUM(F7:F8)</f>
        <v>254671181</v>
      </c>
    </row>
    <row r="7" spans="1:6" x14ac:dyDescent="0.25">
      <c r="A7" s="385" t="s">
        <v>1454</v>
      </c>
      <c r="B7" s="404">
        <v>98760765</v>
      </c>
      <c r="C7" s="530">
        <v>98166671</v>
      </c>
      <c r="D7" s="530">
        <v>98543471</v>
      </c>
      <c r="E7" s="409">
        <v>162053887</v>
      </c>
      <c r="F7" s="531">
        <v>196779002</v>
      </c>
    </row>
    <row r="8" spans="1:6" x14ac:dyDescent="0.25">
      <c r="A8" s="385" t="s">
        <v>1455</v>
      </c>
      <c r="B8" s="404">
        <v>40107024</v>
      </c>
      <c r="C8" s="530">
        <v>96411360</v>
      </c>
      <c r="D8" s="530">
        <v>71756456</v>
      </c>
      <c r="E8" s="409">
        <v>71389558</v>
      </c>
      <c r="F8" s="531">
        <v>57892179</v>
      </c>
    </row>
    <row r="9" spans="1:6" ht="10.5" customHeight="1" x14ac:dyDescent="0.25">
      <c r="A9" s="2685"/>
      <c r="B9" s="2685"/>
      <c r="C9" s="2685"/>
      <c r="D9" s="2685"/>
      <c r="E9" s="2685"/>
      <c r="F9" s="2685"/>
    </row>
    <row r="10" spans="1:6" ht="24.75" customHeight="1" x14ac:dyDescent="0.25">
      <c r="A10" s="2686" t="s">
        <v>1470</v>
      </c>
      <c r="B10" s="2686"/>
      <c r="C10" s="2686"/>
      <c r="D10" s="2686"/>
      <c r="E10" s="2686"/>
      <c r="F10" s="2686"/>
    </row>
    <row r="11" spans="1:6" ht="11.25" customHeight="1" x14ac:dyDescent="0.25">
      <c r="A11" s="2624" t="s">
        <v>1444</v>
      </c>
      <c r="B11" s="2624"/>
      <c r="C11" s="2624"/>
      <c r="D11" s="2624"/>
      <c r="E11" s="2624"/>
      <c r="F11" s="2624"/>
    </row>
  </sheetData>
  <mergeCells count="7">
    <mergeCell ref="A11:F11"/>
    <mergeCell ref="A2:F2"/>
    <mergeCell ref="A3:F3"/>
    <mergeCell ref="A4:A5"/>
    <mergeCell ref="B4:F4"/>
    <mergeCell ref="A9:F9"/>
    <mergeCell ref="A10:F10"/>
  </mergeCells>
  <conditionalFormatting sqref="C6:F8">
    <cfRule type="expression" dxfId="15" priority="1">
      <formula>IF(AND(#REF!="2",#REF!="2"),1)</formula>
    </cfRule>
  </conditionalFormatting>
  <pageMargins left="0.7" right="0.7" top="0.75" bottom="0.75" header="0.3" footer="0.3"/>
  <pageSetup paperSize="14" scale="72"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J16"/>
  <sheetViews>
    <sheetView workbookViewId="0">
      <selection activeCell="F21" sqref="F21"/>
    </sheetView>
  </sheetViews>
  <sheetFormatPr baseColWidth="10" defaultColWidth="9.140625" defaultRowHeight="12.75" x14ac:dyDescent="0.2"/>
  <cols>
    <col min="1" max="1" width="10.7109375" style="111" customWidth="1"/>
    <col min="2" max="2" width="14.28515625" style="111" customWidth="1"/>
    <col min="3" max="4" width="12.140625" style="111" customWidth="1"/>
    <col min="5" max="5" width="11.42578125" style="111" customWidth="1"/>
    <col min="6" max="6" width="18.140625" style="111" customWidth="1"/>
    <col min="7" max="7" width="15.7109375" style="111" customWidth="1"/>
    <col min="8" max="8" width="10.7109375" style="111" customWidth="1"/>
    <col min="9" max="9" width="10.5703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1" spans="1:10" ht="11.25" customHeight="1" x14ac:dyDescent="0.2"/>
    <row r="2" spans="1:10" x14ac:dyDescent="0.2">
      <c r="A2" s="2688" t="s">
        <v>1471</v>
      </c>
      <c r="B2" s="2689"/>
      <c r="C2" s="2689"/>
      <c r="D2" s="2689"/>
      <c r="E2" s="2689"/>
      <c r="F2" s="2689"/>
      <c r="G2" s="2689"/>
      <c r="H2" s="2689"/>
      <c r="I2" s="2689"/>
    </row>
    <row r="3" spans="1:10" ht="11.25" customHeight="1" x14ac:dyDescent="0.2">
      <c r="A3" s="2347"/>
      <c r="B3" s="2667"/>
      <c r="C3" s="2667"/>
      <c r="D3" s="2667"/>
      <c r="E3" s="2667"/>
      <c r="F3" s="2667"/>
      <c r="G3" s="2667"/>
      <c r="H3" s="2667"/>
      <c r="I3" s="2667"/>
    </row>
    <row r="4" spans="1:10" x14ac:dyDescent="0.2">
      <c r="A4" s="2379" t="s">
        <v>2</v>
      </c>
      <c r="B4" s="2690" t="s">
        <v>1472</v>
      </c>
      <c r="C4" s="2691"/>
      <c r="D4" s="2691"/>
      <c r="E4" s="2691"/>
      <c r="F4" s="2691"/>
      <c r="G4" s="2691"/>
      <c r="H4" s="2691"/>
      <c r="I4" s="2692"/>
    </row>
    <row r="5" spans="1:10" x14ac:dyDescent="0.2">
      <c r="A5" s="2460"/>
      <c r="B5" s="2379" t="s">
        <v>141</v>
      </c>
      <c r="C5" s="2690" t="s">
        <v>1474</v>
      </c>
      <c r="D5" s="2691"/>
      <c r="E5" s="2691"/>
      <c r="F5" s="2691"/>
      <c r="G5" s="2691"/>
      <c r="H5" s="2691"/>
      <c r="I5" s="2692"/>
    </row>
    <row r="6" spans="1:10" ht="21" x14ac:dyDescent="0.2">
      <c r="A6" s="2360"/>
      <c r="B6" s="2360"/>
      <c r="C6" s="541" t="s">
        <v>4250</v>
      </c>
      <c r="D6" s="541" t="s">
        <v>4249</v>
      </c>
      <c r="E6" s="541" t="s">
        <v>4248</v>
      </c>
      <c r="F6" s="541" t="s">
        <v>4247</v>
      </c>
      <c r="G6" s="541" t="s">
        <v>4246</v>
      </c>
      <c r="H6" s="541" t="s">
        <v>4251</v>
      </c>
      <c r="I6" s="541" t="s">
        <v>2871</v>
      </c>
    </row>
    <row r="7" spans="1:10" x14ac:dyDescent="0.2">
      <c r="A7" s="172">
        <v>2011</v>
      </c>
      <c r="B7" s="533">
        <f>SUM(C7:I7)</f>
        <v>12511</v>
      </c>
      <c r="C7" s="534">
        <v>2778</v>
      </c>
      <c r="D7" s="534">
        <v>6204</v>
      </c>
      <c r="E7" s="534">
        <v>567</v>
      </c>
      <c r="F7" s="534">
        <v>883</v>
      </c>
      <c r="G7" s="534">
        <v>1430</v>
      </c>
      <c r="H7" s="534">
        <v>152</v>
      </c>
      <c r="I7" s="534">
        <v>497</v>
      </c>
    </row>
    <row r="8" spans="1:10" x14ac:dyDescent="0.2">
      <c r="A8" s="172">
        <v>2012</v>
      </c>
      <c r="B8" s="533">
        <f>SUM(C8:I8)</f>
        <v>13950</v>
      </c>
      <c r="C8" s="534">
        <v>2690</v>
      </c>
      <c r="D8" s="534">
        <v>7215</v>
      </c>
      <c r="E8" s="534">
        <v>704</v>
      </c>
      <c r="F8" s="534">
        <v>1426</v>
      </c>
      <c r="G8" s="534">
        <v>1360</v>
      </c>
      <c r="H8" s="534">
        <v>153</v>
      </c>
      <c r="I8" s="534">
        <v>402</v>
      </c>
    </row>
    <row r="9" spans="1:10" x14ac:dyDescent="0.2">
      <c r="A9" s="172">
        <v>2013</v>
      </c>
      <c r="B9" s="533">
        <f>SUM(C9:I9)</f>
        <v>14214</v>
      </c>
      <c r="C9" s="534">
        <v>3082</v>
      </c>
      <c r="D9" s="534">
        <v>6415</v>
      </c>
      <c r="E9" s="534">
        <v>695</v>
      </c>
      <c r="F9" s="534">
        <v>1569</v>
      </c>
      <c r="G9" s="534">
        <v>1702</v>
      </c>
      <c r="H9" s="534">
        <v>153</v>
      </c>
      <c r="I9" s="534">
        <v>598</v>
      </c>
    </row>
    <row r="10" spans="1:10" x14ac:dyDescent="0.2">
      <c r="A10" s="172">
        <v>2014</v>
      </c>
      <c r="B10" s="533">
        <f>SUM(C10:I10)</f>
        <v>15045</v>
      </c>
      <c r="C10" s="534">
        <v>2879</v>
      </c>
      <c r="D10" s="534">
        <v>7337</v>
      </c>
      <c r="E10" s="534">
        <v>575</v>
      </c>
      <c r="F10" s="534">
        <v>1851</v>
      </c>
      <c r="G10" s="534">
        <v>1680</v>
      </c>
      <c r="H10" s="534">
        <v>135</v>
      </c>
      <c r="I10" s="534">
        <v>588</v>
      </c>
    </row>
    <row r="11" spans="1:10" x14ac:dyDescent="0.2">
      <c r="A11" s="172">
        <v>2015</v>
      </c>
      <c r="B11" s="533">
        <f>SUM(C11:I11)</f>
        <v>13461</v>
      </c>
      <c r="C11" s="535">
        <v>2632</v>
      </c>
      <c r="D11" s="535">
        <v>6685</v>
      </c>
      <c r="E11" s="535">
        <v>499</v>
      </c>
      <c r="F11" s="535">
        <v>1683</v>
      </c>
      <c r="G11" s="535">
        <v>1374</v>
      </c>
      <c r="H11" s="535">
        <v>150</v>
      </c>
      <c r="I11" s="535">
        <v>438</v>
      </c>
    </row>
    <row r="12" spans="1:10" ht="10.5" customHeight="1" x14ac:dyDescent="0.2">
      <c r="A12" s="2347"/>
      <c r="B12" s="2667"/>
      <c r="C12" s="2667"/>
      <c r="D12" s="2667"/>
      <c r="E12" s="2667"/>
      <c r="F12" s="2667"/>
      <c r="G12" s="2667"/>
      <c r="H12" s="2667"/>
      <c r="I12" s="2667"/>
    </row>
    <row r="13" spans="1:10" ht="23.25" customHeight="1" x14ac:dyDescent="0.2">
      <c r="A13" s="2414" t="s">
        <v>1482</v>
      </c>
      <c r="B13" s="2687"/>
      <c r="C13" s="2687"/>
      <c r="D13" s="2687"/>
      <c r="E13" s="2687"/>
      <c r="F13" s="2687"/>
      <c r="G13" s="2687"/>
      <c r="H13" s="2687"/>
      <c r="I13" s="2687"/>
    </row>
    <row r="14" spans="1:10" ht="15" customHeight="1" x14ac:dyDescent="0.2">
      <c r="A14" s="2463" t="s">
        <v>1483</v>
      </c>
      <c r="B14" s="2687"/>
      <c r="C14" s="2687"/>
      <c r="D14" s="2687"/>
      <c r="E14" s="2687"/>
      <c r="F14" s="2687"/>
      <c r="G14" s="2687"/>
      <c r="H14" s="2687"/>
      <c r="I14" s="2687"/>
    </row>
    <row r="15" spans="1:10" x14ac:dyDescent="0.2">
      <c r="A15" s="2064"/>
      <c r="B15" s="2064"/>
      <c r="C15" s="2064"/>
      <c r="D15" s="2064"/>
      <c r="E15" s="2064"/>
      <c r="F15" s="2064"/>
      <c r="G15" s="2064"/>
      <c r="H15" s="2064"/>
      <c r="I15" s="2064"/>
    </row>
    <row r="16" spans="1:10" ht="15" x14ac:dyDescent="0.25">
      <c r="J16" s="536"/>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2:K29"/>
  <sheetViews>
    <sheetView workbookViewId="0">
      <selection activeCell="A26" sqref="A26:I26"/>
    </sheetView>
  </sheetViews>
  <sheetFormatPr baseColWidth="10" defaultColWidth="9.140625" defaultRowHeight="12.75" x14ac:dyDescent="0.2"/>
  <cols>
    <col min="1" max="1" width="17.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33.5703125" style="111" customWidth="1"/>
    <col min="12" max="12" width="9.140625" style="111" customWidth="1"/>
    <col min="13"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33.5703125" style="111" customWidth="1"/>
    <col min="268" max="268" width="9.140625" style="111" customWidth="1"/>
    <col min="269"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33.5703125" style="111" customWidth="1"/>
    <col min="524" max="524" width="9.140625" style="111" customWidth="1"/>
    <col min="525"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33.5703125" style="111" customWidth="1"/>
    <col min="780" max="780" width="9.140625" style="111" customWidth="1"/>
    <col min="781"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33.5703125" style="111" customWidth="1"/>
    <col min="1036" max="1036" width="9.140625" style="111" customWidth="1"/>
    <col min="1037"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33.5703125" style="111" customWidth="1"/>
    <col min="1292" max="1292" width="9.140625" style="111" customWidth="1"/>
    <col min="1293"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33.5703125" style="111" customWidth="1"/>
    <col min="1548" max="1548" width="9.140625" style="111" customWidth="1"/>
    <col min="1549"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33.5703125" style="111" customWidth="1"/>
    <col min="1804" max="1804" width="9.140625" style="111" customWidth="1"/>
    <col min="1805"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33.5703125" style="111" customWidth="1"/>
    <col min="2060" max="2060" width="9.140625" style="111" customWidth="1"/>
    <col min="2061"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33.5703125" style="111" customWidth="1"/>
    <col min="2316" max="2316" width="9.140625" style="111" customWidth="1"/>
    <col min="2317"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33.5703125" style="111" customWidth="1"/>
    <col min="2572" max="2572" width="9.140625" style="111" customWidth="1"/>
    <col min="2573"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33.5703125" style="111" customWidth="1"/>
    <col min="2828" max="2828" width="9.140625" style="111" customWidth="1"/>
    <col min="2829"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33.5703125" style="111" customWidth="1"/>
    <col min="3084" max="3084" width="9.140625" style="111" customWidth="1"/>
    <col min="3085"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33.5703125" style="111" customWidth="1"/>
    <col min="3340" max="3340" width="9.140625" style="111" customWidth="1"/>
    <col min="3341"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33.5703125" style="111" customWidth="1"/>
    <col min="3596" max="3596" width="9.140625" style="111" customWidth="1"/>
    <col min="3597"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33.5703125" style="111" customWidth="1"/>
    <col min="3852" max="3852" width="9.140625" style="111" customWidth="1"/>
    <col min="3853"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33.5703125" style="111" customWidth="1"/>
    <col min="4108" max="4108" width="9.140625" style="111" customWidth="1"/>
    <col min="4109"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33.5703125" style="111" customWidth="1"/>
    <col min="4364" max="4364" width="9.140625" style="111" customWidth="1"/>
    <col min="4365"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33.5703125" style="111" customWidth="1"/>
    <col min="4620" max="4620" width="9.140625" style="111" customWidth="1"/>
    <col min="4621"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33.5703125" style="111" customWidth="1"/>
    <col min="4876" max="4876" width="9.140625" style="111" customWidth="1"/>
    <col min="4877"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33.5703125" style="111" customWidth="1"/>
    <col min="5132" max="5132" width="9.140625" style="111" customWidth="1"/>
    <col min="5133"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33.5703125" style="111" customWidth="1"/>
    <col min="5388" max="5388" width="9.140625" style="111" customWidth="1"/>
    <col min="5389"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33.5703125" style="111" customWidth="1"/>
    <col min="5644" max="5644" width="9.140625" style="111" customWidth="1"/>
    <col min="5645"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33.5703125" style="111" customWidth="1"/>
    <col min="5900" max="5900" width="9.140625" style="111" customWidth="1"/>
    <col min="5901"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33.5703125" style="111" customWidth="1"/>
    <col min="6156" max="6156" width="9.140625" style="111" customWidth="1"/>
    <col min="6157"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33.5703125" style="111" customWidth="1"/>
    <col min="6412" max="6412" width="9.140625" style="111" customWidth="1"/>
    <col min="6413"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33.5703125" style="111" customWidth="1"/>
    <col min="6668" max="6668" width="9.140625" style="111" customWidth="1"/>
    <col min="6669"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33.5703125" style="111" customWidth="1"/>
    <col min="6924" max="6924" width="9.140625" style="111" customWidth="1"/>
    <col min="6925"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33.5703125" style="111" customWidth="1"/>
    <col min="7180" max="7180" width="9.140625" style="111" customWidth="1"/>
    <col min="7181"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33.5703125" style="111" customWidth="1"/>
    <col min="7436" max="7436" width="9.140625" style="111" customWidth="1"/>
    <col min="7437"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33.5703125" style="111" customWidth="1"/>
    <col min="7692" max="7692" width="9.140625" style="111" customWidth="1"/>
    <col min="7693"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33.5703125" style="111" customWidth="1"/>
    <col min="7948" max="7948" width="9.140625" style="111" customWidth="1"/>
    <col min="7949"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33.5703125" style="111" customWidth="1"/>
    <col min="8204" max="8204" width="9.140625" style="111" customWidth="1"/>
    <col min="8205"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33.5703125" style="111" customWidth="1"/>
    <col min="8460" max="8460" width="9.140625" style="111" customWidth="1"/>
    <col min="8461"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33.5703125" style="111" customWidth="1"/>
    <col min="8716" max="8716" width="9.140625" style="111" customWidth="1"/>
    <col min="8717"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33.5703125" style="111" customWidth="1"/>
    <col min="8972" max="8972" width="9.140625" style="111" customWidth="1"/>
    <col min="8973"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33.5703125" style="111" customWidth="1"/>
    <col min="9228" max="9228" width="9.140625" style="111" customWidth="1"/>
    <col min="9229"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33.5703125" style="111" customWidth="1"/>
    <col min="9484" max="9484" width="9.140625" style="111" customWidth="1"/>
    <col min="9485"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33.5703125" style="111" customWidth="1"/>
    <col min="9740" max="9740" width="9.140625" style="111" customWidth="1"/>
    <col min="9741"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33.5703125" style="111" customWidth="1"/>
    <col min="9996" max="9996" width="9.140625" style="111" customWidth="1"/>
    <col min="9997"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33.5703125" style="111" customWidth="1"/>
    <col min="10252" max="10252" width="9.140625" style="111" customWidth="1"/>
    <col min="10253"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33.5703125" style="111" customWidth="1"/>
    <col min="10508" max="10508" width="9.140625" style="111" customWidth="1"/>
    <col min="10509"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33.5703125" style="111" customWidth="1"/>
    <col min="10764" max="10764" width="9.140625" style="111" customWidth="1"/>
    <col min="10765"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33.5703125" style="111" customWidth="1"/>
    <col min="11020" max="11020" width="9.140625" style="111" customWidth="1"/>
    <col min="11021"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33.5703125" style="111" customWidth="1"/>
    <col min="11276" max="11276" width="9.140625" style="111" customWidth="1"/>
    <col min="11277"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33.5703125" style="111" customWidth="1"/>
    <col min="11532" max="11532" width="9.140625" style="111" customWidth="1"/>
    <col min="11533"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33.5703125" style="111" customWidth="1"/>
    <col min="11788" max="11788" width="9.140625" style="111" customWidth="1"/>
    <col min="11789"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33.5703125" style="111" customWidth="1"/>
    <col min="12044" max="12044" width="9.140625" style="111" customWidth="1"/>
    <col min="12045"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33.5703125" style="111" customWidth="1"/>
    <col min="12300" max="12300" width="9.140625" style="111" customWidth="1"/>
    <col min="12301"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33.5703125" style="111" customWidth="1"/>
    <col min="12556" max="12556" width="9.140625" style="111" customWidth="1"/>
    <col min="12557"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33.5703125" style="111" customWidth="1"/>
    <col min="12812" max="12812" width="9.140625" style="111" customWidth="1"/>
    <col min="12813"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33.5703125" style="111" customWidth="1"/>
    <col min="13068" max="13068" width="9.140625" style="111" customWidth="1"/>
    <col min="13069"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33.5703125" style="111" customWidth="1"/>
    <col min="13324" max="13324" width="9.140625" style="111" customWidth="1"/>
    <col min="13325"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33.5703125" style="111" customWidth="1"/>
    <col min="13580" max="13580" width="9.140625" style="111" customWidth="1"/>
    <col min="13581"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33.5703125" style="111" customWidth="1"/>
    <col min="13836" max="13836" width="9.140625" style="111" customWidth="1"/>
    <col min="13837"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33.5703125" style="111" customWidth="1"/>
    <col min="14092" max="14092" width="9.140625" style="111" customWidth="1"/>
    <col min="14093"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33.5703125" style="111" customWidth="1"/>
    <col min="14348" max="14348" width="9.140625" style="111" customWidth="1"/>
    <col min="14349"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33.5703125" style="111" customWidth="1"/>
    <col min="14604" max="14604" width="9.140625" style="111" customWidth="1"/>
    <col min="14605"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33.5703125" style="111" customWidth="1"/>
    <col min="14860" max="14860" width="9.140625" style="111" customWidth="1"/>
    <col min="14861"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33.5703125" style="111" customWidth="1"/>
    <col min="15116" max="15116" width="9.140625" style="111" customWidth="1"/>
    <col min="15117"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33.5703125" style="111" customWidth="1"/>
    <col min="15372" max="15372" width="9.140625" style="111" customWidth="1"/>
    <col min="15373"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33.5703125" style="111" customWidth="1"/>
    <col min="15628" max="15628" width="9.140625" style="111" customWidth="1"/>
    <col min="15629"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33.5703125" style="111" customWidth="1"/>
    <col min="15884" max="15884" width="9.140625" style="111" customWidth="1"/>
    <col min="15885"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33.5703125" style="111" customWidth="1"/>
    <col min="16140" max="16140" width="9.140625" style="111" customWidth="1"/>
    <col min="16141" max="16384" width="9.140625" style="111"/>
  </cols>
  <sheetData>
    <row r="2" spans="1:11" x14ac:dyDescent="0.2">
      <c r="A2" s="2688" t="s">
        <v>1484</v>
      </c>
      <c r="B2" s="2689"/>
      <c r="C2" s="2689"/>
      <c r="D2" s="2689"/>
      <c r="E2" s="2689"/>
      <c r="F2" s="2689"/>
      <c r="G2" s="2689"/>
      <c r="H2" s="2689"/>
      <c r="I2" s="2689"/>
    </row>
    <row r="3" spans="1:11" ht="16.350000000000001" customHeight="1" x14ac:dyDescent="0.2">
      <c r="A3" s="2347"/>
      <c r="B3" s="2667"/>
      <c r="C3" s="2667"/>
      <c r="D3" s="2667"/>
      <c r="E3" s="2667"/>
      <c r="F3" s="2667"/>
      <c r="G3" s="2667"/>
      <c r="H3" s="2667"/>
      <c r="I3" s="2667"/>
      <c r="J3" s="2064"/>
      <c r="K3" s="2064"/>
    </row>
    <row r="4" spans="1:11" x14ac:dyDescent="0.2">
      <c r="A4" s="2379" t="s">
        <v>1</v>
      </c>
      <c r="B4" s="2690" t="s">
        <v>1472</v>
      </c>
      <c r="C4" s="2691"/>
      <c r="D4" s="2691"/>
      <c r="E4" s="2691"/>
      <c r="F4" s="2691"/>
      <c r="G4" s="2691"/>
      <c r="H4" s="2691"/>
      <c r="I4" s="2691"/>
      <c r="J4" s="2064"/>
      <c r="K4" s="2064"/>
    </row>
    <row r="5" spans="1:11" x14ac:dyDescent="0.2">
      <c r="A5" s="2460"/>
      <c r="B5" s="2379" t="s">
        <v>1473</v>
      </c>
      <c r="C5" s="2690" t="s">
        <v>1474</v>
      </c>
      <c r="D5" s="2691"/>
      <c r="E5" s="2691"/>
      <c r="F5" s="2691"/>
      <c r="G5" s="2691"/>
      <c r="H5" s="2691"/>
      <c r="I5" s="2693"/>
      <c r="J5" s="2064"/>
      <c r="K5" s="2064"/>
    </row>
    <row r="6" spans="1:11" ht="42" x14ac:dyDescent="0.2">
      <c r="A6" s="2360"/>
      <c r="B6" s="2360"/>
      <c r="C6" s="532" t="s">
        <v>1475</v>
      </c>
      <c r="D6" s="532" t="s">
        <v>1476</v>
      </c>
      <c r="E6" s="532" t="s">
        <v>1477</v>
      </c>
      <c r="F6" s="532" t="s">
        <v>1478</v>
      </c>
      <c r="G6" s="532" t="s">
        <v>1479</v>
      </c>
      <c r="H6" s="2061" t="s">
        <v>1480</v>
      </c>
      <c r="I6" s="2052" t="s">
        <v>1481</v>
      </c>
      <c r="J6" s="2064"/>
      <c r="K6" s="2064"/>
    </row>
    <row r="7" spans="1:11" x14ac:dyDescent="0.2">
      <c r="A7" s="146" t="s">
        <v>141</v>
      </c>
      <c r="B7" s="477">
        <f>SUM(B8:B22)</f>
        <v>13461</v>
      </c>
      <c r="C7" s="477">
        <f>SUM(C8:C22)</f>
        <v>2632</v>
      </c>
      <c r="D7" s="477">
        <f t="shared" ref="D7:I7" si="0">SUM(D8:D22)</f>
        <v>6685</v>
      </c>
      <c r="E7" s="477">
        <f t="shared" si="0"/>
        <v>499</v>
      </c>
      <c r="F7" s="477">
        <f t="shared" si="0"/>
        <v>1683</v>
      </c>
      <c r="G7" s="477">
        <f t="shared" si="0"/>
        <v>1374</v>
      </c>
      <c r="H7" s="477">
        <f t="shared" si="0"/>
        <v>150</v>
      </c>
      <c r="I7" s="477">
        <f t="shared" si="0"/>
        <v>438</v>
      </c>
      <c r="J7" s="171"/>
      <c r="K7" s="2064"/>
    </row>
    <row r="8" spans="1:11" x14ac:dyDescent="0.2">
      <c r="A8" s="476" t="s">
        <v>5</v>
      </c>
      <c r="B8" s="477">
        <f>SUM(C8:I8)</f>
        <v>142</v>
      </c>
      <c r="C8" s="478">
        <v>12</v>
      </c>
      <c r="D8" s="478">
        <v>43</v>
      </c>
      <c r="E8" s="478">
        <v>17</v>
      </c>
      <c r="F8" s="478">
        <v>38</v>
      </c>
      <c r="G8" s="478">
        <v>30</v>
      </c>
      <c r="H8" s="478">
        <v>2</v>
      </c>
      <c r="I8" s="537">
        <v>0</v>
      </c>
      <c r="J8" s="2064"/>
      <c r="K8" s="2064"/>
    </row>
    <row r="9" spans="1:11" x14ac:dyDescent="0.2">
      <c r="A9" s="476" t="s">
        <v>6</v>
      </c>
      <c r="B9" s="477">
        <f t="shared" ref="B9:B22" si="1">SUM(C9:I9)</f>
        <v>130</v>
      </c>
      <c r="C9" s="478">
        <v>12</v>
      </c>
      <c r="D9" s="478">
        <v>84</v>
      </c>
      <c r="E9" s="478">
        <v>10</v>
      </c>
      <c r="F9" s="478">
        <v>5</v>
      </c>
      <c r="G9" s="478">
        <v>15</v>
      </c>
      <c r="H9" s="478">
        <v>1</v>
      </c>
      <c r="I9" s="478">
        <v>3</v>
      </c>
      <c r="J9" s="2064"/>
      <c r="K9" s="2064"/>
    </row>
    <row r="10" spans="1:11" x14ac:dyDescent="0.2">
      <c r="A10" s="476" t="s">
        <v>1485</v>
      </c>
      <c r="B10" s="477">
        <f t="shared" si="1"/>
        <v>291</v>
      </c>
      <c r="C10" s="478">
        <v>87</v>
      </c>
      <c r="D10" s="478">
        <v>123</v>
      </c>
      <c r="E10" s="478">
        <v>25</v>
      </c>
      <c r="F10" s="478">
        <v>21</v>
      </c>
      <c r="G10" s="478">
        <v>22</v>
      </c>
      <c r="H10" s="478">
        <v>10</v>
      </c>
      <c r="I10" s="478">
        <v>3</v>
      </c>
    </row>
    <row r="11" spans="1:11" x14ac:dyDescent="0.2">
      <c r="A11" s="476" t="s">
        <v>1486</v>
      </c>
      <c r="B11" s="477">
        <f t="shared" si="1"/>
        <v>283</v>
      </c>
      <c r="C11" s="478">
        <v>73</v>
      </c>
      <c r="D11" s="478">
        <v>73</v>
      </c>
      <c r="E11" s="478">
        <v>27</v>
      </c>
      <c r="F11" s="478">
        <v>46</v>
      </c>
      <c r="G11" s="478">
        <v>60</v>
      </c>
      <c r="H11" s="478">
        <v>3</v>
      </c>
      <c r="I11" s="478">
        <v>1</v>
      </c>
    </row>
    <row r="12" spans="1:11" x14ac:dyDescent="0.2">
      <c r="A12" s="476" t="s">
        <v>1487</v>
      </c>
      <c r="B12" s="477">
        <f t="shared" si="1"/>
        <v>217</v>
      </c>
      <c r="C12" s="478">
        <v>40</v>
      </c>
      <c r="D12" s="478">
        <v>76</v>
      </c>
      <c r="E12" s="478">
        <v>11</v>
      </c>
      <c r="F12" s="478">
        <v>54</v>
      </c>
      <c r="G12" s="478">
        <v>34</v>
      </c>
      <c r="H12" s="478">
        <v>2</v>
      </c>
      <c r="I12" s="537">
        <v>0</v>
      </c>
    </row>
    <row r="13" spans="1:11" x14ac:dyDescent="0.2">
      <c r="A13" s="476" t="s">
        <v>1488</v>
      </c>
      <c r="B13" s="477">
        <f t="shared" si="1"/>
        <v>650</v>
      </c>
      <c r="C13" s="478">
        <v>203</v>
      </c>
      <c r="D13" s="478">
        <v>118</v>
      </c>
      <c r="E13" s="478">
        <v>57</v>
      </c>
      <c r="F13" s="478">
        <v>55</v>
      </c>
      <c r="G13" s="478">
        <v>100</v>
      </c>
      <c r="H13" s="478">
        <v>12</v>
      </c>
      <c r="I13" s="478">
        <v>105</v>
      </c>
    </row>
    <row r="14" spans="1:11" x14ac:dyDescent="0.2">
      <c r="A14" s="476" t="s">
        <v>11</v>
      </c>
      <c r="B14" s="477">
        <f t="shared" si="1"/>
        <v>7518</v>
      </c>
      <c r="C14" s="478">
        <v>1396</v>
      </c>
      <c r="D14" s="478">
        <v>5096</v>
      </c>
      <c r="E14" s="478">
        <v>108</v>
      </c>
      <c r="F14" s="478">
        <v>566</v>
      </c>
      <c r="G14" s="478">
        <v>166</v>
      </c>
      <c r="H14" s="478">
        <v>77</v>
      </c>
      <c r="I14" s="478">
        <v>109</v>
      </c>
    </row>
    <row r="15" spans="1:11" x14ac:dyDescent="0.2">
      <c r="A15" s="476" t="s">
        <v>12</v>
      </c>
      <c r="B15" s="477">
        <f t="shared" si="1"/>
        <v>999</v>
      </c>
      <c r="C15" s="478">
        <v>112</v>
      </c>
      <c r="D15" s="478">
        <v>202</v>
      </c>
      <c r="E15" s="478">
        <v>86</v>
      </c>
      <c r="F15" s="478">
        <v>272</v>
      </c>
      <c r="G15" s="478">
        <v>272</v>
      </c>
      <c r="H15" s="478">
        <v>11</v>
      </c>
      <c r="I15" s="478">
        <v>44</v>
      </c>
    </row>
    <row r="16" spans="1:11" x14ac:dyDescent="0.2">
      <c r="A16" s="476" t="s">
        <v>13</v>
      </c>
      <c r="B16" s="477">
        <f t="shared" si="1"/>
        <v>490</v>
      </c>
      <c r="C16" s="478">
        <v>206</v>
      </c>
      <c r="D16" s="478">
        <v>130</v>
      </c>
      <c r="E16" s="478">
        <v>9</v>
      </c>
      <c r="F16" s="478">
        <v>39</v>
      </c>
      <c r="G16" s="478">
        <v>91</v>
      </c>
      <c r="H16" s="478">
        <v>8</v>
      </c>
      <c r="I16" s="478">
        <v>7</v>
      </c>
    </row>
    <row r="17" spans="1:9" x14ac:dyDescent="0.2">
      <c r="A17" s="476" t="s">
        <v>14</v>
      </c>
      <c r="B17" s="477">
        <f t="shared" si="1"/>
        <v>867</v>
      </c>
      <c r="C17" s="478">
        <v>170</v>
      </c>
      <c r="D17" s="478">
        <v>318</v>
      </c>
      <c r="E17" s="478">
        <v>35</v>
      </c>
      <c r="F17" s="478">
        <v>139</v>
      </c>
      <c r="G17" s="478">
        <v>177</v>
      </c>
      <c r="H17" s="478">
        <v>9</v>
      </c>
      <c r="I17" s="478">
        <v>19</v>
      </c>
    </row>
    <row r="18" spans="1:9" x14ac:dyDescent="0.2">
      <c r="A18" s="476" t="s">
        <v>15</v>
      </c>
      <c r="B18" s="477">
        <f t="shared" si="1"/>
        <v>811</v>
      </c>
      <c r="C18" s="478">
        <v>153</v>
      </c>
      <c r="D18" s="478">
        <v>134</v>
      </c>
      <c r="E18" s="478">
        <v>65</v>
      </c>
      <c r="F18" s="478">
        <v>104</v>
      </c>
      <c r="G18" s="478">
        <v>226</v>
      </c>
      <c r="H18" s="478">
        <v>11</v>
      </c>
      <c r="I18" s="478">
        <v>118</v>
      </c>
    </row>
    <row r="19" spans="1:9" x14ac:dyDescent="0.2">
      <c r="A19" s="476" t="s">
        <v>16</v>
      </c>
      <c r="B19" s="477">
        <f t="shared" si="1"/>
        <v>217</v>
      </c>
      <c r="C19" s="478">
        <v>52</v>
      </c>
      <c r="D19" s="478">
        <v>70</v>
      </c>
      <c r="E19" s="478">
        <v>3</v>
      </c>
      <c r="F19" s="478">
        <v>46</v>
      </c>
      <c r="G19" s="478">
        <v>43</v>
      </c>
      <c r="H19" s="478">
        <v>0</v>
      </c>
      <c r="I19" s="478">
        <v>3</v>
      </c>
    </row>
    <row r="20" spans="1:9" x14ac:dyDescent="0.2">
      <c r="A20" s="476" t="s">
        <v>17</v>
      </c>
      <c r="B20" s="477">
        <f t="shared" si="1"/>
        <v>445</v>
      </c>
      <c r="C20" s="478">
        <v>99</v>
      </c>
      <c r="D20" s="478">
        <v>164</v>
      </c>
      <c r="E20" s="478">
        <v>17</v>
      </c>
      <c r="F20" s="478">
        <v>54</v>
      </c>
      <c r="G20" s="478">
        <v>95</v>
      </c>
      <c r="H20" s="478">
        <v>2</v>
      </c>
      <c r="I20" s="478">
        <v>14</v>
      </c>
    </row>
    <row r="21" spans="1:9" x14ac:dyDescent="0.2">
      <c r="A21" s="476" t="s">
        <v>18</v>
      </c>
      <c r="B21" s="477">
        <f t="shared" si="1"/>
        <v>316</v>
      </c>
      <c r="C21" s="478">
        <v>10</v>
      </c>
      <c r="D21" s="478">
        <v>38</v>
      </c>
      <c r="E21" s="478">
        <v>12</v>
      </c>
      <c r="F21" s="478">
        <v>233</v>
      </c>
      <c r="G21" s="478">
        <v>13</v>
      </c>
      <c r="H21" s="478">
        <v>0</v>
      </c>
      <c r="I21" s="478">
        <v>10</v>
      </c>
    </row>
    <row r="22" spans="1:9" x14ac:dyDescent="0.2">
      <c r="A22" s="476" t="s">
        <v>19</v>
      </c>
      <c r="B22" s="477">
        <f t="shared" si="1"/>
        <v>85</v>
      </c>
      <c r="C22" s="478">
        <v>7</v>
      </c>
      <c r="D22" s="478">
        <v>16</v>
      </c>
      <c r="E22" s="478">
        <v>17</v>
      </c>
      <c r="F22" s="478">
        <v>11</v>
      </c>
      <c r="G22" s="478">
        <v>30</v>
      </c>
      <c r="H22" s="478">
        <v>2</v>
      </c>
      <c r="I22" s="478">
        <v>2</v>
      </c>
    </row>
    <row r="23" spans="1:9" ht="8.25" customHeight="1" x14ac:dyDescent="0.2">
      <c r="A23" s="2356"/>
      <c r="B23" s="2672"/>
      <c r="C23" s="2672"/>
      <c r="D23" s="2672"/>
      <c r="E23" s="2672"/>
      <c r="F23" s="2672"/>
      <c r="G23" s="2672"/>
      <c r="H23" s="2672"/>
      <c r="I23" s="2672"/>
    </row>
    <row r="24" spans="1:9" s="538" customFormat="1" ht="23.25" customHeight="1" x14ac:dyDescent="0.2">
      <c r="A24" s="2694" t="s">
        <v>1482</v>
      </c>
      <c r="B24" s="2695"/>
      <c r="C24" s="2695"/>
      <c r="D24" s="2695"/>
      <c r="E24" s="2695"/>
      <c r="F24" s="2695"/>
      <c r="G24" s="2695"/>
      <c r="H24" s="2695"/>
      <c r="I24" s="2695"/>
    </row>
    <row r="25" spans="1:9" s="538" customFormat="1" x14ac:dyDescent="0.2">
      <c r="A25" s="2696" t="s">
        <v>1489</v>
      </c>
      <c r="B25" s="2696"/>
      <c r="C25" s="2696"/>
      <c r="D25" s="2696"/>
      <c r="E25" s="2696"/>
      <c r="F25" s="2696"/>
      <c r="G25" s="2696"/>
      <c r="H25" s="2696"/>
      <c r="I25" s="2696"/>
    </row>
    <row r="26" spans="1:9" ht="17.100000000000001" customHeight="1" x14ac:dyDescent="0.2">
      <c r="A26" s="2697" t="s">
        <v>1490</v>
      </c>
      <c r="B26" s="2665"/>
      <c r="C26" s="2665"/>
      <c r="D26" s="2665"/>
      <c r="E26" s="2665"/>
      <c r="F26" s="2665"/>
      <c r="G26" s="2665"/>
      <c r="H26" s="2665"/>
      <c r="I26" s="2665"/>
    </row>
    <row r="27" spans="1:9" ht="18" customHeight="1" x14ac:dyDescent="0.2">
      <c r="A27" s="2356" t="s">
        <v>1483</v>
      </c>
      <c r="B27" s="2665"/>
      <c r="C27" s="2665"/>
      <c r="D27" s="2665"/>
      <c r="E27" s="2665"/>
      <c r="F27" s="2665"/>
      <c r="G27" s="2665"/>
      <c r="H27" s="2665"/>
      <c r="I27" s="2665"/>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2:M29"/>
  <sheetViews>
    <sheetView workbookViewId="0">
      <selection activeCell="P6" sqref="P6"/>
    </sheetView>
  </sheetViews>
  <sheetFormatPr baseColWidth="10" defaultColWidth="9.140625" defaultRowHeight="12.75" x14ac:dyDescent="0.2"/>
  <cols>
    <col min="1" max="1" width="19.5703125" style="111" customWidth="1"/>
    <col min="2" max="2" width="14" style="111" customWidth="1"/>
    <col min="3" max="3" width="13.5703125" style="111" customWidth="1"/>
    <col min="4" max="4" width="17.85546875" style="111" customWidth="1"/>
    <col min="5" max="5" width="15" style="111" customWidth="1"/>
    <col min="6" max="6" width="21.85546875" style="111" customWidth="1"/>
    <col min="7" max="7" width="12.140625" style="111" customWidth="1"/>
    <col min="8" max="8" width="15.140625" style="111" customWidth="1"/>
    <col min="9" max="9" width="13.42578125" style="111" customWidth="1"/>
    <col min="10" max="10" width="9.140625" style="111" customWidth="1"/>
    <col min="11" max="11" width="8.28515625" style="111" customWidth="1"/>
    <col min="12" max="13" width="9.140625" style="111" customWidth="1"/>
    <col min="14" max="14" width="4.7109375" style="111" customWidth="1"/>
    <col min="15"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21.85546875" style="111" customWidth="1"/>
    <col min="263" max="263" width="12.140625" style="111" customWidth="1"/>
    <col min="264" max="264" width="15.140625" style="111" customWidth="1"/>
    <col min="265" max="265" width="13.42578125" style="111" customWidth="1"/>
    <col min="266" max="266" width="0" style="111" hidden="1" customWidth="1"/>
    <col min="267" max="267" width="8.28515625" style="111" customWidth="1"/>
    <col min="268" max="269" width="0" style="111" hidden="1" customWidth="1"/>
    <col min="270" max="270" width="4.7109375" style="111" customWidth="1"/>
    <col min="271"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21.85546875" style="111" customWidth="1"/>
    <col min="519" max="519" width="12.140625" style="111" customWidth="1"/>
    <col min="520" max="520" width="15.140625" style="111" customWidth="1"/>
    <col min="521" max="521" width="13.42578125" style="111" customWidth="1"/>
    <col min="522" max="522" width="0" style="111" hidden="1" customWidth="1"/>
    <col min="523" max="523" width="8.28515625" style="111" customWidth="1"/>
    <col min="524" max="525" width="0" style="111" hidden="1" customWidth="1"/>
    <col min="526" max="526" width="4.7109375" style="111" customWidth="1"/>
    <col min="527"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21.85546875" style="111" customWidth="1"/>
    <col min="775" max="775" width="12.140625" style="111" customWidth="1"/>
    <col min="776" max="776" width="15.140625" style="111" customWidth="1"/>
    <col min="777" max="777" width="13.42578125" style="111" customWidth="1"/>
    <col min="778" max="778" width="0" style="111" hidden="1" customWidth="1"/>
    <col min="779" max="779" width="8.28515625" style="111" customWidth="1"/>
    <col min="780" max="781" width="0" style="111" hidden="1" customWidth="1"/>
    <col min="782" max="782" width="4.7109375" style="111" customWidth="1"/>
    <col min="783"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21.85546875" style="111" customWidth="1"/>
    <col min="1031" max="1031" width="12.140625" style="111" customWidth="1"/>
    <col min="1032" max="1032" width="15.140625" style="111" customWidth="1"/>
    <col min="1033" max="1033" width="13.42578125" style="111" customWidth="1"/>
    <col min="1034" max="1034" width="0" style="111" hidden="1" customWidth="1"/>
    <col min="1035" max="1035" width="8.28515625" style="111" customWidth="1"/>
    <col min="1036" max="1037" width="0" style="111" hidden="1" customWidth="1"/>
    <col min="1038" max="1038" width="4.7109375" style="111" customWidth="1"/>
    <col min="1039"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21.85546875" style="111" customWidth="1"/>
    <col min="1287" max="1287" width="12.140625" style="111" customWidth="1"/>
    <col min="1288" max="1288" width="15.140625" style="111" customWidth="1"/>
    <col min="1289" max="1289" width="13.42578125" style="111" customWidth="1"/>
    <col min="1290" max="1290" width="0" style="111" hidden="1" customWidth="1"/>
    <col min="1291" max="1291" width="8.28515625" style="111" customWidth="1"/>
    <col min="1292" max="1293" width="0" style="111" hidden="1" customWidth="1"/>
    <col min="1294" max="1294" width="4.7109375" style="111" customWidth="1"/>
    <col min="1295"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21.85546875" style="111" customWidth="1"/>
    <col min="1543" max="1543" width="12.140625" style="111" customWidth="1"/>
    <col min="1544" max="1544" width="15.140625" style="111" customWidth="1"/>
    <col min="1545" max="1545" width="13.42578125" style="111" customWidth="1"/>
    <col min="1546" max="1546" width="0" style="111" hidden="1" customWidth="1"/>
    <col min="1547" max="1547" width="8.28515625" style="111" customWidth="1"/>
    <col min="1548" max="1549" width="0" style="111" hidden="1" customWidth="1"/>
    <col min="1550" max="1550" width="4.7109375" style="111" customWidth="1"/>
    <col min="1551"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21.85546875" style="111" customWidth="1"/>
    <col min="1799" max="1799" width="12.140625" style="111" customWidth="1"/>
    <col min="1800" max="1800" width="15.140625" style="111" customWidth="1"/>
    <col min="1801" max="1801" width="13.42578125" style="111" customWidth="1"/>
    <col min="1802" max="1802" width="0" style="111" hidden="1" customWidth="1"/>
    <col min="1803" max="1803" width="8.28515625" style="111" customWidth="1"/>
    <col min="1804" max="1805" width="0" style="111" hidden="1" customWidth="1"/>
    <col min="1806" max="1806" width="4.7109375" style="111" customWidth="1"/>
    <col min="1807"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21.85546875" style="111" customWidth="1"/>
    <col min="2055" max="2055" width="12.140625" style="111" customWidth="1"/>
    <col min="2056" max="2056" width="15.140625" style="111" customWidth="1"/>
    <col min="2057" max="2057" width="13.42578125" style="111" customWidth="1"/>
    <col min="2058" max="2058" width="0" style="111" hidden="1" customWidth="1"/>
    <col min="2059" max="2059" width="8.28515625" style="111" customWidth="1"/>
    <col min="2060" max="2061" width="0" style="111" hidden="1" customWidth="1"/>
    <col min="2062" max="2062" width="4.7109375" style="111" customWidth="1"/>
    <col min="2063"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21.85546875" style="111" customWidth="1"/>
    <col min="2311" max="2311" width="12.140625" style="111" customWidth="1"/>
    <col min="2312" max="2312" width="15.140625" style="111" customWidth="1"/>
    <col min="2313" max="2313" width="13.42578125" style="111" customWidth="1"/>
    <col min="2314" max="2314" width="0" style="111" hidden="1" customWidth="1"/>
    <col min="2315" max="2315" width="8.28515625" style="111" customWidth="1"/>
    <col min="2316" max="2317" width="0" style="111" hidden="1" customWidth="1"/>
    <col min="2318" max="2318" width="4.7109375" style="111" customWidth="1"/>
    <col min="2319"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21.85546875" style="111" customWidth="1"/>
    <col min="2567" max="2567" width="12.140625" style="111" customWidth="1"/>
    <col min="2568" max="2568" width="15.140625" style="111" customWidth="1"/>
    <col min="2569" max="2569" width="13.42578125" style="111" customWidth="1"/>
    <col min="2570" max="2570" width="0" style="111" hidden="1" customWidth="1"/>
    <col min="2571" max="2571" width="8.28515625" style="111" customWidth="1"/>
    <col min="2572" max="2573" width="0" style="111" hidden="1" customWidth="1"/>
    <col min="2574" max="2574" width="4.7109375" style="111" customWidth="1"/>
    <col min="2575"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21.85546875" style="111" customWidth="1"/>
    <col min="2823" max="2823" width="12.140625" style="111" customWidth="1"/>
    <col min="2824" max="2824" width="15.140625" style="111" customWidth="1"/>
    <col min="2825" max="2825" width="13.42578125" style="111" customWidth="1"/>
    <col min="2826" max="2826" width="0" style="111" hidden="1" customWidth="1"/>
    <col min="2827" max="2827" width="8.28515625" style="111" customWidth="1"/>
    <col min="2828" max="2829" width="0" style="111" hidden="1" customWidth="1"/>
    <col min="2830" max="2830" width="4.7109375" style="111" customWidth="1"/>
    <col min="2831"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21.85546875" style="111" customWidth="1"/>
    <col min="3079" max="3079" width="12.140625" style="111" customWidth="1"/>
    <col min="3080" max="3080" width="15.140625" style="111" customWidth="1"/>
    <col min="3081" max="3081" width="13.42578125" style="111" customWidth="1"/>
    <col min="3082" max="3082" width="0" style="111" hidden="1" customWidth="1"/>
    <col min="3083" max="3083" width="8.28515625" style="111" customWidth="1"/>
    <col min="3084" max="3085" width="0" style="111" hidden="1" customWidth="1"/>
    <col min="3086" max="3086" width="4.7109375" style="111" customWidth="1"/>
    <col min="3087"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21.85546875" style="111" customWidth="1"/>
    <col min="3335" max="3335" width="12.140625" style="111" customWidth="1"/>
    <col min="3336" max="3336" width="15.140625" style="111" customWidth="1"/>
    <col min="3337" max="3337" width="13.42578125" style="111" customWidth="1"/>
    <col min="3338" max="3338" width="0" style="111" hidden="1" customWidth="1"/>
    <col min="3339" max="3339" width="8.28515625" style="111" customWidth="1"/>
    <col min="3340" max="3341" width="0" style="111" hidden="1" customWidth="1"/>
    <col min="3342" max="3342" width="4.7109375" style="111" customWidth="1"/>
    <col min="3343"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21.85546875" style="111" customWidth="1"/>
    <col min="3591" max="3591" width="12.140625" style="111" customWidth="1"/>
    <col min="3592" max="3592" width="15.140625" style="111" customWidth="1"/>
    <col min="3593" max="3593" width="13.42578125" style="111" customWidth="1"/>
    <col min="3594" max="3594" width="0" style="111" hidden="1" customWidth="1"/>
    <col min="3595" max="3595" width="8.28515625" style="111" customWidth="1"/>
    <col min="3596" max="3597" width="0" style="111" hidden="1" customWidth="1"/>
    <col min="3598" max="3598" width="4.7109375" style="111" customWidth="1"/>
    <col min="3599"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21.85546875" style="111" customWidth="1"/>
    <col min="3847" max="3847" width="12.140625" style="111" customWidth="1"/>
    <col min="3848" max="3848" width="15.140625" style="111" customWidth="1"/>
    <col min="3849" max="3849" width="13.42578125" style="111" customWidth="1"/>
    <col min="3850" max="3850" width="0" style="111" hidden="1" customWidth="1"/>
    <col min="3851" max="3851" width="8.28515625" style="111" customWidth="1"/>
    <col min="3852" max="3853" width="0" style="111" hidden="1" customWidth="1"/>
    <col min="3854" max="3854" width="4.7109375" style="111" customWidth="1"/>
    <col min="3855"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21.85546875" style="111" customWidth="1"/>
    <col min="4103" max="4103" width="12.140625" style="111" customWidth="1"/>
    <col min="4104" max="4104" width="15.140625" style="111" customWidth="1"/>
    <col min="4105" max="4105" width="13.42578125" style="111" customWidth="1"/>
    <col min="4106" max="4106" width="0" style="111" hidden="1" customWidth="1"/>
    <col min="4107" max="4107" width="8.28515625" style="111" customWidth="1"/>
    <col min="4108" max="4109" width="0" style="111" hidden="1" customWidth="1"/>
    <col min="4110" max="4110" width="4.7109375" style="111" customWidth="1"/>
    <col min="4111"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21.85546875" style="111" customWidth="1"/>
    <col min="4359" max="4359" width="12.140625" style="111" customWidth="1"/>
    <col min="4360" max="4360" width="15.140625" style="111" customWidth="1"/>
    <col min="4361" max="4361" width="13.42578125" style="111" customWidth="1"/>
    <col min="4362" max="4362" width="0" style="111" hidden="1" customWidth="1"/>
    <col min="4363" max="4363" width="8.28515625" style="111" customWidth="1"/>
    <col min="4364" max="4365" width="0" style="111" hidden="1" customWidth="1"/>
    <col min="4366" max="4366" width="4.7109375" style="111" customWidth="1"/>
    <col min="4367"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21.85546875" style="111" customWidth="1"/>
    <col min="4615" max="4615" width="12.140625" style="111" customWidth="1"/>
    <col min="4616" max="4616" width="15.140625" style="111" customWidth="1"/>
    <col min="4617" max="4617" width="13.42578125" style="111" customWidth="1"/>
    <col min="4618" max="4618" width="0" style="111" hidden="1" customWidth="1"/>
    <col min="4619" max="4619" width="8.28515625" style="111" customWidth="1"/>
    <col min="4620" max="4621" width="0" style="111" hidden="1" customWidth="1"/>
    <col min="4622" max="4622" width="4.7109375" style="111" customWidth="1"/>
    <col min="4623"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21.85546875" style="111" customWidth="1"/>
    <col min="4871" max="4871" width="12.140625" style="111" customWidth="1"/>
    <col min="4872" max="4872" width="15.140625" style="111" customWidth="1"/>
    <col min="4873" max="4873" width="13.42578125" style="111" customWidth="1"/>
    <col min="4874" max="4874" width="0" style="111" hidden="1" customWidth="1"/>
    <col min="4875" max="4875" width="8.28515625" style="111" customWidth="1"/>
    <col min="4876" max="4877" width="0" style="111" hidden="1" customWidth="1"/>
    <col min="4878" max="4878" width="4.7109375" style="111" customWidth="1"/>
    <col min="4879"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21.85546875" style="111" customWidth="1"/>
    <col min="5127" max="5127" width="12.140625" style="111" customWidth="1"/>
    <col min="5128" max="5128" width="15.140625" style="111" customWidth="1"/>
    <col min="5129" max="5129" width="13.42578125" style="111" customWidth="1"/>
    <col min="5130" max="5130" width="0" style="111" hidden="1" customWidth="1"/>
    <col min="5131" max="5131" width="8.28515625" style="111" customWidth="1"/>
    <col min="5132" max="5133" width="0" style="111" hidden="1" customWidth="1"/>
    <col min="5134" max="5134" width="4.7109375" style="111" customWidth="1"/>
    <col min="5135"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21.85546875" style="111" customWidth="1"/>
    <col min="5383" max="5383" width="12.140625" style="111" customWidth="1"/>
    <col min="5384" max="5384" width="15.140625" style="111" customWidth="1"/>
    <col min="5385" max="5385" width="13.42578125" style="111" customWidth="1"/>
    <col min="5386" max="5386" width="0" style="111" hidden="1" customWidth="1"/>
    <col min="5387" max="5387" width="8.28515625" style="111" customWidth="1"/>
    <col min="5388" max="5389" width="0" style="111" hidden="1" customWidth="1"/>
    <col min="5390" max="5390" width="4.7109375" style="111" customWidth="1"/>
    <col min="5391"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21.85546875" style="111" customWidth="1"/>
    <col min="5639" max="5639" width="12.140625" style="111" customWidth="1"/>
    <col min="5640" max="5640" width="15.140625" style="111" customWidth="1"/>
    <col min="5641" max="5641" width="13.42578125" style="111" customWidth="1"/>
    <col min="5642" max="5642" width="0" style="111" hidden="1" customWidth="1"/>
    <col min="5643" max="5643" width="8.28515625" style="111" customWidth="1"/>
    <col min="5644" max="5645" width="0" style="111" hidden="1" customWidth="1"/>
    <col min="5646" max="5646" width="4.7109375" style="111" customWidth="1"/>
    <col min="5647"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21.85546875" style="111" customWidth="1"/>
    <col min="5895" max="5895" width="12.140625" style="111" customWidth="1"/>
    <col min="5896" max="5896" width="15.140625" style="111" customWidth="1"/>
    <col min="5897" max="5897" width="13.42578125" style="111" customWidth="1"/>
    <col min="5898" max="5898" width="0" style="111" hidden="1" customWidth="1"/>
    <col min="5899" max="5899" width="8.28515625" style="111" customWidth="1"/>
    <col min="5900" max="5901" width="0" style="111" hidden="1" customWidth="1"/>
    <col min="5902" max="5902" width="4.7109375" style="111" customWidth="1"/>
    <col min="5903"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21.85546875" style="111" customWidth="1"/>
    <col min="6151" max="6151" width="12.140625" style="111" customWidth="1"/>
    <col min="6152" max="6152" width="15.140625" style="111" customWidth="1"/>
    <col min="6153" max="6153" width="13.42578125" style="111" customWidth="1"/>
    <col min="6154" max="6154" width="0" style="111" hidden="1" customWidth="1"/>
    <col min="6155" max="6155" width="8.28515625" style="111" customWidth="1"/>
    <col min="6156" max="6157" width="0" style="111" hidden="1" customWidth="1"/>
    <col min="6158" max="6158" width="4.7109375" style="111" customWidth="1"/>
    <col min="6159"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21.85546875" style="111" customWidth="1"/>
    <col min="6407" max="6407" width="12.140625" style="111" customWidth="1"/>
    <col min="6408" max="6408" width="15.140625" style="111" customWidth="1"/>
    <col min="6409" max="6409" width="13.42578125" style="111" customWidth="1"/>
    <col min="6410" max="6410" width="0" style="111" hidden="1" customWidth="1"/>
    <col min="6411" max="6411" width="8.28515625" style="111" customWidth="1"/>
    <col min="6412" max="6413" width="0" style="111" hidden="1" customWidth="1"/>
    <col min="6414" max="6414" width="4.7109375" style="111" customWidth="1"/>
    <col min="6415"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21.85546875" style="111" customWidth="1"/>
    <col min="6663" max="6663" width="12.140625" style="111" customWidth="1"/>
    <col min="6664" max="6664" width="15.140625" style="111" customWidth="1"/>
    <col min="6665" max="6665" width="13.42578125" style="111" customWidth="1"/>
    <col min="6666" max="6666" width="0" style="111" hidden="1" customWidth="1"/>
    <col min="6667" max="6667" width="8.28515625" style="111" customWidth="1"/>
    <col min="6668" max="6669" width="0" style="111" hidden="1" customWidth="1"/>
    <col min="6670" max="6670" width="4.7109375" style="111" customWidth="1"/>
    <col min="6671"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21.85546875" style="111" customWidth="1"/>
    <col min="6919" max="6919" width="12.140625" style="111" customWidth="1"/>
    <col min="6920" max="6920" width="15.140625" style="111" customWidth="1"/>
    <col min="6921" max="6921" width="13.42578125" style="111" customWidth="1"/>
    <col min="6922" max="6922" width="0" style="111" hidden="1" customWidth="1"/>
    <col min="6923" max="6923" width="8.28515625" style="111" customWidth="1"/>
    <col min="6924" max="6925" width="0" style="111" hidden="1" customWidth="1"/>
    <col min="6926" max="6926" width="4.7109375" style="111" customWidth="1"/>
    <col min="6927"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21.85546875" style="111" customWidth="1"/>
    <col min="7175" max="7175" width="12.140625" style="111" customWidth="1"/>
    <col min="7176" max="7176" width="15.140625" style="111" customWidth="1"/>
    <col min="7177" max="7177" width="13.42578125" style="111" customWidth="1"/>
    <col min="7178" max="7178" width="0" style="111" hidden="1" customWidth="1"/>
    <col min="7179" max="7179" width="8.28515625" style="111" customWidth="1"/>
    <col min="7180" max="7181" width="0" style="111" hidden="1" customWidth="1"/>
    <col min="7182" max="7182" width="4.7109375" style="111" customWidth="1"/>
    <col min="7183"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21.85546875" style="111" customWidth="1"/>
    <col min="7431" max="7431" width="12.140625" style="111" customWidth="1"/>
    <col min="7432" max="7432" width="15.140625" style="111" customWidth="1"/>
    <col min="7433" max="7433" width="13.42578125" style="111" customWidth="1"/>
    <col min="7434" max="7434" width="0" style="111" hidden="1" customWidth="1"/>
    <col min="7435" max="7435" width="8.28515625" style="111" customWidth="1"/>
    <col min="7436" max="7437" width="0" style="111" hidden="1" customWidth="1"/>
    <col min="7438" max="7438" width="4.7109375" style="111" customWidth="1"/>
    <col min="7439"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21.85546875" style="111" customWidth="1"/>
    <col min="7687" max="7687" width="12.140625" style="111" customWidth="1"/>
    <col min="7688" max="7688" width="15.140625" style="111" customWidth="1"/>
    <col min="7689" max="7689" width="13.42578125" style="111" customWidth="1"/>
    <col min="7690" max="7690" width="0" style="111" hidden="1" customWidth="1"/>
    <col min="7691" max="7691" width="8.28515625" style="111" customWidth="1"/>
    <col min="7692" max="7693" width="0" style="111" hidden="1" customWidth="1"/>
    <col min="7694" max="7694" width="4.7109375" style="111" customWidth="1"/>
    <col min="7695"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21.85546875" style="111" customWidth="1"/>
    <col min="7943" max="7943" width="12.140625" style="111" customWidth="1"/>
    <col min="7944" max="7944" width="15.140625" style="111" customWidth="1"/>
    <col min="7945" max="7945" width="13.42578125" style="111" customWidth="1"/>
    <col min="7946" max="7946" width="0" style="111" hidden="1" customWidth="1"/>
    <col min="7947" max="7947" width="8.28515625" style="111" customWidth="1"/>
    <col min="7948" max="7949" width="0" style="111" hidden="1" customWidth="1"/>
    <col min="7950" max="7950" width="4.7109375" style="111" customWidth="1"/>
    <col min="7951"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21.85546875" style="111" customWidth="1"/>
    <col min="8199" max="8199" width="12.140625" style="111" customWidth="1"/>
    <col min="8200" max="8200" width="15.140625" style="111" customWidth="1"/>
    <col min="8201" max="8201" width="13.42578125" style="111" customWidth="1"/>
    <col min="8202" max="8202" width="0" style="111" hidden="1" customWidth="1"/>
    <col min="8203" max="8203" width="8.28515625" style="111" customWidth="1"/>
    <col min="8204" max="8205" width="0" style="111" hidden="1" customWidth="1"/>
    <col min="8206" max="8206" width="4.7109375" style="111" customWidth="1"/>
    <col min="8207"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21.85546875" style="111" customWidth="1"/>
    <col min="8455" max="8455" width="12.140625" style="111" customWidth="1"/>
    <col min="8456" max="8456" width="15.140625" style="111" customWidth="1"/>
    <col min="8457" max="8457" width="13.42578125" style="111" customWidth="1"/>
    <col min="8458" max="8458" width="0" style="111" hidden="1" customWidth="1"/>
    <col min="8459" max="8459" width="8.28515625" style="111" customWidth="1"/>
    <col min="8460" max="8461" width="0" style="111" hidden="1" customWidth="1"/>
    <col min="8462" max="8462" width="4.7109375" style="111" customWidth="1"/>
    <col min="8463"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21.85546875" style="111" customWidth="1"/>
    <col min="8711" max="8711" width="12.140625" style="111" customWidth="1"/>
    <col min="8712" max="8712" width="15.140625" style="111" customWidth="1"/>
    <col min="8713" max="8713" width="13.42578125" style="111" customWidth="1"/>
    <col min="8714" max="8714" width="0" style="111" hidden="1" customWidth="1"/>
    <col min="8715" max="8715" width="8.28515625" style="111" customWidth="1"/>
    <col min="8716" max="8717" width="0" style="111" hidden="1" customWidth="1"/>
    <col min="8718" max="8718" width="4.7109375" style="111" customWidth="1"/>
    <col min="8719"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21.85546875" style="111" customWidth="1"/>
    <col min="8967" max="8967" width="12.140625" style="111" customWidth="1"/>
    <col min="8968" max="8968" width="15.140625" style="111" customWidth="1"/>
    <col min="8969" max="8969" width="13.42578125" style="111" customWidth="1"/>
    <col min="8970" max="8970" width="0" style="111" hidden="1" customWidth="1"/>
    <col min="8971" max="8971" width="8.28515625" style="111" customWidth="1"/>
    <col min="8972" max="8973" width="0" style="111" hidden="1" customWidth="1"/>
    <col min="8974" max="8974" width="4.7109375" style="111" customWidth="1"/>
    <col min="8975"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21.85546875" style="111" customWidth="1"/>
    <col min="9223" max="9223" width="12.140625" style="111" customWidth="1"/>
    <col min="9224" max="9224" width="15.140625" style="111" customWidth="1"/>
    <col min="9225" max="9225" width="13.42578125" style="111" customWidth="1"/>
    <col min="9226" max="9226" width="0" style="111" hidden="1" customWidth="1"/>
    <col min="9227" max="9227" width="8.28515625" style="111" customWidth="1"/>
    <col min="9228" max="9229" width="0" style="111" hidden="1" customWidth="1"/>
    <col min="9230" max="9230" width="4.7109375" style="111" customWidth="1"/>
    <col min="9231"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21.85546875" style="111" customWidth="1"/>
    <col min="9479" max="9479" width="12.140625" style="111" customWidth="1"/>
    <col min="9480" max="9480" width="15.140625" style="111" customWidth="1"/>
    <col min="9481" max="9481" width="13.42578125" style="111" customWidth="1"/>
    <col min="9482" max="9482" width="0" style="111" hidden="1" customWidth="1"/>
    <col min="9483" max="9483" width="8.28515625" style="111" customWidth="1"/>
    <col min="9484" max="9485" width="0" style="111" hidden="1" customWidth="1"/>
    <col min="9486" max="9486" width="4.7109375" style="111" customWidth="1"/>
    <col min="9487"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21.85546875" style="111" customWidth="1"/>
    <col min="9735" max="9735" width="12.140625" style="111" customWidth="1"/>
    <col min="9736" max="9736" width="15.140625" style="111" customWidth="1"/>
    <col min="9737" max="9737" width="13.42578125" style="111" customWidth="1"/>
    <col min="9738" max="9738" width="0" style="111" hidden="1" customWidth="1"/>
    <col min="9739" max="9739" width="8.28515625" style="111" customWidth="1"/>
    <col min="9740" max="9741" width="0" style="111" hidden="1" customWidth="1"/>
    <col min="9742" max="9742" width="4.7109375" style="111" customWidth="1"/>
    <col min="9743"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21.85546875" style="111" customWidth="1"/>
    <col min="9991" max="9991" width="12.140625" style="111" customWidth="1"/>
    <col min="9992" max="9992" width="15.140625" style="111" customWidth="1"/>
    <col min="9993" max="9993" width="13.42578125" style="111" customWidth="1"/>
    <col min="9994" max="9994" width="0" style="111" hidden="1" customWidth="1"/>
    <col min="9995" max="9995" width="8.28515625" style="111" customWidth="1"/>
    <col min="9996" max="9997" width="0" style="111" hidden="1" customWidth="1"/>
    <col min="9998" max="9998" width="4.7109375" style="111" customWidth="1"/>
    <col min="9999"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21.85546875" style="111" customWidth="1"/>
    <col min="10247" max="10247" width="12.140625" style="111" customWidth="1"/>
    <col min="10248" max="10248" width="15.140625" style="111" customWidth="1"/>
    <col min="10249" max="10249" width="13.42578125" style="111" customWidth="1"/>
    <col min="10250" max="10250" width="0" style="111" hidden="1" customWidth="1"/>
    <col min="10251" max="10251" width="8.28515625" style="111" customWidth="1"/>
    <col min="10252" max="10253" width="0" style="111" hidden="1" customWidth="1"/>
    <col min="10254" max="10254" width="4.7109375" style="111" customWidth="1"/>
    <col min="10255"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21.85546875" style="111" customWidth="1"/>
    <col min="10503" max="10503" width="12.140625" style="111" customWidth="1"/>
    <col min="10504" max="10504" width="15.140625" style="111" customWidth="1"/>
    <col min="10505" max="10505" width="13.42578125" style="111" customWidth="1"/>
    <col min="10506" max="10506" width="0" style="111" hidden="1" customWidth="1"/>
    <col min="10507" max="10507" width="8.28515625" style="111" customWidth="1"/>
    <col min="10508" max="10509" width="0" style="111" hidden="1" customWidth="1"/>
    <col min="10510" max="10510" width="4.7109375" style="111" customWidth="1"/>
    <col min="10511"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21.85546875" style="111" customWidth="1"/>
    <col min="10759" max="10759" width="12.140625" style="111" customWidth="1"/>
    <col min="10760" max="10760" width="15.140625" style="111" customWidth="1"/>
    <col min="10761" max="10761" width="13.42578125" style="111" customWidth="1"/>
    <col min="10762" max="10762" width="0" style="111" hidden="1" customWidth="1"/>
    <col min="10763" max="10763" width="8.28515625" style="111" customWidth="1"/>
    <col min="10764" max="10765" width="0" style="111" hidden="1" customWidth="1"/>
    <col min="10766" max="10766" width="4.7109375" style="111" customWidth="1"/>
    <col min="10767"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21.85546875" style="111" customWidth="1"/>
    <col min="11015" max="11015" width="12.140625" style="111" customWidth="1"/>
    <col min="11016" max="11016" width="15.140625" style="111" customWidth="1"/>
    <col min="11017" max="11017" width="13.42578125" style="111" customWidth="1"/>
    <col min="11018" max="11018" width="0" style="111" hidden="1" customWidth="1"/>
    <col min="11019" max="11019" width="8.28515625" style="111" customWidth="1"/>
    <col min="11020" max="11021" width="0" style="111" hidden="1" customWidth="1"/>
    <col min="11022" max="11022" width="4.7109375" style="111" customWidth="1"/>
    <col min="11023"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21.85546875" style="111" customWidth="1"/>
    <col min="11271" max="11271" width="12.140625" style="111" customWidth="1"/>
    <col min="11272" max="11272" width="15.140625" style="111" customWidth="1"/>
    <col min="11273" max="11273" width="13.42578125" style="111" customWidth="1"/>
    <col min="11274" max="11274" width="0" style="111" hidden="1" customWidth="1"/>
    <col min="11275" max="11275" width="8.28515625" style="111" customWidth="1"/>
    <col min="11276" max="11277" width="0" style="111" hidden="1" customWidth="1"/>
    <col min="11278" max="11278" width="4.7109375" style="111" customWidth="1"/>
    <col min="11279"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21.85546875" style="111" customWidth="1"/>
    <col min="11527" max="11527" width="12.140625" style="111" customWidth="1"/>
    <col min="11528" max="11528" width="15.140625" style="111" customWidth="1"/>
    <col min="11529" max="11529" width="13.42578125" style="111" customWidth="1"/>
    <col min="11530" max="11530" width="0" style="111" hidden="1" customWidth="1"/>
    <col min="11531" max="11531" width="8.28515625" style="111" customWidth="1"/>
    <col min="11532" max="11533" width="0" style="111" hidden="1" customWidth="1"/>
    <col min="11534" max="11534" width="4.7109375" style="111" customWidth="1"/>
    <col min="11535"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21.85546875" style="111" customWidth="1"/>
    <col min="11783" max="11783" width="12.140625" style="111" customWidth="1"/>
    <col min="11784" max="11784" width="15.140625" style="111" customWidth="1"/>
    <col min="11785" max="11785" width="13.42578125" style="111" customWidth="1"/>
    <col min="11786" max="11786" width="0" style="111" hidden="1" customWidth="1"/>
    <col min="11787" max="11787" width="8.28515625" style="111" customWidth="1"/>
    <col min="11788" max="11789" width="0" style="111" hidden="1" customWidth="1"/>
    <col min="11790" max="11790" width="4.7109375" style="111" customWidth="1"/>
    <col min="11791"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21.85546875" style="111" customWidth="1"/>
    <col min="12039" max="12039" width="12.140625" style="111" customWidth="1"/>
    <col min="12040" max="12040" width="15.140625" style="111" customWidth="1"/>
    <col min="12041" max="12041" width="13.42578125" style="111" customWidth="1"/>
    <col min="12042" max="12042" width="0" style="111" hidden="1" customWidth="1"/>
    <col min="12043" max="12043" width="8.28515625" style="111" customWidth="1"/>
    <col min="12044" max="12045" width="0" style="111" hidden="1" customWidth="1"/>
    <col min="12046" max="12046" width="4.7109375" style="111" customWidth="1"/>
    <col min="12047"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21.85546875" style="111" customWidth="1"/>
    <col min="12295" max="12295" width="12.140625" style="111" customWidth="1"/>
    <col min="12296" max="12296" width="15.140625" style="111" customWidth="1"/>
    <col min="12297" max="12297" width="13.42578125" style="111" customWidth="1"/>
    <col min="12298" max="12298" width="0" style="111" hidden="1" customWidth="1"/>
    <col min="12299" max="12299" width="8.28515625" style="111" customWidth="1"/>
    <col min="12300" max="12301" width="0" style="111" hidden="1" customWidth="1"/>
    <col min="12302" max="12302" width="4.7109375" style="111" customWidth="1"/>
    <col min="12303"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21.85546875" style="111" customWidth="1"/>
    <col min="12551" max="12551" width="12.140625" style="111" customWidth="1"/>
    <col min="12552" max="12552" width="15.140625" style="111" customWidth="1"/>
    <col min="12553" max="12553" width="13.42578125" style="111" customWidth="1"/>
    <col min="12554" max="12554" width="0" style="111" hidden="1" customWidth="1"/>
    <col min="12555" max="12555" width="8.28515625" style="111" customWidth="1"/>
    <col min="12556" max="12557" width="0" style="111" hidden="1" customWidth="1"/>
    <col min="12558" max="12558" width="4.7109375" style="111" customWidth="1"/>
    <col min="12559"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21.85546875" style="111" customWidth="1"/>
    <col min="12807" max="12807" width="12.140625" style="111" customWidth="1"/>
    <col min="12808" max="12808" width="15.140625" style="111" customWidth="1"/>
    <col min="12809" max="12809" width="13.42578125" style="111" customWidth="1"/>
    <col min="12810" max="12810" width="0" style="111" hidden="1" customWidth="1"/>
    <col min="12811" max="12811" width="8.28515625" style="111" customWidth="1"/>
    <col min="12812" max="12813" width="0" style="111" hidden="1" customWidth="1"/>
    <col min="12814" max="12814" width="4.7109375" style="111" customWidth="1"/>
    <col min="12815"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21.85546875" style="111" customWidth="1"/>
    <col min="13063" max="13063" width="12.140625" style="111" customWidth="1"/>
    <col min="13064" max="13064" width="15.140625" style="111" customWidth="1"/>
    <col min="13065" max="13065" width="13.42578125" style="111" customWidth="1"/>
    <col min="13066" max="13066" width="0" style="111" hidden="1" customWidth="1"/>
    <col min="13067" max="13067" width="8.28515625" style="111" customWidth="1"/>
    <col min="13068" max="13069" width="0" style="111" hidden="1" customWidth="1"/>
    <col min="13070" max="13070" width="4.7109375" style="111" customWidth="1"/>
    <col min="13071"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21.85546875" style="111" customWidth="1"/>
    <col min="13319" max="13319" width="12.140625" style="111" customWidth="1"/>
    <col min="13320" max="13320" width="15.140625" style="111" customWidth="1"/>
    <col min="13321" max="13321" width="13.42578125" style="111" customWidth="1"/>
    <col min="13322" max="13322" width="0" style="111" hidden="1" customWidth="1"/>
    <col min="13323" max="13323" width="8.28515625" style="111" customWidth="1"/>
    <col min="13324" max="13325" width="0" style="111" hidden="1" customWidth="1"/>
    <col min="13326" max="13326" width="4.7109375" style="111" customWidth="1"/>
    <col min="13327"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21.85546875" style="111" customWidth="1"/>
    <col min="13575" max="13575" width="12.140625" style="111" customWidth="1"/>
    <col min="13576" max="13576" width="15.140625" style="111" customWidth="1"/>
    <col min="13577" max="13577" width="13.42578125" style="111" customWidth="1"/>
    <col min="13578" max="13578" width="0" style="111" hidden="1" customWidth="1"/>
    <col min="13579" max="13579" width="8.28515625" style="111" customWidth="1"/>
    <col min="13580" max="13581" width="0" style="111" hidden="1" customWidth="1"/>
    <col min="13582" max="13582" width="4.7109375" style="111" customWidth="1"/>
    <col min="13583"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21.85546875" style="111" customWidth="1"/>
    <col min="13831" max="13831" width="12.140625" style="111" customWidth="1"/>
    <col min="13832" max="13832" width="15.140625" style="111" customWidth="1"/>
    <col min="13833" max="13833" width="13.42578125" style="111" customWidth="1"/>
    <col min="13834" max="13834" width="0" style="111" hidden="1" customWidth="1"/>
    <col min="13835" max="13835" width="8.28515625" style="111" customWidth="1"/>
    <col min="13836" max="13837" width="0" style="111" hidden="1" customWidth="1"/>
    <col min="13838" max="13838" width="4.7109375" style="111" customWidth="1"/>
    <col min="13839"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21.85546875" style="111" customWidth="1"/>
    <col min="14087" max="14087" width="12.140625" style="111" customWidth="1"/>
    <col min="14088" max="14088" width="15.140625" style="111" customWidth="1"/>
    <col min="14089" max="14089" width="13.42578125" style="111" customWidth="1"/>
    <col min="14090" max="14090" width="0" style="111" hidden="1" customWidth="1"/>
    <col min="14091" max="14091" width="8.28515625" style="111" customWidth="1"/>
    <col min="14092" max="14093" width="0" style="111" hidden="1" customWidth="1"/>
    <col min="14094" max="14094" width="4.7109375" style="111" customWidth="1"/>
    <col min="14095"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21.85546875" style="111" customWidth="1"/>
    <col min="14343" max="14343" width="12.140625" style="111" customWidth="1"/>
    <col min="14344" max="14344" width="15.140625" style="111" customWidth="1"/>
    <col min="14345" max="14345" width="13.42578125" style="111" customWidth="1"/>
    <col min="14346" max="14346" width="0" style="111" hidden="1" customWidth="1"/>
    <col min="14347" max="14347" width="8.28515625" style="111" customWidth="1"/>
    <col min="14348" max="14349" width="0" style="111" hidden="1" customWidth="1"/>
    <col min="14350" max="14350" width="4.7109375" style="111" customWidth="1"/>
    <col min="14351"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21.85546875" style="111" customWidth="1"/>
    <col min="14599" max="14599" width="12.140625" style="111" customWidth="1"/>
    <col min="14600" max="14600" width="15.140625" style="111" customWidth="1"/>
    <col min="14601" max="14601" width="13.42578125" style="111" customWidth="1"/>
    <col min="14602" max="14602" width="0" style="111" hidden="1" customWidth="1"/>
    <col min="14603" max="14603" width="8.28515625" style="111" customWidth="1"/>
    <col min="14604" max="14605" width="0" style="111" hidden="1" customWidth="1"/>
    <col min="14606" max="14606" width="4.7109375" style="111" customWidth="1"/>
    <col min="14607"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21.85546875" style="111" customWidth="1"/>
    <col min="14855" max="14855" width="12.140625" style="111" customWidth="1"/>
    <col min="14856" max="14856" width="15.140625" style="111" customWidth="1"/>
    <col min="14857" max="14857" width="13.42578125" style="111" customWidth="1"/>
    <col min="14858" max="14858" width="0" style="111" hidden="1" customWidth="1"/>
    <col min="14859" max="14859" width="8.28515625" style="111" customWidth="1"/>
    <col min="14860" max="14861" width="0" style="111" hidden="1" customWidth="1"/>
    <col min="14862" max="14862" width="4.7109375" style="111" customWidth="1"/>
    <col min="14863"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21.85546875" style="111" customWidth="1"/>
    <col min="15111" max="15111" width="12.140625" style="111" customWidth="1"/>
    <col min="15112" max="15112" width="15.140625" style="111" customWidth="1"/>
    <col min="15113" max="15113" width="13.42578125" style="111" customWidth="1"/>
    <col min="15114" max="15114" width="0" style="111" hidden="1" customWidth="1"/>
    <col min="15115" max="15115" width="8.28515625" style="111" customWidth="1"/>
    <col min="15116" max="15117" width="0" style="111" hidden="1" customWidth="1"/>
    <col min="15118" max="15118" width="4.7109375" style="111" customWidth="1"/>
    <col min="15119"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21.85546875" style="111" customWidth="1"/>
    <col min="15367" max="15367" width="12.140625" style="111" customWidth="1"/>
    <col min="15368" max="15368" width="15.140625" style="111" customWidth="1"/>
    <col min="15369" max="15369" width="13.42578125" style="111" customWidth="1"/>
    <col min="15370" max="15370" width="0" style="111" hidden="1" customWidth="1"/>
    <col min="15371" max="15371" width="8.28515625" style="111" customWidth="1"/>
    <col min="15372" max="15373" width="0" style="111" hidden="1" customWidth="1"/>
    <col min="15374" max="15374" width="4.7109375" style="111" customWidth="1"/>
    <col min="15375"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21.85546875" style="111" customWidth="1"/>
    <col min="15623" max="15623" width="12.140625" style="111" customWidth="1"/>
    <col min="15624" max="15624" width="15.140625" style="111" customWidth="1"/>
    <col min="15625" max="15625" width="13.42578125" style="111" customWidth="1"/>
    <col min="15626" max="15626" width="0" style="111" hidden="1" customWidth="1"/>
    <col min="15627" max="15627" width="8.28515625" style="111" customWidth="1"/>
    <col min="15628" max="15629" width="0" style="111" hidden="1" customWidth="1"/>
    <col min="15630" max="15630" width="4.7109375" style="111" customWidth="1"/>
    <col min="15631"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21.85546875" style="111" customWidth="1"/>
    <col min="15879" max="15879" width="12.140625" style="111" customWidth="1"/>
    <col min="15880" max="15880" width="15.140625" style="111" customWidth="1"/>
    <col min="15881" max="15881" width="13.42578125" style="111" customWidth="1"/>
    <col min="15882" max="15882" width="0" style="111" hidden="1" customWidth="1"/>
    <col min="15883" max="15883" width="8.28515625" style="111" customWidth="1"/>
    <col min="15884" max="15885" width="0" style="111" hidden="1" customWidth="1"/>
    <col min="15886" max="15886" width="4.7109375" style="111" customWidth="1"/>
    <col min="15887"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21.85546875" style="111" customWidth="1"/>
    <col min="16135" max="16135" width="12.140625" style="111" customWidth="1"/>
    <col min="16136" max="16136" width="15.140625" style="111" customWidth="1"/>
    <col min="16137" max="16137" width="13.42578125" style="111" customWidth="1"/>
    <col min="16138" max="16138" width="0" style="111" hidden="1" customWidth="1"/>
    <col min="16139" max="16139" width="8.28515625" style="111" customWidth="1"/>
    <col min="16140" max="16141" width="0" style="111" hidden="1" customWidth="1"/>
    <col min="16142" max="16142" width="4.7109375" style="111" customWidth="1"/>
    <col min="16143" max="16384" width="9.140625" style="111"/>
  </cols>
  <sheetData>
    <row r="2" spans="1:13" x14ac:dyDescent="0.2">
      <c r="A2" s="2688" t="s">
        <v>1491</v>
      </c>
      <c r="B2" s="2689"/>
      <c r="C2" s="2689"/>
      <c r="D2" s="2689"/>
      <c r="E2" s="2689"/>
      <c r="F2" s="2689"/>
      <c r="G2" s="2689"/>
      <c r="H2" s="2689"/>
      <c r="I2" s="2689"/>
    </row>
    <row r="3" spans="1:13" x14ac:dyDescent="0.2">
      <c r="A3" s="2347"/>
      <c r="B3" s="2667"/>
      <c r="C3" s="2667"/>
      <c r="D3" s="2667"/>
      <c r="E3" s="2667"/>
      <c r="F3" s="2667"/>
      <c r="G3" s="2667"/>
      <c r="H3" s="2667"/>
      <c r="I3" s="2667"/>
    </row>
    <row r="4" spans="1:13" x14ac:dyDescent="0.2">
      <c r="A4" s="2379" t="s">
        <v>1</v>
      </c>
      <c r="B4" s="2690" t="s">
        <v>1492</v>
      </c>
      <c r="C4" s="2691"/>
      <c r="D4" s="2691"/>
      <c r="E4" s="2691"/>
      <c r="F4" s="2691"/>
      <c r="G4" s="2691"/>
      <c r="H4" s="2691"/>
      <c r="I4" s="2692"/>
    </row>
    <row r="5" spans="1:13" x14ac:dyDescent="0.2">
      <c r="A5" s="2460"/>
      <c r="B5" s="2379" t="s">
        <v>1473</v>
      </c>
      <c r="C5" s="2690" t="s">
        <v>1474</v>
      </c>
      <c r="D5" s="2691"/>
      <c r="E5" s="2691"/>
      <c r="F5" s="2691"/>
      <c r="G5" s="2691"/>
      <c r="H5" s="2691"/>
      <c r="I5" s="2698"/>
    </row>
    <row r="6" spans="1:13" ht="52.5" x14ac:dyDescent="0.2">
      <c r="A6" s="2360"/>
      <c r="B6" s="2360"/>
      <c r="C6" s="532" t="s">
        <v>1475</v>
      </c>
      <c r="D6" s="532" t="s">
        <v>1476</v>
      </c>
      <c r="E6" s="532" t="s">
        <v>1477</v>
      </c>
      <c r="F6" s="532" t="s">
        <v>1478</v>
      </c>
      <c r="G6" s="532" t="s">
        <v>1479</v>
      </c>
      <c r="H6" s="2061" t="s">
        <v>1480</v>
      </c>
      <c r="I6" s="2052" t="s">
        <v>1481</v>
      </c>
      <c r="J6" s="2064"/>
      <c r="K6" s="2064"/>
      <c r="L6" s="2064"/>
      <c r="M6" s="2064"/>
    </row>
    <row r="7" spans="1:13" x14ac:dyDescent="0.2">
      <c r="A7" s="146" t="s">
        <v>141</v>
      </c>
      <c r="B7" s="477">
        <f>SUM(C7:I7)</f>
        <v>1265424</v>
      </c>
      <c r="C7" s="477">
        <f>SUM(C8:C22)</f>
        <v>328740</v>
      </c>
      <c r="D7" s="477">
        <f t="shared" ref="D7:I7" si="0">SUM(D8:D22)</f>
        <v>502858</v>
      </c>
      <c r="E7" s="477">
        <f t="shared" si="0"/>
        <v>81661</v>
      </c>
      <c r="F7" s="477">
        <f t="shared" si="0"/>
        <v>121435</v>
      </c>
      <c r="G7" s="477">
        <f t="shared" si="0"/>
        <v>50918</v>
      </c>
      <c r="H7" s="477">
        <f t="shared" si="0"/>
        <v>60495</v>
      </c>
      <c r="I7" s="477">
        <f t="shared" si="0"/>
        <v>119317</v>
      </c>
      <c r="J7" s="477"/>
      <c r="K7" s="2064"/>
      <c r="L7" s="2064"/>
      <c r="M7" s="2064"/>
    </row>
    <row r="8" spans="1:13" x14ac:dyDescent="0.2">
      <c r="A8" s="476" t="s">
        <v>5</v>
      </c>
      <c r="B8" s="477">
        <f>SUM(C8:I8)</f>
        <v>12000</v>
      </c>
      <c r="C8" s="478">
        <v>400</v>
      </c>
      <c r="D8" s="478">
        <v>1400</v>
      </c>
      <c r="E8" s="478">
        <v>1100</v>
      </c>
      <c r="F8" s="478">
        <v>7250</v>
      </c>
      <c r="G8" s="478">
        <v>1450</v>
      </c>
      <c r="H8" s="478">
        <v>400</v>
      </c>
      <c r="I8" s="478">
        <v>0</v>
      </c>
      <c r="J8" s="2064"/>
      <c r="K8" s="2064"/>
      <c r="L8" s="2064"/>
      <c r="M8" s="2064"/>
    </row>
    <row r="9" spans="1:13" x14ac:dyDescent="0.2">
      <c r="A9" s="476" t="s">
        <v>6</v>
      </c>
      <c r="B9" s="477">
        <f t="shared" ref="B9:B22" si="1">SUM(C9:I9)</f>
        <v>990</v>
      </c>
      <c r="C9" s="478">
        <v>50</v>
      </c>
      <c r="D9" s="478">
        <v>830</v>
      </c>
      <c r="E9" s="478">
        <v>0</v>
      </c>
      <c r="F9" s="478">
        <v>0</v>
      </c>
      <c r="G9" s="478">
        <v>0</v>
      </c>
      <c r="H9" s="478">
        <v>0</v>
      </c>
      <c r="I9" s="478">
        <v>110</v>
      </c>
      <c r="J9" s="2064"/>
      <c r="K9" s="2064"/>
      <c r="L9" s="2064"/>
      <c r="M9" s="2064"/>
    </row>
    <row r="10" spans="1:13" x14ac:dyDescent="0.2">
      <c r="A10" s="476" t="s">
        <v>1485</v>
      </c>
      <c r="B10" s="477">
        <f t="shared" si="1"/>
        <v>24974</v>
      </c>
      <c r="C10" s="478">
        <v>8809</v>
      </c>
      <c r="D10" s="478">
        <v>9387</v>
      </c>
      <c r="E10" s="478">
        <v>2581</v>
      </c>
      <c r="F10" s="478">
        <v>1218</v>
      </c>
      <c r="G10" s="478">
        <v>1819</v>
      </c>
      <c r="H10" s="478">
        <v>1160</v>
      </c>
      <c r="I10" s="478">
        <v>0</v>
      </c>
      <c r="J10" s="2064"/>
      <c r="K10" s="2064"/>
      <c r="L10" s="2064"/>
      <c r="M10" s="2064"/>
    </row>
    <row r="11" spans="1:13" x14ac:dyDescent="0.2">
      <c r="A11" s="476" t="s">
        <v>1486</v>
      </c>
      <c r="B11" s="477">
        <f t="shared" si="1"/>
        <v>500</v>
      </c>
      <c r="C11" s="478">
        <v>500</v>
      </c>
      <c r="D11" s="478">
        <v>0</v>
      </c>
      <c r="E11" s="478">
        <v>0</v>
      </c>
      <c r="F11" s="478">
        <v>0</v>
      </c>
      <c r="G11" s="478">
        <v>0</v>
      </c>
      <c r="H11" s="478">
        <v>0</v>
      </c>
      <c r="I11" s="478">
        <v>0</v>
      </c>
    </row>
    <row r="12" spans="1:13" x14ac:dyDescent="0.2">
      <c r="A12" s="476" t="s">
        <v>1487</v>
      </c>
      <c r="B12" s="477">
        <f t="shared" si="1"/>
        <v>17100</v>
      </c>
      <c r="C12" s="478">
        <v>1050</v>
      </c>
      <c r="D12" s="478">
        <v>2880</v>
      </c>
      <c r="E12" s="478">
        <v>1870</v>
      </c>
      <c r="F12" s="478">
        <v>9190</v>
      </c>
      <c r="G12" s="478">
        <v>2110</v>
      </c>
      <c r="H12" s="478">
        <v>0</v>
      </c>
      <c r="I12" s="478">
        <v>0</v>
      </c>
    </row>
    <row r="13" spans="1:13" x14ac:dyDescent="0.2">
      <c r="A13" s="476" t="s">
        <v>1488</v>
      </c>
      <c r="B13" s="477">
        <f t="shared" si="1"/>
        <v>88604</v>
      </c>
      <c r="C13" s="478">
        <v>6142</v>
      </c>
      <c r="D13" s="478">
        <v>8304</v>
      </c>
      <c r="E13" s="478">
        <v>2275</v>
      </c>
      <c r="F13" s="478">
        <v>600</v>
      </c>
      <c r="G13" s="478">
        <v>1680</v>
      </c>
      <c r="H13" s="478">
        <v>333</v>
      </c>
      <c r="I13" s="433">
        <v>69270</v>
      </c>
    </row>
    <row r="14" spans="1:13" x14ac:dyDescent="0.2">
      <c r="A14" s="476" t="s">
        <v>11</v>
      </c>
      <c r="B14" s="477">
        <f t="shared" si="1"/>
        <v>897563</v>
      </c>
      <c r="C14" s="478">
        <v>283172</v>
      </c>
      <c r="D14" s="478">
        <v>413008</v>
      </c>
      <c r="E14" s="478">
        <v>69351</v>
      </c>
      <c r="F14" s="478">
        <v>61249</v>
      </c>
      <c r="G14" s="478">
        <v>14766</v>
      </c>
      <c r="H14" s="478">
        <v>49182</v>
      </c>
      <c r="I14" s="433">
        <v>6835</v>
      </c>
    </row>
    <row r="15" spans="1:13" x14ac:dyDescent="0.2">
      <c r="A15" s="476" t="s">
        <v>12</v>
      </c>
      <c r="B15" s="477">
        <f t="shared" si="1"/>
        <v>54112</v>
      </c>
      <c r="C15" s="478">
        <v>9815</v>
      </c>
      <c r="D15" s="478">
        <v>12617</v>
      </c>
      <c r="E15" s="478">
        <v>790</v>
      </c>
      <c r="F15" s="478">
        <v>8120</v>
      </c>
      <c r="G15" s="478">
        <v>12384</v>
      </c>
      <c r="H15" s="478">
        <v>4227</v>
      </c>
      <c r="I15" s="478">
        <v>6159</v>
      </c>
    </row>
    <row r="16" spans="1:13" x14ac:dyDescent="0.2">
      <c r="A16" s="476" t="s">
        <v>13</v>
      </c>
      <c r="B16" s="477">
        <f t="shared" si="1"/>
        <v>25549</v>
      </c>
      <c r="C16" s="478">
        <v>1400</v>
      </c>
      <c r="D16" s="478">
        <v>8951</v>
      </c>
      <c r="E16" s="478">
        <v>0</v>
      </c>
      <c r="F16" s="478">
        <v>2464</v>
      </c>
      <c r="G16" s="478">
        <v>1846</v>
      </c>
      <c r="H16" s="478">
        <v>688</v>
      </c>
      <c r="I16" s="478">
        <v>10200</v>
      </c>
    </row>
    <row r="17" spans="1:9" x14ac:dyDescent="0.2">
      <c r="A17" s="476" t="s">
        <v>14</v>
      </c>
      <c r="B17" s="477">
        <f t="shared" si="1"/>
        <v>46914</v>
      </c>
      <c r="C17" s="478">
        <v>9551</v>
      </c>
      <c r="D17" s="478">
        <v>23056</v>
      </c>
      <c r="E17" s="478">
        <v>1580</v>
      </c>
      <c r="F17" s="478">
        <v>4644</v>
      </c>
      <c r="G17" s="478">
        <v>4620</v>
      </c>
      <c r="H17" s="478">
        <v>2250</v>
      </c>
      <c r="I17" s="478">
        <v>1213</v>
      </c>
    </row>
    <row r="18" spans="1:9" x14ac:dyDescent="0.2">
      <c r="A18" s="476" t="s">
        <v>15</v>
      </c>
      <c r="B18" s="477">
        <f t="shared" si="1"/>
        <v>19604</v>
      </c>
      <c r="C18" s="478">
        <v>2656</v>
      </c>
      <c r="D18" s="478">
        <v>1321</v>
      </c>
      <c r="E18" s="478">
        <v>900</v>
      </c>
      <c r="F18" s="478">
        <v>4640</v>
      </c>
      <c r="G18" s="478">
        <v>4403</v>
      </c>
      <c r="H18" s="478">
        <v>1254</v>
      </c>
      <c r="I18" s="478">
        <v>4430</v>
      </c>
    </row>
    <row r="19" spans="1:9" x14ac:dyDescent="0.2">
      <c r="A19" s="476" t="s">
        <v>16</v>
      </c>
      <c r="B19" s="477">
        <f t="shared" si="1"/>
        <v>21086</v>
      </c>
      <c r="C19" s="478">
        <v>1426</v>
      </c>
      <c r="D19" s="478">
        <v>11330</v>
      </c>
      <c r="E19" s="478">
        <v>0</v>
      </c>
      <c r="F19" s="478">
        <v>6530</v>
      </c>
      <c r="G19" s="478">
        <v>1580</v>
      </c>
      <c r="H19" s="478">
        <v>0</v>
      </c>
      <c r="I19" s="478">
        <v>220</v>
      </c>
    </row>
    <row r="20" spans="1:9" x14ac:dyDescent="0.2">
      <c r="A20" s="476" t="s">
        <v>17</v>
      </c>
      <c r="B20" s="477">
        <f t="shared" si="1"/>
        <v>49578</v>
      </c>
      <c r="C20" s="478">
        <v>3769</v>
      </c>
      <c r="D20" s="478">
        <v>9774</v>
      </c>
      <c r="E20" s="478">
        <v>1214</v>
      </c>
      <c r="F20" s="478">
        <v>11730</v>
      </c>
      <c r="G20" s="478">
        <v>3410</v>
      </c>
      <c r="H20" s="478">
        <v>1001</v>
      </c>
      <c r="I20" s="478">
        <v>18680</v>
      </c>
    </row>
    <row r="21" spans="1:9" x14ac:dyDescent="0.2">
      <c r="A21" s="476" t="s">
        <v>18</v>
      </c>
      <c r="B21" s="477">
        <f t="shared" si="1"/>
        <v>5850</v>
      </c>
      <c r="C21" s="478">
        <v>0</v>
      </c>
      <c r="D21" s="478">
        <v>0</v>
      </c>
      <c r="E21" s="478">
        <v>0</v>
      </c>
      <c r="F21" s="478">
        <v>3800</v>
      </c>
      <c r="G21" s="478">
        <v>0</v>
      </c>
      <c r="H21" s="478">
        <v>0</v>
      </c>
      <c r="I21" s="478">
        <v>2050</v>
      </c>
    </row>
    <row r="22" spans="1:9" x14ac:dyDescent="0.2">
      <c r="A22" s="2050" t="s">
        <v>19</v>
      </c>
      <c r="B22" s="477">
        <f t="shared" si="1"/>
        <v>1000</v>
      </c>
      <c r="C22" s="478">
        <v>0</v>
      </c>
      <c r="D22" s="478">
        <v>0</v>
      </c>
      <c r="E22" s="478">
        <v>0</v>
      </c>
      <c r="F22" s="478">
        <v>0</v>
      </c>
      <c r="G22" s="478">
        <v>850</v>
      </c>
      <c r="H22" s="478">
        <v>0</v>
      </c>
      <c r="I22" s="478">
        <v>150</v>
      </c>
    </row>
    <row r="23" spans="1:9" ht="11.25" customHeight="1" x14ac:dyDescent="0.2">
      <c r="A23" s="2356"/>
      <c r="B23" s="2672"/>
      <c r="C23" s="2672"/>
      <c r="D23" s="2672"/>
      <c r="E23" s="2672"/>
      <c r="F23" s="2672"/>
      <c r="G23" s="2672"/>
      <c r="H23" s="2672"/>
      <c r="I23" s="2672"/>
    </row>
    <row r="24" spans="1:9" ht="22.5" customHeight="1" x14ac:dyDescent="0.2">
      <c r="A24" s="2414" t="s">
        <v>1482</v>
      </c>
      <c r="B24" s="2687"/>
      <c r="C24" s="2687"/>
      <c r="D24" s="2687"/>
      <c r="E24" s="2687"/>
      <c r="F24" s="2687"/>
      <c r="G24" s="2687"/>
      <c r="H24" s="2687"/>
      <c r="I24" s="2687"/>
    </row>
    <row r="25" spans="1:9" x14ac:dyDescent="0.2">
      <c r="A25" s="2699" t="s">
        <v>1489</v>
      </c>
      <c r="B25" s="2699"/>
      <c r="C25" s="2699"/>
      <c r="D25" s="2699"/>
      <c r="E25" s="2699"/>
      <c r="F25" s="2699"/>
      <c r="G25" s="2699"/>
      <c r="H25" s="2699"/>
      <c r="I25" s="2699"/>
    </row>
    <row r="26" spans="1:9" x14ac:dyDescent="0.2">
      <c r="A26" s="2414" t="s">
        <v>1490</v>
      </c>
      <c r="B26" s="2687"/>
      <c r="C26" s="2687"/>
      <c r="D26" s="2687"/>
      <c r="E26" s="2687"/>
      <c r="F26" s="2687"/>
      <c r="G26" s="2687"/>
      <c r="H26" s="2687"/>
      <c r="I26" s="2687"/>
    </row>
    <row r="27" spans="1:9" x14ac:dyDescent="0.2">
      <c r="A27" s="2463" t="s">
        <v>1483</v>
      </c>
      <c r="B27" s="2687"/>
      <c r="C27" s="2687"/>
      <c r="D27" s="2687"/>
      <c r="E27" s="2687"/>
      <c r="F27" s="2687"/>
      <c r="G27" s="2687"/>
      <c r="H27" s="2687"/>
      <c r="I27" s="2687"/>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2:I30"/>
  <sheetViews>
    <sheetView workbookViewId="0">
      <selection activeCell="D31" sqref="D31"/>
    </sheetView>
  </sheetViews>
  <sheetFormatPr baseColWidth="10" defaultColWidth="9.140625" defaultRowHeight="12.75" x14ac:dyDescent="0.2"/>
  <cols>
    <col min="1" max="1" width="34.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19.8554687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9" x14ac:dyDescent="0.2">
      <c r="A2" s="2688" t="s">
        <v>1493</v>
      </c>
      <c r="B2" s="2689"/>
      <c r="C2" s="2689"/>
      <c r="D2" s="2689"/>
      <c r="E2" s="2689"/>
      <c r="F2" s="2689"/>
      <c r="G2" s="2689"/>
      <c r="H2" s="2689"/>
      <c r="I2" s="2689"/>
    </row>
    <row r="3" spans="1:9" ht="16.350000000000001" customHeight="1" x14ac:dyDescent="0.2">
      <c r="A3" s="2347"/>
      <c r="B3" s="2667"/>
      <c r="C3" s="2667"/>
      <c r="D3" s="2667"/>
      <c r="E3" s="2667"/>
      <c r="F3" s="2667"/>
      <c r="G3" s="2667"/>
      <c r="H3" s="2667"/>
      <c r="I3" s="2667"/>
    </row>
    <row r="4" spans="1:9" x14ac:dyDescent="0.2">
      <c r="A4" s="2379" t="s">
        <v>1</v>
      </c>
      <c r="B4" s="2690" t="s">
        <v>1494</v>
      </c>
      <c r="C4" s="2691"/>
      <c r="D4" s="2691"/>
      <c r="E4" s="2691"/>
      <c r="F4" s="2691"/>
      <c r="G4" s="2691"/>
      <c r="H4" s="2691"/>
      <c r="I4" s="2692"/>
    </row>
    <row r="5" spans="1:9" x14ac:dyDescent="0.2">
      <c r="A5" s="2460"/>
      <c r="B5" s="2379" t="s">
        <v>1473</v>
      </c>
      <c r="C5" s="2690" t="s">
        <v>1474</v>
      </c>
      <c r="D5" s="2691"/>
      <c r="E5" s="2691"/>
      <c r="F5" s="2691"/>
      <c r="G5" s="2691"/>
      <c r="H5" s="2691"/>
      <c r="I5" s="2692"/>
    </row>
    <row r="6" spans="1:9" ht="42" x14ac:dyDescent="0.2">
      <c r="A6" s="2360"/>
      <c r="B6" s="2360"/>
      <c r="C6" s="532" t="s">
        <v>1475</v>
      </c>
      <c r="D6" s="539" t="s">
        <v>1476</v>
      </c>
      <c r="E6" s="532" t="s">
        <v>1477</v>
      </c>
      <c r="F6" s="532" t="s">
        <v>1495</v>
      </c>
      <c r="G6" s="539" t="s">
        <v>1496</v>
      </c>
      <c r="H6" s="532" t="s">
        <v>1480</v>
      </c>
      <c r="I6" s="532" t="s">
        <v>1481</v>
      </c>
    </row>
    <row r="7" spans="1:9" x14ac:dyDescent="0.2">
      <c r="A7" s="146" t="s">
        <v>141</v>
      </c>
      <c r="B7" s="477">
        <f>SUM(B8:B22)</f>
        <v>1745289</v>
      </c>
      <c r="C7" s="477">
        <f>SUM(C8:C22)</f>
        <v>376162</v>
      </c>
      <c r="D7" s="477">
        <f t="shared" ref="D7:I7" si="0">SUM(D8:D22)</f>
        <v>424912</v>
      </c>
      <c r="E7" s="477">
        <f t="shared" si="0"/>
        <v>111966</v>
      </c>
      <c r="F7" s="477">
        <f t="shared" si="0"/>
        <v>167915</v>
      </c>
      <c r="G7" s="477">
        <f t="shared" si="0"/>
        <v>459020</v>
      </c>
      <c r="H7" s="477">
        <f t="shared" si="0"/>
        <v>38711</v>
      </c>
      <c r="I7" s="477">
        <f t="shared" si="0"/>
        <v>166603</v>
      </c>
    </row>
    <row r="8" spans="1:9" x14ac:dyDescent="0.2">
      <c r="A8" s="476" t="s">
        <v>5</v>
      </c>
      <c r="B8" s="477">
        <f>SUM(C8:I8)</f>
        <v>35951</v>
      </c>
      <c r="C8" s="478">
        <v>4000</v>
      </c>
      <c r="D8" s="478">
        <v>6696</v>
      </c>
      <c r="E8" s="478">
        <v>7350</v>
      </c>
      <c r="F8" s="478">
        <v>6605</v>
      </c>
      <c r="G8" s="478">
        <v>10750</v>
      </c>
      <c r="H8" s="478">
        <v>550</v>
      </c>
      <c r="I8" s="478">
        <v>0</v>
      </c>
    </row>
    <row r="9" spans="1:9" x14ac:dyDescent="0.2">
      <c r="A9" s="476" t="s">
        <v>6</v>
      </c>
      <c r="B9" s="477">
        <f t="shared" ref="B9:B22" si="1">SUM(C9:I9)</f>
        <v>20385</v>
      </c>
      <c r="C9" s="478">
        <v>6250</v>
      </c>
      <c r="D9" s="478">
        <v>7973</v>
      </c>
      <c r="E9" s="478">
        <v>2282</v>
      </c>
      <c r="F9" s="478">
        <v>700</v>
      </c>
      <c r="G9" s="478">
        <v>2880</v>
      </c>
      <c r="H9" s="478">
        <v>150</v>
      </c>
      <c r="I9" s="478">
        <v>150</v>
      </c>
    </row>
    <row r="10" spans="1:9" x14ac:dyDescent="0.2">
      <c r="A10" s="476" t="s">
        <v>1485</v>
      </c>
      <c r="B10" s="477">
        <f t="shared" si="1"/>
        <v>51697</v>
      </c>
      <c r="C10" s="478">
        <v>12322</v>
      </c>
      <c r="D10" s="478">
        <v>13919</v>
      </c>
      <c r="E10" s="478">
        <v>6808</v>
      </c>
      <c r="F10" s="478">
        <v>3766</v>
      </c>
      <c r="G10" s="478">
        <v>7523</v>
      </c>
      <c r="H10" s="478">
        <v>2359</v>
      </c>
      <c r="I10" s="478">
        <v>5000</v>
      </c>
    </row>
    <row r="11" spans="1:9" x14ac:dyDescent="0.2">
      <c r="A11" s="476" t="s">
        <v>1486</v>
      </c>
      <c r="B11" s="477">
        <f t="shared" si="1"/>
        <v>69940</v>
      </c>
      <c r="C11" s="478">
        <v>15790</v>
      </c>
      <c r="D11" s="478">
        <v>17740</v>
      </c>
      <c r="E11" s="478">
        <v>5530</v>
      </c>
      <c r="F11" s="478">
        <v>8290</v>
      </c>
      <c r="G11" s="478">
        <v>21660</v>
      </c>
      <c r="H11" s="478">
        <v>330</v>
      </c>
      <c r="I11" s="478">
        <v>600</v>
      </c>
    </row>
    <row r="12" spans="1:9" x14ac:dyDescent="0.2">
      <c r="A12" s="476" t="s">
        <v>1487</v>
      </c>
      <c r="B12" s="477">
        <f t="shared" si="1"/>
        <v>47616</v>
      </c>
      <c r="C12" s="478">
        <v>10581</v>
      </c>
      <c r="D12" s="478">
        <v>16279</v>
      </c>
      <c r="E12" s="478">
        <v>8145</v>
      </c>
      <c r="F12" s="478">
        <v>6117</v>
      </c>
      <c r="G12" s="478">
        <v>6254</v>
      </c>
      <c r="H12" s="478">
        <v>240</v>
      </c>
      <c r="I12" s="478">
        <v>0</v>
      </c>
    </row>
    <row r="13" spans="1:9" x14ac:dyDescent="0.2">
      <c r="A13" s="476" t="s">
        <v>1488</v>
      </c>
      <c r="B13" s="477">
        <f t="shared" si="1"/>
        <v>155275</v>
      </c>
      <c r="C13" s="478">
        <v>26867</v>
      </c>
      <c r="D13" s="478">
        <v>15874</v>
      </c>
      <c r="E13" s="478">
        <v>15625</v>
      </c>
      <c r="F13" s="478">
        <v>9920</v>
      </c>
      <c r="G13" s="478">
        <v>48450</v>
      </c>
      <c r="H13" s="478">
        <v>1889</v>
      </c>
      <c r="I13" s="478">
        <v>36650</v>
      </c>
    </row>
    <row r="14" spans="1:9" x14ac:dyDescent="0.2">
      <c r="A14" s="476" t="s">
        <v>11</v>
      </c>
      <c r="B14" s="477">
        <f t="shared" si="1"/>
        <v>528814</v>
      </c>
      <c r="C14" s="478">
        <v>118473</v>
      </c>
      <c r="D14" s="478">
        <v>169490</v>
      </c>
      <c r="E14" s="478">
        <v>20168</v>
      </c>
      <c r="F14" s="478">
        <v>44946</v>
      </c>
      <c r="G14" s="478">
        <v>58792</v>
      </c>
      <c r="H14" s="478">
        <v>17799</v>
      </c>
      <c r="I14" s="478">
        <v>99146</v>
      </c>
    </row>
    <row r="15" spans="1:9" x14ac:dyDescent="0.2">
      <c r="A15" s="476" t="s">
        <v>12</v>
      </c>
      <c r="B15" s="477">
        <f t="shared" si="1"/>
        <v>153009</v>
      </c>
      <c r="C15" s="478">
        <v>24296</v>
      </c>
      <c r="D15" s="478">
        <v>28468</v>
      </c>
      <c r="E15" s="478">
        <v>9968</v>
      </c>
      <c r="F15" s="478">
        <v>16992</v>
      </c>
      <c r="G15" s="478">
        <v>62013</v>
      </c>
      <c r="H15" s="478">
        <v>2932</v>
      </c>
      <c r="I15" s="478">
        <v>8340</v>
      </c>
    </row>
    <row r="16" spans="1:9" x14ac:dyDescent="0.2">
      <c r="A16" s="476" t="s">
        <v>13</v>
      </c>
      <c r="B16" s="477">
        <f t="shared" si="1"/>
        <v>122319</v>
      </c>
      <c r="C16" s="478">
        <v>44559</v>
      </c>
      <c r="D16" s="478">
        <v>29346</v>
      </c>
      <c r="E16" s="478">
        <v>1158</v>
      </c>
      <c r="F16" s="478">
        <v>7525</v>
      </c>
      <c r="G16" s="478">
        <v>36132</v>
      </c>
      <c r="H16" s="478">
        <v>3099</v>
      </c>
      <c r="I16" s="478">
        <v>500</v>
      </c>
    </row>
    <row r="17" spans="1:9" x14ac:dyDescent="0.2">
      <c r="A17" s="476" t="s">
        <v>14</v>
      </c>
      <c r="B17" s="477">
        <f t="shared" si="1"/>
        <v>219352</v>
      </c>
      <c r="C17" s="478">
        <v>50485</v>
      </c>
      <c r="D17" s="478">
        <v>44455</v>
      </c>
      <c r="E17" s="478">
        <v>7933</v>
      </c>
      <c r="F17" s="478">
        <v>21476</v>
      </c>
      <c r="G17" s="478">
        <v>83367</v>
      </c>
      <c r="H17" s="478">
        <v>3760</v>
      </c>
      <c r="I17" s="478">
        <v>7876</v>
      </c>
    </row>
    <row r="18" spans="1:9" x14ac:dyDescent="0.2">
      <c r="A18" s="476" t="s">
        <v>15</v>
      </c>
      <c r="B18" s="477">
        <f t="shared" si="1"/>
        <v>169459</v>
      </c>
      <c r="C18" s="478">
        <v>31867</v>
      </c>
      <c r="D18" s="478">
        <v>21150</v>
      </c>
      <c r="E18" s="478">
        <v>14047</v>
      </c>
      <c r="F18" s="478">
        <v>19988</v>
      </c>
      <c r="G18" s="478">
        <v>71556</v>
      </c>
      <c r="H18" s="478">
        <v>4826</v>
      </c>
      <c r="I18" s="478">
        <v>6025</v>
      </c>
    </row>
    <row r="19" spans="1:9" x14ac:dyDescent="0.2">
      <c r="A19" s="476" t="s">
        <v>16</v>
      </c>
      <c r="B19" s="477">
        <f t="shared" si="1"/>
        <v>39451</v>
      </c>
      <c r="C19" s="478">
        <v>8593</v>
      </c>
      <c r="D19" s="478">
        <v>8445</v>
      </c>
      <c r="E19" s="478">
        <v>215</v>
      </c>
      <c r="F19" s="478">
        <v>9177</v>
      </c>
      <c r="G19" s="478">
        <v>12301</v>
      </c>
      <c r="H19" s="478">
        <v>0</v>
      </c>
      <c r="I19" s="478">
        <v>720</v>
      </c>
    </row>
    <row r="20" spans="1:9" x14ac:dyDescent="0.2">
      <c r="A20" s="476" t="s">
        <v>17</v>
      </c>
      <c r="B20" s="477">
        <f t="shared" si="1"/>
        <v>100092</v>
      </c>
      <c r="C20" s="478">
        <v>19930</v>
      </c>
      <c r="D20" s="478">
        <v>37263</v>
      </c>
      <c r="E20" s="478">
        <v>8275</v>
      </c>
      <c r="F20" s="478">
        <v>7497</v>
      </c>
      <c r="G20" s="478">
        <v>25577</v>
      </c>
      <c r="H20" s="478">
        <v>254</v>
      </c>
      <c r="I20" s="478">
        <v>1296</v>
      </c>
    </row>
    <row r="21" spans="1:9" x14ac:dyDescent="0.2">
      <c r="A21" s="2050" t="s">
        <v>18</v>
      </c>
      <c r="B21" s="477">
        <f t="shared" si="1"/>
        <v>14273</v>
      </c>
      <c r="C21" s="478">
        <v>960</v>
      </c>
      <c r="D21" s="478">
        <v>5144</v>
      </c>
      <c r="E21" s="478">
        <v>500</v>
      </c>
      <c r="F21" s="478">
        <v>2859</v>
      </c>
      <c r="G21" s="478">
        <v>4510</v>
      </c>
      <c r="H21" s="478">
        <v>0</v>
      </c>
      <c r="I21" s="478">
        <v>300</v>
      </c>
    </row>
    <row r="22" spans="1:9" x14ac:dyDescent="0.2">
      <c r="A22" s="2050" t="s">
        <v>19</v>
      </c>
      <c r="B22" s="477">
        <f t="shared" si="1"/>
        <v>17656</v>
      </c>
      <c r="C22" s="478">
        <v>1189</v>
      </c>
      <c r="D22" s="478">
        <v>2670</v>
      </c>
      <c r="E22" s="478">
        <v>3962</v>
      </c>
      <c r="F22" s="478">
        <v>2057</v>
      </c>
      <c r="G22" s="478">
        <v>7255</v>
      </c>
      <c r="H22" s="478">
        <v>523</v>
      </c>
      <c r="I22" s="478">
        <v>0</v>
      </c>
    </row>
    <row r="23" spans="1:9" ht="11.25" customHeight="1" x14ac:dyDescent="0.2">
      <c r="A23" s="2356"/>
      <c r="B23" s="2672"/>
      <c r="C23" s="2672"/>
      <c r="D23" s="2672"/>
      <c r="E23" s="2672"/>
      <c r="F23" s="2672"/>
      <c r="G23" s="2672"/>
      <c r="H23" s="2672"/>
      <c r="I23" s="2672"/>
    </row>
    <row r="24" spans="1:9" ht="22.5" customHeight="1" x14ac:dyDescent="0.2">
      <c r="A24" s="2414" t="s">
        <v>1482</v>
      </c>
      <c r="B24" s="2687"/>
      <c r="C24" s="2687"/>
      <c r="D24" s="2687"/>
      <c r="E24" s="2687"/>
      <c r="F24" s="2687"/>
      <c r="G24" s="2687"/>
      <c r="H24" s="2687"/>
      <c r="I24" s="2687"/>
    </row>
    <row r="25" spans="1:9" x14ac:dyDescent="0.2">
      <c r="A25" s="2699" t="s">
        <v>1489</v>
      </c>
      <c r="B25" s="2699"/>
      <c r="C25" s="2699"/>
      <c r="D25" s="2699"/>
      <c r="E25" s="2699"/>
      <c r="F25" s="2699"/>
      <c r="G25" s="2699"/>
      <c r="H25" s="2699"/>
      <c r="I25" s="2699"/>
    </row>
    <row r="26" spans="1:9" x14ac:dyDescent="0.2">
      <c r="A26" s="2414" t="s">
        <v>1490</v>
      </c>
      <c r="B26" s="2687"/>
      <c r="C26" s="2687"/>
      <c r="D26" s="2687"/>
      <c r="E26" s="2687"/>
      <c r="F26" s="2687"/>
      <c r="G26" s="2687"/>
      <c r="H26" s="2687"/>
      <c r="I26" s="2687"/>
    </row>
    <row r="27" spans="1:9" x14ac:dyDescent="0.2">
      <c r="A27" s="2463" t="s">
        <v>1483</v>
      </c>
      <c r="B27" s="2687"/>
      <c r="C27" s="2687"/>
      <c r="D27" s="2687"/>
      <c r="E27" s="2687"/>
      <c r="F27" s="2687"/>
      <c r="G27" s="2687"/>
      <c r="H27" s="2687"/>
      <c r="I27" s="2687"/>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row r="30" spans="1:9" x14ac:dyDescent="0.2">
      <c r="A30" s="2064"/>
      <c r="B30" s="2064"/>
      <c r="C30" s="2064"/>
      <c r="D30" s="2064"/>
      <c r="E30" s="2064"/>
      <c r="F30" s="2064"/>
      <c r="G30" s="2064"/>
      <c r="H30" s="2064"/>
      <c r="I30"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J35"/>
  <sheetViews>
    <sheetView workbookViewId="0">
      <selection activeCell="K11" sqref="K11"/>
    </sheetView>
  </sheetViews>
  <sheetFormatPr baseColWidth="10" defaultColWidth="9.140625" defaultRowHeight="10.5" x14ac:dyDescent="0.15"/>
  <cols>
    <col min="1" max="1" width="34.140625" style="16" customWidth="1"/>
    <col min="2" max="2" width="14" style="16" customWidth="1"/>
    <col min="3" max="3" width="13.5703125" style="16" customWidth="1"/>
    <col min="4" max="4" width="17.85546875" style="16" customWidth="1"/>
    <col min="5" max="5" width="15" style="16" customWidth="1"/>
    <col min="6" max="6" width="21.85546875" style="16" customWidth="1"/>
    <col min="7" max="7" width="15.7109375" style="16" customWidth="1"/>
    <col min="8" max="8" width="15.140625" style="16" customWidth="1"/>
    <col min="9" max="9" width="13.42578125" style="16" customWidth="1"/>
    <col min="10" max="11" width="9.140625" style="16" customWidth="1"/>
    <col min="12" max="12" width="4.7109375" style="16" customWidth="1"/>
    <col min="13" max="254" width="9.140625" style="16"/>
    <col min="255" max="255" width="34.140625" style="16" customWidth="1"/>
    <col min="256" max="256" width="14" style="16" customWidth="1"/>
    <col min="257" max="257" width="13.5703125" style="16" customWidth="1"/>
    <col min="258" max="258" width="17.85546875" style="16" customWidth="1"/>
    <col min="259" max="259" width="15" style="16" customWidth="1"/>
    <col min="260" max="260" width="21.85546875" style="16" customWidth="1"/>
    <col min="261" max="261" width="15.7109375" style="16" customWidth="1"/>
    <col min="262" max="262" width="15.140625" style="16" customWidth="1"/>
    <col min="263" max="263" width="13.42578125" style="16" customWidth="1"/>
    <col min="264" max="264" width="9.140625" style="16" customWidth="1"/>
    <col min="265" max="265" width="8.28515625" style="16" customWidth="1"/>
    <col min="266" max="267" width="9.140625" style="16" customWidth="1"/>
    <col min="268" max="268" width="4.7109375" style="16" customWidth="1"/>
    <col min="269" max="510" width="9.140625" style="16"/>
    <col min="511" max="511" width="34.140625" style="16" customWidth="1"/>
    <col min="512" max="512" width="14" style="16" customWidth="1"/>
    <col min="513" max="513" width="13.5703125" style="16" customWidth="1"/>
    <col min="514" max="514" width="17.85546875" style="16" customWidth="1"/>
    <col min="515" max="515" width="15" style="16" customWidth="1"/>
    <col min="516" max="516" width="21.85546875" style="16" customWidth="1"/>
    <col min="517" max="517" width="15.7109375" style="16" customWidth="1"/>
    <col min="518" max="518" width="15.140625" style="16" customWidth="1"/>
    <col min="519" max="519" width="13.42578125" style="16" customWidth="1"/>
    <col min="520" max="520" width="9.140625" style="16" customWidth="1"/>
    <col min="521" max="521" width="8.28515625" style="16" customWidth="1"/>
    <col min="522" max="523" width="9.140625" style="16" customWidth="1"/>
    <col min="524" max="524" width="4.7109375" style="16" customWidth="1"/>
    <col min="525" max="766" width="9.140625" style="16"/>
    <col min="767" max="767" width="34.140625" style="16" customWidth="1"/>
    <col min="768" max="768" width="14" style="16" customWidth="1"/>
    <col min="769" max="769" width="13.5703125" style="16" customWidth="1"/>
    <col min="770" max="770" width="17.85546875" style="16" customWidth="1"/>
    <col min="771" max="771" width="15" style="16" customWidth="1"/>
    <col min="772" max="772" width="21.85546875" style="16" customWidth="1"/>
    <col min="773" max="773" width="15.7109375" style="16" customWidth="1"/>
    <col min="774" max="774" width="15.140625" style="16" customWidth="1"/>
    <col min="775" max="775" width="13.42578125" style="16" customWidth="1"/>
    <col min="776" max="776" width="9.140625" style="16" customWidth="1"/>
    <col min="777" max="777" width="8.28515625" style="16" customWidth="1"/>
    <col min="778" max="779" width="9.140625" style="16" customWidth="1"/>
    <col min="780" max="780" width="4.7109375" style="16" customWidth="1"/>
    <col min="781" max="1022" width="9.140625" style="16"/>
    <col min="1023" max="1023" width="34.140625" style="16" customWidth="1"/>
    <col min="1024" max="1024" width="14" style="16" customWidth="1"/>
    <col min="1025" max="1025" width="13.5703125" style="16" customWidth="1"/>
    <col min="1026" max="1026" width="17.85546875" style="16" customWidth="1"/>
    <col min="1027" max="1027" width="15" style="16" customWidth="1"/>
    <col min="1028" max="1028" width="21.85546875" style="16" customWidth="1"/>
    <col min="1029" max="1029" width="15.7109375" style="16" customWidth="1"/>
    <col min="1030" max="1030" width="15.140625" style="16" customWidth="1"/>
    <col min="1031" max="1031" width="13.42578125" style="16" customWidth="1"/>
    <col min="1032" max="1032" width="9.140625" style="16" customWidth="1"/>
    <col min="1033" max="1033" width="8.28515625" style="16" customWidth="1"/>
    <col min="1034" max="1035" width="9.140625" style="16" customWidth="1"/>
    <col min="1036" max="1036" width="4.7109375" style="16" customWidth="1"/>
    <col min="1037" max="1278" width="9.140625" style="16"/>
    <col min="1279" max="1279" width="34.140625" style="16" customWidth="1"/>
    <col min="1280" max="1280" width="14" style="16" customWidth="1"/>
    <col min="1281" max="1281" width="13.5703125" style="16" customWidth="1"/>
    <col min="1282" max="1282" width="17.85546875" style="16" customWidth="1"/>
    <col min="1283" max="1283" width="15" style="16" customWidth="1"/>
    <col min="1284" max="1284" width="21.85546875" style="16" customWidth="1"/>
    <col min="1285" max="1285" width="15.7109375" style="16" customWidth="1"/>
    <col min="1286" max="1286" width="15.140625" style="16" customWidth="1"/>
    <col min="1287" max="1287" width="13.42578125" style="16" customWidth="1"/>
    <col min="1288" max="1288" width="9.140625" style="16" customWidth="1"/>
    <col min="1289" max="1289" width="8.28515625" style="16" customWidth="1"/>
    <col min="1290" max="1291" width="9.140625" style="16" customWidth="1"/>
    <col min="1292" max="1292" width="4.7109375" style="16" customWidth="1"/>
    <col min="1293" max="1534" width="9.140625" style="16"/>
    <col min="1535" max="1535" width="34.140625" style="16" customWidth="1"/>
    <col min="1536" max="1536" width="14" style="16" customWidth="1"/>
    <col min="1537" max="1537" width="13.5703125" style="16" customWidth="1"/>
    <col min="1538" max="1538" width="17.85546875" style="16" customWidth="1"/>
    <col min="1539" max="1539" width="15" style="16" customWidth="1"/>
    <col min="1540" max="1540" width="21.85546875" style="16" customWidth="1"/>
    <col min="1541" max="1541" width="15.7109375" style="16" customWidth="1"/>
    <col min="1542" max="1542" width="15.140625" style="16" customWidth="1"/>
    <col min="1543" max="1543" width="13.42578125" style="16" customWidth="1"/>
    <col min="1544" max="1544" width="9.140625" style="16" customWidth="1"/>
    <col min="1545" max="1545" width="8.28515625" style="16" customWidth="1"/>
    <col min="1546" max="1547" width="9.140625" style="16" customWidth="1"/>
    <col min="1548" max="1548" width="4.7109375" style="16" customWidth="1"/>
    <col min="1549" max="1790" width="9.140625" style="16"/>
    <col min="1791" max="1791" width="34.140625" style="16" customWidth="1"/>
    <col min="1792" max="1792" width="14" style="16" customWidth="1"/>
    <col min="1793" max="1793" width="13.5703125" style="16" customWidth="1"/>
    <col min="1794" max="1794" width="17.85546875" style="16" customWidth="1"/>
    <col min="1795" max="1795" width="15" style="16" customWidth="1"/>
    <col min="1796" max="1796" width="21.85546875" style="16" customWidth="1"/>
    <col min="1797" max="1797" width="15.7109375" style="16" customWidth="1"/>
    <col min="1798" max="1798" width="15.140625" style="16" customWidth="1"/>
    <col min="1799" max="1799" width="13.42578125" style="16" customWidth="1"/>
    <col min="1800" max="1800" width="9.140625" style="16" customWidth="1"/>
    <col min="1801" max="1801" width="8.28515625" style="16" customWidth="1"/>
    <col min="1802" max="1803" width="9.140625" style="16" customWidth="1"/>
    <col min="1804" max="1804" width="4.7109375" style="16" customWidth="1"/>
    <col min="1805" max="2046" width="9.140625" style="16"/>
    <col min="2047" max="2047" width="34.140625" style="16" customWidth="1"/>
    <col min="2048" max="2048" width="14" style="16" customWidth="1"/>
    <col min="2049" max="2049" width="13.5703125" style="16" customWidth="1"/>
    <col min="2050" max="2050" width="17.85546875" style="16" customWidth="1"/>
    <col min="2051" max="2051" width="15" style="16" customWidth="1"/>
    <col min="2052" max="2052" width="21.85546875" style="16" customWidth="1"/>
    <col min="2053" max="2053" width="15.7109375" style="16" customWidth="1"/>
    <col min="2054" max="2054" width="15.140625" style="16" customWidth="1"/>
    <col min="2055" max="2055" width="13.42578125" style="16" customWidth="1"/>
    <col min="2056" max="2056" width="9.140625" style="16" customWidth="1"/>
    <col min="2057" max="2057" width="8.28515625" style="16" customWidth="1"/>
    <col min="2058" max="2059" width="9.140625" style="16" customWidth="1"/>
    <col min="2060" max="2060" width="4.7109375" style="16" customWidth="1"/>
    <col min="2061" max="2302" width="9.140625" style="16"/>
    <col min="2303" max="2303" width="34.140625" style="16" customWidth="1"/>
    <col min="2304" max="2304" width="14" style="16" customWidth="1"/>
    <col min="2305" max="2305" width="13.5703125" style="16" customWidth="1"/>
    <col min="2306" max="2306" width="17.85546875" style="16" customWidth="1"/>
    <col min="2307" max="2307" width="15" style="16" customWidth="1"/>
    <col min="2308" max="2308" width="21.85546875" style="16" customWidth="1"/>
    <col min="2309" max="2309" width="15.7109375" style="16" customWidth="1"/>
    <col min="2310" max="2310" width="15.140625" style="16" customWidth="1"/>
    <col min="2311" max="2311" width="13.42578125" style="16" customWidth="1"/>
    <col min="2312" max="2312" width="9.140625" style="16" customWidth="1"/>
    <col min="2313" max="2313" width="8.28515625" style="16" customWidth="1"/>
    <col min="2314" max="2315" width="9.140625" style="16" customWidth="1"/>
    <col min="2316" max="2316" width="4.7109375" style="16" customWidth="1"/>
    <col min="2317" max="2558" width="9.140625" style="16"/>
    <col min="2559" max="2559" width="34.140625" style="16" customWidth="1"/>
    <col min="2560" max="2560" width="14" style="16" customWidth="1"/>
    <col min="2561" max="2561" width="13.5703125" style="16" customWidth="1"/>
    <col min="2562" max="2562" width="17.85546875" style="16" customWidth="1"/>
    <col min="2563" max="2563" width="15" style="16" customWidth="1"/>
    <col min="2564" max="2564" width="21.85546875" style="16" customWidth="1"/>
    <col min="2565" max="2565" width="15.7109375" style="16" customWidth="1"/>
    <col min="2566" max="2566" width="15.140625" style="16" customWidth="1"/>
    <col min="2567" max="2567" width="13.42578125" style="16" customWidth="1"/>
    <col min="2568" max="2568" width="9.140625" style="16" customWidth="1"/>
    <col min="2569" max="2569" width="8.28515625" style="16" customWidth="1"/>
    <col min="2570" max="2571" width="9.140625" style="16" customWidth="1"/>
    <col min="2572" max="2572" width="4.7109375" style="16" customWidth="1"/>
    <col min="2573" max="2814" width="9.140625" style="16"/>
    <col min="2815" max="2815" width="34.140625" style="16" customWidth="1"/>
    <col min="2816" max="2816" width="14" style="16" customWidth="1"/>
    <col min="2817" max="2817" width="13.5703125" style="16" customWidth="1"/>
    <col min="2818" max="2818" width="17.85546875" style="16" customWidth="1"/>
    <col min="2819" max="2819" width="15" style="16" customWidth="1"/>
    <col min="2820" max="2820" width="21.85546875" style="16" customWidth="1"/>
    <col min="2821" max="2821" width="15.7109375" style="16" customWidth="1"/>
    <col min="2822" max="2822" width="15.140625" style="16" customWidth="1"/>
    <col min="2823" max="2823" width="13.42578125" style="16" customWidth="1"/>
    <col min="2824" max="2824" width="9.140625" style="16" customWidth="1"/>
    <col min="2825" max="2825" width="8.28515625" style="16" customWidth="1"/>
    <col min="2826" max="2827" width="9.140625" style="16" customWidth="1"/>
    <col min="2828" max="2828" width="4.7109375" style="16" customWidth="1"/>
    <col min="2829" max="3070" width="9.140625" style="16"/>
    <col min="3071" max="3071" width="34.140625" style="16" customWidth="1"/>
    <col min="3072" max="3072" width="14" style="16" customWidth="1"/>
    <col min="3073" max="3073" width="13.5703125" style="16" customWidth="1"/>
    <col min="3074" max="3074" width="17.85546875" style="16" customWidth="1"/>
    <col min="3075" max="3075" width="15" style="16" customWidth="1"/>
    <col min="3076" max="3076" width="21.85546875" style="16" customWidth="1"/>
    <col min="3077" max="3077" width="15.7109375" style="16" customWidth="1"/>
    <col min="3078" max="3078" width="15.140625" style="16" customWidth="1"/>
    <col min="3079" max="3079" width="13.42578125" style="16" customWidth="1"/>
    <col min="3080" max="3080" width="9.140625" style="16" customWidth="1"/>
    <col min="3081" max="3081" width="8.28515625" style="16" customWidth="1"/>
    <col min="3082" max="3083" width="9.140625" style="16" customWidth="1"/>
    <col min="3084" max="3084" width="4.7109375" style="16" customWidth="1"/>
    <col min="3085" max="3326" width="9.140625" style="16"/>
    <col min="3327" max="3327" width="34.140625" style="16" customWidth="1"/>
    <col min="3328" max="3328" width="14" style="16" customWidth="1"/>
    <col min="3329" max="3329" width="13.5703125" style="16" customWidth="1"/>
    <col min="3330" max="3330" width="17.85546875" style="16" customWidth="1"/>
    <col min="3331" max="3331" width="15" style="16" customWidth="1"/>
    <col min="3332" max="3332" width="21.85546875" style="16" customWidth="1"/>
    <col min="3333" max="3333" width="15.7109375" style="16" customWidth="1"/>
    <col min="3334" max="3334" width="15.140625" style="16" customWidth="1"/>
    <col min="3335" max="3335" width="13.42578125" style="16" customWidth="1"/>
    <col min="3336" max="3336" width="9.140625" style="16" customWidth="1"/>
    <col min="3337" max="3337" width="8.28515625" style="16" customWidth="1"/>
    <col min="3338" max="3339" width="9.140625" style="16" customWidth="1"/>
    <col min="3340" max="3340" width="4.7109375" style="16" customWidth="1"/>
    <col min="3341" max="3582" width="9.140625" style="16"/>
    <col min="3583" max="3583" width="34.140625" style="16" customWidth="1"/>
    <col min="3584" max="3584" width="14" style="16" customWidth="1"/>
    <col min="3585" max="3585" width="13.5703125" style="16" customWidth="1"/>
    <col min="3586" max="3586" width="17.85546875" style="16" customWidth="1"/>
    <col min="3587" max="3587" width="15" style="16" customWidth="1"/>
    <col min="3588" max="3588" width="21.85546875" style="16" customWidth="1"/>
    <col min="3589" max="3589" width="15.7109375" style="16" customWidth="1"/>
    <col min="3590" max="3590" width="15.140625" style="16" customWidth="1"/>
    <col min="3591" max="3591" width="13.42578125" style="16" customWidth="1"/>
    <col min="3592" max="3592" width="9.140625" style="16" customWidth="1"/>
    <col min="3593" max="3593" width="8.28515625" style="16" customWidth="1"/>
    <col min="3594" max="3595" width="9.140625" style="16" customWidth="1"/>
    <col min="3596" max="3596" width="4.7109375" style="16" customWidth="1"/>
    <col min="3597" max="3838" width="9.140625" style="16"/>
    <col min="3839" max="3839" width="34.140625" style="16" customWidth="1"/>
    <col min="3840" max="3840" width="14" style="16" customWidth="1"/>
    <col min="3841" max="3841" width="13.5703125" style="16" customWidth="1"/>
    <col min="3842" max="3842" width="17.85546875" style="16" customWidth="1"/>
    <col min="3843" max="3843" width="15" style="16" customWidth="1"/>
    <col min="3844" max="3844" width="21.85546875" style="16" customWidth="1"/>
    <col min="3845" max="3845" width="15.7109375" style="16" customWidth="1"/>
    <col min="3846" max="3846" width="15.140625" style="16" customWidth="1"/>
    <col min="3847" max="3847" width="13.42578125" style="16" customWidth="1"/>
    <col min="3848" max="3848" width="9.140625" style="16" customWidth="1"/>
    <col min="3849" max="3849" width="8.28515625" style="16" customWidth="1"/>
    <col min="3850" max="3851" width="9.140625" style="16" customWidth="1"/>
    <col min="3852" max="3852" width="4.7109375" style="16" customWidth="1"/>
    <col min="3853" max="4094" width="9.140625" style="16"/>
    <col min="4095" max="4095" width="34.140625" style="16" customWidth="1"/>
    <col min="4096" max="4096" width="14" style="16" customWidth="1"/>
    <col min="4097" max="4097" width="13.5703125" style="16" customWidth="1"/>
    <col min="4098" max="4098" width="17.85546875" style="16" customWidth="1"/>
    <col min="4099" max="4099" width="15" style="16" customWidth="1"/>
    <col min="4100" max="4100" width="21.85546875" style="16" customWidth="1"/>
    <col min="4101" max="4101" width="15.7109375" style="16" customWidth="1"/>
    <col min="4102" max="4102" width="15.140625" style="16" customWidth="1"/>
    <col min="4103" max="4103" width="13.42578125" style="16" customWidth="1"/>
    <col min="4104" max="4104" width="9.140625" style="16" customWidth="1"/>
    <col min="4105" max="4105" width="8.28515625" style="16" customWidth="1"/>
    <col min="4106" max="4107" width="9.140625" style="16" customWidth="1"/>
    <col min="4108" max="4108" width="4.7109375" style="16" customWidth="1"/>
    <col min="4109" max="4350" width="9.140625" style="16"/>
    <col min="4351" max="4351" width="34.140625" style="16" customWidth="1"/>
    <col min="4352" max="4352" width="14" style="16" customWidth="1"/>
    <col min="4353" max="4353" width="13.5703125" style="16" customWidth="1"/>
    <col min="4354" max="4354" width="17.85546875" style="16" customWidth="1"/>
    <col min="4355" max="4355" width="15" style="16" customWidth="1"/>
    <col min="4356" max="4356" width="21.85546875" style="16" customWidth="1"/>
    <col min="4357" max="4357" width="15.7109375" style="16" customWidth="1"/>
    <col min="4358" max="4358" width="15.140625" style="16" customWidth="1"/>
    <col min="4359" max="4359" width="13.42578125" style="16" customWidth="1"/>
    <col min="4360" max="4360" width="9.140625" style="16" customWidth="1"/>
    <col min="4361" max="4361" width="8.28515625" style="16" customWidth="1"/>
    <col min="4362" max="4363" width="9.140625" style="16" customWidth="1"/>
    <col min="4364" max="4364" width="4.7109375" style="16" customWidth="1"/>
    <col min="4365" max="4606" width="9.140625" style="16"/>
    <col min="4607" max="4607" width="34.140625" style="16" customWidth="1"/>
    <col min="4608" max="4608" width="14" style="16" customWidth="1"/>
    <col min="4609" max="4609" width="13.5703125" style="16" customWidth="1"/>
    <col min="4610" max="4610" width="17.85546875" style="16" customWidth="1"/>
    <col min="4611" max="4611" width="15" style="16" customWidth="1"/>
    <col min="4612" max="4612" width="21.85546875" style="16" customWidth="1"/>
    <col min="4613" max="4613" width="15.7109375" style="16" customWidth="1"/>
    <col min="4614" max="4614" width="15.140625" style="16" customWidth="1"/>
    <col min="4615" max="4615" width="13.42578125" style="16" customWidth="1"/>
    <col min="4616" max="4616" width="9.140625" style="16" customWidth="1"/>
    <col min="4617" max="4617" width="8.28515625" style="16" customWidth="1"/>
    <col min="4618" max="4619" width="9.140625" style="16" customWidth="1"/>
    <col min="4620" max="4620" width="4.7109375" style="16" customWidth="1"/>
    <col min="4621" max="4862" width="9.140625" style="16"/>
    <col min="4863" max="4863" width="34.140625" style="16" customWidth="1"/>
    <col min="4864" max="4864" width="14" style="16" customWidth="1"/>
    <col min="4865" max="4865" width="13.5703125" style="16" customWidth="1"/>
    <col min="4866" max="4866" width="17.85546875" style="16" customWidth="1"/>
    <col min="4867" max="4867" width="15" style="16" customWidth="1"/>
    <col min="4868" max="4868" width="21.85546875" style="16" customWidth="1"/>
    <col min="4869" max="4869" width="15.7109375" style="16" customWidth="1"/>
    <col min="4870" max="4870" width="15.140625" style="16" customWidth="1"/>
    <col min="4871" max="4871" width="13.42578125" style="16" customWidth="1"/>
    <col min="4872" max="4872" width="9.140625" style="16" customWidth="1"/>
    <col min="4873" max="4873" width="8.28515625" style="16" customWidth="1"/>
    <col min="4874" max="4875" width="9.140625" style="16" customWidth="1"/>
    <col min="4876" max="4876" width="4.7109375" style="16" customWidth="1"/>
    <col min="4877" max="5118" width="9.140625" style="16"/>
    <col min="5119" max="5119" width="34.140625" style="16" customWidth="1"/>
    <col min="5120" max="5120" width="14" style="16" customWidth="1"/>
    <col min="5121" max="5121" width="13.5703125" style="16" customWidth="1"/>
    <col min="5122" max="5122" width="17.85546875" style="16" customWidth="1"/>
    <col min="5123" max="5123" width="15" style="16" customWidth="1"/>
    <col min="5124" max="5124" width="21.85546875" style="16" customWidth="1"/>
    <col min="5125" max="5125" width="15.7109375" style="16" customWidth="1"/>
    <col min="5126" max="5126" width="15.140625" style="16" customWidth="1"/>
    <col min="5127" max="5127" width="13.42578125" style="16" customWidth="1"/>
    <col min="5128" max="5128" width="9.140625" style="16" customWidth="1"/>
    <col min="5129" max="5129" width="8.28515625" style="16" customWidth="1"/>
    <col min="5130" max="5131" width="9.140625" style="16" customWidth="1"/>
    <col min="5132" max="5132" width="4.7109375" style="16" customWidth="1"/>
    <col min="5133" max="5374" width="9.140625" style="16"/>
    <col min="5375" max="5375" width="34.140625" style="16" customWidth="1"/>
    <col min="5376" max="5376" width="14" style="16" customWidth="1"/>
    <col min="5377" max="5377" width="13.5703125" style="16" customWidth="1"/>
    <col min="5378" max="5378" width="17.85546875" style="16" customWidth="1"/>
    <col min="5379" max="5379" width="15" style="16" customWidth="1"/>
    <col min="5380" max="5380" width="21.85546875" style="16" customWidth="1"/>
    <col min="5381" max="5381" width="15.7109375" style="16" customWidth="1"/>
    <col min="5382" max="5382" width="15.140625" style="16" customWidth="1"/>
    <col min="5383" max="5383" width="13.42578125" style="16" customWidth="1"/>
    <col min="5384" max="5384" width="9.140625" style="16" customWidth="1"/>
    <col min="5385" max="5385" width="8.28515625" style="16" customWidth="1"/>
    <col min="5386" max="5387" width="9.140625" style="16" customWidth="1"/>
    <col min="5388" max="5388" width="4.7109375" style="16" customWidth="1"/>
    <col min="5389" max="5630" width="9.140625" style="16"/>
    <col min="5631" max="5631" width="34.140625" style="16" customWidth="1"/>
    <col min="5632" max="5632" width="14" style="16" customWidth="1"/>
    <col min="5633" max="5633" width="13.5703125" style="16" customWidth="1"/>
    <col min="5634" max="5634" width="17.85546875" style="16" customWidth="1"/>
    <col min="5635" max="5635" width="15" style="16" customWidth="1"/>
    <col min="5636" max="5636" width="21.85546875" style="16" customWidth="1"/>
    <col min="5637" max="5637" width="15.7109375" style="16" customWidth="1"/>
    <col min="5638" max="5638" width="15.140625" style="16" customWidth="1"/>
    <col min="5639" max="5639" width="13.42578125" style="16" customWidth="1"/>
    <col min="5640" max="5640" width="9.140625" style="16" customWidth="1"/>
    <col min="5641" max="5641" width="8.28515625" style="16" customWidth="1"/>
    <col min="5642" max="5643" width="9.140625" style="16" customWidth="1"/>
    <col min="5644" max="5644" width="4.7109375" style="16" customWidth="1"/>
    <col min="5645" max="5886" width="9.140625" style="16"/>
    <col min="5887" max="5887" width="34.140625" style="16" customWidth="1"/>
    <col min="5888" max="5888" width="14" style="16" customWidth="1"/>
    <col min="5889" max="5889" width="13.5703125" style="16" customWidth="1"/>
    <col min="5890" max="5890" width="17.85546875" style="16" customWidth="1"/>
    <col min="5891" max="5891" width="15" style="16" customWidth="1"/>
    <col min="5892" max="5892" width="21.85546875" style="16" customWidth="1"/>
    <col min="5893" max="5893" width="15.7109375" style="16" customWidth="1"/>
    <col min="5894" max="5894" width="15.140625" style="16" customWidth="1"/>
    <col min="5895" max="5895" width="13.42578125" style="16" customWidth="1"/>
    <col min="5896" max="5896" width="9.140625" style="16" customWidth="1"/>
    <col min="5897" max="5897" width="8.28515625" style="16" customWidth="1"/>
    <col min="5898" max="5899" width="9.140625" style="16" customWidth="1"/>
    <col min="5900" max="5900" width="4.7109375" style="16" customWidth="1"/>
    <col min="5901" max="6142" width="9.140625" style="16"/>
    <col min="6143" max="6143" width="34.140625" style="16" customWidth="1"/>
    <col min="6144" max="6144" width="14" style="16" customWidth="1"/>
    <col min="6145" max="6145" width="13.5703125" style="16" customWidth="1"/>
    <col min="6146" max="6146" width="17.85546875" style="16" customWidth="1"/>
    <col min="6147" max="6147" width="15" style="16" customWidth="1"/>
    <col min="6148" max="6148" width="21.85546875" style="16" customWidth="1"/>
    <col min="6149" max="6149" width="15.7109375" style="16" customWidth="1"/>
    <col min="6150" max="6150" width="15.140625" style="16" customWidth="1"/>
    <col min="6151" max="6151" width="13.42578125" style="16" customWidth="1"/>
    <col min="6152" max="6152" width="9.140625" style="16" customWidth="1"/>
    <col min="6153" max="6153" width="8.28515625" style="16" customWidth="1"/>
    <col min="6154" max="6155" width="9.140625" style="16" customWidth="1"/>
    <col min="6156" max="6156" width="4.7109375" style="16" customWidth="1"/>
    <col min="6157" max="6398" width="9.140625" style="16"/>
    <col min="6399" max="6399" width="34.140625" style="16" customWidth="1"/>
    <col min="6400" max="6400" width="14" style="16" customWidth="1"/>
    <col min="6401" max="6401" width="13.5703125" style="16" customWidth="1"/>
    <col min="6402" max="6402" width="17.85546875" style="16" customWidth="1"/>
    <col min="6403" max="6403" width="15" style="16" customWidth="1"/>
    <col min="6404" max="6404" width="21.85546875" style="16" customWidth="1"/>
    <col min="6405" max="6405" width="15.7109375" style="16" customWidth="1"/>
    <col min="6406" max="6406" width="15.140625" style="16" customWidth="1"/>
    <col min="6407" max="6407" width="13.42578125" style="16" customWidth="1"/>
    <col min="6408" max="6408" width="9.140625" style="16" customWidth="1"/>
    <col min="6409" max="6409" width="8.28515625" style="16" customWidth="1"/>
    <col min="6410" max="6411" width="9.140625" style="16" customWidth="1"/>
    <col min="6412" max="6412" width="4.7109375" style="16" customWidth="1"/>
    <col min="6413" max="6654" width="9.140625" style="16"/>
    <col min="6655" max="6655" width="34.140625" style="16" customWidth="1"/>
    <col min="6656" max="6656" width="14" style="16" customWidth="1"/>
    <col min="6657" max="6657" width="13.5703125" style="16" customWidth="1"/>
    <col min="6658" max="6658" width="17.85546875" style="16" customWidth="1"/>
    <col min="6659" max="6659" width="15" style="16" customWidth="1"/>
    <col min="6660" max="6660" width="21.85546875" style="16" customWidth="1"/>
    <col min="6661" max="6661" width="15.7109375" style="16" customWidth="1"/>
    <col min="6662" max="6662" width="15.140625" style="16" customWidth="1"/>
    <col min="6663" max="6663" width="13.42578125" style="16" customWidth="1"/>
    <col min="6664" max="6664" width="9.140625" style="16" customWidth="1"/>
    <col min="6665" max="6665" width="8.28515625" style="16" customWidth="1"/>
    <col min="6666" max="6667" width="9.140625" style="16" customWidth="1"/>
    <col min="6668" max="6668" width="4.7109375" style="16" customWidth="1"/>
    <col min="6669" max="6910" width="9.140625" style="16"/>
    <col min="6911" max="6911" width="34.140625" style="16" customWidth="1"/>
    <col min="6912" max="6912" width="14" style="16" customWidth="1"/>
    <col min="6913" max="6913" width="13.5703125" style="16" customWidth="1"/>
    <col min="6914" max="6914" width="17.85546875" style="16" customWidth="1"/>
    <col min="6915" max="6915" width="15" style="16" customWidth="1"/>
    <col min="6916" max="6916" width="21.85546875" style="16" customWidth="1"/>
    <col min="6917" max="6917" width="15.7109375" style="16" customWidth="1"/>
    <col min="6918" max="6918" width="15.140625" style="16" customWidth="1"/>
    <col min="6919" max="6919" width="13.42578125" style="16" customWidth="1"/>
    <col min="6920" max="6920" width="9.140625" style="16" customWidth="1"/>
    <col min="6921" max="6921" width="8.28515625" style="16" customWidth="1"/>
    <col min="6922" max="6923" width="9.140625" style="16" customWidth="1"/>
    <col min="6924" max="6924" width="4.7109375" style="16" customWidth="1"/>
    <col min="6925" max="7166" width="9.140625" style="16"/>
    <col min="7167" max="7167" width="34.140625" style="16" customWidth="1"/>
    <col min="7168" max="7168" width="14" style="16" customWidth="1"/>
    <col min="7169" max="7169" width="13.5703125" style="16" customWidth="1"/>
    <col min="7170" max="7170" width="17.85546875" style="16" customWidth="1"/>
    <col min="7171" max="7171" width="15" style="16" customWidth="1"/>
    <col min="7172" max="7172" width="21.85546875" style="16" customWidth="1"/>
    <col min="7173" max="7173" width="15.7109375" style="16" customWidth="1"/>
    <col min="7174" max="7174" width="15.140625" style="16" customWidth="1"/>
    <col min="7175" max="7175" width="13.42578125" style="16" customWidth="1"/>
    <col min="7176" max="7176" width="9.140625" style="16" customWidth="1"/>
    <col min="7177" max="7177" width="8.28515625" style="16" customWidth="1"/>
    <col min="7178" max="7179" width="9.140625" style="16" customWidth="1"/>
    <col min="7180" max="7180" width="4.7109375" style="16" customWidth="1"/>
    <col min="7181" max="7422" width="9.140625" style="16"/>
    <col min="7423" max="7423" width="34.140625" style="16" customWidth="1"/>
    <col min="7424" max="7424" width="14" style="16" customWidth="1"/>
    <col min="7425" max="7425" width="13.5703125" style="16" customWidth="1"/>
    <col min="7426" max="7426" width="17.85546875" style="16" customWidth="1"/>
    <col min="7427" max="7427" width="15" style="16" customWidth="1"/>
    <col min="7428" max="7428" width="21.85546875" style="16" customWidth="1"/>
    <col min="7429" max="7429" width="15.7109375" style="16" customWidth="1"/>
    <col min="7430" max="7430" width="15.140625" style="16" customWidth="1"/>
    <col min="7431" max="7431" width="13.42578125" style="16" customWidth="1"/>
    <col min="7432" max="7432" width="9.140625" style="16" customWidth="1"/>
    <col min="7433" max="7433" width="8.28515625" style="16" customWidth="1"/>
    <col min="7434" max="7435" width="9.140625" style="16" customWidth="1"/>
    <col min="7436" max="7436" width="4.7109375" style="16" customWidth="1"/>
    <col min="7437" max="7678" width="9.140625" style="16"/>
    <col min="7679" max="7679" width="34.140625" style="16" customWidth="1"/>
    <col min="7680" max="7680" width="14" style="16" customWidth="1"/>
    <col min="7681" max="7681" width="13.5703125" style="16" customWidth="1"/>
    <col min="7682" max="7682" width="17.85546875" style="16" customWidth="1"/>
    <col min="7683" max="7683" width="15" style="16" customWidth="1"/>
    <col min="7684" max="7684" width="21.85546875" style="16" customWidth="1"/>
    <col min="7685" max="7685" width="15.7109375" style="16" customWidth="1"/>
    <col min="7686" max="7686" width="15.140625" style="16" customWidth="1"/>
    <col min="7687" max="7687" width="13.42578125" style="16" customWidth="1"/>
    <col min="7688" max="7688" width="9.140625" style="16" customWidth="1"/>
    <col min="7689" max="7689" width="8.28515625" style="16" customWidth="1"/>
    <col min="7690" max="7691" width="9.140625" style="16" customWidth="1"/>
    <col min="7692" max="7692" width="4.7109375" style="16" customWidth="1"/>
    <col min="7693" max="7934" width="9.140625" style="16"/>
    <col min="7935" max="7935" width="34.140625" style="16" customWidth="1"/>
    <col min="7936" max="7936" width="14" style="16" customWidth="1"/>
    <col min="7937" max="7937" width="13.5703125" style="16" customWidth="1"/>
    <col min="7938" max="7938" width="17.85546875" style="16" customWidth="1"/>
    <col min="7939" max="7939" width="15" style="16" customWidth="1"/>
    <col min="7940" max="7940" width="21.85546875" style="16" customWidth="1"/>
    <col min="7941" max="7941" width="15.7109375" style="16" customWidth="1"/>
    <col min="7942" max="7942" width="15.140625" style="16" customWidth="1"/>
    <col min="7943" max="7943" width="13.42578125" style="16" customWidth="1"/>
    <col min="7944" max="7944" width="9.140625" style="16" customWidth="1"/>
    <col min="7945" max="7945" width="8.28515625" style="16" customWidth="1"/>
    <col min="7946" max="7947" width="9.140625" style="16" customWidth="1"/>
    <col min="7948" max="7948" width="4.7109375" style="16" customWidth="1"/>
    <col min="7949" max="8190" width="9.140625" style="16"/>
    <col min="8191" max="8191" width="34.140625" style="16" customWidth="1"/>
    <col min="8192" max="8192" width="14" style="16" customWidth="1"/>
    <col min="8193" max="8193" width="13.5703125" style="16" customWidth="1"/>
    <col min="8194" max="8194" width="17.85546875" style="16" customWidth="1"/>
    <col min="8195" max="8195" width="15" style="16" customWidth="1"/>
    <col min="8196" max="8196" width="21.85546875" style="16" customWidth="1"/>
    <col min="8197" max="8197" width="15.7109375" style="16" customWidth="1"/>
    <col min="8198" max="8198" width="15.140625" style="16" customWidth="1"/>
    <col min="8199" max="8199" width="13.42578125" style="16" customWidth="1"/>
    <col min="8200" max="8200" width="9.140625" style="16" customWidth="1"/>
    <col min="8201" max="8201" width="8.28515625" style="16" customWidth="1"/>
    <col min="8202" max="8203" width="9.140625" style="16" customWidth="1"/>
    <col min="8204" max="8204" width="4.7109375" style="16" customWidth="1"/>
    <col min="8205" max="8446" width="9.140625" style="16"/>
    <col min="8447" max="8447" width="34.140625" style="16" customWidth="1"/>
    <col min="8448" max="8448" width="14" style="16" customWidth="1"/>
    <col min="8449" max="8449" width="13.5703125" style="16" customWidth="1"/>
    <col min="8450" max="8450" width="17.85546875" style="16" customWidth="1"/>
    <col min="8451" max="8451" width="15" style="16" customWidth="1"/>
    <col min="8452" max="8452" width="21.85546875" style="16" customWidth="1"/>
    <col min="8453" max="8453" width="15.7109375" style="16" customWidth="1"/>
    <col min="8454" max="8454" width="15.140625" style="16" customWidth="1"/>
    <col min="8455" max="8455" width="13.42578125" style="16" customWidth="1"/>
    <col min="8456" max="8456" width="9.140625" style="16" customWidth="1"/>
    <col min="8457" max="8457" width="8.28515625" style="16" customWidth="1"/>
    <col min="8458" max="8459" width="9.140625" style="16" customWidth="1"/>
    <col min="8460" max="8460" width="4.7109375" style="16" customWidth="1"/>
    <col min="8461" max="8702" width="9.140625" style="16"/>
    <col min="8703" max="8703" width="34.140625" style="16" customWidth="1"/>
    <col min="8704" max="8704" width="14" style="16" customWidth="1"/>
    <col min="8705" max="8705" width="13.5703125" style="16" customWidth="1"/>
    <col min="8706" max="8706" width="17.85546875" style="16" customWidth="1"/>
    <col min="8707" max="8707" width="15" style="16" customWidth="1"/>
    <col min="8708" max="8708" width="21.85546875" style="16" customWidth="1"/>
    <col min="8709" max="8709" width="15.7109375" style="16" customWidth="1"/>
    <col min="8710" max="8710" width="15.140625" style="16" customWidth="1"/>
    <col min="8711" max="8711" width="13.42578125" style="16" customWidth="1"/>
    <col min="8712" max="8712" width="9.140625" style="16" customWidth="1"/>
    <col min="8713" max="8713" width="8.28515625" style="16" customWidth="1"/>
    <col min="8714" max="8715" width="9.140625" style="16" customWidth="1"/>
    <col min="8716" max="8716" width="4.7109375" style="16" customWidth="1"/>
    <col min="8717" max="8958" width="9.140625" style="16"/>
    <col min="8959" max="8959" width="34.140625" style="16" customWidth="1"/>
    <col min="8960" max="8960" width="14" style="16" customWidth="1"/>
    <col min="8961" max="8961" width="13.5703125" style="16" customWidth="1"/>
    <col min="8962" max="8962" width="17.85546875" style="16" customWidth="1"/>
    <col min="8963" max="8963" width="15" style="16" customWidth="1"/>
    <col min="8964" max="8964" width="21.85546875" style="16" customWidth="1"/>
    <col min="8965" max="8965" width="15.7109375" style="16" customWidth="1"/>
    <col min="8966" max="8966" width="15.140625" style="16" customWidth="1"/>
    <col min="8967" max="8967" width="13.42578125" style="16" customWidth="1"/>
    <col min="8968" max="8968" width="9.140625" style="16" customWidth="1"/>
    <col min="8969" max="8969" width="8.28515625" style="16" customWidth="1"/>
    <col min="8970" max="8971" width="9.140625" style="16" customWidth="1"/>
    <col min="8972" max="8972" width="4.7109375" style="16" customWidth="1"/>
    <col min="8973" max="9214" width="9.140625" style="16"/>
    <col min="9215" max="9215" width="34.140625" style="16" customWidth="1"/>
    <col min="9216" max="9216" width="14" style="16" customWidth="1"/>
    <col min="9217" max="9217" width="13.5703125" style="16" customWidth="1"/>
    <col min="9218" max="9218" width="17.85546875" style="16" customWidth="1"/>
    <col min="9219" max="9219" width="15" style="16" customWidth="1"/>
    <col min="9220" max="9220" width="21.85546875" style="16" customWidth="1"/>
    <col min="9221" max="9221" width="15.7109375" style="16" customWidth="1"/>
    <col min="9222" max="9222" width="15.140625" style="16" customWidth="1"/>
    <col min="9223" max="9223" width="13.42578125" style="16" customWidth="1"/>
    <col min="9224" max="9224" width="9.140625" style="16" customWidth="1"/>
    <col min="9225" max="9225" width="8.28515625" style="16" customWidth="1"/>
    <col min="9226" max="9227" width="9.140625" style="16" customWidth="1"/>
    <col min="9228" max="9228" width="4.7109375" style="16" customWidth="1"/>
    <col min="9229" max="9470" width="9.140625" style="16"/>
    <col min="9471" max="9471" width="34.140625" style="16" customWidth="1"/>
    <col min="9472" max="9472" width="14" style="16" customWidth="1"/>
    <col min="9473" max="9473" width="13.5703125" style="16" customWidth="1"/>
    <col min="9474" max="9474" width="17.85546875" style="16" customWidth="1"/>
    <col min="9475" max="9475" width="15" style="16" customWidth="1"/>
    <col min="9476" max="9476" width="21.85546875" style="16" customWidth="1"/>
    <col min="9477" max="9477" width="15.7109375" style="16" customWidth="1"/>
    <col min="9478" max="9478" width="15.140625" style="16" customWidth="1"/>
    <col min="9479" max="9479" width="13.42578125" style="16" customWidth="1"/>
    <col min="9480" max="9480" width="9.140625" style="16" customWidth="1"/>
    <col min="9481" max="9481" width="8.28515625" style="16" customWidth="1"/>
    <col min="9482" max="9483" width="9.140625" style="16" customWidth="1"/>
    <col min="9484" max="9484" width="4.7109375" style="16" customWidth="1"/>
    <col min="9485" max="9726" width="9.140625" style="16"/>
    <col min="9727" max="9727" width="34.140625" style="16" customWidth="1"/>
    <col min="9728" max="9728" width="14" style="16" customWidth="1"/>
    <col min="9729" max="9729" width="13.5703125" style="16" customWidth="1"/>
    <col min="9730" max="9730" width="17.85546875" style="16" customWidth="1"/>
    <col min="9731" max="9731" width="15" style="16" customWidth="1"/>
    <col min="9732" max="9732" width="21.85546875" style="16" customWidth="1"/>
    <col min="9733" max="9733" width="15.7109375" style="16" customWidth="1"/>
    <col min="9734" max="9734" width="15.140625" style="16" customWidth="1"/>
    <col min="9735" max="9735" width="13.42578125" style="16" customWidth="1"/>
    <col min="9736" max="9736" width="9.140625" style="16" customWidth="1"/>
    <col min="9737" max="9737" width="8.28515625" style="16" customWidth="1"/>
    <col min="9738" max="9739" width="9.140625" style="16" customWidth="1"/>
    <col min="9740" max="9740" width="4.7109375" style="16" customWidth="1"/>
    <col min="9741" max="9982" width="9.140625" style="16"/>
    <col min="9983" max="9983" width="34.140625" style="16" customWidth="1"/>
    <col min="9984" max="9984" width="14" style="16" customWidth="1"/>
    <col min="9985" max="9985" width="13.5703125" style="16" customWidth="1"/>
    <col min="9986" max="9986" width="17.85546875" style="16" customWidth="1"/>
    <col min="9987" max="9987" width="15" style="16" customWidth="1"/>
    <col min="9988" max="9988" width="21.85546875" style="16" customWidth="1"/>
    <col min="9989" max="9989" width="15.7109375" style="16" customWidth="1"/>
    <col min="9990" max="9990" width="15.140625" style="16" customWidth="1"/>
    <col min="9991" max="9991" width="13.42578125" style="16" customWidth="1"/>
    <col min="9992" max="9992" width="9.140625" style="16" customWidth="1"/>
    <col min="9993" max="9993" width="8.28515625" style="16" customWidth="1"/>
    <col min="9994" max="9995" width="9.140625" style="16" customWidth="1"/>
    <col min="9996" max="9996" width="4.7109375" style="16" customWidth="1"/>
    <col min="9997" max="10238" width="9.140625" style="16"/>
    <col min="10239" max="10239" width="34.140625" style="16" customWidth="1"/>
    <col min="10240" max="10240" width="14" style="16" customWidth="1"/>
    <col min="10241" max="10241" width="13.5703125" style="16" customWidth="1"/>
    <col min="10242" max="10242" width="17.85546875" style="16" customWidth="1"/>
    <col min="10243" max="10243" width="15" style="16" customWidth="1"/>
    <col min="10244" max="10244" width="21.85546875" style="16" customWidth="1"/>
    <col min="10245" max="10245" width="15.7109375" style="16" customWidth="1"/>
    <col min="10246" max="10246" width="15.140625" style="16" customWidth="1"/>
    <col min="10247" max="10247" width="13.42578125" style="16" customWidth="1"/>
    <col min="10248" max="10248" width="9.140625" style="16" customWidth="1"/>
    <col min="10249" max="10249" width="8.28515625" style="16" customWidth="1"/>
    <col min="10250" max="10251" width="9.140625" style="16" customWidth="1"/>
    <col min="10252" max="10252" width="4.7109375" style="16" customWidth="1"/>
    <col min="10253" max="10494" width="9.140625" style="16"/>
    <col min="10495" max="10495" width="34.140625" style="16" customWidth="1"/>
    <col min="10496" max="10496" width="14" style="16" customWidth="1"/>
    <col min="10497" max="10497" width="13.5703125" style="16" customWidth="1"/>
    <col min="10498" max="10498" width="17.85546875" style="16" customWidth="1"/>
    <col min="10499" max="10499" width="15" style="16" customWidth="1"/>
    <col min="10500" max="10500" width="21.85546875" style="16" customWidth="1"/>
    <col min="10501" max="10501" width="15.7109375" style="16" customWidth="1"/>
    <col min="10502" max="10502" width="15.140625" style="16" customWidth="1"/>
    <col min="10503" max="10503" width="13.42578125" style="16" customWidth="1"/>
    <col min="10504" max="10504" width="9.140625" style="16" customWidth="1"/>
    <col min="10505" max="10505" width="8.28515625" style="16" customWidth="1"/>
    <col min="10506" max="10507" width="9.140625" style="16" customWidth="1"/>
    <col min="10508" max="10508" width="4.7109375" style="16" customWidth="1"/>
    <col min="10509" max="10750" width="9.140625" style="16"/>
    <col min="10751" max="10751" width="34.140625" style="16" customWidth="1"/>
    <col min="10752" max="10752" width="14" style="16" customWidth="1"/>
    <col min="10753" max="10753" width="13.5703125" style="16" customWidth="1"/>
    <col min="10754" max="10754" width="17.85546875" style="16" customWidth="1"/>
    <col min="10755" max="10755" width="15" style="16" customWidth="1"/>
    <col min="10756" max="10756" width="21.85546875" style="16" customWidth="1"/>
    <col min="10757" max="10757" width="15.7109375" style="16" customWidth="1"/>
    <col min="10758" max="10758" width="15.140625" style="16" customWidth="1"/>
    <col min="10759" max="10759" width="13.42578125" style="16" customWidth="1"/>
    <col min="10760" max="10760" width="9.140625" style="16" customWidth="1"/>
    <col min="10761" max="10761" width="8.28515625" style="16" customWidth="1"/>
    <col min="10762" max="10763" width="9.140625" style="16" customWidth="1"/>
    <col min="10764" max="10764" width="4.7109375" style="16" customWidth="1"/>
    <col min="10765" max="11006" width="9.140625" style="16"/>
    <col min="11007" max="11007" width="34.140625" style="16" customWidth="1"/>
    <col min="11008" max="11008" width="14" style="16" customWidth="1"/>
    <col min="11009" max="11009" width="13.5703125" style="16" customWidth="1"/>
    <col min="11010" max="11010" width="17.85546875" style="16" customWidth="1"/>
    <col min="11011" max="11011" width="15" style="16" customWidth="1"/>
    <col min="11012" max="11012" width="21.85546875" style="16" customWidth="1"/>
    <col min="11013" max="11013" width="15.7109375" style="16" customWidth="1"/>
    <col min="11014" max="11014" width="15.140625" style="16" customWidth="1"/>
    <col min="11015" max="11015" width="13.42578125" style="16" customWidth="1"/>
    <col min="11016" max="11016" width="9.140625" style="16" customWidth="1"/>
    <col min="11017" max="11017" width="8.28515625" style="16" customWidth="1"/>
    <col min="11018" max="11019" width="9.140625" style="16" customWidth="1"/>
    <col min="11020" max="11020" width="4.7109375" style="16" customWidth="1"/>
    <col min="11021" max="11262" width="9.140625" style="16"/>
    <col min="11263" max="11263" width="34.140625" style="16" customWidth="1"/>
    <col min="11264" max="11264" width="14" style="16" customWidth="1"/>
    <col min="11265" max="11265" width="13.5703125" style="16" customWidth="1"/>
    <col min="11266" max="11266" width="17.85546875" style="16" customWidth="1"/>
    <col min="11267" max="11267" width="15" style="16" customWidth="1"/>
    <col min="11268" max="11268" width="21.85546875" style="16" customWidth="1"/>
    <col min="11269" max="11269" width="15.7109375" style="16" customWidth="1"/>
    <col min="11270" max="11270" width="15.140625" style="16" customWidth="1"/>
    <col min="11271" max="11271" width="13.42578125" style="16" customWidth="1"/>
    <col min="11272" max="11272" width="9.140625" style="16" customWidth="1"/>
    <col min="11273" max="11273" width="8.28515625" style="16" customWidth="1"/>
    <col min="11274" max="11275" width="9.140625" style="16" customWidth="1"/>
    <col min="11276" max="11276" width="4.7109375" style="16" customWidth="1"/>
    <col min="11277" max="11518" width="9.140625" style="16"/>
    <col min="11519" max="11519" width="34.140625" style="16" customWidth="1"/>
    <col min="11520" max="11520" width="14" style="16" customWidth="1"/>
    <col min="11521" max="11521" width="13.5703125" style="16" customWidth="1"/>
    <col min="11522" max="11522" width="17.85546875" style="16" customWidth="1"/>
    <col min="11523" max="11523" width="15" style="16" customWidth="1"/>
    <col min="11524" max="11524" width="21.85546875" style="16" customWidth="1"/>
    <col min="11525" max="11525" width="15.7109375" style="16" customWidth="1"/>
    <col min="11526" max="11526" width="15.140625" style="16" customWidth="1"/>
    <col min="11527" max="11527" width="13.42578125" style="16" customWidth="1"/>
    <col min="11528" max="11528" width="9.140625" style="16" customWidth="1"/>
    <col min="11529" max="11529" width="8.28515625" style="16" customWidth="1"/>
    <col min="11530" max="11531" width="9.140625" style="16" customWidth="1"/>
    <col min="11532" max="11532" width="4.7109375" style="16" customWidth="1"/>
    <col min="11533" max="11774" width="9.140625" style="16"/>
    <col min="11775" max="11775" width="34.140625" style="16" customWidth="1"/>
    <col min="11776" max="11776" width="14" style="16" customWidth="1"/>
    <col min="11777" max="11777" width="13.5703125" style="16" customWidth="1"/>
    <col min="11778" max="11778" width="17.85546875" style="16" customWidth="1"/>
    <col min="11779" max="11779" width="15" style="16" customWidth="1"/>
    <col min="11780" max="11780" width="21.85546875" style="16" customWidth="1"/>
    <col min="11781" max="11781" width="15.7109375" style="16" customWidth="1"/>
    <col min="11782" max="11782" width="15.140625" style="16" customWidth="1"/>
    <col min="11783" max="11783" width="13.42578125" style="16" customWidth="1"/>
    <col min="11784" max="11784" width="9.140625" style="16" customWidth="1"/>
    <col min="11785" max="11785" width="8.28515625" style="16" customWidth="1"/>
    <col min="11786" max="11787" width="9.140625" style="16" customWidth="1"/>
    <col min="11788" max="11788" width="4.7109375" style="16" customWidth="1"/>
    <col min="11789" max="12030" width="9.140625" style="16"/>
    <col min="12031" max="12031" width="34.140625" style="16" customWidth="1"/>
    <col min="12032" max="12032" width="14" style="16" customWidth="1"/>
    <col min="12033" max="12033" width="13.5703125" style="16" customWidth="1"/>
    <col min="12034" max="12034" width="17.85546875" style="16" customWidth="1"/>
    <col min="12035" max="12035" width="15" style="16" customWidth="1"/>
    <col min="12036" max="12036" width="21.85546875" style="16" customWidth="1"/>
    <col min="12037" max="12037" width="15.7109375" style="16" customWidth="1"/>
    <col min="12038" max="12038" width="15.140625" style="16" customWidth="1"/>
    <col min="12039" max="12039" width="13.42578125" style="16" customWidth="1"/>
    <col min="12040" max="12040" width="9.140625" style="16" customWidth="1"/>
    <col min="12041" max="12041" width="8.28515625" style="16" customWidth="1"/>
    <col min="12042" max="12043" width="9.140625" style="16" customWidth="1"/>
    <col min="12044" max="12044" width="4.7109375" style="16" customWidth="1"/>
    <col min="12045" max="12286" width="9.140625" style="16"/>
    <col min="12287" max="12287" width="34.140625" style="16" customWidth="1"/>
    <col min="12288" max="12288" width="14" style="16" customWidth="1"/>
    <col min="12289" max="12289" width="13.5703125" style="16" customWidth="1"/>
    <col min="12290" max="12290" width="17.85546875" style="16" customWidth="1"/>
    <col min="12291" max="12291" width="15" style="16" customWidth="1"/>
    <col min="12292" max="12292" width="21.85546875" style="16" customWidth="1"/>
    <col min="12293" max="12293" width="15.7109375" style="16" customWidth="1"/>
    <col min="12294" max="12294" width="15.140625" style="16" customWidth="1"/>
    <col min="12295" max="12295" width="13.42578125" style="16" customWidth="1"/>
    <col min="12296" max="12296" width="9.140625" style="16" customWidth="1"/>
    <col min="12297" max="12297" width="8.28515625" style="16" customWidth="1"/>
    <col min="12298" max="12299" width="9.140625" style="16" customWidth="1"/>
    <col min="12300" max="12300" width="4.7109375" style="16" customWidth="1"/>
    <col min="12301" max="12542" width="9.140625" style="16"/>
    <col min="12543" max="12543" width="34.140625" style="16" customWidth="1"/>
    <col min="12544" max="12544" width="14" style="16" customWidth="1"/>
    <col min="12545" max="12545" width="13.5703125" style="16" customWidth="1"/>
    <col min="12546" max="12546" width="17.85546875" style="16" customWidth="1"/>
    <col min="12547" max="12547" width="15" style="16" customWidth="1"/>
    <col min="12548" max="12548" width="21.85546875" style="16" customWidth="1"/>
    <col min="12549" max="12549" width="15.7109375" style="16" customWidth="1"/>
    <col min="12550" max="12550" width="15.140625" style="16" customWidth="1"/>
    <col min="12551" max="12551" width="13.42578125" style="16" customWidth="1"/>
    <col min="12552" max="12552" width="9.140625" style="16" customWidth="1"/>
    <col min="12553" max="12553" width="8.28515625" style="16" customWidth="1"/>
    <col min="12554" max="12555" width="9.140625" style="16" customWidth="1"/>
    <col min="12556" max="12556" width="4.7109375" style="16" customWidth="1"/>
    <col min="12557" max="12798" width="9.140625" style="16"/>
    <col min="12799" max="12799" width="34.140625" style="16" customWidth="1"/>
    <col min="12800" max="12800" width="14" style="16" customWidth="1"/>
    <col min="12801" max="12801" width="13.5703125" style="16" customWidth="1"/>
    <col min="12802" max="12802" width="17.85546875" style="16" customWidth="1"/>
    <col min="12803" max="12803" width="15" style="16" customWidth="1"/>
    <col min="12804" max="12804" width="21.85546875" style="16" customWidth="1"/>
    <col min="12805" max="12805" width="15.7109375" style="16" customWidth="1"/>
    <col min="12806" max="12806" width="15.140625" style="16" customWidth="1"/>
    <col min="12807" max="12807" width="13.42578125" style="16" customWidth="1"/>
    <col min="12808" max="12808" width="9.140625" style="16" customWidth="1"/>
    <col min="12809" max="12809" width="8.28515625" style="16" customWidth="1"/>
    <col min="12810" max="12811" width="9.140625" style="16" customWidth="1"/>
    <col min="12812" max="12812" width="4.7109375" style="16" customWidth="1"/>
    <col min="12813" max="13054" width="9.140625" style="16"/>
    <col min="13055" max="13055" width="34.140625" style="16" customWidth="1"/>
    <col min="13056" max="13056" width="14" style="16" customWidth="1"/>
    <col min="13057" max="13057" width="13.5703125" style="16" customWidth="1"/>
    <col min="13058" max="13058" width="17.85546875" style="16" customWidth="1"/>
    <col min="13059" max="13059" width="15" style="16" customWidth="1"/>
    <col min="13060" max="13060" width="21.85546875" style="16" customWidth="1"/>
    <col min="13061" max="13061" width="15.7109375" style="16" customWidth="1"/>
    <col min="13062" max="13062" width="15.140625" style="16" customWidth="1"/>
    <col min="13063" max="13063" width="13.42578125" style="16" customWidth="1"/>
    <col min="13064" max="13064" width="9.140625" style="16" customWidth="1"/>
    <col min="13065" max="13065" width="8.28515625" style="16" customWidth="1"/>
    <col min="13066" max="13067" width="9.140625" style="16" customWidth="1"/>
    <col min="13068" max="13068" width="4.7109375" style="16" customWidth="1"/>
    <col min="13069" max="13310" width="9.140625" style="16"/>
    <col min="13311" max="13311" width="34.140625" style="16" customWidth="1"/>
    <col min="13312" max="13312" width="14" style="16" customWidth="1"/>
    <col min="13313" max="13313" width="13.5703125" style="16" customWidth="1"/>
    <col min="13314" max="13314" width="17.85546875" style="16" customWidth="1"/>
    <col min="13315" max="13315" width="15" style="16" customWidth="1"/>
    <col min="13316" max="13316" width="21.85546875" style="16" customWidth="1"/>
    <col min="13317" max="13317" width="15.7109375" style="16" customWidth="1"/>
    <col min="13318" max="13318" width="15.140625" style="16" customWidth="1"/>
    <col min="13319" max="13319" width="13.42578125" style="16" customWidth="1"/>
    <col min="13320" max="13320" width="9.140625" style="16" customWidth="1"/>
    <col min="13321" max="13321" width="8.28515625" style="16" customWidth="1"/>
    <col min="13322" max="13323" width="9.140625" style="16" customWidth="1"/>
    <col min="13324" max="13324" width="4.7109375" style="16" customWidth="1"/>
    <col min="13325" max="13566" width="9.140625" style="16"/>
    <col min="13567" max="13567" width="34.140625" style="16" customWidth="1"/>
    <col min="13568" max="13568" width="14" style="16" customWidth="1"/>
    <col min="13569" max="13569" width="13.5703125" style="16" customWidth="1"/>
    <col min="13570" max="13570" width="17.85546875" style="16" customWidth="1"/>
    <col min="13571" max="13571" width="15" style="16" customWidth="1"/>
    <col min="13572" max="13572" width="21.85546875" style="16" customWidth="1"/>
    <col min="13573" max="13573" width="15.7109375" style="16" customWidth="1"/>
    <col min="13574" max="13574" width="15.140625" style="16" customWidth="1"/>
    <col min="13575" max="13575" width="13.42578125" style="16" customWidth="1"/>
    <col min="13576" max="13576" width="9.140625" style="16" customWidth="1"/>
    <col min="13577" max="13577" width="8.28515625" style="16" customWidth="1"/>
    <col min="13578" max="13579" width="9.140625" style="16" customWidth="1"/>
    <col min="13580" max="13580" width="4.7109375" style="16" customWidth="1"/>
    <col min="13581" max="13822" width="9.140625" style="16"/>
    <col min="13823" max="13823" width="34.140625" style="16" customWidth="1"/>
    <col min="13824" max="13824" width="14" style="16" customWidth="1"/>
    <col min="13825" max="13825" width="13.5703125" style="16" customWidth="1"/>
    <col min="13826" max="13826" width="17.85546875" style="16" customWidth="1"/>
    <col min="13827" max="13827" width="15" style="16" customWidth="1"/>
    <col min="13828" max="13828" width="21.85546875" style="16" customWidth="1"/>
    <col min="13829" max="13829" width="15.7109375" style="16" customWidth="1"/>
    <col min="13830" max="13830" width="15.140625" style="16" customWidth="1"/>
    <col min="13831" max="13831" width="13.42578125" style="16" customWidth="1"/>
    <col min="13832" max="13832" width="9.140625" style="16" customWidth="1"/>
    <col min="13833" max="13833" width="8.28515625" style="16" customWidth="1"/>
    <col min="13834" max="13835" width="9.140625" style="16" customWidth="1"/>
    <col min="13836" max="13836" width="4.7109375" style="16" customWidth="1"/>
    <col min="13837" max="14078" width="9.140625" style="16"/>
    <col min="14079" max="14079" width="34.140625" style="16" customWidth="1"/>
    <col min="14080" max="14080" width="14" style="16" customWidth="1"/>
    <col min="14081" max="14081" width="13.5703125" style="16" customWidth="1"/>
    <col min="14082" max="14082" width="17.85546875" style="16" customWidth="1"/>
    <col min="14083" max="14083" width="15" style="16" customWidth="1"/>
    <col min="14084" max="14084" width="21.85546875" style="16" customWidth="1"/>
    <col min="14085" max="14085" width="15.7109375" style="16" customWidth="1"/>
    <col min="14086" max="14086" width="15.140625" style="16" customWidth="1"/>
    <col min="14087" max="14087" width="13.42578125" style="16" customWidth="1"/>
    <col min="14088" max="14088" width="9.140625" style="16" customWidth="1"/>
    <col min="14089" max="14089" width="8.28515625" style="16" customWidth="1"/>
    <col min="14090" max="14091" width="9.140625" style="16" customWidth="1"/>
    <col min="14092" max="14092" width="4.7109375" style="16" customWidth="1"/>
    <col min="14093" max="14334" width="9.140625" style="16"/>
    <col min="14335" max="14335" width="34.140625" style="16" customWidth="1"/>
    <col min="14336" max="14336" width="14" style="16" customWidth="1"/>
    <col min="14337" max="14337" width="13.5703125" style="16" customWidth="1"/>
    <col min="14338" max="14338" width="17.85546875" style="16" customWidth="1"/>
    <col min="14339" max="14339" width="15" style="16" customWidth="1"/>
    <col min="14340" max="14340" width="21.85546875" style="16" customWidth="1"/>
    <col min="14341" max="14341" width="15.7109375" style="16" customWidth="1"/>
    <col min="14342" max="14342" width="15.140625" style="16" customWidth="1"/>
    <col min="14343" max="14343" width="13.42578125" style="16" customWidth="1"/>
    <col min="14344" max="14344" width="9.140625" style="16" customWidth="1"/>
    <col min="14345" max="14345" width="8.28515625" style="16" customWidth="1"/>
    <col min="14346" max="14347" width="9.140625" style="16" customWidth="1"/>
    <col min="14348" max="14348" width="4.7109375" style="16" customWidth="1"/>
    <col min="14349" max="14590" width="9.140625" style="16"/>
    <col min="14591" max="14591" width="34.140625" style="16" customWidth="1"/>
    <col min="14592" max="14592" width="14" style="16" customWidth="1"/>
    <col min="14593" max="14593" width="13.5703125" style="16" customWidth="1"/>
    <col min="14594" max="14594" width="17.85546875" style="16" customWidth="1"/>
    <col min="14595" max="14595" width="15" style="16" customWidth="1"/>
    <col min="14596" max="14596" width="21.85546875" style="16" customWidth="1"/>
    <col min="14597" max="14597" width="15.7109375" style="16" customWidth="1"/>
    <col min="14598" max="14598" width="15.140625" style="16" customWidth="1"/>
    <col min="14599" max="14599" width="13.42578125" style="16" customWidth="1"/>
    <col min="14600" max="14600" width="9.140625" style="16" customWidth="1"/>
    <col min="14601" max="14601" width="8.28515625" style="16" customWidth="1"/>
    <col min="14602" max="14603" width="9.140625" style="16" customWidth="1"/>
    <col min="14604" max="14604" width="4.7109375" style="16" customWidth="1"/>
    <col min="14605" max="14846" width="9.140625" style="16"/>
    <col min="14847" max="14847" width="34.140625" style="16" customWidth="1"/>
    <col min="14848" max="14848" width="14" style="16" customWidth="1"/>
    <col min="14849" max="14849" width="13.5703125" style="16" customWidth="1"/>
    <col min="14850" max="14850" width="17.85546875" style="16" customWidth="1"/>
    <col min="14851" max="14851" width="15" style="16" customWidth="1"/>
    <col min="14852" max="14852" width="21.85546875" style="16" customWidth="1"/>
    <col min="14853" max="14853" width="15.7109375" style="16" customWidth="1"/>
    <col min="14854" max="14854" width="15.140625" style="16" customWidth="1"/>
    <col min="14855" max="14855" width="13.42578125" style="16" customWidth="1"/>
    <col min="14856" max="14856" width="9.140625" style="16" customWidth="1"/>
    <col min="14857" max="14857" width="8.28515625" style="16" customWidth="1"/>
    <col min="14858" max="14859" width="9.140625" style="16" customWidth="1"/>
    <col min="14860" max="14860" width="4.7109375" style="16" customWidth="1"/>
    <col min="14861" max="15102" width="9.140625" style="16"/>
    <col min="15103" max="15103" width="34.140625" style="16" customWidth="1"/>
    <col min="15104" max="15104" width="14" style="16" customWidth="1"/>
    <col min="15105" max="15105" width="13.5703125" style="16" customWidth="1"/>
    <col min="15106" max="15106" width="17.85546875" style="16" customWidth="1"/>
    <col min="15107" max="15107" width="15" style="16" customWidth="1"/>
    <col min="15108" max="15108" width="21.85546875" style="16" customWidth="1"/>
    <col min="15109" max="15109" width="15.7109375" style="16" customWidth="1"/>
    <col min="15110" max="15110" width="15.140625" style="16" customWidth="1"/>
    <col min="15111" max="15111" width="13.42578125" style="16" customWidth="1"/>
    <col min="15112" max="15112" width="9.140625" style="16" customWidth="1"/>
    <col min="15113" max="15113" width="8.28515625" style="16" customWidth="1"/>
    <col min="15114" max="15115" width="9.140625" style="16" customWidth="1"/>
    <col min="15116" max="15116" width="4.7109375" style="16" customWidth="1"/>
    <col min="15117" max="15358" width="9.140625" style="16"/>
    <col min="15359" max="15359" width="34.140625" style="16" customWidth="1"/>
    <col min="15360" max="15360" width="14" style="16" customWidth="1"/>
    <col min="15361" max="15361" width="13.5703125" style="16" customWidth="1"/>
    <col min="15362" max="15362" width="17.85546875" style="16" customWidth="1"/>
    <col min="15363" max="15363" width="15" style="16" customWidth="1"/>
    <col min="15364" max="15364" width="21.85546875" style="16" customWidth="1"/>
    <col min="15365" max="15365" width="15.7109375" style="16" customWidth="1"/>
    <col min="15366" max="15366" width="15.140625" style="16" customWidth="1"/>
    <col min="15367" max="15367" width="13.42578125" style="16" customWidth="1"/>
    <col min="15368" max="15368" width="9.140625" style="16" customWidth="1"/>
    <col min="15369" max="15369" width="8.28515625" style="16" customWidth="1"/>
    <col min="15370" max="15371" width="9.140625" style="16" customWidth="1"/>
    <col min="15372" max="15372" width="4.7109375" style="16" customWidth="1"/>
    <col min="15373" max="15614" width="9.140625" style="16"/>
    <col min="15615" max="15615" width="34.140625" style="16" customWidth="1"/>
    <col min="15616" max="15616" width="14" style="16" customWidth="1"/>
    <col min="15617" max="15617" width="13.5703125" style="16" customWidth="1"/>
    <col min="15618" max="15618" width="17.85546875" style="16" customWidth="1"/>
    <col min="15619" max="15619" width="15" style="16" customWidth="1"/>
    <col min="15620" max="15620" width="21.85546875" style="16" customWidth="1"/>
    <col min="15621" max="15621" width="15.7109375" style="16" customWidth="1"/>
    <col min="15622" max="15622" width="15.140625" style="16" customWidth="1"/>
    <col min="15623" max="15623" width="13.42578125" style="16" customWidth="1"/>
    <col min="15624" max="15624" width="9.140625" style="16" customWidth="1"/>
    <col min="15625" max="15625" width="8.28515625" style="16" customWidth="1"/>
    <col min="15626" max="15627" width="9.140625" style="16" customWidth="1"/>
    <col min="15628" max="15628" width="4.7109375" style="16" customWidth="1"/>
    <col min="15629" max="15870" width="9.140625" style="16"/>
    <col min="15871" max="15871" width="34.140625" style="16" customWidth="1"/>
    <col min="15872" max="15872" width="14" style="16" customWidth="1"/>
    <col min="15873" max="15873" width="13.5703125" style="16" customWidth="1"/>
    <col min="15874" max="15874" width="17.85546875" style="16" customWidth="1"/>
    <col min="15875" max="15875" width="15" style="16" customWidth="1"/>
    <col min="15876" max="15876" width="21.85546875" style="16" customWidth="1"/>
    <col min="15877" max="15877" width="15.7109375" style="16" customWidth="1"/>
    <col min="15878" max="15878" width="15.140625" style="16" customWidth="1"/>
    <col min="15879" max="15879" width="13.42578125" style="16" customWidth="1"/>
    <col min="15880" max="15880" width="9.140625" style="16" customWidth="1"/>
    <col min="15881" max="15881" width="8.28515625" style="16" customWidth="1"/>
    <col min="15882" max="15883" width="9.140625" style="16" customWidth="1"/>
    <col min="15884" max="15884" width="4.7109375" style="16" customWidth="1"/>
    <col min="15885" max="16126" width="9.140625" style="16"/>
    <col min="16127" max="16127" width="34.140625" style="16" customWidth="1"/>
    <col min="16128" max="16128" width="14" style="16" customWidth="1"/>
    <col min="16129" max="16129" width="13.5703125" style="16" customWidth="1"/>
    <col min="16130" max="16130" width="17.85546875" style="16" customWidth="1"/>
    <col min="16131" max="16131" width="15" style="16" customWidth="1"/>
    <col min="16132" max="16132" width="21.85546875" style="16" customWidth="1"/>
    <col min="16133" max="16133" width="15.7109375" style="16" customWidth="1"/>
    <col min="16134" max="16134" width="15.140625" style="16" customWidth="1"/>
    <col min="16135" max="16135" width="13.42578125" style="16" customWidth="1"/>
    <col min="16136" max="16136" width="9.140625" style="16" customWidth="1"/>
    <col min="16137" max="16137" width="8.28515625" style="16" customWidth="1"/>
    <col min="16138" max="16139" width="9.140625" style="16" customWidth="1"/>
    <col min="16140" max="16140" width="4.7109375" style="16" customWidth="1"/>
    <col min="16141" max="16384" width="9.140625" style="16"/>
  </cols>
  <sheetData>
    <row r="2" spans="1:9" x14ac:dyDescent="0.15">
      <c r="A2" s="2700" t="s">
        <v>1497</v>
      </c>
      <c r="B2" s="2311"/>
      <c r="C2" s="2311"/>
      <c r="D2" s="2311"/>
      <c r="E2" s="2311"/>
      <c r="F2" s="2311"/>
      <c r="G2" s="2311"/>
      <c r="H2" s="2311"/>
      <c r="I2" s="2311"/>
    </row>
    <row r="3" spans="1:9" x14ac:dyDescent="0.15">
      <c r="A3" s="2701"/>
      <c r="B3" s="2702"/>
      <c r="C3" s="2702"/>
      <c r="D3" s="2702"/>
      <c r="E3" s="2702"/>
      <c r="F3" s="2702"/>
      <c r="G3" s="2702"/>
      <c r="H3" s="2702"/>
      <c r="I3" s="2702"/>
    </row>
    <row r="4" spans="1:9" x14ac:dyDescent="0.15">
      <c r="A4" s="2703" t="s">
        <v>1</v>
      </c>
      <c r="B4" s="2706" t="s">
        <v>1498</v>
      </c>
      <c r="C4" s="2707"/>
      <c r="D4" s="2707"/>
      <c r="E4" s="2707"/>
      <c r="F4" s="2707"/>
      <c r="G4" s="2707"/>
      <c r="H4" s="2707"/>
      <c r="I4" s="2708"/>
    </row>
    <row r="5" spans="1:9" x14ac:dyDescent="0.15">
      <c r="A5" s="2704"/>
      <c r="B5" s="2703" t="s">
        <v>1473</v>
      </c>
      <c r="C5" s="2706" t="s">
        <v>1474</v>
      </c>
      <c r="D5" s="2707"/>
      <c r="E5" s="2707"/>
      <c r="F5" s="2707"/>
      <c r="G5" s="2707"/>
      <c r="H5" s="2707"/>
      <c r="I5" s="2708"/>
    </row>
    <row r="6" spans="1:9" ht="31.5" x14ac:dyDescent="0.15">
      <c r="A6" s="2705"/>
      <c r="B6" s="2705"/>
      <c r="C6" s="540" t="s">
        <v>1475</v>
      </c>
      <c r="D6" s="540" t="s">
        <v>1476</v>
      </c>
      <c r="E6" s="540" t="s">
        <v>1477</v>
      </c>
      <c r="F6" s="541" t="s">
        <v>1499</v>
      </c>
      <c r="G6" s="541" t="s">
        <v>1500</v>
      </c>
      <c r="H6" s="540" t="s">
        <v>1480</v>
      </c>
      <c r="I6" s="540" t="s">
        <v>1481</v>
      </c>
    </row>
    <row r="7" spans="1:9" x14ac:dyDescent="0.15">
      <c r="A7" s="542" t="s">
        <v>141</v>
      </c>
      <c r="B7" s="543">
        <f>SUM(C7:I7)</f>
        <v>3010713</v>
      </c>
      <c r="C7" s="543">
        <f>SUM(C8:C22)</f>
        <v>704902</v>
      </c>
      <c r="D7" s="543">
        <f t="shared" ref="D7:I7" si="0">SUM(D8:D22)</f>
        <v>927770</v>
      </c>
      <c r="E7" s="543">
        <f t="shared" si="0"/>
        <v>193627</v>
      </c>
      <c r="F7" s="543">
        <f t="shared" si="0"/>
        <v>289350</v>
      </c>
      <c r="G7" s="543">
        <f t="shared" si="0"/>
        <v>509938</v>
      </c>
      <c r="H7" s="543">
        <f t="shared" si="0"/>
        <v>99206</v>
      </c>
      <c r="I7" s="543">
        <f t="shared" si="0"/>
        <v>285920</v>
      </c>
    </row>
    <row r="8" spans="1:9" x14ac:dyDescent="0.15">
      <c r="A8" s="544" t="s">
        <v>5</v>
      </c>
      <c r="B8" s="543">
        <f>SUM(C8:I8)</f>
        <v>47951</v>
      </c>
      <c r="C8" s="545">
        <v>4400</v>
      </c>
      <c r="D8" s="545">
        <v>8096</v>
      </c>
      <c r="E8" s="545">
        <v>8450</v>
      </c>
      <c r="F8" s="545">
        <v>13855</v>
      </c>
      <c r="G8" s="545">
        <v>12200</v>
      </c>
      <c r="H8" s="545">
        <v>950</v>
      </c>
      <c r="I8" s="545">
        <v>0</v>
      </c>
    </row>
    <row r="9" spans="1:9" x14ac:dyDescent="0.15">
      <c r="A9" s="544" t="s">
        <v>6</v>
      </c>
      <c r="B9" s="543">
        <f t="shared" ref="B9:B22" si="1">SUM(C9:I9)</f>
        <v>21375</v>
      </c>
      <c r="C9" s="545">
        <v>6300</v>
      </c>
      <c r="D9" s="545">
        <v>8803</v>
      </c>
      <c r="E9" s="545">
        <v>2282</v>
      </c>
      <c r="F9" s="545">
        <v>700</v>
      </c>
      <c r="G9" s="545">
        <v>2880</v>
      </c>
      <c r="H9" s="545">
        <v>150</v>
      </c>
      <c r="I9" s="545">
        <v>260</v>
      </c>
    </row>
    <row r="10" spans="1:9" x14ac:dyDescent="0.15">
      <c r="A10" s="544" t="s">
        <v>1501</v>
      </c>
      <c r="B10" s="543">
        <f t="shared" si="1"/>
        <v>76671</v>
      </c>
      <c r="C10" s="545">
        <v>21131</v>
      </c>
      <c r="D10" s="545">
        <v>23306</v>
      </c>
      <c r="E10" s="545">
        <v>9389</v>
      </c>
      <c r="F10" s="545">
        <v>4984</v>
      </c>
      <c r="G10" s="545">
        <v>9342</v>
      </c>
      <c r="H10" s="545">
        <v>3519</v>
      </c>
      <c r="I10" s="545">
        <v>5000</v>
      </c>
    </row>
    <row r="11" spans="1:9" x14ac:dyDescent="0.15">
      <c r="A11" s="544" t="s">
        <v>1502</v>
      </c>
      <c r="B11" s="543">
        <f t="shared" si="1"/>
        <v>70440</v>
      </c>
      <c r="C11" s="545">
        <v>16290</v>
      </c>
      <c r="D11" s="545">
        <v>17740</v>
      </c>
      <c r="E11" s="545">
        <v>5530</v>
      </c>
      <c r="F11" s="545">
        <v>8290</v>
      </c>
      <c r="G11" s="545">
        <v>21660</v>
      </c>
      <c r="H11" s="545">
        <v>330</v>
      </c>
      <c r="I11" s="545">
        <v>600</v>
      </c>
    </row>
    <row r="12" spans="1:9" x14ac:dyDescent="0.15">
      <c r="A12" s="544" t="s">
        <v>1503</v>
      </c>
      <c r="B12" s="543">
        <f t="shared" si="1"/>
        <v>64716</v>
      </c>
      <c r="C12" s="545">
        <v>11631</v>
      </c>
      <c r="D12" s="545">
        <v>19159</v>
      </c>
      <c r="E12" s="545">
        <v>10015</v>
      </c>
      <c r="F12" s="545">
        <v>15307</v>
      </c>
      <c r="G12" s="545">
        <v>8364</v>
      </c>
      <c r="H12" s="545">
        <v>240</v>
      </c>
      <c r="I12" s="545">
        <v>0</v>
      </c>
    </row>
    <row r="13" spans="1:9" x14ac:dyDescent="0.15">
      <c r="A13" s="544" t="s">
        <v>1504</v>
      </c>
      <c r="B13" s="543">
        <f t="shared" si="1"/>
        <v>243879</v>
      </c>
      <c r="C13" s="545">
        <v>33009</v>
      </c>
      <c r="D13" s="545">
        <v>24178</v>
      </c>
      <c r="E13" s="545">
        <v>17900</v>
      </c>
      <c r="F13" s="545">
        <v>10520</v>
      </c>
      <c r="G13" s="545">
        <v>50130</v>
      </c>
      <c r="H13" s="545">
        <v>2222</v>
      </c>
      <c r="I13" s="545">
        <v>105920</v>
      </c>
    </row>
    <row r="14" spans="1:9" x14ac:dyDescent="0.15">
      <c r="A14" s="544" t="s">
        <v>11</v>
      </c>
      <c r="B14" s="543">
        <f t="shared" si="1"/>
        <v>1426377</v>
      </c>
      <c r="C14" s="545">
        <v>401645</v>
      </c>
      <c r="D14" s="545">
        <v>582498</v>
      </c>
      <c r="E14" s="545">
        <v>89519</v>
      </c>
      <c r="F14" s="545">
        <v>106195</v>
      </c>
      <c r="G14" s="545">
        <v>73558</v>
      </c>
      <c r="H14" s="545">
        <v>66981</v>
      </c>
      <c r="I14" s="545">
        <v>105981</v>
      </c>
    </row>
    <row r="15" spans="1:9" x14ac:dyDescent="0.15">
      <c r="A15" s="544" t="s">
        <v>12</v>
      </c>
      <c r="B15" s="543">
        <f t="shared" si="1"/>
        <v>207121</v>
      </c>
      <c r="C15" s="545">
        <v>34111</v>
      </c>
      <c r="D15" s="545">
        <v>41085</v>
      </c>
      <c r="E15" s="545">
        <v>10758</v>
      </c>
      <c r="F15" s="545">
        <v>25112</v>
      </c>
      <c r="G15" s="545">
        <v>74397</v>
      </c>
      <c r="H15" s="545">
        <v>7159</v>
      </c>
      <c r="I15" s="545">
        <v>14499</v>
      </c>
    </row>
    <row r="16" spans="1:9" x14ac:dyDescent="0.15">
      <c r="A16" s="544" t="s">
        <v>13</v>
      </c>
      <c r="B16" s="543">
        <f t="shared" si="1"/>
        <v>147868</v>
      </c>
      <c r="C16" s="545">
        <v>45959</v>
      </c>
      <c r="D16" s="545">
        <v>38297</v>
      </c>
      <c r="E16" s="545">
        <v>1158</v>
      </c>
      <c r="F16" s="545">
        <v>9989</v>
      </c>
      <c r="G16" s="545">
        <v>37978</v>
      </c>
      <c r="H16" s="545">
        <v>3787</v>
      </c>
      <c r="I16" s="545">
        <v>10700</v>
      </c>
    </row>
    <row r="17" spans="1:9" x14ac:dyDescent="0.15">
      <c r="A17" s="544" t="s">
        <v>14</v>
      </c>
      <c r="B17" s="543">
        <f t="shared" si="1"/>
        <v>266266</v>
      </c>
      <c r="C17" s="545">
        <v>60036</v>
      </c>
      <c r="D17" s="545">
        <v>67511</v>
      </c>
      <c r="E17" s="545">
        <v>9513</v>
      </c>
      <c r="F17" s="545">
        <v>26120</v>
      </c>
      <c r="G17" s="545">
        <v>87987</v>
      </c>
      <c r="H17" s="545">
        <v>6010</v>
      </c>
      <c r="I17" s="545">
        <v>9089</v>
      </c>
    </row>
    <row r="18" spans="1:9" x14ac:dyDescent="0.15">
      <c r="A18" s="544" t="s">
        <v>15</v>
      </c>
      <c r="B18" s="543">
        <f t="shared" si="1"/>
        <v>189063</v>
      </c>
      <c r="C18" s="545">
        <v>34523</v>
      </c>
      <c r="D18" s="545">
        <v>22471</v>
      </c>
      <c r="E18" s="545">
        <v>14947</v>
      </c>
      <c r="F18" s="545">
        <v>24628</v>
      </c>
      <c r="G18" s="545">
        <v>75959</v>
      </c>
      <c r="H18" s="545">
        <v>6080</v>
      </c>
      <c r="I18" s="545">
        <v>10455</v>
      </c>
    </row>
    <row r="19" spans="1:9" x14ac:dyDescent="0.15">
      <c r="A19" s="544" t="s">
        <v>16</v>
      </c>
      <c r="B19" s="543">
        <f t="shared" si="1"/>
        <v>60537</v>
      </c>
      <c r="C19" s="545">
        <v>10019</v>
      </c>
      <c r="D19" s="545">
        <v>19775</v>
      </c>
      <c r="E19" s="545">
        <v>215</v>
      </c>
      <c r="F19" s="545">
        <v>15707</v>
      </c>
      <c r="G19" s="545">
        <v>13881</v>
      </c>
      <c r="H19" s="545">
        <v>0</v>
      </c>
      <c r="I19" s="545">
        <v>940</v>
      </c>
    </row>
    <row r="20" spans="1:9" x14ac:dyDescent="0.15">
      <c r="A20" s="544" t="s">
        <v>17</v>
      </c>
      <c r="B20" s="543">
        <f t="shared" si="1"/>
        <v>149670</v>
      </c>
      <c r="C20" s="545">
        <v>23699</v>
      </c>
      <c r="D20" s="545">
        <v>47037</v>
      </c>
      <c r="E20" s="545">
        <v>9489</v>
      </c>
      <c r="F20" s="545">
        <v>19227</v>
      </c>
      <c r="G20" s="545">
        <v>28987</v>
      </c>
      <c r="H20" s="545">
        <v>1255</v>
      </c>
      <c r="I20" s="545">
        <v>19976</v>
      </c>
    </row>
    <row r="21" spans="1:9" x14ac:dyDescent="0.15">
      <c r="A21" s="544" t="s">
        <v>18</v>
      </c>
      <c r="B21" s="543">
        <f t="shared" si="1"/>
        <v>20123</v>
      </c>
      <c r="C21" s="545">
        <v>960</v>
      </c>
      <c r="D21" s="545">
        <v>5144</v>
      </c>
      <c r="E21" s="545">
        <v>500</v>
      </c>
      <c r="F21" s="545">
        <v>6659</v>
      </c>
      <c r="G21" s="545">
        <v>4510</v>
      </c>
      <c r="H21" s="545">
        <v>0</v>
      </c>
      <c r="I21" s="545">
        <v>2350</v>
      </c>
    </row>
    <row r="22" spans="1:9" x14ac:dyDescent="0.15">
      <c r="A22" s="544" t="s">
        <v>19</v>
      </c>
      <c r="B22" s="543">
        <f t="shared" si="1"/>
        <v>18656</v>
      </c>
      <c r="C22" s="545">
        <v>1189</v>
      </c>
      <c r="D22" s="545">
        <v>2670</v>
      </c>
      <c r="E22" s="545">
        <v>3962</v>
      </c>
      <c r="F22" s="545">
        <v>2057</v>
      </c>
      <c r="G22" s="545">
        <v>8105</v>
      </c>
      <c r="H22" s="545">
        <v>523</v>
      </c>
      <c r="I22" s="545">
        <v>150</v>
      </c>
    </row>
    <row r="23" spans="1:9" ht="11.25" customHeight="1" x14ac:dyDescent="0.15">
      <c r="A23" s="2709"/>
      <c r="B23" s="2710"/>
      <c r="C23" s="2710"/>
      <c r="D23" s="2710"/>
      <c r="E23" s="2710"/>
      <c r="F23" s="2710"/>
      <c r="G23" s="2710"/>
      <c r="H23" s="2710"/>
      <c r="I23" s="2710"/>
    </row>
    <row r="24" spans="1:9" ht="22.5" customHeight="1" x14ac:dyDescent="0.15">
      <c r="A24" s="2711" t="s">
        <v>1482</v>
      </c>
      <c r="B24" s="2712"/>
      <c r="C24" s="2712"/>
      <c r="D24" s="2712"/>
      <c r="E24" s="2712"/>
      <c r="F24" s="2712"/>
      <c r="G24" s="2712"/>
      <c r="H24" s="2712"/>
      <c r="I24" s="2712"/>
    </row>
    <row r="25" spans="1:9" x14ac:dyDescent="0.15">
      <c r="A25" s="2713" t="s">
        <v>1489</v>
      </c>
      <c r="B25" s="2713"/>
      <c r="C25" s="2713"/>
      <c r="D25" s="2713"/>
      <c r="E25" s="2713"/>
      <c r="F25" s="2713"/>
      <c r="G25" s="2713"/>
      <c r="H25" s="2713"/>
      <c r="I25" s="2713"/>
    </row>
    <row r="26" spans="1:9" x14ac:dyDescent="0.15">
      <c r="A26" s="2711" t="s">
        <v>1490</v>
      </c>
      <c r="B26" s="2712"/>
      <c r="C26" s="2712"/>
      <c r="D26" s="2712"/>
      <c r="E26" s="2712"/>
      <c r="F26" s="2712"/>
      <c r="G26" s="2712"/>
      <c r="H26" s="2712"/>
      <c r="I26" s="2712"/>
    </row>
    <row r="27" spans="1:9" x14ac:dyDescent="0.15">
      <c r="A27" s="2714" t="s">
        <v>1483</v>
      </c>
      <c r="B27" s="2712"/>
      <c r="C27" s="2712"/>
      <c r="D27" s="2712"/>
      <c r="E27" s="2712"/>
      <c r="F27" s="2712"/>
      <c r="G27" s="2712"/>
      <c r="H27" s="2712"/>
      <c r="I27" s="2712"/>
    </row>
    <row r="28" spans="1:9" x14ac:dyDescent="0.15">
      <c r="A28" s="2147"/>
      <c r="B28" s="2147"/>
      <c r="C28" s="2147"/>
      <c r="D28" s="2147"/>
      <c r="E28" s="2147"/>
      <c r="F28" s="2147"/>
      <c r="G28" s="2147"/>
      <c r="H28" s="2147"/>
      <c r="I28" s="2147"/>
    </row>
    <row r="29" spans="1:9" x14ac:dyDescent="0.15">
      <c r="A29" s="2147"/>
      <c r="B29" s="2147"/>
      <c r="C29" s="2147"/>
      <c r="D29" s="2147"/>
      <c r="E29" s="2147"/>
      <c r="F29" s="2147"/>
      <c r="G29" s="2147"/>
      <c r="H29" s="2147"/>
      <c r="I29" s="2147"/>
    </row>
    <row r="30" spans="1:9" x14ac:dyDescent="0.15">
      <c r="A30" s="2147"/>
      <c r="B30" s="2147"/>
      <c r="C30" s="2147"/>
      <c r="D30" s="2147"/>
      <c r="E30" s="2147"/>
      <c r="F30" s="2147"/>
      <c r="G30" s="2147"/>
      <c r="H30" s="2147"/>
      <c r="I30" s="2147"/>
    </row>
    <row r="31" spans="1:9" x14ac:dyDescent="0.15">
      <c r="A31" s="2147"/>
      <c r="B31" s="2147"/>
      <c r="C31" s="2147"/>
      <c r="D31" s="2147"/>
      <c r="E31" s="2147"/>
      <c r="F31" s="2147"/>
      <c r="G31" s="2147"/>
      <c r="H31" s="2147"/>
      <c r="I31" s="2147"/>
    </row>
    <row r="35" spans="2:10" x14ac:dyDescent="0.15">
      <c r="B35" s="546"/>
      <c r="C35" s="546"/>
      <c r="D35" s="546"/>
      <c r="E35" s="546"/>
      <c r="F35" s="546"/>
      <c r="G35" s="546"/>
      <c r="H35" s="546"/>
      <c r="I35" s="546"/>
      <c r="J35" s="546"/>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2:K23"/>
  <sheetViews>
    <sheetView zoomScaleNormal="100" workbookViewId="0">
      <selection activeCell="K32" sqref="K32"/>
    </sheetView>
  </sheetViews>
  <sheetFormatPr baseColWidth="10" defaultColWidth="9.140625" defaultRowHeight="12.75" x14ac:dyDescent="0.2"/>
  <cols>
    <col min="1" max="1" width="13.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11" s="538" customFormat="1" ht="18.75" customHeight="1" x14ac:dyDescent="0.2">
      <c r="A2" s="2398" t="s">
        <v>1505</v>
      </c>
      <c r="B2" s="2716"/>
      <c r="C2" s="2716"/>
      <c r="D2" s="2716"/>
      <c r="E2" s="2716"/>
      <c r="F2" s="2716"/>
      <c r="G2" s="2716"/>
      <c r="H2" s="2716"/>
      <c r="I2" s="2716"/>
    </row>
    <row r="3" spans="1:11" x14ac:dyDescent="0.2">
      <c r="A3" s="2347"/>
      <c r="B3" s="2667"/>
      <c r="C3" s="2667"/>
      <c r="D3" s="2667"/>
      <c r="E3" s="2667"/>
      <c r="F3" s="2667"/>
      <c r="G3" s="2667"/>
      <c r="H3" s="2667"/>
      <c r="I3" s="2667"/>
    </row>
    <row r="4" spans="1:11" x14ac:dyDescent="0.2">
      <c r="A4" s="2379" t="s">
        <v>2</v>
      </c>
      <c r="B4" s="2690" t="s">
        <v>1492</v>
      </c>
      <c r="C4" s="2691"/>
      <c r="D4" s="2691"/>
      <c r="E4" s="2691"/>
      <c r="F4" s="2691"/>
      <c r="G4" s="2691"/>
      <c r="H4" s="2691"/>
      <c r="I4" s="2692"/>
    </row>
    <row r="5" spans="1:11" x14ac:dyDescent="0.2">
      <c r="A5" s="2460"/>
      <c r="B5" s="2379" t="s">
        <v>1473</v>
      </c>
      <c r="C5" s="2690" t="s">
        <v>1474</v>
      </c>
      <c r="D5" s="2691"/>
      <c r="E5" s="2691"/>
      <c r="F5" s="2691"/>
      <c r="G5" s="2691"/>
      <c r="H5" s="2691"/>
      <c r="I5" s="2692"/>
    </row>
    <row r="6" spans="1:11" ht="42" x14ac:dyDescent="0.2">
      <c r="A6" s="2360"/>
      <c r="B6" s="2360"/>
      <c r="C6" s="541" t="s">
        <v>1475</v>
      </c>
      <c r="D6" s="541" t="s">
        <v>1476</v>
      </c>
      <c r="E6" s="541" t="s">
        <v>1477</v>
      </c>
      <c r="F6" s="541" t="s">
        <v>1495</v>
      </c>
      <c r="G6" s="541" t="s">
        <v>1479</v>
      </c>
      <c r="H6" s="541" t="s">
        <v>1480</v>
      </c>
      <c r="I6" s="541" t="s">
        <v>1481</v>
      </c>
    </row>
    <row r="7" spans="1:11" x14ac:dyDescent="0.2">
      <c r="A7" s="172">
        <v>2011</v>
      </c>
      <c r="B7" s="533">
        <f>SUM(C7:I7)</f>
        <v>1439667</v>
      </c>
      <c r="C7" s="534">
        <v>488463</v>
      </c>
      <c r="D7" s="534">
        <v>504558</v>
      </c>
      <c r="E7" s="534">
        <v>51012</v>
      </c>
      <c r="F7" s="534">
        <v>66494</v>
      </c>
      <c r="G7" s="534">
        <v>81994</v>
      </c>
      <c r="H7" s="534">
        <v>54000</v>
      </c>
      <c r="I7" s="534">
        <v>193146</v>
      </c>
    </row>
    <row r="8" spans="1:11" x14ac:dyDescent="0.2">
      <c r="A8" s="172">
        <v>2012</v>
      </c>
      <c r="B8" s="533">
        <f>SUM(C8:I8)</f>
        <v>1179363</v>
      </c>
      <c r="C8" s="534">
        <v>242098</v>
      </c>
      <c r="D8" s="534">
        <v>515005</v>
      </c>
      <c r="E8" s="534">
        <v>79622</v>
      </c>
      <c r="F8" s="534">
        <v>87881</v>
      </c>
      <c r="G8" s="534">
        <v>104062</v>
      </c>
      <c r="H8" s="534">
        <v>54846</v>
      </c>
      <c r="I8" s="534">
        <v>95849</v>
      </c>
    </row>
    <row r="9" spans="1:11" x14ac:dyDescent="0.2">
      <c r="A9" s="140">
        <v>2013</v>
      </c>
      <c r="B9" s="533">
        <f>SUM(C9:I9)</f>
        <v>1157583</v>
      </c>
      <c r="C9" s="534">
        <v>318096</v>
      </c>
      <c r="D9" s="534">
        <v>451978</v>
      </c>
      <c r="E9" s="534">
        <v>76964</v>
      </c>
      <c r="F9" s="534">
        <v>70894</v>
      </c>
      <c r="G9" s="534">
        <v>102719</v>
      </c>
      <c r="H9" s="534">
        <v>53131</v>
      </c>
      <c r="I9" s="534">
        <v>83801</v>
      </c>
      <c r="J9" s="538"/>
      <c r="K9" s="538"/>
    </row>
    <row r="10" spans="1:11" x14ac:dyDescent="0.2">
      <c r="A10" s="140">
        <v>2014</v>
      </c>
      <c r="B10" s="533">
        <f>SUM(C10:I10)</f>
        <v>1255600</v>
      </c>
      <c r="C10" s="534">
        <v>219416</v>
      </c>
      <c r="D10" s="534">
        <v>468499</v>
      </c>
      <c r="E10" s="534">
        <v>70737</v>
      </c>
      <c r="F10" s="534">
        <v>121363</v>
      </c>
      <c r="G10" s="534">
        <v>61899</v>
      </c>
      <c r="H10" s="534">
        <v>59078</v>
      </c>
      <c r="I10" s="534">
        <v>254608</v>
      </c>
      <c r="J10" s="538"/>
      <c r="K10" s="538"/>
    </row>
    <row r="11" spans="1:11" x14ac:dyDescent="0.2">
      <c r="A11" s="140">
        <v>2015</v>
      </c>
      <c r="B11" s="533">
        <f>SUM(C11:I11)</f>
        <v>1265424</v>
      </c>
      <c r="C11" s="547">
        <v>328740</v>
      </c>
      <c r="D11" s="547">
        <v>502858</v>
      </c>
      <c r="E11" s="547">
        <v>81661</v>
      </c>
      <c r="F11" s="547">
        <v>121435</v>
      </c>
      <c r="G11" s="547">
        <v>50918</v>
      </c>
      <c r="H11" s="547">
        <v>60495</v>
      </c>
      <c r="I11" s="547">
        <v>119317</v>
      </c>
      <c r="J11" s="538"/>
      <c r="K11" s="538"/>
    </row>
    <row r="12" spans="1:11" ht="12" customHeight="1" x14ac:dyDescent="0.2">
      <c r="A12" s="2645"/>
      <c r="B12" s="2715"/>
      <c r="C12" s="2715"/>
      <c r="D12" s="2715"/>
      <c r="E12" s="2715"/>
      <c r="F12" s="2715"/>
      <c r="G12" s="2715"/>
      <c r="H12" s="2715"/>
      <c r="I12" s="2715"/>
      <c r="J12" s="538"/>
      <c r="K12" s="538"/>
    </row>
    <row r="13" spans="1:11" ht="22.5" customHeight="1" x14ac:dyDescent="0.2">
      <c r="A13" s="2694" t="s">
        <v>1482</v>
      </c>
      <c r="B13" s="2695"/>
      <c r="C13" s="2695"/>
      <c r="D13" s="2695"/>
      <c r="E13" s="2695"/>
      <c r="F13" s="2695"/>
      <c r="G13" s="2695"/>
      <c r="H13" s="2695"/>
      <c r="I13" s="2695"/>
      <c r="J13" s="538"/>
      <c r="K13" s="538"/>
    </row>
    <row r="14" spans="1:11" x14ac:dyDescent="0.2">
      <c r="A14" s="2462" t="s">
        <v>1483</v>
      </c>
      <c r="B14" s="2695"/>
      <c r="C14" s="2695"/>
      <c r="D14" s="2695"/>
      <c r="E14" s="2695"/>
      <c r="F14" s="2695"/>
      <c r="G14" s="2695"/>
      <c r="H14" s="2695"/>
      <c r="I14" s="2695"/>
      <c r="J14" s="538"/>
      <c r="K14" s="538"/>
    </row>
    <row r="15" spans="1:11" x14ac:dyDescent="0.2">
      <c r="A15" s="684"/>
      <c r="B15" s="684"/>
      <c r="C15" s="684"/>
      <c r="D15" s="684"/>
      <c r="E15" s="684"/>
      <c r="F15" s="684"/>
      <c r="G15" s="684"/>
      <c r="H15" s="684"/>
      <c r="I15" s="684"/>
      <c r="J15" s="538"/>
      <c r="K15" s="538"/>
    </row>
    <row r="16" spans="1:11" x14ac:dyDescent="0.2">
      <c r="A16" s="684"/>
      <c r="B16" s="684"/>
      <c r="C16" s="684"/>
      <c r="D16" s="684"/>
      <c r="E16" s="684"/>
      <c r="F16" s="684"/>
      <c r="G16" s="684"/>
      <c r="H16" s="684"/>
      <c r="I16" s="684"/>
      <c r="J16" s="538"/>
      <c r="K16" s="538"/>
    </row>
    <row r="17" spans="1:11" x14ac:dyDescent="0.2">
      <c r="A17" s="684"/>
      <c r="B17" s="684"/>
      <c r="C17" s="684"/>
      <c r="D17" s="684"/>
      <c r="E17" s="684"/>
      <c r="F17" s="684"/>
      <c r="G17" s="684"/>
      <c r="H17" s="684"/>
      <c r="I17" s="684"/>
      <c r="J17" s="538"/>
      <c r="K17" s="538"/>
    </row>
    <row r="18" spans="1:11" x14ac:dyDescent="0.2">
      <c r="A18" s="2064"/>
      <c r="B18" s="2064"/>
      <c r="C18" s="2064"/>
      <c r="D18" s="2064"/>
      <c r="E18" s="2064"/>
      <c r="F18" s="2064"/>
      <c r="G18" s="2064"/>
      <c r="H18" s="2064"/>
      <c r="I18" s="2064"/>
    </row>
    <row r="19" spans="1:11" x14ac:dyDescent="0.2">
      <c r="A19" s="2064"/>
      <c r="B19" s="2064"/>
      <c r="C19" s="2064"/>
      <c r="D19" s="2064"/>
      <c r="E19" s="2064"/>
      <c r="F19" s="2064"/>
      <c r="G19" s="2064"/>
      <c r="H19" s="2064"/>
      <c r="I19" s="2064"/>
    </row>
    <row r="20" spans="1:11" x14ac:dyDescent="0.2">
      <c r="A20" s="2064"/>
      <c r="B20" s="2064"/>
      <c r="C20" s="2064"/>
      <c r="D20" s="2064"/>
      <c r="E20" s="2064"/>
      <c r="F20" s="2064"/>
      <c r="G20" s="2064"/>
      <c r="H20" s="2064"/>
      <c r="I20" s="2064"/>
    </row>
    <row r="21" spans="1:11" x14ac:dyDescent="0.2">
      <c r="A21" s="2064"/>
      <c r="B21" s="2064"/>
      <c r="C21" s="2064"/>
      <c r="D21" s="2064"/>
      <c r="E21" s="2064"/>
      <c r="F21" s="2064"/>
      <c r="G21" s="2064"/>
      <c r="H21" s="2064"/>
      <c r="I21" s="2064"/>
    </row>
    <row r="22" spans="1:11" x14ac:dyDescent="0.2">
      <c r="A22" s="2064"/>
      <c r="B22" s="2064"/>
      <c r="C22" s="2064"/>
      <c r="D22" s="2064"/>
      <c r="E22" s="2064"/>
      <c r="F22" s="2064"/>
      <c r="G22" s="2064"/>
      <c r="H22" s="2064"/>
      <c r="I22" s="2064"/>
    </row>
    <row r="23" spans="1:11" x14ac:dyDescent="0.2">
      <c r="A23" s="2064"/>
      <c r="B23" s="2064"/>
      <c r="C23" s="2064"/>
      <c r="D23" s="2064"/>
      <c r="E23" s="2064"/>
      <c r="F23" s="2064"/>
      <c r="G23" s="2064"/>
      <c r="H23" s="2064"/>
      <c r="I23" s="2064"/>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2:I18"/>
  <sheetViews>
    <sheetView workbookViewId="0">
      <selection activeCell="F28" sqref="F28"/>
    </sheetView>
  </sheetViews>
  <sheetFormatPr baseColWidth="10" defaultColWidth="9.140625" defaultRowHeight="12.75" x14ac:dyDescent="0.2"/>
  <cols>
    <col min="1" max="1" width="13.5703125" style="111" customWidth="1"/>
    <col min="2" max="2" width="14" style="111" customWidth="1"/>
    <col min="3" max="3" width="13.5703125" style="111" customWidth="1"/>
    <col min="4" max="4" width="17.85546875" style="111" customWidth="1"/>
    <col min="5" max="5" width="15" style="111" customWidth="1"/>
    <col min="6" max="6" width="17.85546875" style="111" customWidth="1"/>
    <col min="7" max="7" width="15.7109375" style="111" customWidth="1"/>
    <col min="8" max="9" width="13.42578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9" ht="22.5" customHeight="1" x14ac:dyDescent="0.2">
      <c r="A2" s="2688" t="s">
        <v>1506</v>
      </c>
      <c r="B2" s="2689"/>
      <c r="C2" s="2689"/>
      <c r="D2" s="2689"/>
      <c r="E2" s="2689"/>
      <c r="F2" s="2689"/>
      <c r="G2" s="2689"/>
      <c r="H2" s="2689"/>
      <c r="I2" s="2689"/>
    </row>
    <row r="3" spans="1:9" ht="11.25" customHeight="1" x14ac:dyDescent="0.2">
      <c r="A3" s="2347"/>
      <c r="B3" s="2667"/>
      <c r="C3" s="2667"/>
      <c r="D3" s="2667"/>
      <c r="E3" s="2667"/>
      <c r="F3" s="2667"/>
      <c r="G3" s="2667"/>
      <c r="H3" s="2667"/>
      <c r="I3" s="2667"/>
    </row>
    <row r="4" spans="1:9" x14ac:dyDescent="0.2">
      <c r="A4" s="2379" t="s">
        <v>2</v>
      </c>
      <c r="B4" s="2690" t="s">
        <v>1507</v>
      </c>
      <c r="C4" s="2691"/>
      <c r="D4" s="2691"/>
      <c r="E4" s="2691"/>
      <c r="F4" s="2691"/>
      <c r="G4" s="2691"/>
      <c r="H4" s="2691"/>
      <c r="I4" s="2692"/>
    </row>
    <row r="5" spans="1:9" x14ac:dyDescent="0.2">
      <c r="A5" s="2460"/>
      <c r="B5" s="2379" t="s">
        <v>1473</v>
      </c>
      <c r="C5" s="2690" t="s">
        <v>1474</v>
      </c>
      <c r="D5" s="2691"/>
      <c r="E5" s="2691"/>
      <c r="F5" s="2691"/>
      <c r="G5" s="2691"/>
      <c r="H5" s="2691"/>
      <c r="I5" s="2692"/>
    </row>
    <row r="6" spans="1:9" ht="31.5" x14ac:dyDescent="0.2">
      <c r="A6" s="2360"/>
      <c r="B6" s="2360"/>
      <c r="C6" s="532" t="s">
        <v>1475</v>
      </c>
      <c r="D6" s="539" t="s">
        <v>1476</v>
      </c>
      <c r="E6" s="532" t="s">
        <v>1477</v>
      </c>
      <c r="F6" s="541" t="s">
        <v>4247</v>
      </c>
      <c r="G6" s="541" t="s">
        <v>4252</v>
      </c>
      <c r="H6" s="532" t="s">
        <v>1480</v>
      </c>
      <c r="I6" s="532" t="s">
        <v>1481</v>
      </c>
    </row>
    <row r="7" spans="1:9" x14ac:dyDescent="0.2">
      <c r="A7" s="172">
        <v>2011</v>
      </c>
      <c r="B7" s="533">
        <f>SUM(C7:I7)</f>
        <v>1623296</v>
      </c>
      <c r="C7" s="534">
        <v>308307</v>
      </c>
      <c r="D7" s="534">
        <v>483651</v>
      </c>
      <c r="E7" s="534">
        <v>113838</v>
      </c>
      <c r="F7" s="534">
        <v>141478</v>
      </c>
      <c r="G7" s="534">
        <v>461006</v>
      </c>
      <c r="H7" s="534">
        <v>53083</v>
      </c>
      <c r="I7" s="534">
        <v>61933</v>
      </c>
    </row>
    <row r="8" spans="1:9" x14ac:dyDescent="0.2">
      <c r="A8" s="172">
        <v>2012</v>
      </c>
      <c r="B8" s="533">
        <f>SUM(C8:I8)</f>
        <v>1901665</v>
      </c>
      <c r="C8" s="534">
        <v>356858</v>
      </c>
      <c r="D8" s="534">
        <v>601120</v>
      </c>
      <c r="E8" s="534">
        <v>136408</v>
      </c>
      <c r="F8" s="534">
        <v>184640</v>
      </c>
      <c r="G8" s="534">
        <v>413580</v>
      </c>
      <c r="H8" s="534">
        <v>58621</v>
      </c>
      <c r="I8" s="534">
        <v>150438</v>
      </c>
    </row>
    <row r="9" spans="1:9" x14ac:dyDescent="0.2">
      <c r="A9" s="172">
        <v>2013</v>
      </c>
      <c r="B9" s="533">
        <f>SUM(C9:I9)</f>
        <v>1953444</v>
      </c>
      <c r="C9" s="534">
        <v>370143</v>
      </c>
      <c r="D9" s="534">
        <v>490686</v>
      </c>
      <c r="E9" s="534">
        <v>131966</v>
      </c>
      <c r="F9" s="534">
        <v>180785</v>
      </c>
      <c r="G9" s="534">
        <v>573165</v>
      </c>
      <c r="H9" s="534">
        <v>28091</v>
      </c>
      <c r="I9" s="534">
        <v>178608</v>
      </c>
    </row>
    <row r="10" spans="1:9" x14ac:dyDescent="0.2">
      <c r="A10" s="2059">
        <v>2014</v>
      </c>
      <c r="B10" s="533">
        <f>SUM(C10:I10)</f>
        <v>1939803</v>
      </c>
      <c r="C10" s="534">
        <v>375071</v>
      </c>
      <c r="D10" s="534">
        <v>516469</v>
      </c>
      <c r="E10" s="534">
        <v>141064</v>
      </c>
      <c r="F10" s="534">
        <v>219136</v>
      </c>
      <c r="G10" s="534">
        <v>507400</v>
      </c>
      <c r="H10" s="534">
        <v>49838</v>
      </c>
      <c r="I10" s="534">
        <v>130825</v>
      </c>
    </row>
    <row r="11" spans="1:9" x14ac:dyDescent="0.2">
      <c r="A11" s="2059">
        <v>2015</v>
      </c>
      <c r="B11" s="533">
        <f>SUM(C11:I11)</f>
        <v>1745289</v>
      </c>
      <c r="C11" s="547">
        <v>376162</v>
      </c>
      <c r="D11" s="535">
        <v>424912</v>
      </c>
      <c r="E11" s="535">
        <v>111966</v>
      </c>
      <c r="F11" s="535">
        <v>167915</v>
      </c>
      <c r="G11" s="535">
        <v>459020</v>
      </c>
      <c r="H11" s="535">
        <v>38711</v>
      </c>
      <c r="I11" s="535">
        <v>166603</v>
      </c>
    </row>
    <row r="12" spans="1:9" ht="11.25" customHeight="1" x14ac:dyDescent="0.2">
      <c r="A12" s="2356"/>
      <c r="B12" s="2672"/>
      <c r="C12" s="2672"/>
      <c r="D12" s="2672"/>
      <c r="E12" s="2672"/>
      <c r="F12" s="2672"/>
      <c r="G12" s="2672"/>
      <c r="H12" s="2672"/>
      <c r="I12" s="2672"/>
    </row>
    <row r="13" spans="1:9" ht="24" customHeight="1" x14ac:dyDescent="0.2">
      <c r="A13" s="2414" t="s">
        <v>1482</v>
      </c>
      <c r="B13" s="2687"/>
      <c r="C13" s="2687"/>
      <c r="D13" s="2687"/>
      <c r="E13" s="2687"/>
      <c r="F13" s="2687"/>
      <c r="G13" s="2687"/>
      <c r="H13" s="2687"/>
      <c r="I13" s="2687"/>
    </row>
    <row r="14" spans="1:9" x14ac:dyDescent="0.2">
      <c r="A14" s="2463" t="s">
        <v>1483</v>
      </c>
      <c r="B14" s="2687"/>
      <c r="C14" s="2687"/>
      <c r="D14" s="2687"/>
      <c r="E14" s="2687"/>
      <c r="F14" s="2687"/>
      <c r="G14" s="2687"/>
      <c r="H14" s="2687"/>
      <c r="I14" s="2687"/>
    </row>
    <row r="15" spans="1:9" x14ac:dyDescent="0.2">
      <c r="A15" s="2064"/>
      <c r="B15" s="2064"/>
      <c r="C15" s="2064"/>
      <c r="D15" s="2064"/>
      <c r="E15" s="2064"/>
      <c r="F15" s="2064"/>
      <c r="G15" s="2064"/>
      <c r="H15" s="2064"/>
      <c r="I15" s="2064"/>
    </row>
    <row r="16" spans="1:9" x14ac:dyDescent="0.2">
      <c r="A16" s="2064"/>
      <c r="B16" s="2064"/>
      <c r="C16" s="2064"/>
      <c r="D16" s="2064"/>
      <c r="E16" s="2064"/>
      <c r="F16" s="2064"/>
      <c r="G16" s="2064"/>
      <c r="H16" s="2064"/>
      <c r="I16" s="2064"/>
    </row>
    <row r="17" spans="1:9" x14ac:dyDescent="0.2">
      <c r="A17" s="2064"/>
      <c r="B17" s="2064"/>
      <c r="C17" s="2064"/>
      <c r="D17" s="2064"/>
      <c r="E17" s="2064"/>
      <c r="F17" s="2064"/>
      <c r="G17" s="2064"/>
      <c r="H17" s="2064"/>
      <c r="I17" s="2064"/>
    </row>
    <row r="18" spans="1:9" x14ac:dyDescent="0.2">
      <c r="A18" s="2064"/>
      <c r="B18" s="2064"/>
      <c r="C18" s="2064"/>
      <c r="D18" s="2064"/>
      <c r="E18" s="2064"/>
      <c r="F18" s="2064"/>
      <c r="G18" s="2064"/>
      <c r="H18" s="2064"/>
      <c r="I18" s="2064"/>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F15"/>
  <sheetViews>
    <sheetView workbookViewId="0">
      <selection activeCell="A2" sqref="A2:F2"/>
    </sheetView>
  </sheetViews>
  <sheetFormatPr baseColWidth="10" defaultRowHeight="10.5" x14ac:dyDescent="0.15"/>
  <cols>
    <col min="1" max="1" width="28.42578125" style="1" customWidth="1"/>
    <col min="2" max="2" width="11.42578125" style="1"/>
    <col min="3" max="6" width="15.7109375" style="1" customWidth="1"/>
    <col min="7" max="7" width="6.42578125" style="1" customWidth="1"/>
    <col min="8" max="8" width="5.140625" style="1" customWidth="1"/>
    <col min="9" max="16384" width="11.42578125" style="1"/>
  </cols>
  <sheetData>
    <row r="1" spans="1:6" x14ac:dyDescent="0.15">
      <c r="A1" s="58"/>
    </row>
    <row r="2" spans="1:6" s="29" customFormat="1" ht="22.5" customHeight="1" x14ac:dyDescent="0.15">
      <c r="A2" s="2313" t="s">
        <v>86</v>
      </c>
      <c r="B2" s="2313"/>
      <c r="C2" s="2313"/>
      <c r="D2" s="2313"/>
      <c r="E2" s="2313"/>
      <c r="F2" s="2313"/>
    </row>
    <row r="3" spans="1:6" x14ac:dyDescent="0.15">
      <c r="A3" s="2305"/>
      <c r="B3" s="2305"/>
      <c r="C3" s="2305"/>
      <c r="D3" s="2305"/>
      <c r="E3" s="2305"/>
      <c r="F3" s="2305"/>
    </row>
    <row r="4" spans="1:6" x14ac:dyDescent="0.15">
      <c r="A4" s="2325" t="s">
        <v>87</v>
      </c>
      <c r="B4" s="2325" t="s">
        <v>69</v>
      </c>
      <c r="C4" s="2325" t="s">
        <v>70</v>
      </c>
      <c r="D4" s="2325"/>
      <c r="E4" s="2325"/>
      <c r="F4" s="2325"/>
    </row>
    <row r="5" spans="1:6" ht="32.25" x14ac:dyDescent="0.15">
      <c r="A5" s="2325"/>
      <c r="B5" s="2325"/>
      <c r="C5" s="37" t="s">
        <v>71</v>
      </c>
      <c r="D5" s="37" t="s">
        <v>88</v>
      </c>
      <c r="E5" s="37" t="s">
        <v>73</v>
      </c>
      <c r="F5" s="37" t="s">
        <v>89</v>
      </c>
    </row>
    <row r="6" spans="1:6" s="30" customFormat="1" x14ac:dyDescent="0.15">
      <c r="A6" s="30" t="s">
        <v>4</v>
      </c>
      <c r="B6" s="30">
        <f>SUM(B7:B12)</f>
        <v>392</v>
      </c>
      <c r="C6" s="30">
        <f t="shared" ref="C6:F6" si="0">SUM(C7:C12)</f>
        <v>41</v>
      </c>
      <c r="D6" s="30">
        <f t="shared" si="0"/>
        <v>68</v>
      </c>
      <c r="E6" s="30">
        <f t="shared" si="0"/>
        <v>51</v>
      </c>
      <c r="F6" s="30">
        <f t="shared" si="0"/>
        <v>232</v>
      </c>
    </row>
    <row r="7" spans="1:6" x14ac:dyDescent="0.15">
      <c r="A7" s="1" t="s">
        <v>90</v>
      </c>
      <c r="B7" s="1">
        <f>SUM(C7:F7)</f>
        <v>9</v>
      </c>
      <c r="C7" s="1">
        <v>0</v>
      </c>
      <c r="D7" s="1">
        <v>2</v>
      </c>
      <c r="E7" s="1">
        <v>3</v>
      </c>
      <c r="F7" s="1">
        <v>4</v>
      </c>
    </row>
    <row r="8" spans="1:6" x14ac:dyDescent="0.15">
      <c r="A8" s="1" t="s">
        <v>91</v>
      </c>
      <c r="B8" s="1">
        <f t="shared" ref="B8:B12" si="1">SUM(C8:F8)</f>
        <v>154</v>
      </c>
      <c r="C8" s="1">
        <v>22</v>
      </c>
      <c r="D8" s="1">
        <v>28</v>
      </c>
      <c r="E8" s="1">
        <v>20</v>
      </c>
      <c r="F8" s="1">
        <v>84</v>
      </c>
    </row>
    <row r="9" spans="1:6" x14ac:dyDescent="0.15">
      <c r="A9" s="1" t="s">
        <v>92</v>
      </c>
      <c r="B9" s="1">
        <f t="shared" si="1"/>
        <v>64</v>
      </c>
      <c r="C9" s="1">
        <v>6</v>
      </c>
      <c r="D9" s="1">
        <v>12</v>
      </c>
      <c r="E9" s="1">
        <v>7</v>
      </c>
      <c r="F9" s="1">
        <v>39</v>
      </c>
    </row>
    <row r="10" spans="1:6" x14ac:dyDescent="0.15">
      <c r="A10" s="1" t="s">
        <v>93</v>
      </c>
      <c r="B10" s="1">
        <f t="shared" si="1"/>
        <v>36</v>
      </c>
      <c r="C10" s="1">
        <v>4</v>
      </c>
      <c r="D10" s="1">
        <v>9</v>
      </c>
      <c r="E10" s="1">
        <v>2</v>
      </c>
      <c r="F10" s="1">
        <v>21</v>
      </c>
    </row>
    <row r="11" spans="1:6" x14ac:dyDescent="0.15">
      <c r="A11" s="1" t="s">
        <v>94</v>
      </c>
      <c r="B11" s="1">
        <f t="shared" si="1"/>
        <v>53</v>
      </c>
      <c r="C11" s="1">
        <v>1</v>
      </c>
      <c r="D11" s="1">
        <v>6</v>
      </c>
      <c r="E11" s="1">
        <v>7</v>
      </c>
      <c r="F11" s="1">
        <v>39</v>
      </c>
    </row>
    <row r="12" spans="1:6" x14ac:dyDescent="0.15">
      <c r="A12" s="1" t="s">
        <v>95</v>
      </c>
      <c r="B12" s="1">
        <f t="shared" si="1"/>
        <v>76</v>
      </c>
      <c r="C12" s="1">
        <v>8</v>
      </c>
      <c r="D12" s="1">
        <v>11</v>
      </c>
      <c r="E12" s="1">
        <v>12</v>
      </c>
      <c r="F12" s="1">
        <v>45</v>
      </c>
    </row>
    <row r="13" spans="1:6" x14ac:dyDescent="0.15">
      <c r="A13" s="2303"/>
      <c r="B13" s="2303"/>
      <c r="C13" s="2303"/>
      <c r="D13" s="2303"/>
      <c r="E13" s="2303"/>
      <c r="F13" s="2303"/>
    </row>
    <row r="14" spans="1:6" x14ac:dyDescent="0.15">
      <c r="A14" s="2303" t="s">
        <v>96</v>
      </c>
      <c r="B14" s="2303"/>
      <c r="C14" s="2303"/>
      <c r="D14" s="2303"/>
      <c r="E14" s="2303"/>
      <c r="F14" s="2303"/>
    </row>
    <row r="15" spans="1:6" x14ac:dyDescent="0.15">
      <c r="A15" s="2303" t="s">
        <v>21</v>
      </c>
      <c r="B15" s="2303"/>
      <c r="C15" s="2303"/>
      <c r="D15" s="2303"/>
      <c r="E15" s="2303"/>
      <c r="F15" s="2303"/>
    </row>
  </sheetData>
  <mergeCells count="8">
    <mergeCell ref="A14:F14"/>
    <mergeCell ref="A15:F15"/>
    <mergeCell ref="A2:F2"/>
    <mergeCell ref="A3:F3"/>
    <mergeCell ref="A4:A5"/>
    <mergeCell ref="B4:B5"/>
    <mergeCell ref="C4:F4"/>
    <mergeCell ref="A13:F13"/>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2:K19"/>
  <sheetViews>
    <sheetView workbookViewId="0">
      <selection activeCell="A26" sqref="A26"/>
    </sheetView>
  </sheetViews>
  <sheetFormatPr baseColWidth="10" defaultColWidth="9.140625" defaultRowHeight="10.5" x14ac:dyDescent="0.15"/>
  <cols>
    <col min="1" max="1" width="9.140625" style="548" customWidth="1"/>
    <col min="2" max="2" width="14" style="548" customWidth="1"/>
    <col min="3" max="3" width="9" style="548" bestFit="1" customWidth="1"/>
    <col min="4" max="4" width="13.7109375" style="548" bestFit="1" customWidth="1"/>
    <col min="5" max="5" width="9" style="548" bestFit="1" customWidth="1"/>
    <col min="6" max="6" width="15.42578125" style="548" customWidth="1"/>
    <col min="7" max="7" width="14.5703125" style="548" customWidth="1"/>
    <col min="8" max="8" width="14.140625" style="548" customWidth="1"/>
    <col min="9" max="9" width="14.28515625" style="548" customWidth="1"/>
    <col min="10" max="10" width="6.42578125" style="548" customWidth="1"/>
    <col min="11" max="11" width="11.85546875" style="548" bestFit="1" customWidth="1"/>
    <col min="12" max="256" width="9.140625" style="548"/>
    <col min="257" max="257" width="9.140625" style="548" customWidth="1"/>
    <col min="258" max="258" width="14" style="548" customWidth="1"/>
    <col min="259" max="259" width="9" style="548" bestFit="1" customWidth="1"/>
    <col min="260" max="260" width="13.7109375" style="548" bestFit="1" customWidth="1"/>
    <col min="261" max="261" width="9" style="548" bestFit="1" customWidth="1"/>
    <col min="262" max="262" width="15.42578125" style="548" customWidth="1"/>
    <col min="263" max="263" width="14.5703125" style="548" customWidth="1"/>
    <col min="264" max="264" width="14.140625" style="548" customWidth="1"/>
    <col min="265" max="265" width="14.28515625" style="548" customWidth="1"/>
    <col min="266" max="266" width="6.42578125" style="548" customWidth="1"/>
    <col min="267" max="267" width="11.85546875" style="548" bestFit="1" customWidth="1"/>
    <col min="268" max="512" width="9.140625" style="548"/>
    <col min="513" max="513" width="9.140625" style="548" customWidth="1"/>
    <col min="514" max="514" width="14" style="548" customWidth="1"/>
    <col min="515" max="515" width="9" style="548" bestFit="1" customWidth="1"/>
    <col min="516" max="516" width="13.7109375" style="548" bestFit="1" customWidth="1"/>
    <col min="517" max="517" width="9" style="548" bestFit="1" customWidth="1"/>
    <col min="518" max="518" width="15.42578125" style="548" customWidth="1"/>
    <col min="519" max="519" width="14.5703125" style="548" customWidth="1"/>
    <col min="520" max="520" width="14.140625" style="548" customWidth="1"/>
    <col min="521" max="521" width="14.28515625" style="548" customWidth="1"/>
    <col min="522" max="522" width="6.42578125" style="548" customWidth="1"/>
    <col min="523" max="523" width="11.85546875" style="548" bestFit="1" customWidth="1"/>
    <col min="524" max="768" width="9.140625" style="548"/>
    <col min="769" max="769" width="9.140625" style="548" customWidth="1"/>
    <col min="770" max="770" width="14" style="548" customWidth="1"/>
    <col min="771" max="771" width="9" style="548" bestFit="1" customWidth="1"/>
    <col min="772" max="772" width="13.7109375" style="548" bestFit="1" customWidth="1"/>
    <col min="773" max="773" width="9" style="548" bestFit="1" customWidth="1"/>
    <col min="774" max="774" width="15.42578125" style="548" customWidth="1"/>
    <col min="775" max="775" width="14.5703125" style="548" customWidth="1"/>
    <col min="776" max="776" width="14.140625" style="548" customWidth="1"/>
    <col min="777" max="777" width="14.28515625" style="548" customWidth="1"/>
    <col min="778" max="778" width="6.42578125" style="548" customWidth="1"/>
    <col min="779" max="779" width="11.85546875" style="548" bestFit="1" customWidth="1"/>
    <col min="780" max="1024" width="9.140625" style="548"/>
    <col min="1025" max="1025" width="9.140625" style="548" customWidth="1"/>
    <col min="1026" max="1026" width="14" style="548" customWidth="1"/>
    <col min="1027" max="1027" width="9" style="548" bestFit="1" customWidth="1"/>
    <col min="1028" max="1028" width="13.7109375" style="548" bestFit="1" customWidth="1"/>
    <col min="1029" max="1029" width="9" style="548" bestFit="1" customWidth="1"/>
    <col min="1030" max="1030" width="15.42578125" style="548" customWidth="1"/>
    <col min="1031" max="1031" width="14.5703125" style="548" customWidth="1"/>
    <col min="1032" max="1032" width="14.140625" style="548" customWidth="1"/>
    <col min="1033" max="1033" width="14.28515625" style="548" customWidth="1"/>
    <col min="1034" max="1034" width="6.42578125" style="548" customWidth="1"/>
    <col min="1035" max="1035" width="11.85546875" style="548" bestFit="1" customWidth="1"/>
    <col min="1036" max="1280" width="9.140625" style="548"/>
    <col min="1281" max="1281" width="9.140625" style="548" customWidth="1"/>
    <col min="1282" max="1282" width="14" style="548" customWidth="1"/>
    <col min="1283" max="1283" width="9" style="548" bestFit="1" customWidth="1"/>
    <col min="1284" max="1284" width="13.7109375" style="548" bestFit="1" customWidth="1"/>
    <col min="1285" max="1285" width="9" style="548" bestFit="1" customWidth="1"/>
    <col min="1286" max="1286" width="15.42578125" style="548" customWidth="1"/>
    <col min="1287" max="1287" width="14.5703125" style="548" customWidth="1"/>
    <col min="1288" max="1288" width="14.140625" style="548" customWidth="1"/>
    <col min="1289" max="1289" width="14.28515625" style="548" customWidth="1"/>
    <col min="1290" max="1290" width="6.42578125" style="548" customWidth="1"/>
    <col min="1291" max="1291" width="11.85546875" style="548" bestFit="1" customWidth="1"/>
    <col min="1292" max="1536" width="9.140625" style="548"/>
    <col min="1537" max="1537" width="9.140625" style="548" customWidth="1"/>
    <col min="1538" max="1538" width="14" style="548" customWidth="1"/>
    <col min="1539" max="1539" width="9" style="548" bestFit="1" customWidth="1"/>
    <col min="1540" max="1540" width="13.7109375" style="548" bestFit="1" customWidth="1"/>
    <col min="1541" max="1541" width="9" style="548" bestFit="1" customWidth="1"/>
    <col min="1542" max="1542" width="15.42578125" style="548" customWidth="1"/>
    <col min="1543" max="1543" width="14.5703125" style="548" customWidth="1"/>
    <col min="1544" max="1544" width="14.140625" style="548" customWidth="1"/>
    <col min="1545" max="1545" width="14.28515625" style="548" customWidth="1"/>
    <col min="1546" max="1546" width="6.42578125" style="548" customWidth="1"/>
    <col min="1547" max="1547" width="11.85546875" style="548" bestFit="1" customWidth="1"/>
    <col min="1548" max="1792" width="9.140625" style="548"/>
    <col min="1793" max="1793" width="9.140625" style="548" customWidth="1"/>
    <col min="1794" max="1794" width="14" style="548" customWidth="1"/>
    <col min="1795" max="1795" width="9" style="548" bestFit="1" customWidth="1"/>
    <col min="1796" max="1796" width="13.7109375" style="548" bestFit="1" customWidth="1"/>
    <col min="1797" max="1797" width="9" style="548" bestFit="1" customWidth="1"/>
    <col min="1798" max="1798" width="15.42578125" style="548" customWidth="1"/>
    <col min="1799" max="1799" width="14.5703125" style="548" customWidth="1"/>
    <col min="1800" max="1800" width="14.140625" style="548" customWidth="1"/>
    <col min="1801" max="1801" width="14.28515625" style="548" customWidth="1"/>
    <col min="1802" max="1802" width="6.42578125" style="548" customWidth="1"/>
    <col min="1803" max="1803" width="11.85546875" style="548" bestFit="1" customWidth="1"/>
    <col min="1804" max="2048" width="9.140625" style="548"/>
    <col min="2049" max="2049" width="9.140625" style="548" customWidth="1"/>
    <col min="2050" max="2050" width="14" style="548" customWidth="1"/>
    <col min="2051" max="2051" width="9" style="548" bestFit="1" customWidth="1"/>
    <col min="2052" max="2052" width="13.7109375" style="548" bestFit="1" customWidth="1"/>
    <col min="2053" max="2053" width="9" style="548" bestFit="1" customWidth="1"/>
    <col min="2054" max="2054" width="15.42578125" style="548" customWidth="1"/>
    <col min="2055" max="2055" width="14.5703125" style="548" customWidth="1"/>
    <col min="2056" max="2056" width="14.140625" style="548" customWidth="1"/>
    <col min="2057" max="2057" width="14.28515625" style="548" customWidth="1"/>
    <col min="2058" max="2058" width="6.42578125" style="548" customWidth="1"/>
    <col min="2059" max="2059" width="11.85546875" style="548" bestFit="1" customWidth="1"/>
    <col min="2060" max="2304" width="9.140625" style="548"/>
    <col min="2305" max="2305" width="9.140625" style="548" customWidth="1"/>
    <col min="2306" max="2306" width="14" style="548" customWidth="1"/>
    <col min="2307" max="2307" width="9" style="548" bestFit="1" customWidth="1"/>
    <col min="2308" max="2308" width="13.7109375" style="548" bestFit="1" customWidth="1"/>
    <col min="2309" max="2309" width="9" style="548" bestFit="1" customWidth="1"/>
    <col min="2310" max="2310" width="15.42578125" style="548" customWidth="1"/>
    <col min="2311" max="2311" width="14.5703125" style="548" customWidth="1"/>
    <col min="2312" max="2312" width="14.140625" style="548" customWidth="1"/>
    <col min="2313" max="2313" width="14.28515625" style="548" customWidth="1"/>
    <col min="2314" max="2314" width="6.42578125" style="548" customWidth="1"/>
    <col min="2315" max="2315" width="11.85546875" style="548" bestFit="1" customWidth="1"/>
    <col min="2316" max="2560" width="9.140625" style="548"/>
    <col min="2561" max="2561" width="9.140625" style="548" customWidth="1"/>
    <col min="2562" max="2562" width="14" style="548" customWidth="1"/>
    <col min="2563" max="2563" width="9" style="548" bestFit="1" customWidth="1"/>
    <col min="2564" max="2564" width="13.7109375" style="548" bestFit="1" customWidth="1"/>
    <col min="2565" max="2565" width="9" style="548" bestFit="1" customWidth="1"/>
    <col min="2566" max="2566" width="15.42578125" style="548" customWidth="1"/>
    <col min="2567" max="2567" width="14.5703125" style="548" customWidth="1"/>
    <col min="2568" max="2568" width="14.140625" style="548" customWidth="1"/>
    <col min="2569" max="2569" width="14.28515625" style="548" customWidth="1"/>
    <col min="2570" max="2570" width="6.42578125" style="548" customWidth="1"/>
    <col min="2571" max="2571" width="11.85546875" style="548" bestFit="1" customWidth="1"/>
    <col min="2572" max="2816" width="9.140625" style="548"/>
    <col min="2817" max="2817" width="9.140625" style="548" customWidth="1"/>
    <col min="2818" max="2818" width="14" style="548" customWidth="1"/>
    <col min="2819" max="2819" width="9" style="548" bestFit="1" customWidth="1"/>
    <col min="2820" max="2820" width="13.7109375" style="548" bestFit="1" customWidth="1"/>
    <col min="2821" max="2821" width="9" style="548" bestFit="1" customWidth="1"/>
    <col min="2822" max="2822" width="15.42578125" style="548" customWidth="1"/>
    <col min="2823" max="2823" width="14.5703125" style="548" customWidth="1"/>
    <col min="2824" max="2824" width="14.140625" style="548" customWidth="1"/>
    <col min="2825" max="2825" width="14.28515625" style="548" customWidth="1"/>
    <col min="2826" max="2826" width="6.42578125" style="548" customWidth="1"/>
    <col min="2827" max="2827" width="11.85546875" style="548" bestFit="1" customWidth="1"/>
    <col min="2828" max="3072" width="9.140625" style="548"/>
    <col min="3073" max="3073" width="9.140625" style="548" customWidth="1"/>
    <col min="3074" max="3074" width="14" style="548" customWidth="1"/>
    <col min="3075" max="3075" width="9" style="548" bestFit="1" customWidth="1"/>
    <col min="3076" max="3076" width="13.7109375" style="548" bestFit="1" customWidth="1"/>
    <col min="3077" max="3077" width="9" style="548" bestFit="1" customWidth="1"/>
    <col min="3078" max="3078" width="15.42578125" style="548" customWidth="1"/>
    <col min="3079" max="3079" width="14.5703125" style="548" customWidth="1"/>
    <col min="3080" max="3080" width="14.140625" style="548" customWidth="1"/>
    <col min="3081" max="3081" width="14.28515625" style="548" customWidth="1"/>
    <col min="3082" max="3082" width="6.42578125" style="548" customWidth="1"/>
    <col min="3083" max="3083" width="11.85546875" style="548" bestFit="1" customWidth="1"/>
    <col min="3084" max="3328" width="9.140625" style="548"/>
    <col min="3329" max="3329" width="9.140625" style="548" customWidth="1"/>
    <col min="3330" max="3330" width="14" style="548" customWidth="1"/>
    <col min="3331" max="3331" width="9" style="548" bestFit="1" customWidth="1"/>
    <col min="3332" max="3332" width="13.7109375" style="548" bestFit="1" customWidth="1"/>
    <col min="3333" max="3333" width="9" style="548" bestFit="1" customWidth="1"/>
    <col min="3334" max="3334" width="15.42578125" style="548" customWidth="1"/>
    <col min="3335" max="3335" width="14.5703125" style="548" customWidth="1"/>
    <col min="3336" max="3336" width="14.140625" style="548" customWidth="1"/>
    <col min="3337" max="3337" width="14.28515625" style="548" customWidth="1"/>
    <col min="3338" max="3338" width="6.42578125" style="548" customWidth="1"/>
    <col min="3339" max="3339" width="11.85546875" style="548" bestFit="1" customWidth="1"/>
    <col min="3340" max="3584" width="9.140625" style="548"/>
    <col min="3585" max="3585" width="9.140625" style="548" customWidth="1"/>
    <col min="3586" max="3586" width="14" style="548" customWidth="1"/>
    <col min="3587" max="3587" width="9" style="548" bestFit="1" customWidth="1"/>
    <col min="3588" max="3588" width="13.7109375" style="548" bestFit="1" customWidth="1"/>
    <col min="3589" max="3589" width="9" style="548" bestFit="1" customWidth="1"/>
    <col min="3590" max="3590" width="15.42578125" style="548" customWidth="1"/>
    <col min="3591" max="3591" width="14.5703125" style="548" customWidth="1"/>
    <col min="3592" max="3592" width="14.140625" style="548" customWidth="1"/>
    <col min="3593" max="3593" width="14.28515625" style="548" customWidth="1"/>
    <col min="3594" max="3594" width="6.42578125" style="548" customWidth="1"/>
    <col min="3595" max="3595" width="11.85546875" style="548" bestFit="1" customWidth="1"/>
    <col min="3596" max="3840" width="9.140625" style="548"/>
    <col min="3841" max="3841" width="9.140625" style="548" customWidth="1"/>
    <col min="3842" max="3842" width="14" style="548" customWidth="1"/>
    <col min="3843" max="3843" width="9" style="548" bestFit="1" customWidth="1"/>
    <col min="3844" max="3844" width="13.7109375" style="548" bestFit="1" customWidth="1"/>
    <col min="3845" max="3845" width="9" style="548" bestFit="1" customWidth="1"/>
    <col min="3846" max="3846" width="15.42578125" style="548" customWidth="1"/>
    <col min="3847" max="3847" width="14.5703125" style="548" customWidth="1"/>
    <col min="3848" max="3848" width="14.140625" style="548" customWidth="1"/>
    <col min="3849" max="3849" width="14.28515625" style="548" customWidth="1"/>
    <col min="3850" max="3850" width="6.42578125" style="548" customWidth="1"/>
    <col min="3851" max="3851" width="11.85546875" style="548" bestFit="1" customWidth="1"/>
    <col min="3852" max="4096" width="9.140625" style="548"/>
    <col min="4097" max="4097" width="9.140625" style="548" customWidth="1"/>
    <col min="4098" max="4098" width="14" style="548" customWidth="1"/>
    <col min="4099" max="4099" width="9" style="548" bestFit="1" customWidth="1"/>
    <col min="4100" max="4100" width="13.7109375" style="548" bestFit="1" customWidth="1"/>
    <col min="4101" max="4101" width="9" style="548" bestFit="1" customWidth="1"/>
    <col min="4102" max="4102" width="15.42578125" style="548" customWidth="1"/>
    <col min="4103" max="4103" width="14.5703125" style="548" customWidth="1"/>
    <col min="4104" max="4104" width="14.140625" style="548" customWidth="1"/>
    <col min="4105" max="4105" width="14.28515625" style="548" customWidth="1"/>
    <col min="4106" max="4106" width="6.42578125" style="548" customWidth="1"/>
    <col min="4107" max="4107" width="11.85546875" style="548" bestFit="1" customWidth="1"/>
    <col min="4108" max="4352" width="9.140625" style="548"/>
    <col min="4353" max="4353" width="9.140625" style="548" customWidth="1"/>
    <col min="4354" max="4354" width="14" style="548" customWidth="1"/>
    <col min="4355" max="4355" width="9" style="548" bestFit="1" customWidth="1"/>
    <col min="4356" max="4356" width="13.7109375" style="548" bestFit="1" customWidth="1"/>
    <col min="4357" max="4357" width="9" style="548" bestFit="1" customWidth="1"/>
    <col min="4358" max="4358" width="15.42578125" style="548" customWidth="1"/>
    <col min="4359" max="4359" width="14.5703125" style="548" customWidth="1"/>
    <col min="4360" max="4360" width="14.140625" style="548" customWidth="1"/>
    <col min="4361" max="4361" width="14.28515625" style="548" customWidth="1"/>
    <col min="4362" max="4362" width="6.42578125" style="548" customWidth="1"/>
    <col min="4363" max="4363" width="11.85546875" style="548" bestFit="1" customWidth="1"/>
    <col min="4364" max="4608" width="9.140625" style="548"/>
    <col min="4609" max="4609" width="9.140625" style="548" customWidth="1"/>
    <col min="4610" max="4610" width="14" style="548" customWidth="1"/>
    <col min="4611" max="4611" width="9" style="548" bestFit="1" customWidth="1"/>
    <col min="4612" max="4612" width="13.7109375" style="548" bestFit="1" customWidth="1"/>
    <col min="4613" max="4613" width="9" style="548" bestFit="1" customWidth="1"/>
    <col min="4614" max="4614" width="15.42578125" style="548" customWidth="1"/>
    <col min="4615" max="4615" width="14.5703125" style="548" customWidth="1"/>
    <col min="4616" max="4616" width="14.140625" style="548" customWidth="1"/>
    <col min="4617" max="4617" width="14.28515625" style="548" customWidth="1"/>
    <col min="4618" max="4618" width="6.42578125" style="548" customWidth="1"/>
    <col min="4619" max="4619" width="11.85546875" style="548" bestFit="1" customWidth="1"/>
    <col min="4620" max="4864" width="9.140625" style="548"/>
    <col min="4865" max="4865" width="9.140625" style="548" customWidth="1"/>
    <col min="4866" max="4866" width="14" style="548" customWidth="1"/>
    <col min="4867" max="4867" width="9" style="548" bestFit="1" customWidth="1"/>
    <col min="4868" max="4868" width="13.7109375" style="548" bestFit="1" customWidth="1"/>
    <col min="4869" max="4869" width="9" style="548" bestFit="1" customWidth="1"/>
    <col min="4870" max="4870" width="15.42578125" style="548" customWidth="1"/>
    <col min="4871" max="4871" width="14.5703125" style="548" customWidth="1"/>
    <col min="4872" max="4872" width="14.140625" style="548" customWidth="1"/>
    <col min="4873" max="4873" width="14.28515625" style="548" customWidth="1"/>
    <col min="4874" max="4874" width="6.42578125" style="548" customWidth="1"/>
    <col min="4875" max="4875" width="11.85546875" style="548" bestFit="1" customWidth="1"/>
    <col min="4876" max="5120" width="9.140625" style="548"/>
    <col min="5121" max="5121" width="9.140625" style="548" customWidth="1"/>
    <col min="5122" max="5122" width="14" style="548" customWidth="1"/>
    <col min="5123" max="5123" width="9" style="548" bestFit="1" customWidth="1"/>
    <col min="5124" max="5124" width="13.7109375" style="548" bestFit="1" customWidth="1"/>
    <col min="5125" max="5125" width="9" style="548" bestFit="1" customWidth="1"/>
    <col min="5126" max="5126" width="15.42578125" style="548" customWidth="1"/>
    <col min="5127" max="5127" width="14.5703125" style="548" customWidth="1"/>
    <col min="5128" max="5128" width="14.140625" style="548" customWidth="1"/>
    <col min="5129" max="5129" width="14.28515625" style="548" customWidth="1"/>
    <col min="5130" max="5130" width="6.42578125" style="548" customWidth="1"/>
    <col min="5131" max="5131" width="11.85546875" style="548" bestFit="1" customWidth="1"/>
    <col min="5132" max="5376" width="9.140625" style="548"/>
    <col min="5377" max="5377" width="9.140625" style="548" customWidth="1"/>
    <col min="5378" max="5378" width="14" style="548" customWidth="1"/>
    <col min="5379" max="5379" width="9" style="548" bestFit="1" customWidth="1"/>
    <col min="5380" max="5380" width="13.7109375" style="548" bestFit="1" customWidth="1"/>
    <col min="5381" max="5381" width="9" style="548" bestFit="1" customWidth="1"/>
    <col min="5382" max="5382" width="15.42578125" style="548" customWidth="1"/>
    <col min="5383" max="5383" width="14.5703125" style="548" customWidth="1"/>
    <col min="5384" max="5384" width="14.140625" style="548" customWidth="1"/>
    <col min="5385" max="5385" width="14.28515625" style="548" customWidth="1"/>
    <col min="5386" max="5386" width="6.42578125" style="548" customWidth="1"/>
    <col min="5387" max="5387" width="11.85546875" style="548" bestFit="1" customWidth="1"/>
    <col min="5388" max="5632" width="9.140625" style="548"/>
    <col min="5633" max="5633" width="9.140625" style="548" customWidth="1"/>
    <col min="5634" max="5634" width="14" style="548" customWidth="1"/>
    <col min="5635" max="5635" width="9" style="548" bestFit="1" customWidth="1"/>
    <col min="5636" max="5636" width="13.7109375" style="548" bestFit="1" customWidth="1"/>
    <col min="5637" max="5637" width="9" style="548" bestFit="1" customWidth="1"/>
    <col min="5638" max="5638" width="15.42578125" style="548" customWidth="1"/>
    <col min="5639" max="5639" width="14.5703125" style="548" customWidth="1"/>
    <col min="5640" max="5640" width="14.140625" style="548" customWidth="1"/>
    <col min="5641" max="5641" width="14.28515625" style="548" customWidth="1"/>
    <col min="5642" max="5642" width="6.42578125" style="548" customWidth="1"/>
    <col min="5643" max="5643" width="11.85546875" style="548" bestFit="1" customWidth="1"/>
    <col min="5644" max="5888" width="9.140625" style="548"/>
    <col min="5889" max="5889" width="9.140625" style="548" customWidth="1"/>
    <col min="5890" max="5890" width="14" style="548" customWidth="1"/>
    <col min="5891" max="5891" width="9" style="548" bestFit="1" customWidth="1"/>
    <col min="5892" max="5892" width="13.7109375" style="548" bestFit="1" customWidth="1"/>
    <col min="5893" max="5893" width="9" style="548" bestFit="1" customWidth="1"/>
    <col min="5894" max="5894" width="15.42578125" style="548" customWidth="1"/>
    <col min="5895" max="5895" width="14.5703125" style="548" customWidth="1"/>
    <col min="5896" max="5896" width="14.140625" style="548" customWidth="1"/>
    <col min="5897" max="5897" width="14.28515625" style="548" customWidth="1"/>
    <col min="5898" max="5898" width="6.42578125" style="548" customWidth="1"/>
    <col min="5899" max="5899" width="11.85546875" style="548" bestFit="1" customWidth="1"/>
    <col min="5900" max="6144" width="9.140625" style="548"/>
    <col min="6145" max="6145" width="9.140625" style="548" customWidth="1"/>
    <col min="6146" max="6146" width="14" style="548" customWidth="1"/>
    <col min="6147" max="6147" width="9" style="548" bestFit="1" customWidth="1"/>
    <col min="6148" max="6148" width="13.7109375" style="548" bestFit="1" customWidth="1"/>
    <col min="6149" max="6149" width="9" style="548" bestFit="1" customWidth="1"/>
    <col min="6150" max="6150" width="15.42578125" style="548" customWidth="1"/>
    <col min="6151" max="6151" width="14.5703125" style="548" customWidth="1"/>
    <col min="6152" max="6152" width="14.140625" style="548" customWidth="1"/>
    <col min="6153" max="6153" width="14.28515625" style="548" customWidth="1"/>
    <col min="6154" max="6154" width="6.42578125" style="548" customWidth="1"/>
    <col min="6155" max="6155" width="11.85546875" style="548" bestFit="1" customWidth="1"/>
    <col min="6156" max="6400" width="9.140625" style="548"/>
    <col min="6401" max="6401" width="9.140625" style="548" customWidth="1"/>
    <col min="6402" max="6402" width="14" style="548" customWidth="1"/>
    <col min="6403" max="6403" width="9" style="548" bestFit="1" customWidth="1"/>
    <col min="6404" max="6404" width="13.7109375" style="548" bestFit="1" customWidth="1"/>
    <col min="6405" max="6405" width="9" style="548" bestFit="1" customWidth="1"/>
    <col min="6406" max="6406" width="15.42578125" style="548" customWidth="1"/>
    <col min="6407" max="6407" width="14.5703125" style="548" customWidth="1"/>
    <col min="6408" max="6408" width="14.140625" style="548" customWidth="1"/>
    <col min="6409" max="6409" width="14.28515625" style="548" customWidth="1"/>
    <col min="6410" max="6410" width="6.42578125" style="548" customWidth="1"/>
    <col min="6411" max="6411" width="11.85546875" style="548" bestFit="1" customWidth="1"/>
    <col min="6412" max="6656" width="9.140625" style="548"/>
    <col min="6657" max="6657" width="9.140625" style="548" customWidth="1"/>
    <col min="6658" max="6658" width="14" style="548" customWidth="1"/>
    <col min="6659" max="6659" width="9" style="548" bestFit="1" customWidth="1"/>
    <col min="6660" max="6660" width="13.7109375" style="548" bestFit="1" customWidth="1"/>
    <col min="6661" max="6661" width="9" style="548" bestFit="1" customWidth="1"/>
    <col min="6662" max="6662" width="15.42578125" style="548" customWidth="1"/>
    <col min="6663" max="6663" width="14.5703125" style="548" customWidth="1"/>
    <col min="6664" max="6664" width="14.140625" style="548" customWidth="1"/>
    <col min="6665" max="6665" width="14.28515625" style="548" customWidth="1"/>
    <col min="6666" max="6666" width="6.42578125" style="548" customWidth="1"/>
    <col min="6667" max="6667" width="11.85546875" style="548" bestFit="1" customWidth="1"/>
    <col min="6668" max="6912" width="9.140625" style="548"/>
    <col min="6913" max="6913" width="9.140625" style="548" customWidth="1"/>
    <col min="6914" max="6914" width="14" style="548" customWidth="1"/>
    <col min="6915" max="6915" width="9" style="548" bestFit="1" customWidth="1"/>
    <col min="6916" max="6916" width="13.7109375" style="548" bestFit="1" customWidth="1"/>
    <col min="6917" max="6917" width="9" style="548" bestFit="1" customWidth="1"/>
    <col min="6918" max="6918" width="15.42578125" style="548" customWidth="1"/>
    <col min="6919" max="6919" width="14.5703125" style="548" customWidth="1"/>
    <col min="6920" max="6920" width="14.140625" style="548" customWidth="1"/>
    <col min="6921" max="6921" width="14.28515625" style="548" customWidth="1"/>
    <col min="6922" max="6922" width="6.42578125" style="548" customWidth="1"/>
    <col min="6923" max="6923" width="11.85546875" style="548" bestFit="1" customWidth="1"/>
    <col min="6924" max="7168" width="9.140625" style="548"/>
    <col min="7169" max="7169" width="9.140625" style="548" customWidth="1"/>
    <col min="7170" max="7170" width="14" style="548" customWidth="1"/>
    <col min="7171" max="7171" width="9" style="548" bestFit="1" customWidth="1"/>
    <col min="7172" max="7172" width="13.7109375" style="548" bestFit="1" customWidth="1"/>
    <col min="7173" max="7173" width="9" style="548" bestFit="1" customWidth="1"/>
    <col min="7174" max="7174" width="15.42578125" style="548" customWidth="1"/>
    <col min="7175" max="7175" width="14.5703125" style="548" customWidth="1"/>
    <col min="7176" max="7176" width="14.140625" style="548" customWidth="1"/>
    <col min="7177" max="7177" width="14.28515625" style="548" customWidth="1"/>
    <col min="7178" max="7178" width="6.42578125" style="548" customWidth="1"/>
    <col min="7179" max="7179" width="11.85546875" style="548" bestFit="1" customWidth="1"/>
    <col min="7180" max="7424" width="9.140625" style="548"/>
    <col min="7425" max="7425" width="9.140625" style="548" customWidth="1"/>
    <col min="7426" max="7426" width="14" style="548" customWidth="1"/>
    <col min="7427" max="7427" width="9" style="548" bestFit="1" customWidth="1"/>
    <col min="7428" max="7428" width="13.7109375" style="548" bestFit="1" customWidth="1"/>
    <col min="7429" max="7429" width="9" style="548" bestFit="1" customWidth="1"/>
    <col min="7430" max="7430" width="15.42578125" style="548" customWidth="1"/>
    <col min="7431" max="7431" width="14.5703125" style="548" customWidth="1"/>
    <col min="7432" max="7432" width="14.140625" style="548" customWidth="1"/>
    <col min="7433" max="7433" width="14.28515625" style="548" customWidth="1"/>
    <col min="7434" max="7434" width="6.42578125" style="548" customWidth="1"/>
    <col min="7435" max="7435" width="11.85546875" style="548" bestFit="1" customWidth="1"/>
    <col min="7436" max="7680" width="9.140625" style="548"/>
    <col min="7681" max="7681" width="9.140625" style="548" customWidth="1"/>
    <col min="7682" max="7682" width="14" style="548" customWidth="1"/>
    <col min="7683" max="7683" width="9" style="548" bestFit="1" customWidth="1"/>
    <col min="7684" max="7684" width="13.7109375" style="548" bestFit="1" customWidth="1"/>
    <col min="7685" max="7685" width="9" style="548" bestFit="1" customWidth="1"/>
    <col min="7686" max="7686" width="15.42578125" style="548" customWidth="1"/>
    <col min="7687" max="7687" width="14.5703125" style="548" customWidth="1"/>
    <col min="7688" max="7688" width="14.140625" style="548" customWidth="1"/>
    <col min="7689" max="7689" width="14.28515625" style="548" customWidth="1"/>
    <col min="7690" max="7690" width="6.42578125" style="548" customWidth="1"/>
    <col min="7691" max="7691" width="11.85546875" style="548" bestFit="1" customWidth="1"/>
    <col min="7692" max="7936" width="9.140625" style="548"/>
    <col min="7937" max="7937" width="9.140625" style="548" customWidth="1"/>
    <col min="7938" max="7938" width="14" style="548" customWidth="1"/>
    <col min="7939" max="7939" width="9" style="548" bestFit="1" customWidth="1"/>
    <col min="7940" max="7940" width="13.7109375" style="548" bestFit="1" customWidth="1"/>
    <col min="7941" max="7941" width="9" style="548" bestFit="1" customWidth="1"/>
    <col min="7942" max="7942" width="15.42578125" style="548" customWidth="1"/>
    <col min="7943" max="7943" width="14.5703125" style="548" customWidth="1"/>
    <col min="7944" max="7944" width="14.140625" style="548" customWidth="1"/>
    <col min="7945" max="7945" width="14.28515625" style="548" customWidth="1"/>
    <col min="7946" max="7946" width="6.42578125" style="548" customWidth="1"/>
    <col min="7947" max="7947" width="11.85546875" style="548" bestFit="1" customWidth="1"/>
    <col min="7948" max="8192" width="9.140625" style="548"/>
    <col min="8193" max="8193" width="9.140625" style="548" customWidth="1"/>
    <col min="8194" max="8194" width="14" style="548" customWidth="1"/>
    <col min="8195" max="8195" width="9" style="548" bestFit="1" customWidth="1"/>
    <col min="8196" max="8196" width="13.7109375" style="548" bestFit="1" customWidth="1"/>
    <col min="8197" max="8197" width="9" style="548" bestFit="1" customWidth="1"/>
    <col min="8198" max="8198" width="15.42578125" style="548" customWidth="1"/>
    <col min="8199" max="8199" width="14.5703125" style="548" customWidth="1"/>
    <col min="8200" max="8200" width="14.140625" style="548" customWidth="1"/>
    <col min="8201" max="8201" width="14.28515625" style="548" customWidth="1"/>
    <col min="8202" max="8202" width="6.42578125" style="548" customWidth="1"/>
    <col min="8203" max="8203" width="11.85546875" style="548" bestFit="1" customWidth="1"/>
    <col min="8204" max="8448" width="9.140625" style="548"/>
    <col min="8449" max="8449" width="9.140625" style="548" customWidth="1"/>
    <col min="8450" max="8450" width="14" style="548" customWidth="1"/>
    <col min="8451" max="8451" width="9" style="548" bestFit="1" customWidth="1"/>
    <col min="8452" max="8452" width="13.7109375" style="548" bestFit="1" customWidth="1"/>
    <col min="8453" max="8453" width="9" style="548" bestFit="1" customWidth="1"/>
    <col min="8454" max="8454" width="15.42578125" style="548" customWidth="1"/>
    <col min="8455" max="8455" width="14.5703125" style="548" customWidth="1"/>
    <col min="8456" max="8456" width="14.140625" style="548" customWidth="1"/>
    <col min="8457" max="8457" width="14.28515625" style="548" customWidth="1"/>
    <col min="8458" max="8458" width="6.42578125" style="548" customWidth="1"/>
    <col min="8459" max="8459" width="11.85546875" style="548" bestFit="1" customWidth="1"/>
    <col min="8460" max="8704" width="9.140625" style="548"/>
    <col min="8705" max="8705" width="9.140625" style="548" customWidth="1"/>
    <col min="8706" max="8706" width="14" style="548" customWidth="1"/>
    <col min="8707" max="8707" width="9" style="548" bestFit="1" customWidth="1"/>
    <col min="8708" max="8708" width="13.7109375" style="548" bestFit="1" customWidth="1"/>
    <col min="8709" max="8709" width="9" style="548" bestFit="1" customWidth="1"/>
    <col min="8710" max="8710" width="15.42578125" style="548" customWidth="1"/>
    <col min="8711" max="8711" width="14.5703125" style="548" customWidth="1"/>
    <col min="8712" max="8712" width="14.140625" style="548" customWidth="1"/>
    <col min="8713" max="8713" width="14.28515625" style="548" customWidth="1"/>
    <col min="8714" max="8714" width="6.42578125" style="548" customWidth="1"/>
    <col min="8715" max="8715" width="11.85546875" style="548" bestFit="1" customWidth="1"/>
    <col min="8716" max="8960" width="9.140625" style="548"/>
    <col min="8961" max="8961" width="9.140625" style="548" customWidth="1"/>
    <col min="8962" max="8962" width="14" style="548" customWidth="1"/>
    <col min="8963" max="8963" width="9" style="548" bestFit="1" customWidth="1"/>
    <col min="8964" max="8964" width="13.7109375" style="548" bestFit="1" customWidth="1"/>
    <col min="8965" max="8965" width="9" style="548" bestFit="1" customWidth="1"/>
    <col min="8966" max="8966" width="15.42578125" style="548" customWidth="1"/>
    <col min="8967" max="8967" width="14.5703125" style="548" customWidth="1"/>
    <col min="8968" max="8968" width="14.140625" style="548" customWidth="1"/>
    <col min="8969" max="8969" width="14.28515625" style="548" customWidth="1"/>
    <col min="8970" max="8970" width="6.42578125" style="548" customWidth="1"/>
    <col min="8971" max="8971" width="11.85546875" style="548" bestFit="1" customWidth="1"/>
    <col min="8972" max="9216" width="9.140625" style="548"/>
    <col min="9217" max="9217" width="9.140625" style="548" customWidth="1"/>
    <col min="9218" max="9218" width="14" style="548" customWidth="1"/>
    <col min="9219" max="9219" width="9" style="548" bestFit="1" customWidth="1"/>
    <col min="9220" max="9220" width="13.7109375" style="548" bestFit="1" customWidth="1"/>
    <col min="9221" max="9221" width="9" style="548" bestFit="1" customWidth="1"/>
    <col min="9222" max="9222" width="15.42578125" style="548" customWidth="1"/>
    <col min="9223" max="9223" width="14.5703125" style="548" customWidth="1"/>
    <col min="9224" max="9224" width="14.140625" style="548" customWidth="1"/>
    <col min="9225" max="9225" width="14.28515625" style="548" customWidth="1"/>
    <col min="9226" max="9226" width="6.42578125" style="548" customWidth="1"/>
    <col min="9227" max="9227" width="11.85546875" style="548" bestFit="1" customWidth="1"/>
    <col min="9228" max="9472" width="9.140625" style="548"/>
    <col min="9473" max="9473" width="9.140625" style="548" customWidth="1"/>
    <col min="9474" max="9474" width="14" style="548" customWidth="1"/>
    <col min="9475" max="9475" width="9" style="548" bestFit="1" customWidth="1"/>
    <col min="9476" max="9476" width="13.7109375" style="548" bestFit="1" customWidth="1"/>
    <col min="9477" max="9477" width="9" style="548" bestFit="1" customWidth="1"/>
    <col min="9478" max="9478" width="15.42578125" style="548" customWidth="1"/>
    <col min="9479" max="9479" width="14.5703125" style="548" customWidth="1"/>
    <col min="9480" max="9480" width="14.140625" style="548" customWidth="1"/>
    <col min="9481" max="9481" width="14.28515625" style="548" customWidth="1"/>
    <col min="9482" max="9482" width="6.42578125" style="548" customWidth="1"/>
    <col min="9483" max="9483" width="11.85546875" style="548" bestFit="1" customWidth="1"/>
    <col min="9484" max="9728" width="9.140625" style="548"/>
    <col min="9729" max="9729" width="9.140625" style="548" customWidth="1"/>
    <col min="9730" max="9730" width="14" style="548" customWidth="1"/>
    <col min="9731" max="9731" width="9" style="548" bestFit="1" customWidth="1"/>
    <col min="9732" max="9732" width="13.7109375" style="548" bestFit="1" customWidth="1"/>
    <col min="9733" max="9733" width="9" style="548" bestFit="1" customWidth="1"/>
    <col min="9734" max="9734" width="15.42578125" style="548" customWidth="1"/>
    <col min="9735" max="9735" width="14.5703125" style="548" customWidth="1"/>
    <col min="9736" max="9736" width="14.140625" style="548" customWidth="1"/>
    <col min="9737" max="9737" width="14.28515625" style="548" customWidth="1"/>
    <col min="9738" max="9738" width="6.42578125" style="548" customWidth="1"/>
    <col min="9739" max="9739" width="11.85546875" style="548" bestFit="1" customWidth="1"/>
    <col min="9740" max="9984" width="9.140625" style="548"/>
    <col min="9985" max="9985" width="9.140625" style="548" customWidth="1"/>
    <col min="9986" max="9986" width="14" style="548" customWidth="1"/>
    <col min="9987" max="9987" width="9" style="548" bestFit="1" customWidth="1"/>
    <col min="9988" max="9988" width="13.7109375" style="548" bestFit="1" customWidth="1"/>
    <col min="9989" max="9989" width="9" style="548" bestFit="1" customWidth="1"/>
    <col min="9990" max="9990" width="15.42578125" style="548" customWidth="1"/>
    <col min="9991" max="9991" width="14.5703125" style="548" customWidth="1"/>
    <col min="9992" max="9992" width="14.140625" style="548" customWidth="1"/>
    <col min="9993" max="9993" width="14.28515625" style="548" customWidth="1"/>
    <col min="9994" max="9994" width="6.42578125" style="548" customWidth="1"/>
    <col min="9995" max="9995" width="11.85546875" style="548" bestFit="1" customWidth="1"/>
    <col min="9996" max="10240" width="9.140625" style="548"/>
    <col min="10241" max="10241" width="9.140625" style="548" customWidth="1"/>
    <col min="10242" max="10242" width="14" style="548" customWidth="1"/>
    <col min="10243" max="10243" width="9" style="548" bestFit="1" customWidth="1"/>
    <col min="10244" max="10244" width="13.7109375" style="548" bestFit="1" customWidth="1"/>
    <col min="10245" max="10245" width="9" style="548" bestFit="1" customWidth="1"/>
    <col min="10246" max="10246" width="15.42578125" style="548" customWidth="1"/>
    <col min="10247" max="10247" width="14.5703125" style="548" customWidth="1"/>
    <col min="10248" max="10248" width="14.140625" style="548" customWidth="1"/>
    <col min="10249" max="10249" width="14.28515625" style="548" customWidth="1"/>
    <col min="10250" max="10250" width="6.42578125" style="548" customWidth="1"/>
    <col min="10251" max="10251" width="11.85546875" style="548" bestFit="1" customWidth="1"/>
    <col min="10252" max="10496" width="9.140625" style="548"/>
    <col min="10497" max="10497" width="9.140625" style="548" customWidth="1"/>
    <col min="10498" max="10498" width="14" style="548" customWidth="1"/>
    <col min="10499" max="10499" width="9" style="548" bestFit="1" customWidth="1"/>
    <col min="10500" max="10500" width="13.7109375" style="548" bestFit="1" customWidth="1"/>
    <col min="10501" max="10501" width="9" style="548" bestFit="1" customWidth="1"/>
    <col min="10502" max="10502" width="15.42578125" style="548" customWidth="1"/>
    <col min="10503" max="10503" width="14.5703125" style="548" customWidth="1"/>
    <col min="10504" max="10504" width="14.140625" style="548" customWidth="1"/>
    <col min="10505" max="10505" width="14.28515625" style="548" customWidth="1"/>
    <col min="10506" max="10506" width="6.42578125" style="548" customWidth="1"/>
    <col min="10507" max="10507" width="11.85546875" style="548" bestFit="1" customWidth="1"/>
    <col min="10508" max="10752" width="9.140625" style="548"/>
    <col min="10753" max="10753" width="9.140625" style="548" customWidth="1"/>
    <col min="10754" max="10754" width="14" style="548" customWidth="1"/>
    <col min="10755" max="10755" width="9" style="548" bestFit="1" customWidth="1"/>
    <col min="10756" max="10756" width="13.7109375" style="548" bestFit="1" customWidth="1"/>
    <col min="10757" max="10757" width="9" style="548" bestFit="1" customWidth="1"/>
    <col min="10758" max="10758" width="15.42578125" style="548" customWidth="1"/>
    <col min="10759" max="10759" width="14.5703125" style="548" customWidth="1"/>
    <col min="10760" max="10760" width="14.140625" style="548" customWidth="1"/>
    <col min="10761" max="10761" width="14.28515625" style="548" customWidth="1"/>
    <col min="10762" max="10762" width="6.42578125" style="548" customWidth="1"/>
    <col min="10763" max="10763" width="11.85546875" style="548" bestFit="1" customWidth="1"/>
    <col min="10764" max="11008" width="9.140625" style="548"/>
    <col min="11009" max="11009" width="9.140625" style="548" customWidth="1"/>
    <col min="11010" max="11010" width="14" style="548" customWidth="1"/>
    <col min="11011" max="11011" width="9" style="548" bestFit="1" customWidth="1"/>
    <col min="11012" max="11012" width="13.7109375" style="548" bestFit="1" customWidth="1"/>
    <col min="11013" max="11013" width="9" style="548" bestFit="1" customWidth="1"/>
    <col min="11014" max="11014" width="15.42578125" style="548" customWidth="1"/>
    <col min="11015" max="11015" width="14.5703125" style="548" customWidth="1"/>
    <col min="11016" max="11016" width="14.140625" style="548" customWidth="1"/>
    <col min="11017" max="11017" width="14.28515625" style="548" customWidth="1"/>
    <col min="11018" max="11018" width="6.42578125" style="548" customWidth="1"/>
    <col min="11019" max="11019" width="11.85546875" style="548" bestFit="1" customWidth="1"/>
    <col min="11020" max="11264" width="9.140625" style="548"/>
    <col min="11265" max="11265" width="9.140625" style="548" customWidth="1"/>
    <col min="11266" max="11266" width="14" style="548" customWidth="1"/>
    <col min="11267" max="11267" width="9" style="548" bestFit="1" customWidth="1"/>
    <col min="11268" max="11268" width="13.7109375" style="548" bestFit="1" customWidth="1"/>
    <col min="11269" max="11269" width="9" style="548" bestFit="1" customWidth="1"/>
    <col min="11270" max="11270" width="15.42578125" style="548" customWidth="1"/>
    <col min="11271" max="11271" width="14.5703125" style="548" customWidth="1"/>
    <col min="11272" max="11272" width="14.140625" style="548" customWidth="1"/>
    <col min="11273" max="11273" width="14.28515625" style="548" customWidth="1"/>
    <col min="11274" max="11274" width="6.42578125" style="548" customWidth="1"/>
    <col min="11275" max="11275" width="11.85546875" style="548" bestFit="1" customWidth="1"/>
    <col min="11276" max="11520" width="9.140625" style="548"/>
    <col min="11521" max="11521" width="9.140625" style="548" customWidth="1"/>
    <col min="11522" max="11522" width="14" style="548" customWidth="1"/>
    <col min="11523" max="11523" width="9" style="548" bestFit="1" customWidth="1"/>
    <col min="11524" max="11524" width="13.7109375" style="548" bestFit="1" customWidth="1"/>
    <col min="11525" max="11525" width="9" style="548" bestFit="1" customWidth="1"/>
    <col min="11526" max="11526" width="15.42578125" style="548" customWidth="1"/>
    <col min="11527" max="11527" width="14.5703125" style="548" customWidth="1"/>
    <col min="11528" max="11528" width="14.140625" style="548" customWidth="1"/>
    <col min="11529" max="11529" width="14.28515625" style="548" customWidth="1"/>
    <col min="11530" max="11530" width="6.42578125" style="548" customWidth="1"/>
    <col min="11531" max="11531" width="11.85546875" style="548" bestFit="1" customWidth="1"/>
    <col min="11532" max="11776" width="9.140625" style="548"/>
    <col min="11777" max="11777" width="9.140625" style="548" customWidth="1"/>
    <col min="11778" max="11778" width="14" style="548" customWidth="1"/>
    <col min="11779" max="11779" width="9" style="548" bestFit="1" customWidth="1"/>
    <col min="11780" max="11780" width="13.7109375" style="548" bestFit="1" customWidth="1"/>
    <col min="11781" max="11781" width="9" style="548" bestFit="1" customWidth="1"/>
    <col min="11782" max="11782" width="15.42578125" style="548" customWidth="1"/>
    <col min="11783" max="11783" width="14.5703125" style="548" customWidth="1"/>
    <col min="11784" max="11784" width="14.140625" style="548" customWidth="1"/>
    <col min="11785" max="11785" width="14.28515625" style="548" customWidth="1"/>
    <col min="11786" max="11786" width="6.42578125" style="548" customWidth="1"/>
    <col min="11787" max="11787" width="11.85546875" style="548" bestFit="1" customWidth="1"/>
    <col min="11788" max="12032" width="9.140625" style="548"/>
    <col min="12033" max="12033" width="9.140625" style="548" customWidth="1"/>
    <col min="12034" max="12034" width="14" style="548" customWidth="1"/>
    <col min="12035" max="12035" width="9" style="548" bestFit="1" customWidth="1"/>
    <col min="12036" max="12036" width="13.7109375" style="548" bestFit="1" customWidth="1"/>
    <col min="12037" max="12037" width="9" style="548" bestFit="1" customWidth="1"/>
    <col min="12038" max="12038" width="15.42578125" style="548" customWidth="1"/>
    <col min="12039" max="12039" width="14.5703125" style="548" customWidth="1"/>
    <col min="12040" max="12040" width="14.140625" style="548" customWidth="1"/>
    <col min="12041" max="12041" width="14.28515625" style="548" customWidth="1"/>
    <col min="12042" max="12042" width="6.42578125" style="548" customWidth="1"/>
    <col min="12043" max="12043" width="11.85546875" style="548" bestFit="1" customWidth="1"/>
    <col min="12044" max="12288" width="9.140625" style="548"/>
    <col min="12289" max="12289" width="9.140625" style="548" customWidth="1"/>
    <col min="12290" max="12290" width="14" style="548" customWidth="1"/>
    <col min="12291" max="12291" width="9" style="548" bestFit="1" customWidth="1"/>
    <col min="12292" max="12292" width="13.7109375" style="548" bestFit="1" customWidth="1"/>
    <col min="12293" max="12293" width="9" style="548" bestFit="1" customWidth="1"/>
    <col min="12294" max="12294" width="15.42578125" style="548" customWidth="1"/>
    <col min="12295" max="12295" width="14.5703125" style="548" customWidth="1"/>
    <col min="12296" max="12296" width="14.140625" style="548" customWidth="1"/>
    <col min="12297" max="12297" width="14.28515625" style="548" customWidth="1"/>
    <col min="12298" max="12298" width="6.42578125" style="548" customWidth="1"/>
    <col min="12299" max="12299" width="11.85546875" style="548" bestFit="1" customWidth="1"/>
    <col min="12300" max="12544" width="9.140625" style="548"/>
    <col min="12545" max="12545" width="9.140625" style="548" customWidth="1"/>
    <col min="12546" max="12546" width="14" style="548" customWidth="1"/>
    <col min="12547" max="12547" width="9" style="548" bestFit="1" customWidth="1"/>
    <col min="12548" max="12548" width="13.7109375" style="548" bestFit="1" customWidth="1"/>
    <col min="12549" max="12549" width="9" style="548" bestFit="1" customWidth="1"/>
    <col min="12550" max="12550" width="15.42578125" style="548" customWidth="1"/>
    <col min="12551" max="12551" width="14.5703125" style="548" customWidth="1"/>
    <col min="12552" max="12552" width="14.140625" style="548" customWidth="1"/>
    <col min="12553" max="12553" width="14.28515625" style="548" customWidth="1"/>
    <col min="12554" max="12554" width="6.42578125" style="548" customWidth="1"/>
    <col min="12555" max="12555" width="11.85546875" style="548" bestFit="1" customWidth="1"/>
    <col min="12556" max="12800" width="9.140625" style="548"/>
    <col min="12801" max="12801" width="9.140625" style="548" customWidth="1"/>
    <col min="12802" max="12802" width="14" style="548" customWidth="1"/>
    <col min="12803" max="12803" width="9" style="548" bestFit="1" customWidth="1"/>
    <col min="12804" max="12804" width="13.7109375" style="548" bestFit="1" customWidth="1"/>
    <col min="12805" max="12805" width="9" style="548" bestFit="1" customWidth="1"/>
    <col min="12806" max="12806" width="15.42578125" style="548" customWidth="1"/>
    <col min="12807" max="12807" width="14.5703125" style="548" customWidth="1"/>
    <col min="12808" max="12808" width="14.140625" style="548" customWidth="1"/>
    <col min="12809" max="12809" width="14.28515625" style="548" customWidth="1"/>
    <col min="12810" max="12810" width="6.42578125" style="548" customWidth="1"/>
    <col min="12811" max="12811" width="11.85546875" style="548" bestFit="1" customWidth="1"/>
    <col min="12812" max="13056" width="9.140625" style="548"/>
    <col min="13057" max="13057" width="9.140625" style="548" customWidth="1"/>
    <col min="13058" max="13058" width="14" style="548" customWidth="1"/>
    <col min="13059" max="13059" width="9" style="548" bestFit="1" customWidth="1"/>
    <col min="13060" max="13060" width="13.7109375" style="548" bestFit="1" customWidth="1"/>
    <col min="13061" max="13061" width="9" style="548" bestFit="1" customWidth="1"/>
    <col min="13062" max="13062" width="15.42578125" style="548" customWidth="1"/>
    <col min="13063" max="13063" width="14.5703125" style="548" customWidth="1"/>
    <col min="13064" max="13064" width="14.140625" style="548" customWidth="1"/>
    <col min="13065" max="13065" width="14.28515625" style="548" customWidth="1"/>
    <col min="13066" max="13066" width="6.42578125" style="548" customWidth="1"/>
    <col min="13067" max="13067" width="11.85546875" style="548" bestFit="1" customWidth="1"/>
    <col min="13068" max="13312" width="9.140625" style="548"/>
    <col min="13313" max="13313" width="9.140625" style="548" customWidth="1"/>
    <col min="13314" max="13314" width="14" style="548" customWidth="1"/>
    <col min="13315" max="13315" width="9" style="548" bestFit="1" customWidth="1"/>
    <col min="13316" max="13316" width="13.7109375" style="548" bestFit="1" customWidth="1"/>
    <col min="13317" max="13317" width="9" style="548" bestFit="1" customWidth="1"/>
    <col min="13318" max="13318" width="15.42578125" style="548" customWidth="1"/>
    <col min="13319" max="13319" width="14.5703125" style="548" customWidth="1"/>
    <col min="13320" max="13320" width="14.140625" style="548" customWidth="1"/>
    <col min="13321" max="13321" width="14.28515625" style="548" customWidth="1"/>
    <col min="13322" max="13322" width="6.42578125" style="548" customWidth="1"/>
    <col min="13323" max="13323" width="11.85546875" style="548" bestFit="1" customWidth="1"/>
    <col min="13324" max="13568" width="9.140625" style="548"/>
    <col min="13569" max="13569" width="9.140625" style="548" customWidth="1"/>
    <col min="13570" max="13570" width="14" style="548" customWidth="1"/>
    <col min="13571" max="13571" width="9" style="548" bestFit="1" customWidth="1"/>
    <col min="13572" max="13572" width="13.7109375" style="548" bestFit="1" customWidth="1"/>
    <col min="13573" max="13573" width="9" style="548" bestFit="1" customWidth="1"/>
    <col min="13574" max="13574" width="15.42578125" style="548" customWidth="1"/>
    <col min="13575" max="13575" width="14.5703125" style="548" customWidth="1"/>
    <col min="13576" max="13576" width="14.140625" style="548" customWidth="1"/>
    <col min="13577" max="13577" width="14.28515625" style="548" customWidth="1"/>
    <col min="13578" max="13578" width="6.42578125" style="548" customWidth="1"/>
    <col min="13579" max="13579" width="11.85546875" style="548" bestFit="1" customWidth="1"/>
    <col min="13580" max="13824" width="9.140625" style="548"/>
    <col min="13825" max="13825" width="9.140625" style="548" customWidth="1"/>
    <col min="13826" max="13826" width="14" style="548" customWidth="1"/>
    <col min="13827" max="13827" width="9" style="548" bestFit="1" customWidth="1"/>
    <col min="13828" max="13828" width="13.7109375" style="548" bestFit="1" customWidth="1"/>
    <col min="13829" max="13829" width="9" style="548" bestFit="1" customWidth="1"/>
    <col min="13830" max="13830" width="15.42578125" style="548" customWidth="1"/>
    <col min="13831" max="13831" width="14.5703125" style="548" customWidth="1"/>
    <col min="13832" max="13832" width="14.140625" style="548" customWidth="1"/>
    <col min="13833" max="13833" width="14.28515625" style="548" customWidth="1"/>
    <col min="13834" max="13834" width="6.42578125" style="548" customWidth="1"/>
    <col min="13835" max="13835" width="11.85546875" style="548" bestFit="1" customWidth="1"/>
    <col min="13836" max="14080" width="9.140625" style="548"/>
    <col min="14081" max="14081" width="9.140625" style="548" customWidth="1"/>
    <col min="14082" max="14082" width="14" style="548" customWidth="1"/>
    <col min="14083" max="14083" width="9" style="548" bestFit="1" customWidth="1"/>
    <col min="14084" max="14084" width="13.7109375" style="548" bestFit="1" customWidth="1"/>
    <col min="14085" max="14085" width="9" style="548" bestFit="1" customWidth="1"/>
    <col min="14086" max="14086" width="15.42578125" style="548" customWidth="1"/>
    <col min="14087" max="14087" width="14.5703125" style="548" customWidth="1"/>
    <col min="14088" max="14088" width="14.140625" style="548" customWidth="1"/>
    <col min="14089" max="14089" width="14.28515625" style="548" customWidth="1"/>
    <col min="14090" max="14090" width="6.42578125" style="548" customWidth="1"/>
    <col min="14091" max="14091" width="11.85546875" style="548" bestFit="1" customWidth="1"/>
    <col min="14092" max="14336" width="9.140625" style="548"/>
    <col min="14337" max="14337" width="9.140625" style="548" customWidth="1"/>
    <col min="14338" max="14338" width="14" style="548" customWidth="1"/>
    <col min="14339" max="14339" width="9" style="548" bestFit="1" customWidth="1"/>
    <col min="14340" max="14340" width="13.7109375" style="548" bestFit="1" customWidth="1"/>
    <col min="14341" max="14341" width="9" style="548" bestFit="1" customWidth="1"/>
    <col min="14342" max="14342" width="15.42578125" style="548" customWidth="1"/>
    <col min="14343" max="14343" width="14.5703125" style="548" customWidth="1"/>
    <col min="14344" max="14344" width="14.140625" style="548" customWidth="1"/>
    <col min="14345" max="14345" width="14.28515625" style="548" customWidth="1"/>
    <col min="14346" max="14346" width="6.42578125" style="548" customWidth="1"/>
    <col min="14347" max="14347" width="11.85546875" style="548" bestFit="1" customWidth="1"/>
    <col min="14348" max="14592" width="9.140625" style="548"/>
    <col min="14593" max="14593" width="9.140625" style="548" customWidth="1"/>
    <col min="14594" max="14594" width="14" style="548" customWidth="1"/>
    <col min="14595" max="14595" width="9" style="548" bestFit="1" customWidth="1"/>
    <col min="14596" max="14596" width="13.7109375" style="548" bestFit="1" customWidth="1"/>
    <col min="14597" max="14597" width="9" style="548" bestFit="1" customWidth="1"/>
    <col min="14598" max="14598" width="15.42578125" style="548" customWidth="1"/>
    <col min="14599" max="14599" width="14.5703125" style="548" customWidth="1"/>
    <col min="14600" max="14600" width="14.140625" style="548" customWidth="1"/>
    <col min="14601" max="14601" width="14.28515625" style="548" customWidth="1"/>
    <col min="14602" max="14602" width="6.42578125" style="548" customWidth="1"/>
    <col min="14603" max="14603" width="11.85546875" style="548" bestFit="1" customWidth="1"/>
    <col min="14604" max="14848" width="9.140625" style="548"/>
    <col min="14849" max="14849" width="9.140625" style="548" customWidth="1"/>
    <col min="14850" max="14850" width="14" style="548" customWidth="1"/>
    <col min="14851" max="14851" width="9" style="548" bestFit="1" customWidth="1"/>
    <col min="14852" max="14852" width="13.7109375" style="548" bestFit="1" customWidth="1"/>
    <col min="14853" max="14853" width="9" style="548" bestFit="1" customWidth="1"/>
    <col min="14854" max="14854" width="15.42578125" style="548" customWidth="1"/>
    <col min="14855" max="14855" width="14.5703125" style="548" customWidth="1"/>
    <col min="14856" max="14856" width="14.140625" style="548" customWidth="1"/>
    <col min="14857" max="14857" width="14.28515625" style="548" customWidth="1"/>
    <col min="14858" max="14858" width="6.42578125" style="548" customWidth="1"/>
    <col min="14859" max="14859" width="11.85546875" style="548" bestFit="1" customWidth="1"/>
    <col min="14860" max="15104" width="9.140625" style="548"/>
    <col min="15105" max="15105" width="9.140625" style="548" customWidth="1"/>
    <col min="15106" max="15106" width="14" style="548" customWidth="1"/>
    <col min="15107" max="15107" width="9" style="548" bestFit="1" customWidth="1"/>
    <col min="15108" max="15108" width="13.7109375" style="548" bestFit="1" customWidth="1"/>
    <col min="15109" max="15109" width="9" style="548" bestFit="1" customWidth="1"/>
    <col min="15110" max="15110" width="15.42578125" style="548" customWidth="1"/>
    <col min="15111" max="15111" width="14.5703125" style="548" customWidth="1"/>
    <col min="15112" max="15112" width="14.140625" style="548" customWidth="1"/>
    <col min="15113" max="15113" width="14.28515625" style="548" customWidth="1"/>
    <col min="15114" max="15114" width="6.42578125" style="548" customWidth="1"/>
    <col min="15115" max="15115" width="11.85546875" style="548" bestFit="1" customWidth="1"/>
    <col min="15116" max="15360" width="9.140625" style="548"/>
    <col min="15361" max="15361" width="9.140625" style="548" customWidth="1"/>
    <col min="15362" max="15362" width="14" style="548" customWidth="1"/>
    <col min="15363" max="15363" width="9" style="548" bestFit="1" customWidth="1"/>
    <col min="15364" max="15364" width="13.7109375" style="548" bestFit="1" customWidth="1"/>
    <col min="15365" max="15365" width="9" style="548" bestFit="1" customWidth="1"/>
    <col min="15366" max="15366" width="15.42578125" style="548" customWidth="1"/>
    <col min="15367" max="15367" width="14.5703125" style="548" customWidth="1"/>
    <col min="15368" max="15368" width="14.140625" style="548" customWidth="1"/>
    <col min="15369" max="15369" width="14.28515625" style="548" customWidth="1"/>
    <col min="15370" max="15370" width="6.42578125" style="548" customWidth="1"/>
    <col min="15371" max="15371" width="11.85546875" style="548" bestFit="1" customWidth="1"/>
    <col min="15372" max="15616" width="9.140625" style="548"/>
    <col min="15617" max="15617" width="9.140625" style="548" customWidth="1"/>
    <col min="15618" max="15618" width="14" style="548" customWidth="1"/>
    <col min="15619" max="15619" width="9" style="548" bestFit="1" customWidth="1"/>
    <col min="15620" max="15620" width="13.7109375" style="548" bestFit="1" customWidth="1"/>
    <col min="15621" max="15621" width="9" style="548" bestFit="1" customWidth="1"/>
    <col min="15622" max="15622" width="15.42578125" style="548" customWidth="1"/>
    <col min="15623" max="15623" width="14.5703125" style="548" customWidth="1"/>
    <col min="15624" max="15624" width="14.140625" style="548" customWidth="1"/>
    <col min="15625" max="15625" width="14.28515625" style="548" customWidth="1"/>
    <col min="15626" max="15626" width="6.42578125" style="548" customWidth="1"/>
    <col min="15627" max="15627" width="11.85546875" style="548" bestFit="1" customWidth="1"/>
    <col min="15628" max="15872" width="9.140625" style="548"/>
    <col min="15873" max="15873" width="9.140625" style="548" customWidth="1"/>
    <col min="15874" max="15874" width="14" style="548" customWidth="1"/>
    <col min="15875" max="15875" width="9" style="548" bestFit="1" customWidth="1"/>
    <col min="15876" max="15876" width="13.7109375" style="548" bestFit="1" customWidth="1"/>
    <col min="15877" max="15877" width="9" style="548" bestFit="1" customWidth="1"/>
    <col min="15878" max="15878" width="15.42578125" style="548" customWidth="1"/>
    <col min="15879" max="15879" width="14.5703125" style="548" customWidth="1"/>
    <col min="15880" max="15880" width="14.140625" style="548" customWidth="1"/>
    <col min="15881" max="15881" width="14.28515625" style="548" customWidth="1"/>
    <col min="15882" max="15882" width="6.42578125" style="548" customWidth="1"/>
    <col min="15883" max="15883" width="11.85546875" style="548" bestFit="1" customWidth="1"/>
    <col min="15884" max="16128" width="9.140625" style="548"/>
    <col min="16129" max="16129" width="9.140625" style="548" customWidth="1"/>
    <col min="16130" max="16130" width="14" style="548" customWidth="1"/>
    <col min="16131" max="16131" width="9" style="548" bestFit="1" customWidth="1"/>
    <col min="16132" max="16132" width="13.7109375" style="548" bestFit="1" customWidth="1"/>
    <col min="16133" max="16133" width="9" style="548" bestFit="1" customWidth="1"/>
    <col min="16134" max="16134" width="15.42578125" style="548" customWidth="1"/>
    <col min="16135" max="16135" width="14.5703125" style="548" customWidth="1"/>
    <col min="16136" max="16136" width="14.140625" style="548" customWidth="1"/>
    <col min="16137" max="16137" width="14.28515625" style="548" customWidth="1"/>
    <col min="16138" max="16138" width="6.42578125" style="548" customWidth="1"/>
    <col min="16139" max="16139" width="11.85546875" style="548" bestFit="1" customWidth="1"/>
    <col min="16140" max="16384" width="9.140625" style="548"/>
  </cols>
  <sheetData>
    <row r="2" spans="1:11" ht="22.5" customHeight="1" x14ac:dyDescent="0.15">
      <c r="A2" s="2722" t="s">
        <v>1508</v>
      </c>
      <c r="B2" s="2341"/>
      <c r="C2" s="2341"/>
      <c r="D2" s="2341"/>
      <c r="E2" s="2341"/>
      <c r="F2" s="2341"/>
      <c r="G2" s="2341"/>
      <c r="H2" s="2341"/>
      <c r="I2" s="2341"/>
    </row>
    <row r="3" spans="1:11" x14ac:dyDescent="0.15">
      <c r="A3" s="2723"/>
      <c r="B3" s="2724"/>
      <c r="C3" s="2724"/>
      <c r="D3" s="2724"/>
      <c r="E3" s="2724"/>
      <c r="F3" s="2724"/>
      <c r="G3" s="2724"/>
      <c r="H3" s="2724"/>
      <c r="I3" s="2724"/>
    </row>
    <row r="4" spans="1:11" x14ac:dyDescent="0.15">
      <c r="A4" s="2725" t="s">
        <v>2</v>
      </c>
      <c r="B4" s="2728" t="s">
        <v>1498</v>
      </c>
      <c r="C4" s="2729"/>
      <c r="D4" s="2729"/>
      <c r="E4" s="2729"/>
      <c r="F4" s="2729"/>
      <c r="G4" s="2729"/>
      <c r="H4" s="2729"/>
      <c r="I4" s="2730"/>
    </row>
    <row r="5" spans="1:11" x14ac:dyDescent="0.15">
      <c r="A5" s="2726"/>
      <c r="B5" s="2725" t="s">
        <v>1473</v>
      </c>
      <c r="C5" s="2728" t="s">
        <v>1474</v>
      </c>
      <c r="D5" s="2729"/>
      <c r="E5" s="2729"/>
      <c r="F5" s="2729"/>
      <c r="G5" s="2729"/>
      <c r="H5" s="2729"/>
      <c r="I5" s="2730"/>
    </row>
    <row r="6" spans="1:11" ht="42" x14ac:dyDescent="0.15">
      <c r="A6" s="2727"/>
      <c r="B6" s="2727"/>
      <c r="C6" s="549" t="s">
        <v>1475</v>
      </c>
      <c r="D6" s="549" t="s">
        <v>1476</v>
      </c>
      <c r="E6" s="549" t="s">
        <v>1477</v>
      </c>
      <c r="F6" s="541" t="s">
        <v>1499</v>
      </c>
      <c r="G6" s="541" t="s">
        <v>1500</v>
      </c>
      <c r="H6" s="549" t="s">
        <v>1480</v>
      </c>
      <c r="I6" s="549" t="s">
        <v>1481</v>
      </c>
    </row>
    <row r="7" spans="1:11" x14ac:dyDescent="0.15">
      <c r="A7" s="550">
        <v>2011</v>
      </c>
      <c r="B7" s="551">
        <f>SUM(C7:I7)</f>
        <v>3062963</v>
      </c>
      <c r="C7" s="552">
        <v>796770</v>
      </c>
      <c r="D7" s="552">
        <v>988209</v>
      </c>
      <c r="E7" s="552">
        <v>164850</v>
      </c>
      <c r="F7" s="552">
        <v>207972</v>
      </c>
      <c r="G7" s="552">
        <v>543000</v>
      </c>
      <c r="H7" s="552">
        <v>107083</v>
      </c>
      <c r="I7" s="552">
        <v>255079</v>
      </c>
      <c r="J7" s="552"/>
    </row>
    <row r="8" spans="1:11" x14ac:dyDescent="0.15">
      <c r="A8" s="550">
        <v>2012</v>
      </c>
      <c r="B8" s="551">
        <f>SUM(C8:I8)</f>
        <v>3081028</v>
      </c>
      <c r="C8" s="552">
        <v>598956</v>
      </c>
      <c r="D8" s="552">
        <v>1116125</v>
      </c>
      <c r="E8" s="552">
        <v>216030</v>
      </c>
      <c r="F8" s="552">
        <v>272521</v>
      </c>
      <c r="G8" s="552">
        <v>517642</v>
      </c>
      <c r="H8" s="552">
        <v>113467</v>
      </c>
      <c r="I8" s="552">
        <v>246287</v>
      </c>
    </row>
    <row r="9" spans="1:11" x14ac:dyDescent="0.15">
      <c r="A9" s="550">
        <v>2013</v>
      </c>
      <c r="B9" s="551">
        <f>SUM(C9:I9)</f>
        <v>3111027</v>
      </c>
      <c r="C9" s="552">
        <v>688239</v>
      </c>
      <c r="D9" s="552">
        <v>942664</v>
      </c>
      <c r="E9" s="552">
        <v>208930</v>
      </c>
      <c r="F9" s="552">
        <v>251679</v>
      </c>
      <c r="G9" s="552">
        <v>675884</v>
      </c>
      <c r="H9" s="552">
        <v>81222</v>
      </c>
      <c r="I9" s="552">
        <v>262409</v>
      </c>
    </row>
    <row r="10" spans="1:11" x14ac:dyDescent="0.15">
      <c r="A10" s="550">
        <v>2014</v>
      </c>
      <c r="B10" s="551">
        <f>SUM(C10:I10)</f>
        <v>3195403</v>
      </c>
      <c r="C10" s="552">
        <v>594487</v>
      </c>
      <c r="D10" s="552">
        <v>984968</v>
      </c>
      <c r="E10" s="552">
        <v>211801</v>
      </c>
      <c r="F10" s="552">
        <v>340499</v>
      </c>
      <c r="G10" s="552">
        <v>569299</v>
      </c>
      <c r="H10" s="552">
        <v>108916</v>
      </c>
      <c r="I10" s="552">
        <v>385433</v>
      </c>
    </row>
    <row r="11" spans="1:11" x14ac:dyDescent="0.15">
      <c r="A11" s="550">
        <v>2015</v>
      </c>
      <c r="B11" s="551">
        <f>SUM(C11:I11)</f>
        <v>3010713</v>
      </c>
      <c r="C11" s="553">
        <v>704902</v>
      </c>
      <c r="D11" s="553">
        <v>927770</v>
      </c>
      <c r="E11" s="553">
        <v>193627</v>
      </c>
      <c r="F11" s="553">
        <v>289350</v>
      </c>
      <c r="G11" s="553">
        <v>509938</v>
      </c>
      <c r="H11" s="553">
        <v>99206</v>
      </c>
      <c r="I11" s="553">
        <v>285920</v>
      </c>
      <c r="K11" s="21"/>
    </row>
    <row r="12" spans="1:11" ht="9.75" customHeight="1" x14ac:dyDescent="0.15">
      <c r="A12" s="2717"/>
      <c r="B12" s="2718"/>
      <c r="C12" s="2718"/>
      <c r="D12" s="2718"/>
      <c r="E12" s="2718"/>
      <c r="F12" s="2718"/>
      <c r="G12" s="2718"/>
      <c r="H12" s="2718"/>
      <c r="I12" s="2718"/>
    </row>
    <row r="13" spans="1:11" ht="24" customHeight="1" x14ac:dyDescent="0.15">
      <c r="A13" s="2719" t="s">
        <v>1509</v>
      </c>
      <c r="B13" s="2720"/>
      <c r="C13" s="2720"/>
      <c r="D13" s="2720"/>
      <c r="E13" s="2720"/>
      <c r="F13" s="2720"/>
      <c r="G13" s="2720"/>
      <c r="H13" s="2720"/>
      <c r="I13" s="2720"/>
    </row>
    <row r="14" spans="1:11" x14ac:dyDescent="0.15">
      <c r="A14" s="2721" t="s">
        <v>1483</v>
      </c>
      <c r="B14" s="2720"/>
      <c r="C14" s="2720"/>
      <c r="D14" s="2720"/>
      <c r="E14" s="2720"/>
      <c r="F14" s="2720"/>
      <c r="G14" s="2720"/>
      <c r="H14" s="2720"/>
      <c r="I14" s="2720"/>
    </row>
    <row r="15" spans="1:11" x14ac:dyDescent="0.15">
      <c r="A15" s="867"/>
      <c r="B15" s="867"/>
      <c r="C15" s="867"/>
      <c r="D15" s="867"/>
      <c r="E15" s="867"/>
      <c r="F15" s="867"/>
      <c r="G15" s="867"/>
      <c r="H15" s="867"/>
      <c r="I15" s="867"/>
    </row>
    <row r="16" spans="1:11" x14ac:dyDescent="0.15">
      <c r="A16" s="867"/>
      <c r="B16" s="867"/>
      <c r="C16" s="867"/>
      <c r="D16" s="867"/>
      <c r="E16" s="867"/>
      <c r="F16" s="867"/>
      <c r="G16" s="867"/>
      <c r="H16" s="867"/>
      <c r="I16" s="867"/>
    </row>
    <row r="17" spans="1:9" x14ac:dyDescent="0.15">
      <c r="A17" s="867"/>
      <c r="B17" s="867"/>
      <c r="C17" s="867"/>
      <c r="D17" s="867"/>
      <c r="E17" s="867"/>
      <c r="F17" s="867"/>
      <c r="G17" s="867"/>
      <c r="H17" s="867"/>
      <c r="I17" s="867"/>
    </row>
    <row r="18" spans="1:9" x14ac:dyDescent="0.15">
      <c r="A18" s="867"/>
      <c r="B18" s="867"/>
      <c r="C18" s="867"/>
      <c r="D18" s="867"/>
      <c r="E18" s="867"/>
      <c r="F18" s="867"/>
      <c r="G18" s="867"/>
      <c r="H18" s="867"/>
      <c r="I18" s="867"/>
    </row>
    <row r="19" spans="1:9" x14ac:dyDescent="0.15">
      <c r="A19" s="867"/>
      <c r="B19" s="867"/>
      <c r="C19" s="867"/>
      <c r="D19" s="867"/>
      <c r="E19" s="867"/>
      <c r="F19" s="867"/>
      <c r="G19" s="867"/>
      <c r="H19" s="867"/>
      <c r="I19" s="867"/>
    </row>
  </sheetData>
  <mergeCells count="9">
    <mergeCell ref="A12:I12"/>
    <mergeCell ref="A13:I13"/>
    <mergeCell ref="A14:I14"/>
    <mergeCell ref="A2:I2"/>
    <mergeCell ref="A3:I3"/>
    <mergeCell ref="A4:A6"/>
    <mergeCell ref="B4:I4"/>
    <mergeCell ref="B5:B6"/>
    <mergeCell ref="C5:I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O45"/>
  <sheetViews>
    <sheetView workbookViewId="0">
      <selection activeCell="R13" sqref="R13"/>
    </sheetView>
  </sheetViews>
  <sheetFormatPr baseColWidth="10" defaultColWidth="9.140625" defaultRowHeight="12.75" x14ac:dyDescent="0.2"/>
  <cols>
    <col min="1" max="1" width="16.42578125" style="111" customWidth="1"/>
    <col min="2" max="2" width="11.28515625" style="111" bestFit="1" customWidth="1"/>
    <col min="3" max="3" width="9.5703125" style="111" bestFit="1" customWidth="1"/>
    <col min="4" max="4" width="8.42578125" style="111" bestFit="1" customWidth="1"/>
    <col min="5" max="10" width="9.5703125" style="111" bestFit="1" customWidth="1"/>
    <col min="11" max="11" width="11.7109375" style="111" bestFit="1" customWidth="1"/>
    <col min="12" max="12" width="9.5703125" style="111" bestFit="1" customWidth="1"/>
    <col min="13" max="13" width="11.140625" style="111" bestFit="1" customWidth="1"/>
    <col min="14" max="14" width="10.42578125" style="111" bestFit="1" customWidth="1"/>
    <col min="15" max="15" width="5.7109375" style="111" customWidth="1"/>
    <col min="16" max="256" width="9.140625" style="111"/>
    <col min="257" max="257" width="16.42578125" style="111" customWidth="1"/>
    <col min="258" max="258" width="11.28515625" style="111" bestFit="1" customWidth="1"/>
    <col min="259" max="259" width="9.5703125" style="111" bestFit="1" customWidth="1"/>
    <col min="260" max="260" width="8.42578125" style="111" bestFit="1" customWidth="1"/>
    <col min="261" max="266" width="9.5703125" style="111" bestFit="1" customWidth="1"/>
    <col min="267" max="267" width="11.7109375" style="111" bestFit="1" customWidth="1"/>
    <col min="268" max="268" width="9.5703125" style="111" bestFit="1" customWidth="1"/>
    <col min="269" max="269" width="11.140625" style="111" bestFit="1" customWidth="1"/>
    <col min="270" max="270" width="10.42578125" style="111" bestFit="1" customWidth="1"/>
    <col min="271" max="271" width="5.7109375" style="111" customWidth="1"/>
    <col min="272" max="512" width="9.140625" style="111"/>
    <col min="513" max="513" width="16.42578125" style="111" customWidth="1"/>
    <col min="514" max="514" width="11.28515625" style="111" bestFit="1" customWidth="1"/>
    <col min="515" max="515" width="9.5703125" style="111" bestFit="1" customWidth="1"/>
    <col min="516" max="516" width="8.42578125" style="111" bestFit="1" customWidth="1"/>
    <col min="517" max="522" width="9.5703125" style="111" bestFit="1" customWidth="1"/>
    <col min="523" max="523" width="11.7109375" style="111" bestFit="1" customWidth="1"/>
    <col min="524" max="524" width="9.5703125" style="111" bestFit="1" customWidth="1"/>
    <col min="525" max="525" width="11.140625" style="111" bestFit="1" customWidth="1"/>
    <col min="526" max="526" width="10.42578125" style="111" bestFit="1" customWidth="1"/>
    <col min="527" max="527" width="5.7109375" style="111" customWidth="1"/>
    <col min="528" max="768" width="9.140625" style="111"/>
    <col min="769" max="769" width="16.42578125" style="111" customWidth="1"/>
    <col min="770" max="770" width="11.28515625" style="111" bestFit="1" customWidth="1"/>
    <col min="771" max="771" width="9.5703125" style="111" bestFit="1" customWidth="1"/>
    <col min="772" max="772" width="8.42578125" style="111" bestFit="1" customWidth="1"/>
    <col min="773" max="778" width="9.5703125" style="111" bestFit="1" customWidth="1"/>
    <col min="779" max="779" width="11.7109375" style="111" bestFit="1" customWidth="1"/>
    <col min="780" max="780" width="9.5703125" style="111" bestFit="1" customWidth="1"/>
    <col min="781" max="781" width="11.140625" style="111" bestFit="1" customWidth="1"/>
    <col min="782" max="782" width="10.42578125" style="111" bestFit="1" customWidth="1"/>
    <col min="783" max="783" width="5.7109375" style="111" customWidth="1"/>
    <col min="784" max="1024" width="9.140625" style="111"/>
    <col min="1025" max="1025" width="16.42578125" style="111" customWidth="1"/>
    <col min="1026" max="1026" width="11.28515625" style="111" bestFit="1" customWidth="1"/>
    <col min="1027" max="1027" width="9.5703125" style="111" bestFit="1" customWidth="1"/>
    <col min="1028" max="1028" width="8.42578125" style="111" bestFit="1" customWidth="1"/>
    <col min="1029" max="1034" width="9.5703125" style="111" bestFit="1" customWidth="1"/>
    <col min="1035" max="1035" width="11.7109375" style="111" bestFit="1" customWidth="1"/>
    <col min="1036" max="1036" width="9.5703125" style="111" bestFit="1" customWidth="1"/>
    <col min="1037" max="1037" width="11.140625" style="111" bestFit="1" customWidth="1"/>
    <col min="1038" max="1038" width="10.42578125" style="111" bestFit="1" customWidth="1"/>
    <col min="1039" max="1039" width="5.7109375" style="111" customWidth="1"/>
    <col min="1040" max="1280" width="9.140625" style="111"/>
    <col min="1281" max="1281" width="16.42578125" style="111" customWidth="1"/>
    <col min="1282" max="1282" width="11.28515625" style="111" bestFit="1" customWidth="1"/>
    <col min="1283" max="1283" width="9.5703125" style="111" bestFit="1" customWidth="1"/>
    <col min="1284" max="1284" width="8.42578125" style="111" bestFit="1" customWidth="1"/>
    <col min="1285" max="1290" width="9.5703125" style="111" bestFit="1" customWidth="1"/>
    <col min="1291" max="1291" width="11.7109375" style="111" bestFit="1" customWidth="1"/>
    <col min="1292" max="1292" width="9.5703125" style="111" bestFit="1" customWidth="1"/>
    <col min="1293" max="1293" width="11.140625" style="111" bestFit="1" customWidth="1"/>
    <col min="1294" max="1294" width="10.42578125" style="111" bestFit="1" customWidth="1"/>
    <col min="1295" max="1295" width="5.7109375" style="111" customWidth="1"/>
    <col min="1296" max="1536" width="9.140625" style="111"/>
    <col min="1537" max="1537" width="16.42578125" style="111" customWidth="1"/>
    <col min="1538" max="1538" width="11.28515625" style="111" bestFit="1" customWidth="1"/>
    <col min="1539" max="1539" width="9.5703125" style="111" bestFit="1" customWidth="1"/>
    <col min="1540" max="1540" width="8.42578125" style="111" bestFit="1" customWidth="1"/>
    <col min="1541" max="1546" width="9.5703125" style="111" bestFit="1" customWidth="1"/>
    <col min="1547" max="1547" width="11.7109375" style="111" bestFit="1" customWidth="1"/>
    <col min="1548" max="1548" width="9.5703125" style="111" bestFit="1" customWidth="1"/>
    <col min="1549" max="1549" width="11.140625" style="111" bestFit="1" customWidth="1"/>
    <col min="1550" max="1550" width="10.42578125" style="111" bestFit="1" customWidth="1"/>
    <col min="1551" max="1551" width="5.7109375" style="111" customWidth="1"/>
    <col min="1552" max="1792" width="9.140625" style="111"/>
    <col min="1793" max="1793" width="16.42578125" style="111" customWidth="1"/>
    <col min="1794" max="1794" width="11.28515625" style="111" bestFit="1" customWidth="1"/>
    <col min="1795" max="1795" width="9.5703125" style="111" bestFit="1" customWidth="1"/>
    <col min="1796" max="1796" width="8.42578125" style="111" bestFit="1" customWidth="1"/>
    <col min="1797" max="1802" width="9.5703125" style="111" bestFit="1" customWidth="1"/>
    <col min="1803" max="1803" width="11.7109375" style="111" bestFit="1" customWidth="1"/>
    <col min="1804" max="1804" width="9.5703125" style="111" bestFit="1" customWidth="1"/>
    <col min="1805" max="1805" width="11.140625" style="111" bestFit="1" customWidth="1"/>
    <col min="1806" max="1806" width="10.42578125" style="111" bestFit="1" customWidth="1"/>
    <col min="1807" max="1807" width="5.7109375" style="111" customWidth="1"/>
    <col min="1808" max="2048" width="9.140625" style="111"/>
    <col min="2049" max="2049" width="16.42578125" style="111" customWidth="1"/>
    <col min="2050" max="2050" width="11.28515625" style="111" bestFit="1" customWidth="1"/>
    <col min="2051" max="2051" width="9.5703125" style="111" bestFit="1" customWidth="1"/>
    <col min="2052" max="2052" width="8.42578125" style="111" bestFit="1" customWidth="1"/>
    <col min="2053" max="2058" width="9.5703125" style="111" bestFit="1" customWidth="1"/>
    <col min="2059" max="2059" width="11.7109375" style="111" bestFit="1" customWidth="1"/>
    <col min="2060" max="2060" width="9.5703125" style="111" bestFit="1" customWidth="1"/>
    <col min="2061" max="2061" width="11.140625" style="111" bestFit="1" customWidth="1"/>
    <col min="2062" max="2062" width="10.42578125" style="111" bestFit="1" customWidth="1"/>
    <col min="2063" max="2063" width="5.7109375" style="111" customWidth="1"/>
    <col min="2064" max="2304" width="9.140625" style="111"/>
    <col min="2305" max="2305" width="16.42578125" style="111" customWidth="1"/>
    <col min="2306" max="2306" width="11.28515625" style="111" bestFit="1" customWidth="1"/>
    <col min="2307" max="2307" width="9.5703125" style="111" bestFit="1" customWidth="1"/>
    <col min="2308" max="2308" width="8.42578125" style="111" bestFit="1" customWidth="1"/>
    <col min="2309" max="2314" width="9.5703125" style="111" bestFit="1" customWidth="1"/>
    <col min="2315" max="2315" width="11.7109375" style="111" bestFit="1" customWidth="1"/>
    <col min="2316" max="2316" width="9.5703125" style="111" bestFit="1" customWidth="1"/>
    <col min="2317" max="2317" width="11.140625" style="111" bestFit="1" customWidth="1"/>
    <col min="2318" max="2318" width="10.42578125" style="111" bestFit="1" customWidth="1"/>
    <col min="2319" max="2319" width="5.7109375" style="111" customWidth="1"/>
    <col min="2320" max="2560" width="9.140625" style="111"/>
    <col min="2561" max="2561" width="16.42578125" style="111" customWidth="1"/>
    <col min="2562" max="2562" width="11.28515625" style="111" bestFit="1" customWidth="1"/>
    <col min="2563" max="2563" width="9.5703125" style="111" bestFit="1" customWidth="1"/>
    <col min="2564" max="2564" width="8.42578125" style="111" bestFit="1" customWidth="1"/>
    <col min="2565" max="2570" width="9.5703125" style="111" bestFit="1" customWidth="1"/>
    <col min="2571" max="2571" width="11.7109375" style="111" bestFit="1" customWidth="1"/>
    <col min="2572" max="2572" width="9.5703125" style="111" bestFit="1" customWidth="1"/>
    <col min="2573" max="2573" width="11.140625" style="111" bestFit="1" customWidth="1"/>
    <col min="2574" max="2574" width="10.42578125" style="111" bestFit="1" customWidth="1"/>
    <col min="2575" max="2575" width="5.7109375" style="111" customWidth="1"/>
    <col min="2576" max="2816" width="9.140625" style="111"/>
    <col min="2817" max="2817" width="16.42578125" style="111" customWidth="1"/>
    <col min="2818" max="2818" width="11.28515625" style="111" bestFit="1" customWidth="1"/>
    <col min="2819" max="2819" width="9.5703125" style="111" bestFit="1" customWidth="1"/>
    <col min="2820" max="2820" width="8.42578125" style="111" bestFit="1" customWidth="1"/>
    <col min="2821" max="2826" width="9.5703125" style="111" bestFit="1" customWidth="1"/>
    <col min="2827" max="2827" width="11.7109375" style="111" bestFit="1" customWidth="1"/>
    <col min="2828" max="2828" width="9.5703125" style="111" bestFit="1" customWidth="1"/>
    <col min="2829" max="2829" width="11.140625" style="111" bestFit="1" customWidth="1"/>
    <col min="2830" max="2830" width="10.42578125" style="111" bestFit="1" customWidth="1"/>
    <col min="2831" max="2831" width="5.7109375" style="111" customWidth="1"/>
    <col min="2832" max="3072" width="9.140625" style="111"/>
    <col min="3073" max="3073" width="16.42578125" style="111" customWidth="1"/>
    <col min="3074" max="3074" width="11.28515625" style="111" bestFit="1" customWidth="1"/>
    <col min="3075" max="3075" width="9.5703125" style="111" bestFit="1" customWidth="1"/>
    <col min="3076" max="3076" width="8.42578125" style="111" bestFit="1" customWidth="1"/>
    <col min="3077" max="3082" width="9.5703125" style="111" bestFit="1" customWidth="1"/>
    <col min="3083" max="3083" width="11.7109375" style="111" bestFit="1" customWidth="1"/>
    <col min="3084" max="3084" width="9.5703125" style="111" bestFit="1" customWidth="1"/>
    <col min="3085" max="3085" width="11.140625" style="111" bestFit="1" customWidth="1"/>
    <col min="3086" max="3086" width="10.42578125" style="111" bestFit="1" customWidth="1"/>
    <col min="3087" max="3087" width="5.7109375" style="111" customWidth="1"/>
    <col min="3088" max="3328" width="9.140625" style="111"/>
    <col min="3329" max="3329" width="16.42578125" style="111" customWidth="1"/>
    <col min="3330" max="3330" width="11.28515625" style="111" bestFit="1" customWidth="1"/>
    <col min="3331" max="3331" width="9.5703125" style="111" bestFit="1" customWidth="1"/>
    <col min="3332" max="3332" width="8.42578125" style="111" bestFit="1" customWidth="1"/>
    <col min="3333" max="3338" width="9.5703125" style="111" bestFit="1" customWidth="1"/>
    <col min="3339" max="3339" width="11.7109375" style="111" bestFit="1" customWidth="1"/>
    <col min="3340" max="3340" width="9.5703125" style="111" bestFit="1" customWidth="1"/>
    <col min="3341" max="3341" width="11.140625" style="111" bestFit="1" customWidth="1"/>
    <col min="3342" max="3342" width="10.42578125" style="111" bestFit="1" customWidth="1"/>
    <col min="3343" max="3343" width="5.7109375" style="111" customWidth="1"/>
    <col min="3344" max="3584" width="9.140625" style="111"/>
    <col min="3585" max="3585" width="16.42578125" style="111" customWidth="1"/>
    <col min="3586" max="3586" width="11.28515625" style="111" bestFit="1" customWidth="1"/>
    <col min="3587" max="3587" width="9.5703125" style="111" bestFit="1" customWidth="1"/>
    <col min="3588" max="3588" width="8.42578125" style="111" bestFit="1" customWidth="1"/>
    <col min="3589" max="3594" width="9.5703125" style="111" bestFit="1" customWidth="1"/>
    <col min="3595" max="3595" width="11.7109375" style="111" bestFit="1" customWidth="1"/>
    <col min="3596" max="3596" width="9.5703125" style="111" bestFit="1" customWidth="1"/>
    <col min="3597" max="3597" width="11.140625" style="111" bestFit="1" customWidth="1"/>
    <col min="3598" max="3598" width="10.42578125" style="111" bestFit="1" customWidth="1"/>
    <col min="3599" max="3599" width="5.7109375" style="111" customWidth="1"/>
    <col min="3600" max="3840" width="9.140625" style="111"/>
    <col min="3841" max="3841" width="16.42578125" style="111" customWidth="1"/>
    <col min="3842" max="3842" width="11.28515625" style="111" bestFit="1" customWidth="1"/>
    <col min="3843" max="3843" width="9.5703125" style="111" bestFit="1" customWidth="1"/>
    <col min="3844" max="3844" width="8.42578125" style="111" bestFit="1" customWidth="1"/>
    <col min="3845" max="3850" width="9.5703125" style="111" bestFit="1" customWidth="1"/>
    <col min="3851" max="3851" width="11.7109375" style="111" bestFit="1" customWidth="1"/>
    <col min="3852" max="3852" width="9.5703125" style="111" bestFit="1" customWidth="1"/>
    <col min="3853" max="3853" width="11.140625" style="111" bestFit="1" customWidth="1"/>
    <col min="3854" max="3854" width="10.42578125" style="111" bestFit="1" customWidth="1"/>
    <col min="3855" max="3855" width="5.7109375" style="111" customWidth="1"/>
    <col min="3856" max="4096" width="9.140625" style="111"/>
    <col min="4097" max="4097" width="16.42578125" style="111" customWidth="1"/>
    <col min="4098" max="4098" width="11.28515625" style="111" bestFit="1" customWidth="1"/>
    <col min="4099" max="4099" width="9.5703125" style="111" bestFit="1" customWidth="1"/>
    <col min="4100" max="4100" width="8.42578125" style="111" bestFit="1" customWidth="1"/>
    <col min="4101" max="4106" width="9.5703125" style="111" bestFit="1" customWidth="1"/>
    <col min="4107" max="4107" width="11.7109375" style="111" bestFit="1" customWidth="1"/>
    <col min="4108" max="4108" width="9.5703125" style="111" bestFit="1" customWidth="1"/>
    <col min="4109" max="4109" width="11.140625" style="111" bestFit="1" customWidth="1"/>
    <col min="4110" max="4110" width="10.42578125" style="111" bestFit="1" customWidth="1"/>
    <col min="4111" max="4111" width="5.7109375" style="111" customWidth="1"/>
    <col min="4112" max="4352" width="9.140625" style="111"/>
    <col min="4353" max="4353" width="16.42578125" style="111" customWidth="1"/>
    <col min="4354" max="4354" width="11.28515625" style="111" bestFit="1" customWidth="1"/>
    <col min="4355" max="4355" width="9.5703125" style="111" bestFit="1" customWidth="1"/>
    <col min="4356" max="4356" width="8.42578125" style="111" bestFit="1" customWidth="1"/>
    <col min="4357" max="4362" width="9.5703125" style="111" bestFit="1" customWidth="1"/>
    <col min="4363" max="4363" width="11.7109375" style="111" bestFit="1" customWidth="1"/>
    <col min="4364" max="4364" width="9.5703125" style="111" bestFit="1" customWidth="1"/>
    <col min="4365" max="4365" width="11.140625" style="111" bestFit="1" customWidth="1"/>
    <col min="4366" max="4366" width="10.42578125" style="111" bestFit="1" customWidth="1"/>
    <col min="4367" max="4367" width="5.7109375" style="111" customWidth="1"/>
    <col min="4368" max="4608" width="9.140625" style="111"/>
    <col min="4609" max="4609" width="16.42578125" style="111" customWidth="1"/>
    <col min="4610" max="4610" width="11.28515625" style="111" bestFit="1" customWidth="1"/>
    <col min="4611" max="4611" width="9.5703125" style="111" bestFit="1" customWidth="1"/>
    <col min="4612" max="4612" width="8.42578125" style="111" bestFit="1" customWidth="1"/>
    <col min="4613" max="4618" width="9.5703125" style="111" bestFit="1" customWidth="1"/>
    <col min="4619" max="4619" width="11.7109375" style="111" bestFit="1" customWidth="1"/>
    <col min="4620" max="4620" width="9.5703125" style="111" bestFit="1" customWidth="1"/>
    <col min="4621" max="4621" width="11.140625" style="111" bestFit="1" customWidth="1"/>
    <col min="4622" max="4622" width="10.42578125" style="111" bestFit="1" customWidth="1"/>
    <col min="4623" max="4623" width="5.7109375" style="111" customWidth="1"/>
    <col min="4624" max="4864" width="9.140625" style="111"/>
    <col min="4865" max="4865" width="16.42578125" style="111" customWidth="1"/>
    <col min="4866" max="4866" width="11.28515625" style="111" bestFit="1" customWidth="1"/>
    <col min="4867" max="4867" width="9.5703125" style="111" bestFit="1" customWidth="1"/>
    <col min="4868" max="4868" width="8.42578125" style="111" bestFit="1" customWidth="1"/>
    <col min="4869" max="4874" width="9.5703125" style="111" bestFit="1" customWidth="1"/>
    <col min="4875" max="4875" width="11.7109375" style="111" bestFit="1" customWidth="1"/>
    <col min="4876" max="4876" width="9.5703125" style="111" bestFit="1" customWidth="1"/>
    <col min="4877" max="4877" width="11.140625" style="111" bestFit="1" customWidth="1"/>
    <col min="4878" max="4878" width="10.42578125" style="111" bestFit="1" customWidth="1"/>
    <col min="4879" max="4879" width="5.7109375" style="111" customWidth="1"/>
    <col min="4880" max="5120" width="9.140625" style="111"/>
    <col min="5121" max="5121" width="16.42578125" style="111" customWidth="1"/>
    <col min="5122" max="5122" width="11.28515625" style="111" bestFit="1" customWidth="1"/>
    <col min="5123" max="5123" width="9.5703125" style="111" bestFit="1" customWidth="1"/>
    <col min="5124" max="5124" width="8.42578125" style="111" bestFit="1" customWidth="1"/>
    <col min="5125" max="5130" width="9.5703125" style="111" bestFit="1" customWidth="1"/>
    <col min="5131" max="5131" width="11.7109375" style="111" bestFit="1" customWidth="1"/>
    <col min="5132" max="5132" width="9.5703125" style="111" bestFit="1" customWidth="1"/>
    <col min="5133" max="5133" width="11.140625" style="111" bestFit="1" customWidth="1"/>
    <col min="5134" max="5134" width="10.42578125" style="111" bestFit="1" customWidth="1"/>
    <col min="5135" max="5135" width="5.7109375" style="111" customWidth="1"/>
    <col min="5136" max="5376" width="9.140625" style="111"/>
    <col min="5377" max="5377" width="16.42578125" style="111" customWidth="1"/>
    <col min="5378" max="5378" width="11.28515625" style="111" bestFit="1" customWidth="1"/>
    <col min="5379" max="5379" width="9.5703125" style="111" bestFit="1" customWidth="1"/>
    <col min="5380" max="5380" width="8.42578125" style="111" bestFit="1" customWidth="1"/>
    <col min="5381" max="5386" width="9.5703125" style="111" bestFit="1" customWidth="1"/>
    <col min="5387" max="5387" width="11.7109375" style="111" bestFit="1" customWidth="1"/>
    <col min="5388" max="5388" width="9.5703125" style="111" bestFit="1" customWidth="1"/>
    <col min="5389" max="5389" width="11.140625" style="111" bestFit="1" customWidth="1"/>
    <col min="5390" max="5390" width="10.42578125" style="111" bestFit="1" customWidth="1"/>
    <col min="5391" max="5391" width="5.7109375" style="111" customWidth="1"/>
    <col min="5392" max="5632" width="9.140625" style="111"/>
    <col min="5633" max="5633" width="16.42578125" style="111" customWidth="1"/>
    <col min="5634" max="5634" width="11.28515625" style="111" bestFit="1" customWidth="1"/>
    <col min="5635" max="5635" width="9.5703125" style="111" bestFit="1" customWidth="1"/>
    <col min="5636" max="5636" width="8.42578125" style="111" bestFit="1" customWidth="1"/>
    <col min="5637" max="5642" width="9.5703125" style="111" bestFit="1" customWidth="1"/>
    <col min="5643" max="5643" width="11.7109375" style="111" bestFit="1" customWidth="1"/>
    <col min="5644" max="5644" width="9.5703125" style="111" bestFit="1" customWidth="1"/>
    <col min="5645" max="5645" width="11.140625" style="111" bestFit="1" customWidth="1"/>
    <col min="5646" max="5646" width="10.42578125" style="111" bestFit="1" customWidth="1"/>
    <col min="5647" max="5647" width="5.7109375" style="111" customWidth="1"/>
    <col min="5648" max="5888" width="9.140625" style="111"/>
    <col min="5889" max="5889" width="16.42578125" style="111" customWidth="1"/>
    <col min="5890" max="5890" width="11.28515625" style="111" bestFit="1" customWidth="1"/>
    <col min="5891" max="5891" width="9.5703125" style="111" bestFit="1" customWidth="1"/>
    <col min="5892" max="5892" width="8.42578125" style="111" bestFit="1" customWidth="1"/>
    <col min="5893" max="5898" width="9.5703125" style="111" bestFit="1" customWidth="1"/>
    <col min="5899" max="5899" width="11.7109375" style="111" bestFit="1" customWidth="1"/>
    <col min="5900" max="5900" width="9.5703125" style="111" bestFit="1" customWidth="1"/>
    <col min="5901" max="5901" width="11.140625" style="111" bestFit="1" customWidth="1"/>
    <col min="5902" max="5902" width="10.42578125" style="111" bestFit="1" customWidth="1"/>
    <col min="5903" max="5903" width="5.7109375" style="111" customWidth="1"/>
    <col min="5904" max="6144" width="9.140625" style="111"/>
    <col min="6145" max="6145" width="16.42578125" style="111" customWidth="1"/>
    <col min="6146" max="6146" width="11.28515625" style="111" bestFit="1" customWidth="1"/>
    <col min="6147" max="6147" width="9.5703125" style="111" bestFit="1" customWidth="1"/>
    <col min="6148" max="6148" width="8.42578125" style="111" bestFit="1" customWidth="1"/>
    <col min="6149" max="6154" width="9.5703125" style="111" bestFit="1" customWidth="1"/>
    <col min="6155" max="6155" width="11.7109375" style="111" bestFit="1" customWidth="1"/>
    <col min="6156" max="6156" width="9.5703125" style="111" bestFit="1" customWidth="1"/>
    <col min="6157" max="6157" width="11.140625" style="111" bestFit="1" customWidth="1"/>
    <col min="6158" max="6158" width="10.42578125" style="111" bestFit="1" customWidth="1"/>
    <col min="6159" max="6159" width="5.7109375" style="111" customWidth="1"/>
    <col min="6160" max="6400" width="9.140625" style="111"/>
    <col min="6401" max="6401" width="16.42578125" style="111" customWidth="1"/>
    <col min="6402" max="6402" width="11.28515625" style="111" bestFit="1" customWidth="1"/>
    <col min="6403" max="6403" width="9.5703125" style="111" bestFit="1" customWidth="1"/>
    <col min="6404" max="6404" width="8.42578125" style="111" bestFit="1" customWidth="1"/>
    <col min="6405" max="6410" width="9.5703125" style="111" bestFit="1" customWidth="1"/>
    <col min="6411" max="6411" width="11.7109375" style="111" bestFit="1" customWidth="1"/>
    <col min="6412" max="6412" width="9.5703125" style="111" bestFit="1" customWidth="1"/>
    <col min="6413" max="6413" width="11.140625" style="111" bestFit="1" customWidth="1"/>
    <col min="6414" max="6414" width="10.42578125" style="111" bestFit="1" customWidth="1"/>
    <col min="6415" max="6415" width="5.7109375" style="111" customWidth="1"/>
    <col min="6416" max="6656" width="9.140625" style="111"/>
    <col min="6657" max="6657" width="16.42578125" style="111" customWidth="1"/>
    <col min="6658" max="6658" width="11.28515625" style="111" bestFit="1" customWidth="1"/>
    <col min="6659" max="6659" width="9.5703125" style="111" bestFit="1" customWidth="1"/>
    <col min="6660" max="6660" width="8.42578125" style="111" bestFit="1" customWidth="1"/>
    <col min="6661" max="6666" width="9.5703125" style="111" bestFit="1" customWidth="1"/>
    <col min="6667" max="6667" width="11.7109375" style="111" bestFit="1" customWidth="1"/>
    <col min="6668" max="6668" width="9.5703125" style="111" bestFit="1" customWidth="1"/>
    <col min="6669" max="6669" width="11.140625" style="111" bestFit="1" customWidth="1"/>
    <col min="6670" max="6670" width="10.42578125" style="111" bestFit="1" customWidth="1"/>
    <col min="6671" max="6671" width="5.7109375" style="111" customWidth="1"/>
    <col min="6672" max="6912" width="9.140625" style="111"/>
    <col min="6913" max="6913" width="16.42578125" style="111" customWidth="1"/>
    <col min="6914" max="6914" width="11.28515625" style="111" bestFit="1" customWidth="1"/>
    <col min="6915" max="6915" width="9.5703125" style="111" bestFit="1" customWidth="1"/>
    <col min="6916" max="6916" width="8.42578125" style="111" bestFit="1" customWidth="1"/>
    <col min="6917" max="6922" width="9.5703125" style="111" bestFit="1" customWidth="1"/>
    <col min="6923" max="6923" width="11.7109375" style="111" bestFit="1" customWidth="1"/>
    <col min="6924" max="6924" width="9.5703125" style="111" bestFit="1" customWidth="1"/>
    <col min="6925" max="6925" width="11.140625" style="111" bestFit="1" customWidth="1"/>
    <col min="6926" max="6926" width="10.42578125" style="111" bestFit="1" customWidth="1"/>
    <col min="6927" max="6927" width="5.7109375" style="111" customWidth="1"/>
    <col min="6928" max="7168" width="9.140625" style="111"/>
    <col min="7169" max="7169" width="16.42578125" style="111" customWidth="1"/>
    <col min="7170" max="7170" width="11.28515625" style="111" bestFit="1" customWidth="1"/>
    <col min="7171" max="7171" width="9.5703125" style="111" bestFit="1" customWidth="1"/>
    <col min="7172" max="7172" width="8.42578125" style="111" bestFit="1" customWidth="1"/>
    <col min="7173" max="7178" width="9.5703125" style="111" bestFit="1" customWidth="1"/>
    <col min="7179" max="7179" width="11.7109375" style="111" bestFit="1" customWidth="1"/>
    <col min="7180" max="7180" width="9.5703125" style="111" bestFit="1" customWidth="1"/>
    <col min="7181" max="7181" width="11.140625" style="111" bestFit="1" customWidth="1"/>
    <col min="7182" max="7182" width="10.42578125" style="111" bestFit="1" customWidth="1"/>
    <col min="7183" max="7183" width="5.7109375" style="111" customWidth="1"/>
    <col min="7184" max="7424" width="9.140625" style="111"/>
    <col min="7425" max="7425" width="16.42578125" style="111" customWidth="1"/>
    <col min="7426" max="7426" width="11.28515625" style="111" bestFit="1" customWidth="1"/>
    <col min="7427" max="7427" width="9.5703125" style="111" bestFit="1" customWidth="1"/>
    <col min="7428" max="7428" width="8.42578125" style="111" bestFit="1" customWidth="1"/>
    <col min="7429" max="7434" width="9.5703125" style="111" bestFit="1" customWidth="1"/>
    <col min="7435" max="7435" width="11.7109375" style="111" bestFit="1" customWidth="1"/>
    <col min="7436" max="7436" width="9.5703125" style="111" bestFit="1" customWidth="1"/>
    <col min="7437" max="7437" width="11.140625" style="111" bestFit="1" customWidth="1"/>
    <col min="7438" max="7438" width="10.42578125" style="111" bestFit="1" customWidth="1"/>
    <col min="7439" max="7439" width="5.7109375" style="111" customWidth="1"/>
    <col min="7440" max="7680" width="9.140625" style="111"/>
    <col min="7681" max="7681" width="16.42578125" style="111" customWidth="1"/>
    <col min="7682" max="7682" width="11.28515625" style="111" bestFit="1" customWidth="1"/>
    <col min="7683" max="7683" width="9.5703125" style="111" bestFit="1" customWidth="1"/>
    <col min="7684" max="7684" width="8.42578125" style="111" bestFit="1" customWidth="1"/>
    <col min="7685" max="7690" width="9.5703125" style="111" bestFit="1" customWidth="1"/>
    <col min="7691" max="7691" width="11.7109375" style="111" bestFit="1" customWidth="1"/>
    <col min="7692" max="7692" width="9.5703125" style="111" bestFit="1" customWidth="1"/>
    <col min="7693" max="7693" width="11.140625" style="111" bestFit="1" customWidth="1"/>
    <col min="7694" max="7694" width="10.42578125" style="111" bestFit="1" customWidth="1"/>
    <col min="7695" max="7695" width="5.7109375" style="111" customWidth="1"/>
    <col min="7696" max="7936" width="9.140625" style="111"/>
    <col min="7937" max="7937" width="16.42578125" style="111" customWidth="1"/>
    <col min="7938" max="7938" width="11.28515625" style="111" bestFit="1" customWidth="1"/>
    <col min="7939" max="7939" width="9.5703125" style="111" bestFit="1" customWidth="1"/>
    <col min="7940" max="7940" width="8.42578125" style="111" bestFit="1" customWidth="1"/>
    <col min="7941" max="7946" width="9.5703125" style="111" bestFit="1" customWidth="1"/>
    <col min="7947" max="7947" width="11.7109375" style="111" bestFit="1" customWidth="1"/>
    <col min="7948" max="7948" width="9.5703125" style="111" bestFit="1" customWidth="1"/>
    <col min="7949" max="7949" width="11.140625" style="111" bestFit="1" customWidth="1"/>
    <col min="7950" max="7950" width="10.42578125" style="111" bestFit="1" customWidth="1"/>
    <col min="7951" max="7951" width="5.7109375" style="111" customWidth="1"/>
    <col min="7952" max="8192" width="9.140625" style="111"/>
    <col min="8193" max="8193" width="16.42578125" style="111" customWidth="1"/>
    <col min="8194" max="8194" width="11.28515625" style="111" bestFit="1" customWidth="1"/>
    <col min="8195" max="8195" width="9.5703125" style="111" bestFit="1" customWidth="1"/>
    <col min="8196" max="8196" width="8.42578125" style="111" bestFit="1" customWidth="1"/>
    <col min="8197" max="8202" width="9.5703125" style="111" bestFit="1" customWidth="1"/>
    <col min="8203" max="8203" width="11.7109375" style="111" bestFit="1" customWidth="1"/>
    <col min="8204" max="8204" width="9.5703125" style="111" bestFit="1" customWidth="1"/>
    <col min="8205" max="8205" width="11.140625" style="111" bestFit="1" customWidth="1"/>
    <col min="8206" max="8206" width="10.42578125" style="111" bestFit="1" customWidth="1"/>
    <col min="8207" max="8207" width="5.7109375" style="111" customWidth="1"/>
    <col min="8208" max="8448" width="9.140625" style="111"/>
    <col min="8449" max="8449" width="16.42578125" style="111" customWidth="1"/>
    <col min="8450" max="8450" width="11.28515625" style="111" bestFit="1" customWidth="1"/>
    <col min="8451" max="8451" width="9.5703125" style="111" bestFit="1" customWidth="1"/>
    <col min="8452" max="8452" width="8.42578125" style="111" bestFit="1" customWidth="1"/>
    <col min="8453" max="8458" width="9.5703125" style="111" bestFit="1" customWidth="1"/>
    <col min="8459" max="8459" width="11.7109375" style="111" bestFit="1" customWidth="1"/>
    <col min="8460" max="8460" width="9.5703125" style="111" bestFit="1" customWidth="1"/>
    <col min="8461" max="8461" width="11.140625" style="111" bestFit="1" customWidth="1"/>
    <col min="8462" max="8462" width="10.42578125" style="111" bestFit="1" customWidth="1"/>
    <col min="8463" max="8463" width="5.7109375" style="111" customWidth="1"/>
    <col min="8464" max="8704" width="9.140625" style="111"/>
    <col min="8705" max="8705" width="16.42578125" style="111" customWidth="1"/>
    <col min="8706" max="8706" width="11.28515625" style="111" bestFit="1" customWidth="1"/>
    <col min="8707" max="8707" width="9.5703125" style="111" bestFit="1" customWidth="1"/>
    <col min="8708" max="8708" width="8.42578125" style="111" bestFit="1" customWidth="1"/>
    <col min="8709" max="8714" width="9.5703125" style="111" bestFit="1" customWidth="1"/>
    <col min="8715" max="8715" width="11.7109375" style="111" bestFit="1" customWidth="1"/>
    <col min="8716" max="8716" width="9.5703125" style="111" bestFit="1" customWidth="1"/>
    <col min="8717" max="8717" width="11.140625" style="111" bestFit="1" customWidth="1"/>
    <col min="8718" max="8718" width="10.42578125" style="111" bestFit="1" customWidth="1"/>
    <col min="8719" max="8719" width="5.7109375" style="111" customWidth="1"/>
    <col min="8720" max="8960" width="9.140625" style="111"/>
    <col min="8961" max="8961" width="16.42578125" style="111" customWidth="1"/>
    <col min="8962" max="8962" width="11.28515625" style="111" bestFit="1" customWidth="1"/>
    <col min="8963" max="8963" width="9.5703125" style="111" bestFit="1" customWidth="1"/>
    <col min="8964" max="8964" width="8.42578125" style="111" bestFit="1" customWidth="1"/>
    <col min="8965" max="8970" width="9.5703125" style="111" bestFit="1" customWidth="1"/>
    <col min="8971" max="8971" width="11.7109375" style="111" bestFit="1" customWidth="1"/>
    <col min="8972" max="8972" width="9.5703125" style="111" bestFit="1" customWidth="1"/>
    <col min="8973" max="8973" width="11.140625" style="111" bestFit="1" customWidth="1"/>
    <col min="8974" max="8974" width="10.42578125" style="111" bestFit="1" customWidth="1"/>
    <col min="8975" max="8975" width="5.7109375" style="111" customWidth="1"/>
    <col min="8976" max="9216" width="9.140625" style="111"/>
    <col min="9217" max="9217" width="16.42578125" style="111" customWidth="1"/>
    <col min="9218" max="9218" width="11.28515625" style="111" bestFit="1" customWidth="1"/>
    <col min="9219" max="9219" width="9.5703125" style="111" bestFit="1" customWidth="1"/>
    <col min="9220" max="9220" width="8.42578125" style="111" bestFit="1" customWidth="1"/>
    <col min="9221" max="9226" width="9.5703125" style="111" bestFit="1" customWidth="1"/>
    <col min="9227" max="9227" width="11.7109375" style="111" bestFit="1" customWidth="1"/>
    <col min="9228" max="9228" width="9.5703125" style="111" bestFit="1" customWidth="1"/>
    <col min="9229" max="9229" width="11.140625" style="111" bestFit="1" customWidth="1"/>
    <col min="9230" max="9230" width="10.42578125" style="111" bestFit="1" customWidth="1"/>
    <col min="9231" max="9231" width="5.7109375" style="111" customWidth="1"/>
    <col min="9232" max="9472" width="9.140625" style="111"/>
    <col min="9473" max="9473" width="16.42578125" style="111" customWidth="1"/>
    <col min="9474" max="9474" width="11.28515625" style="111" bestFit="1" customWidth="1"/>
    <col min="9475" max="9475" width="9.5703125" style="111" bestFit="1" customWidth="1"/>
    <col min="9476" max="9476" width="8.42578125" style="111" bestFit="1" customWidth="1"/>
    <col min="9477" max="9482" width="9.5703125" style="111" bestFit="1" customWidth="1"/>
    <col min="9483" max="9483" width="11.7109375" style="111" bestFit="1" customWidth="1"/>
    <col min="9484" max="9484" width="9.5703125" style="111" bestFit="1" customWidth="1"/>
    <col min="9485" max="9485" width="11.140625" style="111" bestFit="1" customWidth="1"/>
    <col min="9486" max="9486" width="10.42578125" style="111" bestFit="1" customWidth="1"/>
    <col min="9487" max="9487" width="5.7109375" style="111" customWidth="1"/>
    <col min="9488" max="9728" width="9.140625" style="111"/>
    <col min="9729" max="9729" width="16.42578125" style="111" customWidth="1"/>
    <col min="9730" max="9730" width="11.28515625" style="111" bestFit="1" customWidth="1"/>
    <col min="9731" max="9731" width="9.5703125" style="111" bestFit="1" customWidth="1"/>
    <col min="9732" max="9732" width="8.42578125" style="111" bestFit="1" customWidth="1"/>
    <col min="9733" max="9738" width="9.5703125" style="111" bestFit="1" customWidth="1"/>
    <col min="9739" max="9739" width="11.7109375" style="111" bestFit="1" customWidth="1"/>
    <col min="9740" max="9740" width="9.5703125" style="111" bestFit="1" customWidth="1"/>
    <col min="9741" max="9741" width="11.140625" style="111" bestFit="1" customWidth="1"/>
    <col min="9742" max="9742" width="10.42578125" style="111" bestFit="1" customWidth="1"/>
    <col min="9743" max="9743" width="5.7109375" style="111" customWidth="1"/>
    <col min="9744" max="9984" width="9.140625" style="111"/>
    <col min="9985" max="9985" width="16.42578125" style="111" customWidth="1"/>
    <col min="9986" max="9986" width="11.28515625" style="111" bestFit="1" customWidth="1"/>
    <col min="9987" max="9987" width="9.5703125" style="111" bestFit="1" customWidth="1"/>
    <col min="9988" max="9988" width="8.42578125" style="111" bestFit="1" customWidth="1"/>
    <col min="9989" max="9994" width="9.5703125" style="111" bestFit="1" customWidth="1"/>
    <col min="9995" max="9995" width="11.7109375" style="111" bestFit="1" customWidth="1"/>
    <col min="9996" max="9996" width="9.5703125" style="111" bestFit="1" customWidth="1"/>
    <col min="9997" max="9997" width="11.140625" style="111" bestFit="1" customWidth="1"/>
    <col min="9998" max="9998" width="10.42578125" style="111" bestFit="1" customWidth="1"/>
    <col min="9999" max="9999" width="5.7109375" style="111" customWidth="1"/>
    <col min="10000" max="10240" width="9.140625" style="111"/>
    <col min="10241" max="10241" width="16.42578125" style="111" customWidth="1"/>
    <col min="10242" max="10242" width="11.28515625" style="111" bestFit="1" customWidth="1"/>
    <col min="10243" max="10243" width="9.5703125" style="111" bestFit="1" customWidth="1"/>
    <col min="10244" max="10244" width="8.42578125" style="111" bestFit="1" customWidth="1"/>
    <col min="10245" max="10250" width="9.5703125" style="111" bestFit="1" customWidth="1"/>
    <col min="10251" max="10251" width="11.7109375" style="111" bestFit="1" customWidth="1"/>
    <col min="10252" max="10252" width="9.5703125" style="111" bestFit="1" customWidth="1"/>
    <col min="10253" max="10253" width="11.140625" style="111" bestFit="1" customWidth="1"/>
    <col min="10254" max="10254" width="10.42578125" style="111" bestFit="1" customWidth="1"/>
    <col min="10255" max="10255" width="5.7109375" style="111" customWidth="1"/>
    <col min="10256" max="10496" width="9.140625" style="111"/>
    <col min="10497" max="10497" width="16.42578125" style="111" customWidth="1"/>
    <col min="10498" max="10498" width="11.28515625" style="111" bestFit="1" customWidth="1"/>
    <col min="10499" max="10499" width="9.5703125" style="111" bestFit="1" customWidth="1"/>
    <col min="10500" max="10500" width="8.42578125" style="111" bestFit="1" customWidth="1"/>
    <col min="10501" max="10506" width="9.5703125" style="111" bestFit="1" customWidth="1"/>
    <col min="10507" max="10507" width="11.7109375" style="111" bestFit="1" customWidth="1"/>
    <col min="10508" max="10508" width="9.5703125" style="111" bestFit="1" customWidth="1"/>
    <col min="10509" max="10509" width="11.140625" style="111" bestFit="1" customWidth="1"/>
    <col min="10510" max="10510" width="10.42578125" style="111" bestFit="1" customWidth="1"/>
    <col min="10511" max="10511" width="5.7109375" style="111" customWidth="1"/>
    <col min="10512" max="10752" width="9.140625" style="111"/>
    <col min="10753" max="10753" width="16.42578125" style="111" customWidth="1"/>
    <col min="10754" max="10754" width="11.28515625" style="111" bestFit="1" customWidth="1"/>
    <col min="10755" max="10755" width="9.5703125" style="111" bestFit="1" customWidth="1"/>
    <col min="10756" max="10756" width="8.42578125" style="111" bestFit="1" customWidth="1"/>
    <col min="10757" max="10762" width="9.5703125" style="111" bestFit="1" customWidth="1"/>
    <col min="10763" max="10763" width="11.7109375" style="111" bestFit="1" customWidth="1"/>
    <col min="10764" max="10764" width="9.5703125" style="111" bestFit="1" customWidth="1"/>
    <col min="10765" max="10765" width="11.140625" style="111" bestFit="1" customWidth="1"/>
    <col min="10766" max="10766" width="10.42578125" style="111" bestFit="1" customWidth="1"/>
    <col min="10767" max="10767" width="5.7109375" style="111" customWidth="1"/>
    <col min="10768" max="11008" width="9.140625" style="111"/>
    <col min="11009" max="11009" width="16.42578125" style="111" customWidth="1"/>
    <col min="11010" max="11010" width="11.28515625" style="111" bestFit="1" customWidth="1"/>
    <col min="11011" max="11011" width="9.5703125" style="111" bestFit="1" customWidth="1"/>
    <col min="11012" max="11012" width="8.42578125" style="111" bestFit="1" customWidth="1"/>
    <col min="11013" max="11018" width="9.5703125" style="111" bestFit="1" customWidth="1"/>
    <col min="11019" max="11019" width="11.7109375" style="111" bestFit="1" customWidth="1"/>
    <col min="11020" max="11020" width="9.5703125" style="111" bestFit="1" customWidth="1"/>
    <col min="11021" max="11021" width="11.140625" style="111" bestFit="1" customWidth="1"/>
    <col min="11022" max="11022" width="10.42578125" style="111" bestFit="1" customWidth="1"/>
    <col min="11023" max="11023" width="5.7109375" style="111" customWidth="1"/>
    <col min="11024" max="11264" width="9.140625" style="111"/>
    <col min="11265" max="11265" width="16.42578125" style="111" customWidth="1"/>
    <col min="11266" max="11266" width="11.28515625" style="111" bestFit="1" customWidth="1"/>
    <col min="11267" max="11267" width="9.5703125" style="111" bestFit="1" customWidth="1"/>
    <col min="11268" max="11268" width="8.42578125" style="111" bestFit="1" customWidth="1"/>
    <col min="11269" max="11274" width="9.5703125" style="111" bestFit="1" customWidth="1"/>
    <col min="11275" max="11275" width="11.7109375" style="111" bestFit="1" customWidth="1"/>
    <col min="11276" max="11276" width="9.5703125" style="111" bestFit="1" customWidth="1"/>
    <col min="11277" max="11277" width="11.140625" style="111" bestFit="1" customWidth="1"/>
    <col min="11278" max="11278" width="10.42578125" style="111" bestFit="1" customWidth="1"/>
    <col min="11279" max="11279" width="5.7109375" style="111" customWidth="1"/>
    <col min="11280" max="11520" width="9.140625" style="111"/>
    <col min="11521" max="11521" width="16.42578125" style="111" customWidth="1"/>
    <col min="11522" max="11522" width="11.28515625" style="111" bestFit="1" customWidth="1"/>
    <col min="11523" max="11523" width="9.5703125" style="111" bestFit="1" customWidth="1"/>
    <col min="11524" max="11524" width="8.42578125" style="111" bestFit="1" customWidth="1"/>
    <col min="11525" max="11530" width="9.5703125" style="111" bestFit="1" customWidth="1"/>
    <col min="11531" max="11531" width="11.7109375" style="111" bestFit="1" customWidth="1"/>
    <col min="11532" max="11532" width="9.5703125" style="111" bestFit="1" customWidth="1"/>
    <col min="11533" max="11533" width="11.140625" style="111" bestFit="1" customWidth="1"/>
    <col min="11534" max="11534" width="10.42578125" style="111" bestFit="1" customWidth="1"/>
    <col min="11535" max="11535" width="5.7109375" style="111" customWidth="1"/>
    <col min="11536" max="11776" width="9.140625" style="111"/>
    <col min="11777" max="11777" width="16.42578125" style="111" customWidth="1"/>
    <col min="11778" max="11778" width="11.28515625" style="111" bestFit="1" customWidth="1"/>
    <col min="11779" max="11779" width="9.5703125" style="111" bestFit="1" customWidth="1"/>
    <col min="11780" max="11780" width="8.42578125" style="111" bestFit="1" customWidth="1"/>
    <col min="11781" max="11786" width="9.5703125" style="111" bestFit="1" customWidth="1"/>
    <col min="11787" max="11787" width="11.7109375" style="111" bestFit="1" customWidth="1"/>
    <col min="11788" max="11788" width="9.5703125" style="111" bestFit="1" customWidth="1"/>
    <col min="11789" max="11789" width="11.140625" style="111" bestFit="1" customWidth="1"/>
    <col min="11790" max="11790" width="10.42578125" style="111" bestFit="1" customWidth="1"/>
    <col min="11791" max="11791" width="5.7109375" style="111" customWidth="1"/>
    <col min="11792" max="12032" width="9.140625" style="111"/>
    <col min="12033" max="12033" width="16.42578125" style="111" customWidth="1"/>
    <col min="12034" max="12034" width="11.28515625" style="111" bestFit="1" customWidth="1"/>
    <col min="12035" max="12035" width="9.5703125" style="111" bestFit="1" customWidth="1"/>
    <col min="12036" max="12036" width="8.42578125" style="111" bestFit="1" customWidth="1"/>
    <col min="12037" max="12042" width="9.5703125" style="111" bestFit="1" customWidth="1"/>
    <col min="12043" max="12043" width="11.7109375" style="111" bestFit="1" customWidth="1"/>
    <col min="12044" max="12044" width="9.5703125" style="111" bestFit="1" customWidth="1"/>
    <col min="12045" max="12045" width="11.140625" style="111" bestFit="1" customWidth="1"/>
    <col min="12046" max="12046" width="10.42578125" style="111" bestFit="1" customWidth="1"/>
    <col min="12047" max="12047" width="5.7109375" style="111" customWidth="1"/>
    <col min="12048" max="12288" width="9.140625" style="111"/>
    <col min="12289" max="12289" width="16.42578125" style="111" customWidth="1"/>
    <col min="12290" max="12290" width="11.28515625" style="111" bestFit="1" customWidth="1"/>
    <col min="12291" max="12291" width="9.5703125" style="111" bestFit="1" customWidth="1"/>
    <col min="12292" max="12292" width="8.42578125" style="111" bestFit="1" customWidth="1"/>
    <col min="12293" max="12298" width="9.5703125" style="111" bestFit="1" customWidth="1"/>
    <col min="12299" max="12299" width="11.7109375" style="111" bestFit="1" customWidth="1"/>
    <col min="12300" max="12300" width="9.5703125" style="111" bestFit="1" customWidth="1"/>
    <col min="12301" max="12301" width="11.140625" style="111" bestFit="1" customWidth="1"/>
    <col min="12302" max="12302" width="10.42578125" style="111" bestFit="1" customWidth="1"/>
    <col min="12303" max="12303" width="5.7109375" style="111" customWidth="1"/>
    <col min="12304" max="12544" width="9.140625" style="111"/>
    <col min="12545" max="12545" width="16.42578125" style="111" customWidth="1"/>
    <col min="12546" max="12546" width="11.28515625" style="111" bestFit="1" customWidth="1"/>
    <col min="12547" max="12547" width="9.5703125" style="111" bestFit="1" customWidth="1"/>
    <col min="12548" max="12548" width="8.42578125" style="111" bestFit="1" customWidth="1"/>
    <col min="12549" max="12554" width="9.5703125" style="111" bestFit="1" customWidth="1"/>
    <col min="12555" max="12555" width="11.7109375" style="111" bestFit="1" customWidth="1"/>
    <col min="12556" max="12556" width="9.5703125" style="111" bestFit="1" customWidth="1"/>
    <col min="12557" max="12557" width="11.140625" style="111" bestFit="1" customWidth="1"/>
    <col min="12558" max="12558" width="10.42578125" style="111" bestFit="1" customWidth="1"/>
    <col min="12559" max="12559" width="5.7109375" style="111" customWidth="1"/>
    <col min="12560" max="12800" width="9.140625" style="111"/>
    <col min="12801" max="12801" width="16.42578125" style="111" customWidth="1"/>
    <col min="12802" max="12802" width="11.28515625" style="111" bestFit="1" customWidth="1"/>
    <col min="12803" max="12803" width="9.5703125" style="111" bestFit="1" customWidth="1"/>
    <col min="12804" max="12804" width="8.42578125" style="111" bestFit="1" customWidth="1"/>
    <col min="12805" max="12810" width="9.5703125" style="111" bestFit="1" customWidth="1"/>
    <col min="12811" max="12811" width="11.7109375" style="111" bestFit="1" customWidth="1"/>
    <col min="12812" max="12812" width="9.5703125" style="111" bestFit="1" customWidth="1"/>
    <col min="12813" max="12813" width="11.140625" style="111" bestFit="1" customWidth="1"/>
    <col min="12814" max="12814" width="10.42578125" style="111" bestFit="1" customWidth="1"/>
    <col min="12815" max="12815" width="5.7109375" style="111" customWidth="1"/>
    <col min="12816" max="13056" width="9.140625" style="111"/>
    <col min="13057" max="13057" width="16.42578125" style="111" customWidth="1"/>
    <col min="13058" max="13058" width="11.28515625" style="111" bestFit="1" customWidth="1"/>
    <col min="13059" max="13059" width="9.5703125" style="111" bestFit="1" customWidth="1"/>
    <col min="13060" max="13060" width="8.42578125" style="111" bestFit="1" customWidth="1"/>
    <col min="13061" max="13066" width="9.5703125" style="111" bestFit="1" customWidth="1"/>
    <col min="13067" max="13067" width="11.7109375" style="111" bestFit="1" customWidth="1"/>
    <col min="13068" max="13068" width="9.5703125" style="111" bestFit="1" customWidth="1"/>
    <col min="13069" max="13069" width="11.140625" style="111" bestFit="1" customWidth="1"/>
    <col min="13070" max="13070" width="10.42578125" style="111" bestFit="1" customWidth="1"/>
    <col min="13071" max="13071" width="5.7109375" style="111" customWidth="1"/>
    <col min="13072" max="13312" width="9.140625" style="111"/>
    <col min="13313" max="13313" width="16.42578125" style="111" customWidth="1"/>
    <col min="13314" max="13314" width="11.28515625" style="111" bestFit="1" customWidth="1"/>
    <col min="13315" max="13315" width="9.5703125" style="111" bestFit="1" customWidth="1"/>
    <col min="13316" max="13316" width="8.42578125" style="111" bestFit="1" customWidth="1"/>
    <col min="13317" max="13322" width="9.5703125" style="111" bestFit="1" customWidth="1"/>
    <col min="13323" max="13323" width="11.7109375" style="111" bestFit="1" customWidth="1"/>
    <col min="13324" max="13324" width="9.5703125" style="111" bestFit="1" customWidth="1"/>
    <col min="13325" max="13325" width="11.140625" style="111" bestFit="1" customWidth="1"/>
    <col min="13326" max="13326" width="10.42578125" style="111" bestFit="1" customWidth="1"/>
    <col min="13327" max="13327" width="5.7109375" style="111" customWidth="1"/>
    <col min="13328" max="13568" width="9.140625" style="111"/>
    <col min="13569" max="13569" width="16.42578125" style="111" customWidth="1"/>
    <col min="13570" max="13570" width="11.28515625" style="111" bestFit="1" customWidth="1"/>
    <col min="13571" max="13571" width="9.5703125" style="111" bestFit="1" customWidth="1"/>
    <col min="13572" max="13572" width="8.42578125" style="111" bestFit="1" customWidth="1"/>
    <col min="13573" max="13578" width="9.5703125" style="111" bestFit="1" customWidth="1"/>
    <col min="13579" max="13579" width="11.7109375" style="111" bestFit="1" customWidth="1"/>
    <col min="13580" max="13580" width="9.5703125" style="111" bestFit="1" customWidth="1"/>
    <col min="13581" max="13581" width="11.140625" style="111" bestFit="1" customWidth="1"/>
    <col min="13582" max="13582" width="10.42578125" style="111" bestFit="1" customWidth="1"/>
    <col min="13583" max="13583" width="5.7109375" style="111" customWidth="1"/>
    <col min="13584" max="13824" width="9.140625" style="111"/>
    <col min="13825" max="13825" width="16.42578125" style="111" customWidth="1"/>
    <col min="13826" max="13826" width="11.28515625" style="111" bestFit="1" customWidth="1"/>
    <col min="13827" max="13827" width="9.5703125" style="111" bestFit="1" customWidth="1"/>
    <col min="13828" max="13828" width="8.42578125" style="111" bestFit="1" customWidth="1"/>
    <col min="13829" max="13834" width="9.5703125" style="111" bestFit="1" customWidth="1"/>
    <col min="13835" max="13835" width="11.7109375" style="111" bestFit="1" customWidth="1"/>
    <col min="13836" max="13836" width="9.5703125" style="111" bestFit="1" customWidth="1"/>
    <col min="13837" max="13837" width="11.140625" style="111" bestFit="1" customWidth="1"/>
    <col min="13838" max="13838" width="10.42578125" style="111" bestFit="1" customWidth="1"/>
    <col min="13839" max="13839" width="5.7109375" style="111" customWidth="1"/>
    <col min="13840" max="14080" width="9.140625" style="111"/>
    <col min="14081" max="14081" width="16.42578125" style="111" customWidth="1"/>
    <col min="14082" max="14082" width="11.28515625" style="111" bestFit="1" customWidth="1"/>
    <col min="14083" max="14083" width="9.5703125" style="111" bestFit="1" customWidth="1"/>
    <col min="14084" max="14084" width="8.42578125" style="111" bestFit="1" customWidth="1"/>
    <col min="14085" max="14090" width="9.5703125" style="111" bestFit="1" customWidth="1"/>
    <col min="14091" max="14091" width="11.7109375" style="111" bestFit="1" customWidth="1"/>
    <col min="14092" max="14092" width="9.5703125" style="111" bestFit="1" customWidth="1"/>
    <col min="14093" max="14093" width="11.140625" style="111" bestFit="1" customWidth="1"/>
    <col min="14094" max="14094" width="10.42578125" style="111" bestFit="1" customWidth="1"/>
    <col min="14095" max="14095" width="5.7109375" style="111" customWidth="1"/>
    <col min="14096" max="14336" width="9.140625" style="111"/>
    <col min="14337" max="14337" width="16.42578125" style="111" customWidth="1"/>
    <col min="14338" max="14338" width="11.28515625" style="111" bestFit="1" customWidth="1"/>
    <col min="14339" max="14339" width="9.5703125" style="111" bestFit="1" customWidth="1"/>
    <col min="14340" max="14340" width="8.42578125" style="111" bestFit="1" customWidth="1"/>
    <col min="14341" max="14346" width="9.5703125" style="111" bestFit="1" customWidth="1"/>
    <col min="14347" max="14347" width="11.7109375" style="111" bestFit="1" customWidth="1"/>
    <col min="14348" max="14348" width="9.5703125" style="111" bestFit="1" customWidth="1"/>
    <col min="14349" max="14349" width="11.140625" style="111" bestFit="1" customWidth="1"/>
    <col min="14350" max="14350" width="10.42578125" style="111" bestFit="1" customWidth="1"/>
    <col min="14351" max="14351" width="5.7109375" style="111" customWidth="1"/>
    <col min="14352" max="14592" width="9.140625" style="111"/>
    <col min="14593" max="14593" width="16.42578125" style="111" customWidth="1"/>
    <col min="14594" max="14594" width="11.28515625" style="111" bestFit="1" customWidth="1"/>
    <col min="14595" max="14595" width="9.5703125" style="111" bestFit="1" customWidth="1"/>
    <col min="14596" max="14596" width="8.42578125" style="111" bestFit="1" customWidth="1"/>
    <col min="14597" max="14602" width="9.5703125" style="111" bestFit="1" customWidth="1"/>
    <col min="14603" max="14603" width="11.7109375" style="111" bestFit="1" customWidth="1"/>
    <col min="14604" max="14604" width="9.5703125" style="111" bestFit="1" customWidth="1"/>
    <col min="14605" max="14605" width="11.140625" style="111" bestFit="1" customWidth="1"/>
    <col min="14606" max="14606" width="10.42578125" style="111" bestFit="1" customWidth="1"/>
    <col min="14607" max="14607" width="5.7109375" style="111" customWidth="1"/>
    <col min="14608" max="14848" width="9.140625" style="111"/>
    <col min="14849" max="14849" width="16.42578125" style="111" customWidth="1"/>
    <col min="14850" max="14850" width="11.28515625" style="111" bestFit="1" customWidth="1"/>
    <col min="14851" max="14851" width="9.5703125" style="111" bestFit="1" customWidth="1"/>
    <col min="14852" max="14852" width="8.42578125" style="111" bestFit="1" customWidth="1"/>
    <col min="14853" max="14858" width="9.5703125" style="111" bestFit="1" customWidth="1"/>
    <col min="14859" max="14859" width="11.7109375" style="111" bestFit="1" customWidth="1"/>
    <col min="14860" max="14860" width="9.5703125" style="111" bestFit="1" customWidth="1"/>
    <col min="14861" max="14861" width="11.140625" style="111" bestFit="1" customWidth="1"/>
    <col min="14862" max="14862" width="10.42578125" style="111" bestFit="1" customWidth="1"/>
    <col min="14863" max="14863" width="5.7109375" style="111" customWidth="1"/>
    <col min="14864" max="15104" width="9.140625" style="111"/>
    <col min="15105" max="15105" width="16.42578125" style="111" customWidth="1"/>
    <col min="15106" max="15106" width="11.28515625" style="111" bestFit="1" customWidth="1"/>
    <col min="15107" max="15107" width="9.5703125" style="111" bestFit="1" customWidth="1"/>
    <col min="15108" max="15108" width="8.42578125" style="111" bestFit="1" customWidth="1"/>
    <col min="15109" max="15114" width="9.5703125" style="111" bestFit="1" customWidth="1"/>
    <col min="15115" max="15115" width="11.7109375" style="111" bestFit="1" customWidth="1"/>
    <col min="15116" max="15116" width="9.5703125" style="111" bestFit="1" customWidth="1"/>
    <col min="15117" max="15117" width="11.140625" style="111" bestFit="1" customWidth="1"/>
    <col min="15118" max="15118" width="10.42578125" style="111" bestFit="1" customWidth="1"/>
    <col min="15119" max="15119" width="5.7109375" style="111" customWidth="1"/>
    <col min="15120" max="15360" width="9.140625" style="111"/>
    <col min="15361" max="15361" width="16.42578125" style="111" customWidth="1"/>
    <col min="15362" max="15362" width="11.28515625" style="111" bestFit="1" customWidth="1"/>
    <col min="15363" max="15363" width="9.5703125" style="111" bestFit="1" customWidth="1"/>
    <col min="15364" max="15364" width="8.42578125" style="111" bestFit="1" customWidth="1"/>
    <col min="15365" max="15370" width="9.5703125" style="111" bestFit="1" customWidth="1"/>
    <col min="15371" max="15371" width="11.7109375" style="111" bestFit="1" customWidth="1"/>
    <col min="15372" max="15372" width="9.5703125" style="111" bestFit="1" customWidth="1"/>
    <col min="15373" max="15373" width="11.140625" style="111" bestFit="1" customWidth="1"/>
    <col min="15374" max="15374" width="10.42578125" style="111" bestFit="1" customWidth="1"/>
    <col min="15375" max="15375" width="5.7109375" style="111" customWidth="1"/>
    <col min="15376" max="15616" width="9.140625" style="111"/>
    <col min="15617" max="15617" width="16.42578125" style="111" customWidth="1"/>
    <col min="15618" max="15618" width="11.28515625" style="111" bestFit="1" customWidth="1"/>
    <col min="15619" max="15619" width="9.5703125" style="111" bestFit="1" customWidth="1"/>
    <col min="15620" max="15620" width="8.42578125" style="111" bestFit="1" customWidth="1"/>
    <col min="15621" max="15626" width="9.5703125" style="111" bestFit="1" customWidth="1"/>
    <col min="15627" max="15627" width="11.7109375" style="111" bestFit="1" customWidth="1"/>
    <col min="15628" max="15628" width="9.5703125" style="111" bestFit="1" customWidth="1"/>
    <col min="15629" max="15629" width="11.140625" style="111" bestFit="1" customWidth="1"/>
    <col min="15630" max="15630" width="10.42578125" style="111" bestFit="1" customWidth="1"/>
    <col min="15631" max="15631" width="5.7109375" style="111" customWidth="1"/>
    <col min="15632" max="15872" width="9.140625" style="111"/>
    <col min="15873" max="15873" width="16.42578125" style="111" customWidth="1"/>
    <col min="15874" max="15874" width="11.28515625" style="111" bestFit="1" customWidth="1"/>
    <col min="15875" max="15875" width="9.5703125" style="111" bestFit="1" customWidth="1"/>
    <col min="15876" max="15876" width="8.42578125" style="111" bestFit="1" customWidth="1"/>
    <col min="15877" max="15882" width="9.5703125" style="111" bestFit="1" customWidth="1"/>
    <col min="15883" max="15883" width="11.7109375" style="111" bestFit="1" customWidth="1"/>
    <col min="15884" max="15884" width="9.5703125" style="111" bestFit="1" customWidth="1"/>
    <col min="15885" max="15885" width="11.140625" style="111" bestFit="1" customWidth="1"/>
    <col min="15886" max="15886" width="10.42578125" style="111" bestFit="1" customWidth="1"/>
    <col min="15887" max="15887" width="5.7109375" style="111" customWidth="1"/>
    <col min="15888" max="16128" width="9.140625" style="111"/>
    <col min="16129" max="16129" width="16.42578125" style="111" customWidth="1"/>
    <col min="16130" max="16130" width="11.28515625" style="111" bestFit="1" customWidth="1"/>
    <col min="16131" max="16131" width="9.5703125" style="111" bestFit="1" customWidth="1"/>
    <col min="16132" max="16132" width="8.42578125" style="111" bestFit="1" customWidth="1"/>
    <col min="16133" max="16138" width="9.5703125" style="111" bestFit="1" customWidth="1"/>
    <col min="16139" max="16139" width="11.7109375" style="111" bestFit="1" customWidth="1"/>
    <col min="16140" max="16140" width="9.5703125" style="111" bestFit="1" customWidth="1"/>
    <col min="16141" max="16141" width="11.140625" style="111" bestFit="1" customWidth="1"/>
    <col min="16142" max="16142" width="10.42578125" style="111" bestFit="1" customWidth="1"/>
    <col min="16143" max="16143" width="5.7109375" style="111" customWidth="1"/>
    <col min="16144" max="16384" width="9.140625" style="111"/>
  </cols>
  <sheetData>
    <row r="1" spans="1:15" ht="11.25" customHeight="1" x14ac:dyDescent="0.2"/>
    <row r="2" spans="1:15" x14ac:dyDescent="0.2">
      <c r="A2" s="2688" t="s">
        <v>1510</v>
      </c>
      <c r="B2" s="2689"/>
      <c r="C2" s="2689"/>
      <c r="D2" s="2689"/>
      <c r="E2" s="2689"/>
      <c r="F2" s="2689"/>
      <c r="G2" s="2689"/>
      <c r="H2" s="2689"/>
      <c r="I2" s="2689"/>
      <c r="J2" s="2689"/>
      <c r="K2" s="2689"/>
      <c r="L2" s="2689"/>
      <c r="M2" s="2689"/>
      <c r="N2" s="2689"/>
    </row>
    <row r="3" spans="1:15" ht="11.25" customHeight="1" x14ac:dyDescent="0.2">
      <c r="A3" s="2347"/>
      <c r="B3" s="2667"/>
      <c r="C3" s="2667"/>
      <c r="D3" s="2667"/>
      <c r="E3" s="2667"/>
      <c r="F3" s="2667"/>
      <c r="G3" s="2667"/>
      <c r="H3" s="2667"/>
      <c r="I3" s="2667"/>
      <c r="J3" s="2667"/>
      <c r="K3" s="2667"/>
      <c r="L3" s="2667"/>
      <c r="M3" s="2667"/>
      <c r="N3" s="2667"/>
    </row>
    <row r="4" spans="1:15" x14ac:dyDescent="0.2">
      <c r="A4" s="2379" t="s">
        <v>1</v>
      </c>
      <c r="B4" s="2690" t="s">
        <v>1511</v>
      </c>
      <c r="C4" s="2691"/>
      <c r="D4" s="2691"/>
      <c r="E4" s="2691"/>
      <c r="F4" s="2691"/>
      <c r="G4" s="2691"/>
      <c r="H4" s="2691"/>
      <c r="I4" s="2691"/>
      <c r="J4" s="2691"/>
      <c r="K4" s="2691"/>
      <c r="L4" s="2691"/>
      <c r="M4" s="2691"/>
      <c r="N4" s="2692"/>
    </row>
    <row r="5" spans="1:15" ht="21" x14ac:dyDescent="0.2">
      <c r="A5" s="2360"/>
      <c r="B5" s="554" t="s">
        <v>1473</v>
      </c>
      <c r="C5" s="541" t="s">
        <v>1512</v>
      </c>
      <c r="D5" s="541" t="s">
        <v>1513</v>
      </c>
      <c r="E5" s="541" t="s">
        <v>1514</v>
      </c>
      <c r="F5" s="541" t="s">
        <v>1515</v>
      </c>
      <c r="G5" s="541" t="s">
        <v>1516</v>
      </c>
      <c r="H5" s="541" t="s">
        <v>1517</v>
      </c>
      <c r="I5" s="541" t="s">
        <v>1518</v>
      </c>
      <c r="J5" s="541" t="s">
        <v>1519</v>
      </c>
      <c r="K5" s="541" t="s">
        <v>1520</v>
      </c>
      <c r="L5" s="541" t="s">
        <v>1521</v>
      </c>
      <c r="M5" s="541" t="s">
        <v>1522</v>
      </c>
      <c r="N5" s="541" t="s">
        <v>1523</v>
      </c>
    </row>
    <row r="6" spans="1:15" x14ac:dyDescent="0.2">
      <c r="A6" s="146" t="s">
        <v>141</v>
      </c>
      <c r="B6" s="477">
        <f>SUM(C6:N6)</f>
        <v>3010713</v>
      </c>
      <c r="C6" s="477">
        <f>SUM(C7:C21)</f>
        <v>322832</v>
      </c>
      <c r="D6" s="477">
        <f t="shared" ref="D6:N6" si="0">SUM(D7:D21)</f>
        <v>95427</v>
      </c>
      <c r="E6" s="477">
        <f t="shared" si="0"/>
        <v>115450</v>
      </c>
      <c r="F6" s="477">
        <f t="shared" si="0"/>
        <v>254996</v>
      </c>
      <c r="G6" s="477">
        <f t="shared" si="0"/>
        <v>231436</v>
      </c>
      <c r="H6" s="477">
        <f t="shared" si="0"/>
        <v>195354</v>
      </c>
      <c r="I6" s="477">
        <f t="shared" si="0"/>
        <v>358911</v>
      </c>
      <c r="J6" s="477">
        <f t="shared" si="0"/>
        <v>329844</v>
      </c>
      <c r="K6" s="477">
        <f t="shared" si="0"/>
        <v>273403</v>
      </c>
      <c r="L6" s="477">
        <f t="shared" si="0"/>
        <v>283954</v>
      </c>
      <c r="M6" s="477">
        <f t="shared" si="0"/>
        <v>311256</v>
      </c>
      <c r="N6" s="477">
        <f t="shared" si="0"/>
        <v>237850</v>
      </c>
    </row>
    <row r="7" spans="1:15" x14ac:dyDescent="0.2">
      <c r="A7" s="476" t="s">
        <v>5</v>
      </c>
      <c r="B7" s="477">
        <f>SUM(C7:N7)</f>
        <v>47951</v>
      </c>
      <c r="C7" s="478">
        <v>3320</v>
      </c>
      <c r="D7" s="478">
        <v>2725</v>
      </c>
      <c r="E7" s="478">
        <v>1648</v>
      </c>
      <c r="F7" s="478">
        <v>3390</v>
      </c>
      <c r="G7" s="478">
        <v>4090</v>
      </c>
      <c r="H7" s="478">
        <v>1378</v>
      </c>
      <c r="I7" s="478">
        <v>4150</v>
      </c>
      <c r="J7" s="478">
        <v>3700</v>
      </c>
      <c r="K7" s="478">
        <v>8000</v>
      </c>
      <c r="L7" s="478">
        <v>6200</v>
      </c>
      <c r="M7" s="478">
        <v>4000</v>
      </c>
      <c r="N7" s="478">
        <v>5350</v>
      </c>
    </row>
    <row r="8" spans="1:15" x14ac:dyDescent="0.2">
      <c r="A8" s="476" t="s">
        <v>6</v>
      </c>
      <c r="B8" s="477">
        <f t="shared" ref="B8:B21" si="1">SUM(C8:N8)</f>
        <v>21375</v>
      </c>
      <c r="C8" s="478">
        <v>1741</v>
      </c>
      <c r="D8" s="478">
        <v>2140</v>
      </c>
      <c r="E8" s="478">
        <v>522</v>
      </c>
      <c r="F8" s="478">
        <v>1400</v>
      </c>
      <c r="G8" s="478">
        <v>1985</v>
      </c>
      <c r="H8" s="478">
        <v>2080</v>
      </c>
      <c r="I8" s="478">
        <v>950</v>
      </c>
      <c r="J8" s="478">
        <v>1160</v>
      </c>
      <c r="K8" s="478">
        <v>1070</v>
      </c>
      <c r="L8" s="478">
        <v>5762</v>
      </c>
      <c r="M8" s="478">
        <v>1010</v>
      </c>
      <c r="N8" s="478">
        <v>1555</v>
      </c>
    </row>
    <row r="9" spans="1:15" x14ac:dyDescent="0.2">
      <c r="A9" s="476" t="s">
        <v>1485</v>
      </c>
      <c r="B9" s="477">
        <f t="shared" si="1"/>
        <v>76671</v>
      </c>
      <c r="C9" s="478">
        <v>11817</v>
      </c>
      <c r="D9" s="478">
        <v>2050</v>
      </c>
      <c r="E9" s="478">
        <v>2803</v>
      </c>
      <c r="F9" s="478">
        <v>3461</v>
      </c>
      <c r="G9" s="478">
        <v>7409</v>
      </c>
      <c r="H9" s="478">
        <v>7567</v>
      </c>
      <c r="I9" s="478">
        <v>3948</v>
      </c>
      <c r="J9" s="478">
        <v>8348</v>
      </c>
      <c r="K9" s="478">
        <v>5053</v>
      </c>
      <c r="L9" s="478">
        <v>11842</v>
      </c>
      <c r="M9" s="478">
        <v>7916</v>
      </c>
      <c r="N9" s="478">
        <v>4457</v>
      </c>
    </row>
    <row r="10" spans="1:15" x14ac:dyDescent="0.2">
      <c r="A10" s="476" t="s">
        <v>1486</v>
      </c>
      <c r="B10" s="477">
        <f t="shared" si="1"/>
        <v>70440</v>
      </c>
      <c r="C10" s="478">
        <v>17220</v>
      </c>
      <c r="D10" s="478">
        <v>2030</v>
      </c>
      <c r="E10" s="478">
        <v>1080</v>
      </c>
      <c r="F10" s="478">
        <v>2800</v>
      </c>
      <c r="G10" s="478">
        <v>2100</v>
      </c>
      <c r="H10" s="478">
        <v>1870</v>
      </c>
      <c r="I10" s="478">
        <v>5150</v>
      </c>
      <c r="J10" s="478">
        <v>2400</v>
      </c>
      <c r="K10" s="478">
        <v>14530</v>
      </c>
      <c r="L10" s="478">
        <v>5000</v>
      </c>
      <c r="M10" s="478">
        <v>9350</v>
      </c>
      <c r="N10" s="478">
        <v>6910</v>
      </c>
    </row>
    <row r="11" spans="1:15" x14ac:dyDescent="0.2">
      <c r="A11" s="476" t="s">
        <v>1487</v>
      </c>
      <c r="B11" s="477">
        <f t="shared" si="1"/>
        <v>64716</v>
      </c>
      <c r="C11" s="478">
        <v>15064</v>
      </c>
      <c r="D11" s="478">
        <v>8452</v>
      </c>
      <c r="E11" s="478">
        <v>3388</v>
      </c>
      <c r="F11" s="478">
        <v>5247</v>
      </c>
      <c r="G11" s="478">
        <v>4980</v>
      </c>
      <c r="H11" s="478">
        <v>2860</v>
      </c>
      <c r="I11" s="478">
        <v>4821</v>
      </c>
      <c r="J11" s="478">
        <v>7439</v>
      </c>
      <c r="K11" s="478">
        <v>1580</v>
      </c>
      <c r="L11" s="478">
        <v>2640</v>
      </c>
      <c r="M11" s="478">
        <v>4470</v>
      </c>
      <c r="N11" s="478">
        <v>3775</v>
      </c>
    </row>
    <row r="12" spans="1:15" x14ac:dyDescent="0.2">
      <c r="A12" s="476" t="s">
        <v>1488</v>
      </c>
      <c r="B12" s="477">
        <f t="shared" si="1"/>
        <v>243879</v>
      </c>
      <c r="C12" s="478">
        <v>31408</v>
      </c>
      <c r="D12" s="478">
        <v>5782</v>
      </c>
      <c r="E12" s="478">
        <v>4380</v>
      </c>
      <c r="F12" s="555">
        <v>31599</v>
      </c>
      <c r="G12" s="555">
        <v>31195</v>
      </c>
      <c r="H12" s="555">
        <v>25189</v>
      </c>
      <c r="I12" s="478">
        <v>11717</v>
      </c>
      <c r="J12" s="478">
        <v>12759</v>
      </c>
      <c r="K12" s="478">
        <v>15274</v>
      </c>
      <c r="L12" s="478">
        <v>37854</v>
      </c>
      <c r="M12" s="478">
        <v>10058</v>
      </c>
      <c r="N12" s="478">
        <v>26664</v>
      </c>
    </row>
    <row r="13" spans="1:15" x14ac:dyDescent="0.2">
      <c r="A13" s="476" t="s">
        <v>11</v>
      </c>
      <c r="B13" s="477">
        <f t="shared" si="1"/>
        <v>1426377</v>
      </c>
      <c r="C13" s="478">
        <v>133527</v>
      </c>
      <c r="D13" s="478">
        <v>18072</v>
      </c>
      <c r="E13" s="478">
        <v>63634</v>
      </c>
      <c r="F13" s="478">
        <v>131781</v>
      </c>
      <c r="G13" s="478">
        <v>114427</v>
      </c>
      <c r="H13" s="478">
        <v>96919</v>
      </c>
      <c r="I13" s="478">
        <v>217862</v>
      </c>
      <c r="J13" s="478">
        <v>184847</v>
      </c>
      <c r="K13" s="478">
        <v>83704</v>
      </c>
      <c r="L13" s="478">
        <v>117072</v>
      </c>
      <c r="M13" s="478">
        <v>163554</v>
      </c>
      <c r="N13" s="478">
        <v>100978</v>
      </c>
    </row>
    <row r="14" spans="1:15" x14ac:dyDescent="0.2">
      <c r="A14" s="476" t="s">
        <v>12</v>
      </c>
      <c r="B14" s="477">
        <f t="shared" si="1"/>
        <v>207121</v>
      </c>
      <c r="C14" s="478">
        <v>10601</v>
      </c>
      <c r="D14" s="478">
        <v>14307</v>
      </c>
      <c r="E14" s="478">
        <v>10163</v>
      </c>
      <c r="F14" s="478">
        <v>16433</v>
      </c>
      <c r="G14" s="478">
        <v>16252</v>
      </c>
      <c r="H14" s="478">
        <v>8627</v>
      </c>
      <c r="I14" s="478">
        <v>20172</v>
      </c>
      <c r="J14" s="478">
        <v>21353</v>
      </c>
      <c r="K14" s="478">
        <v>37384</v>
      </c>
      <c r="L14" s="478">
        <v>15231</v>
      </c>
      <c r="M14" s="478">
        <v>16666</v>
      </c>
      <c r="N14" s="478">
        <v>19932</v>
      </c>
    </row>
    <row r="15" spans="1:15" x14ac:dyDescent="0.2">
      <c r="A15" s="476" t="s">
        <v>13</v>
      </c>
      <c r="B15" s="477">
        <f t="shared" si="1"/>
        <v>147868</v>
      </c>
      <c r="C15" s="478">
        <v>5657</v>
      </c>
      <c r="D15" s="478">
        <v>1460</v>
      </c>
      <c r="E15" s="478">
        <v>3934</v>
      </c>
      <c r="F15" s="478">
        <v>9694</v>
      </c>
      <c r="G15" s="478">
        <v>8782</v>
      </c>
      <c r="H15" s="478">
        <v>6245</v>
      </c>
      <c r="I15" s="478">
        <v>15397</v>
      </c>
      <c r="J15" s="478">
        <v>14110</v>
      </c>
      <c r="K15" s="478">
        <v>17742</v>
      </c>
      <c r="L15" s="478">
        <v>35367</v>
      </c>
      <c r="M15" s="478">
        <v>15931</v>
      </c>
      <c r="N15" s="478">
        <v>13549</v>
      </c>
    </row>
    <row r="16" spans="1:15" x14ac:dyDescent="0.2">
      <c r="A16" s="2050" t="s">
        <v>14</v>
      </c>
      <c r="B16" s="477">
        <f t="shared" si="1"/>
        <v>266266</v>
      </c>
      <c r="C16" s="478">
        <v>42284</v>
      </c>
      <c r="D16" s="478">
        <v>13080</v>
      </c>
      <c r="E16" s="478">
        <v>7285</v>
      </c>
      <c r="F16" s="478">
        <v>23068</v>
      </c>
      <c r="G16" s="478">
        <v>13387</v>
      </c>
      <c r="H16" s="478">
        <v>17833</v>
      </c>
      <c r="I16" s="478">
        <v>16381</v>
      </c>
      <c r="J16" s="478">
        <v>34645</v>
      </c>
      <c r="K16" s="478">
        <v>37953</v>
      </c>
      <c r="L16" s="478">
        <v>17952</v>
      </c>
      <c r="M16" s="478">
        <v>21473</v>
      </c>
      <c r="N16" s="478">
        <v>20925</v>
      </c>
      <c r="O16" s="2064"/>
    </row>
    <row r="17" spans="1:15" x14ac:dyDescent="0.2">
      <c r="A17" s="2050" t="s">
        <v>15</v>
      </c>
      <c r="B17" s="477">
        <f t="shared" si="1"/>
        <v>189063</v>
      </c>
      <c r="C17" s="478">
        <v>29134</v>
      </c>
      <c r="D17" s="478">
        <v>8140</v>
      </c>
      <c r="E17" s="478">
        <v>7811</v>
      </c>
      <c r="F17" s="478">
        <v>12811</v>
      </c>
      <c r="G17" s="478">
        <v>9332</v>
      </c>
      <c r="H17" s="478">
        <v>13741</v>
      </c>
      <c r="I17" s="478">
        <v>14365</v>
      </c>
      <c r="J17" s="478">
        <v>23353</v>
      </c>
      <c r="K17" s="478">
        <v>30853</v>
      </c>
      <c r="L17" s="478">
        <v>9268</v>
      </c>
      <c r="M17" s="478">
        <v>16745</v>
      </c>
      <c r="N17" s="478">
        <v>13510</v>
      </c>
      <c r="O17" s="2064"/>
    </row>
    <row r="18" spans="1:15" x14ac:dyDescent="0.2">
      <c r="A18" s="2050" t="s">
        <v>16</v>
      </c>
      <c r="B18" s="477">
        <f t="shared" si="1"/>
        <v>60537</v>
      </c>
      <c r="C18" s="478">
        <v>6676</v>
      </c>
      <c r="D18" s="478">
        <v>6252</v>
      </c>
      <c r="E18" s="478">
        <v>1526</v>
      </c>
      <c r="F18" s="478">
        <v>4320</v>
      </c>
      <c r="G18" s="478">
        <v>3618</v>
      </c>
      <c r="H18" s="478">
        <v>2503</v>
      </c>
      <c r="I18" s="478">
        <v>8753</v>
      </c>
      <c r="J18" s="478">
        <v>4993</v>
      </c>
      <c r="K18" s="478">
        <v>4724</v>
      </c>
      <c r="L18" s="478">
        <v>4632</v>
      </c>
      <c r="M18" s="478">
        <v>6026</v>
      </c>
      <c r="N18" s="478">
        <v>6514</v>
      </c>
      <c r="O18" s="2064"/>
    </row>
    <row r="19" spans="1:15" x14ac:dyDescent="0.2">
      <c r="A19" s="2050" t="s">
        <v>17</v>
      </c>
      <c r="B19" s="477">
        <f t="shared" si="1"/>
        <v>149670</v>
      </c>
      <c r="C19" s="478">
        <v>11391</v>
      </c>
      <c r="D19" s="478">
        <v>10037</v>
      </c>
      <c r="E19" s="478">
        <v>3694</v>
      </c>
      <c r="F19" s="478">
        <v>6532</v>
      </c>
      <c r="G19" s="478">
        <v>8489</v>
      </c>
      <c r="H19" s="478">
        <v>6157</v>
      </c>
      <c r="I19" s="478">
        <v>31926</v>
      </c>
      <c r="J19" s="478">
        <v>8732</v>
      </c>
      <c r="K19" s="478">
        <v>13337</v>
      </c>
      <c r="L19" s="478">
        <v>11291</v>
      </c>
      <c r="M19" s="478">
        <v>29195</v>
      </c>
      <c r="N19" s="478">
        <v>8889</v>
      </c>
      <c r="O19" s="2064"/>
    </row>
    <row r="20" spans="1:15" x14ac:dyDescent="0.2">
      <c r="A20" s="2050" t="s">
        <v>18</v>
      </c>
      <c r="B20" s="477">
        <f t="shared" si="1"/>
        <v>20123</v>
      </c>
      <c r="C20" s="478">
        <v>1960</v>
      </c>
      <c r="D20" s="478">
        <v>900</v>
      </c>
      <c r="E20" s="478">
        <v>870</v>
      </c>
      <c r="F20" s="478">
        <v>1130</v>
      </c>
      <c r="G20" s="478">
        <v>3180</v>
      </c>
      <c r="H20" s="478">
        <v>680</v>
      </c>
      <c r="I20" s="478">
        <v>1714</v>
      </c>
      <c r="J20" s="478">
        <v>1210</v>
      </c>
      <c r="K20" s="478">
        <v>1190</v>
      </c>
      <c r="L20" s="478">
        <v>2830</v>
      </c>
      <c r="M20" s="478">
        <v>2110</v>
      </c>
      <c r="N20" s="478">
        <v>2349</v>
      </c>
      <c r="O20" s="2064"/>
    </row>
    <row r="21" spans="1:15" x14ac:dyDescent="0.2">
      <c r="A21" s="2050" t="s">
        <v>19</v>
      </c>
      <c r="B21" s="477">
        <f t="shared" si="1"/>
        <v>18656</v>
      </c>
      <c r="C21" s="478">
        <v>1032</v>
      </c>
      <c r="D21" s="478">
        <v>0</v>
      </c>
      <c r="E21" s="478">
        <v>2712</v>
      </c>
      <c r="F21" s="478">
        <v>1330</v>
      </c>
      <c r="G21" s="478">
        <v>2210</v>
      </c>
      <c r="H21" s="478">
        <v>1705</v>
      </c>
      <c r="I21" s="478">
        <v>1605</v>
      </c>
      <c r="J21" s="478">
        <v>795</v>
      </c>
      <c r="K21" s="478">
        <v>1009</v>
      </c>
      <c r="L21" s="478">
        <v>1013</v>
      </c>
      <c r="M21" s="478">
        <v>2752</v>
      </c>
      <c r="N21" s="478">
        <v>2493</v>
      </c>
      <c r="O21" s="2064"/>
    </row>
    <row r="22" spans="1:15" ht="11.25" customHeight="1" x14ac:dyDescent="0.2">
      <c r="A22" s="2356"/>
      <c r="B22" s="2672"/>
      <c r="C22" s="2672"/>
      <c r="D22" s="2672"/>
      <c r="E22" s="2672"/>
      <c r="F22" s="2672"/>
      <c r="G22" s="2672"/>
      <c r="H22" s="2672"/>
      <c r="I22" s="2672"/>
      <c r="J22" s="2672"/>
      <c r="K22" s="2672"/>
      <c r="L22" s="2672"/>
      <c r="M22" s="2672"/>
      <c r="N22" s="2672"/>
      <c r="O22" s="2064"/>
    </row>
    <row r="23" spans="1:15" ht="24" customHeight="1" x14ac:dyDescent="0.2">
      <c r="A23" s="2414" t="s">
        <v>1482</v>
      </c>
      <c r="B23" s="2687"/>
      <c r="C23" s="2687"/>
      <c r="D23" s="2687"/>
      <c r="E23" s="2687"/>
      <c r="F23" s="2687"/>
      <c r="G23" s="2687"/>
      <c r="H23" s="2687"/>
      <c r="I23" s="2687"/>
      <c r="J23" s="2687"/>
      <c r="K23" s="2687"/>
      <c r="L23" s="2687"/>
      <c r="M23" s="2687"/>
      <c r="N23" s="2687"/>
      <c r="O23" s="2064"/>
    </row>
    <row r="24" spans="1:15" x14ac:dyDescent="0.2">
      <c r="A24" s="2699" t="s">
        <v>1489</v>
      </c>
      <c r="B24" s="2699"/>
      <c r="C24" s="2699"/>
      <c r="D24" s="2699"/>
      <c r="E24" s="2699"/>
      <c r="F24" s="2699"/>
      <c r="G24" s="2699"/>
      <c r="H24" s="2699"/>
      <c r="I24" s="2699"/>
      <c r="J24" s="2699"/>
      <c r="K24" s="2699"/>
      <c r="L24" s="2699"/>
      <c r="M24" s="2699"/>
      <c r="N24" s="2699"/>
      <c r="O24" s="2064"/>
    </row>
    <row r="25" spans="1:15" x14ac:dyDescent="0.2">
      <c r="A25" s="2697" t="s">
        <v>1490</v>
      </c>
      <c r="B25" s="2665"/>
      <c r="C25" s="2665"/>
      <c r="D25" s="2665"/>
      <c r="E25" s="2665"/>
      <c r="F25" s="2665"/>
      <c r="G25" s="2665"/>
      <c r="H25" s="2665"/>
      <c r="I25" s="2665"/>
      <c r="J25" s="2665"/>
      <c r="K25" s="2665"/>
      <c r="L25" s="2665"/>
      <c r="M25" s="2665"/>
      <c r="N25" s="2665"/>
      <c r="O25" s="2064"/>
    </row>
    <row r="26" spans="1:15" x14ac:dyDescent="0.2">
      <c r="A26" s="2356" t="s">
        <v>1483</v>
      </c>
      <c r="B26" s="2665"/>
      <c r="C26" s="2665"/>
      <c r="D26" s="2665"/>
      <c r="E26" s="2665"/>
      <c r="F26" s="2665"/>
      <c r="G26" s="2665"/>
      <c r="H26" s="2665"/>
      <c r="I26" s="2665"/>
      <c r="J26" s="2665"/>
      <c r="K26" s="2665"/>
      <c r="L26" s="2665"/>
      <c r="M26" s="2665"/>
      <c r="N26" s="2665"/>
      <c r="O26" s="2064"/>
    </row>
    <row r="27" spans="1:15" ht="409.6" hidden="1" customHeight="1" x14ac:dyDescent="0.2">
      <c r="A27" s="2064"/>
      <c r="B27" s="2064"/>
      <c r="C27" s="2064"/>
      <c r="D27" s="2064"/>
      <c r="E27" s="2064"/>
      <c r="F27" s="2064"/>
      <c r="G27" s="2064"/>
      <c r="H27" s="2064"/>
      <c r="I27" s="2064"/>
      <c r="J27" s="2064"/>
      <c r="K27" s="2064"/>
      <c r="L27" s="2064"/>
      <c r="M27" s="2064"/>
      <c r="N27" s="2064"/>
      <c r="O27" s="2064"/>
    </row>
    <row r="28" spans="1:15" x14ac:dyDescent="0.2">
      <c r="A28" s="2064"/>
      <c r="B28" s="2064"/>
      <c r="C28" s="2064"/>
      <c r="D28" s="2064"/>
      <c r="E28" s="2064"/>
      <c r="F28" s="2064"/>
      <c r="G28" s="2064"/>
      <c r="H28" s="2064"/>
      <c r="I28" s="2064"/>
      <c r="J28" s="2064"/>
      <c r="K28" s="2064"/>
      <c r="L28" s="2064"/>
      <c r="M28" s="2064"/>
      <c r="N28" s="2064"/>
      <c r="O28" s="2064"/>
    </row>
    <row r="29" spans="1:15" x14ac:dyDescent="0.2">
      <c r="A29" s="2064"/>
      <c r="B29" s="2148"/>
      <c r="C29" s="2148"/>
      <c r="D29" s="2148"/>
      <c r="E29" s="2148"/>
      <c r="F29" s="2148"/>
      <c r="G29" s="2148"/>
      <c r="H29" s="2149"/>
      <c r="I29" s="2064"/>
      <c r="J29" s="2064"/>
      <c r="K29" s="2064"/>
      <c r="L29" s="2064"/>
      <c r="M29" s="2064"/>
      <c r="N29" s="2064"/>
      <c r="O29" s="2064"/>
    </row>
    <row r="30" spans="1:15" x14ac:dyDescent="0.2">
      <c r="A30" s="2150"/>
      <c r="B30" s="2151"/>
      <c r="C30" s="2151"/>
      <c r="D30" s="2151"/>
      <c r="E30" s="2151"/>
      <c r="F30" s="2151"/>
      <c r="G30" s="2151"/>
      <c r="H30" s="2064"/>
      <c r="I30" s="2064"/>
      <c r="J30" s="2064"/>
      <c r="K30" s="2064"/>
      <c r="L30" s="2064"/>
      <c r="M30" s="2064"/>
      <c r="N30" s="2064"/>
      <c r="O30" s="2064"/>
    </row>
    <row r="31" spans="1:15" x14ac:dyDescent="0.2">
      <c r="A31" s="556"/>
      <c r="B31" s="557"/>
      <c r="C31" s="557"/>
      <c r="D31" s="557"/>
      <c r="E31" s="557"/>
      <c r="F31" s="557"/>
      <c r="G31" s="557"/>
    </row>
    <row r="32" spans="1:15" x14ac:dyDescent="0.2">
      <c r="A32" s="556"/>
      <c r="B32" s="557"/>
      <c r="C32" s="557"/>
      <c r="D32" s="557"/>
      <c r="E32" s="557"/>
      <c r="F32" s="557"/>
      <c r="G32" s="557"/>
    </row>
    <row r="33" spans="1:7" x14ac:dyDescent="0.2">
      <c r="A33" s="556"/>
      <c r="B33" s="557"/>
      <c r="C33" s="557"/>
      <c r="D33" s="557"/>
      <c r="E33" s="557"/>
      <c r="F33" s="557"/>
      <c r="G33" s="557"/>
    </row>
    <row r="34" spans="1:7" x14ac:dyDescent="0.2">
      <c r="A34" s="556"/>
      <c r="B34" s="557"/>
      <c r="C34" s="557"/>
      <c r="D34" s="557"/>
      <c r="E34" s="557"/>
      <c r="F34" s="557"/>
      <c r="G34" s="557"/>
    </row>
    <row r="35" spans="1:7" x14ac:dyDescent="0.2">
      <c r="A35" s="556"/>
      <c r="B35" s="557"/>
      <c r="C35" s="557"/>
      <c r="D35" s="557"/>
      <c r="E35" s="557"/>
      <c r="F35" s="557"/>
      <c r="G35" s="557"/>
    </row>
    <row r="36" spans="1:7" x14ac:dyDescent="0.2">
      <c r="A36" s="556"/>
      <c r="B36" s="557"/>
      <c r="C36" s="557"/>
      <c r="D36" s="557"/>
      <c r="E36" s="557"/>
      <c r="F36" s="557"/>
      <c r="G36" s="557"/>
    </row>
    <row r="37" spans="1:7" x14ac:dyDescent="0.2">
      <c r="A37" s="556"/>
      <c r="B37" s="557"/>
      <c r="C37" s="557"/>
      <c r="D37" s="557"/>
      <c r="E37" s="557"/>
      <c r="F37" s="557"/>
      <c r="G37" s="557"/>
    </row>
    <row r="38" spans="1:7" x14ac:dyDescent="0.2">
      <c r="A38" s="556"/>
      <c r="B38" s="557"/>
      <c r="C38" s="557"/>
      <c r="D38" s="557"/>
      <c r="E38" s="557"/>
      <c r="F38" s="557"/>
      <c r="G38" s="557"/>
    </row>
    <row r="39" spans="1:7" x14ac:dyDescent="0.2">
      <c r="A39" s="556"/>
      <c r="B39" s="557"/>
      <c r="C39" s="557"/>
      <c r="D39" s="557"/>
      <c r="E39" s="557"/>
      <c r="F39" s="557"/>
      <c r="G39" s="557"/>
    </row>
    <row r="40" spans="1:7" x14ac:dyDescent="0.2">
      <c r="A40" s="556"/>
      <c r="B40" s="557"/>
      <c r="C40" s="557"/>
      <c r="D40" s="557"/>
      <c r="E40" s="557"/>
      <c r="F40" s="557"/>
      <c r="G40" s="557"/>
    </row>
    <row r="41" spans="1:7" x14ac:dyDescent="0.2">
      <c r="A41" s="556"/>
      <c r="B41" s="557"/>
      <c r="C41" s="557"/>
      <c r="D41" s="557"/>
      <c r="E41" s="557"/>
      <c r="F41" s="557"/>
      <c r="G41" s="557"/>
    </row>
    <row r="42" spans="1:7" x14ac:dyDescent="0.2">
      <c r="A42" s="556"/>
      <c r="B42" s="557"/>
      <c r="C42" s="557"/>
      <c r="D42" s="557"/>
      <c r="E42" s="557"/>
      <c r="F42" s="557"/>
      <c r="G42" s="557"/>
    </row>
    <row r="43" spans="1:7" x14ac:dyDescent="0.2">
      <c r="A43" s="556"/>
      <c r="B43" s="557"/>
      <c r="C43" s="557"/>
      <c r="D43" s="557"/>
      <c r="E43" s="557"/>
      <c r="F43" s="557"/>
      <c r="G43" s="557"/>
    </row>
    <row r="44" spans="1:7" x14ac:dyDescent="0.2">
      <c r="A44" s="556"/>
      <c r="B44" s="557"/>
      <c r="C44" s="557"/>
      <c r="D44" s="557"/>
      <c r="E44" s="557"/>
      <c r="F44" s="557"/>
      <c r="G44" s="557"/>
    </row>
    <row r="45" spans="1:7" x14ac:dyDescent="0.2">
      <c r="A45" s="556"/>
      <c r="B45" s="557"/>
      <c r="C45" s="557"/>
      <c r="D45" s="557"/>
      <c r="E45" s="557"/>
      <c r="F45" s="557"/>
      <c r="G45" s="557"/>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K30"/>
  <sheetViews>
    <sheetView zoomScaleNormal="100" workbookViewId="0">
      <selection activeCell="F32" sqref="F32"/>
    </sheetView>
  </sheetViews>
  <sheetFormatPr baseColWidth="10" defaultColWidth="41.140625" defaultRowHeight="12.75" x14ac:dyDescent="0.2"/>
  <cols>
    <col min="1" max="1" width="19" style="558" customWidth="1"/>
    <col min="2" max="2" width="9.140625" style="558" bestFit="1" customWidth="1"/>
    <col min="3" max="3" width="11.140625" style="558" bestFit="1" customWidth="1"/>
    <col min="4" max="4" width="9.140625" style="558" bestFit="1" customWidth="1"/>
    <col min="5" max="5" width="11.140625" style="558" bestFit="1" customWidth="1"/>
    <col min="6" max="6" width="9.140625" style="558" bestFit="1" customWidth="1"/>
    <col min="7" max="7" width="11.140625" style="558" bestFit="1" customWidth="1"/>
    <col min="8" max="8" width="9.140625" style="558" bestFit="1" customWidth="1"/>
    <col min="9" max="9" width="11.140625" style="558" bestFit="1" customWidth="1"/>
    <col min="10" max="10" width="9.140625" style="558" bestFit="1" customWidth="1"/>
    <col min="11" max="11" width="11.140625" style="558" bestFit="1" customWidth="1"/>
    <col min="12" max="16384" width="41.140625" style="558"/>
  </cols>
  <sheetData>
    <row r="1" spans="1:11" ht="11.25" customHeight="1" x14ac:dyDescent="0.2"/>
    <row r="2" spans="1:11" ht="22.5" customHeight="1" x14ac:dyDescent="0.2">
      <c r="A2" s="2731" t="s">
        <v>1524</v>
      </c>
      <c r="B2" s="2731"/>
      <c r="C2" s="2731"/>
      <c r="D2" s="2731"/>
      <c r="E2" s="2731"/>
      <c r="F2" s="2731"/>
      <c r="G2" s="2731"/>
      <c r="H2" s="2731"/>
      <c r="I2" s="2731"/>
      <c r="J2" s="2731"/>
      <c r="K2" s="2731"/>
    </row>
    <row r="3" spans="1:11" ht="11.25" customHeight="1" x14ac:dyDescent="0.2">
      <c r="A3" s="12"/>
      <c r="B3" s="559"/>
      <c r="C3" s="559"/>
    </row>
    <row r="4" spans="1:11" ht="15" customHeight="1" x14ac:dyDescent="0.2">
      <c r="A4" s="2732" t="s">
        <v>1</v>
      </c>
      <c r="B4" s="2734" t="s">
        <v>1525</v>
      </c>
      <c r="C4" s="2735"/>
      <c r="D4" s="2734" t="s">
        <v>1526</v>
      </c>
      <c r="E4" s="2735"/>
      <c r="F4" s="2734">
        <v>2013</v>
      </c>
      <c r="G4" s="2735"/>
      <c r="H4" s="2734">
        <v>2014</v>
      </c>
      <c r="I4" s="2735"/>
      <c r="J4" s="2734">
        <v>2015</v>
      </c>
      <c r="K4" s="2735"/>
    </row>
    <row r="5" spans="1:11" x14ac:dyDescent="0.2">
      <c r="A5" s="2733"/>
      <c r="B5" s="51" t="s">
        <v>1527</v>
      </c>
      <c r="C5" s="51" t="s">
        <v>727</v>
      </c>
      <c r="D5" s="51" t="s">
        <v>1527</v>
      </c>
      <c r="E5" s="51" t="s">
        <v>727</v>
      </c>
      <c r="F5" s="51" t="s">
        <v>1527</v>
      </c>
      <c r="G5" s="51" t="s">
        <v>727</v>
      </c>
      <c r="H5" s="51" t="s">
        <v>1527</v>
      </c>
      <c r="I5" s="51" t="s">
        <v>727</v>
      </c>
      <c r="J5" s="51" t="s">
        <v>1527</v>
      </c>
      <c r="K5" s="51" t="s">
        <v>727</v>
      </c>
    </row>
    <row r="6" spans="1:11" x14ac:dyDescent="0.2">
      <c r="A6" s="560" t="s">
        <v>141</v>
      </c>
      <c r="B6" s="39">
        <v>7172</v>
      </c>
      <c r="C6" s="561">
        <f>B6/B6</f>
        <v>1</v>
      </c>
      <c r="D6" s="562">
        <f>SUM(D7:D23)</f>
        <v>7828</v>
      </c>
      <c r="E6" s="561">
        <f>D6/D6</f>
        <v>1</v>
      </c>
      <c r="F6" s="39">
        <f>SUM(F7:F23)</f>
        <v>7876</v>
      </c>
      <c r="G6" s="561">
        <f>F6/F6</f>
        <v>1</v>
      </c>
      <c r="H6" s="562">
        <f>SUM(H7:H23)</f>
        <v>8228</v>
      </c>
      <c r="I6" s="561">
        <f>H6/H6</f>
        <v>1</v>
      </c>
      <c r="J6" s="39">
        <f>SUM(J7:J23)</f>
        <v>9015</v>
      </c>
      <c r="K6" s="561">
        <f>J6/J6</f>
        <v>1</v>
      </c>
    </row>
    <row r="7" spans="1:11" x14ac:dyDescent="0.2">
      <c r="A7" s="342" t="s">
        <v>1528</v>
      </c>
      <c r="B7" s="563" t="s">
        <v>181</v>
      </c>
      <c r="C7" s="563" t="s">
        <v>181</v>
      </c>
      <c r="D7" s="564">
        <v>24</v>
      </c>
      <c r="E7" s="565">
        <f>+(D7/$D$6)</f>
        <v>3.0659172202350538E-3</v>
      </c>
      <c r="F7" s="563" t="s">
        <v>181</v>
      </c>
      <c r="G7" s="566" t="s">
        <v>181</v>
      </c>
      <c r="H7" s="567" t="s">
        <v>181</v>
      </c>
      <c r="I7" s="566" t="s">
        <v>181</v>
      </c>
      <c r="J7" s="563" t="s">
        <v>181</v>
      </c>
      <c r="K7" s="566" t="s">
        <v>181</v>
      </c>
    </row>
    <row r="8" spans="1:11" x14ac:dyDescent="0.2">
      <c r="A8" s="342" t="s">
        <v>6</v>
      </c>
      <c r="B8" s="563" t="s">
        <v>181</v>
      </c>
      <c r="C8" s="563" t="s">
        <v>181</v>
      </c>
      <c r="D8" s="564">
        <v>50</v>
      </c>
      <c r="E8" s="565">
        <f>+(D8/$D$6)</f>
        <v>6.3873275421563614E-3</v>
      </c>
      <c r="F8" s="568">
        <v>79</v>
      </c>
      <c r="G8" s="565">
        <f>+(F8/$F$6)</f>
        <v>1.0030472320975115E-2</v>
      </c>
      <c r="H8" s="569">
        <v>78</v>
      </c>
      <c r="I8" s="565">
        <f>+(H8/$H$6)</f>
        <v>9.4798249878463789E-3</v>
      </c>
      <c r="J8" s="54">
        <v>112</v>
      </c>
      <c r="K8" s="565">
        <f>+(J8/$J$6)</f>
        <v>1.2423738214087631E-2</v>
      </c>
    </row>
    <row r="9" spans="1:11" x14ac:dyDescent="0.2">
      <c r="A9" s="342" t="s">
        <v>7</v>
      </c>
      <c r="B9" s="563" t="s">
        <v>181</v>
      </c>
      <c r="C9" s="563" t="s">
        <v>181</v>
      </c>
      <c r="D9" s="564">
        <v>42</v>
      </c>
      <c r="E9" s="565">
        <f t="shared" ref="E9:E23" si="0">+(D9/$D$6)</f>
        <v>5.3653551354113441E-3</v>
      </c>
      <c r="F9" s="568">
        <v>40</v>
      </c>
      <c r="G9" s="565">
        <f t="shared" ref="G9:G23" si="1">+(F9/$F$6)</f>
        <v>5.0787201625190452E-3</v>
      </c>
      <c r="H9" s="569">
        <v>39</v>
      </c>
      <c r="I9" s="565">
        <f t="shared" ref="I9:I23" si="2">+(H9/$H$6)</f>
        <v>4.7399124939231894E-3</v>
      </c>
      <c r="J9" s="54">
        <v>45</v>
      </c>
      <c r="K9" s="565">
        <f t="shared" ref="K9:K23" si="3">+(J9/$J$6)</f>
        <v>4.9916805324459234E-3</v>
      </c>
    </row>
    <row r="10" spans="1:11" x14ac:dyDescent="0.2">
      <c r="A10" s="342" t="s">
        <v>8</v>
      </c>
      <c r="B10" s="563" t="s">
        <v>181</v>
      </c>
      <c r="C10" s="563" t="s">
        <v>181</v>
      </c>
      <c r="D10" s="564">
        <v>10</v>
      </c>
      <c r="E10" s="565">
        <f t="shared" si="0"/>
        <v>1.2774655084312723E-3</v>
      </c>
      <c r="F10" s="568">
        <v>21</v>
      </c>
      <c r="G10" s="565">
        <f t="shared" si="1"/>
        <v>2.6663280853224986E-3</v>
      </c>
      <c r="H10" s="569">
        <v>24</v>
      </c>
      <c r="I10" s="565">
        <f t="shared" si="2"/>
        <v>2.9168692270296549E-3</v>
      </c>
      <c r="J10" s="54">
        <v>31</v>
      </c>
      <c r="K10" s="565">
        <f t="shared" si="3"/>
        <v>3.4387132556849697E-3</v>
      </c>
    </row>
    <row r="11" spans="1:11" x14ac:dyDescent="0.2">
      <c r="A11" s="342" t="s">
        <v>9</v>
      </c>
      <c r="B11" s="563" t="s">
        <v>181</v>
      </c>
      <c r="C11" s="563" t="s">
        <v>181</v>
      </c>
      <c r="D11" s="564">
        <v>149</v>
      </c>
      <c r="E11" s="565">
        <f t="shared" si="0"/>
        <v>1.9034236075625956E-2</v>
      </c>
      <c r="F11" s="568">
        <v>164</v>
      </c>
      <c r="G11" s="565">
        <f t="shared" si="1"/>
        <v>2.0822752666328086E-2</v>
      </c>
      <c r="H11" s="569">
        <v>167</v>
      </c>
      <c r="I11" s="565">
        <f t="shared" si="2"/>
        <v>2.0296548371414681E-2</v>
      </c>
      <c r="J11" s="54">
        <v>179</v>
      </c>
      <c r="K11" s="565">
        <f t="shared" si="3"/>
        <v>1.985579589572934E-2</v>
      </c>
    </row>
    <row r="12" spans="1:11" x14ac:dyDescent="0.2">
      <c r="A12" s="342" t="s">
        <v>10</v>
      </c>
      <c r="B12" s="563" t="s">
        <v>181</v>
      </c>
      <c r="C12" s="563" t="s">
        <v>181</v>
      </c>
      <c r="D12" s="564">
        <v>524</v>
      </c>
      <c r="E12" s="565">
        <f t="shared" si="0"/>
        <v>6.6939192641798678E-2</v>
      </c>
      <c r="F12" s="568">
        <v>535</v>
      </c>
      <c r="G12" s="565">
        <f t="shared" si="1"/>
        <v>6.7927882173692236E-2</v>
      </c>
      <c r="H12" s="569">
        <v>569</v>
      </c>
      <c r="I12" s="565">
        <f t="shared" si="2"/>
        <v>6.9154107924161407E-2</v>
      </c>
      <c r="J12" s="54">
        <v>607</v>
      </c>
      <c r="K12" s="565">
        <f t="shared" si="3"/>
        <v>6.7332224070992791E-2</v>
      </c>
    </row>
    <row r="13" spans="1:11" x14ac:dyDescent="0.2">
      <c r="A13" s="342" t="s">
        <v>11</v>
      </c>
      <c r="B13" s="563" t="s">
        <v>181</v>
      </c>
      <c r="C13" s="563" t="s">
        <v>181</v>
      </c>
      <c r="D13" s="564">
        <v>6224</v>
      </c>
      <c r="E13" s="565">
        <f t="shared" si="0"/>
        <v>0.79509453244762396</v>
      </c>
      <c r="F13" s="568">
        <v>5983</v>
      </c>
      <c r="G13" s="565">
        <f t="shared" si="1"/>
        <v>0.75964956830878616</v>
      </c>
      <c r="H13" s="569">
        <v>6123</v>
      </c>
      <c r="I13" s="565">
        <f t="shared" si="2"/>
        <v>0.74416626154594068</v>
      </c>
      <c r="J13" s="54">
        <v>6565</v>
      </c>
      <c r="K13" s="565">
        <f t="shared" si="3"/>
        <v>0.72823072656683308</v>
      </c>
    </row>
    <row r="14" spans="1:11" x14ac:dyDescent="0.2">
      <c r="A14" s="342" t="s">
        <v>12</v>
      </c>
      <c r="B14" s="563" t="s">
        <v>181</v>
      </c>
      <c r="C14" s="563" t="s">
        <v>181</v>
      </c>
      <c r="D14" s="564">
        <v>132</v>
      </c>
      <c r="E14" s="565">
        <f t="shared" si="0"/>
        <v>1.6862544711292796E-2</v>
      </c>
      <c r="F14" s="568">
        <v>136</v>
      </c>
      <c r="G14" s="565">
        <f t="shared" si="1"/>
        <v>1.7267648552564754E-2</v>
      </c>
      <c r="H14" s="569">
        <v>145</v>
      </c>
      <c r="I14" s="565">
        <f t="shared" si="2"/>
        <v>1.7622751579970831E-2</v>
      </c>
      <c r="J14" s="54">
        <v>154</v>
      </c>
      <c r="K14" s="565">
        <f t="shared" si="3"/>
        <v>1.7082640044370493E-2</v>
      </c>
    </row>
    <row r="15" spans="1:11" x14ac:dyDescent="0.2">
      <c r="A15" s="342" t="s">
        <v>13</v>
      </c>
      <c r="B15" s="563" t="s">
        <v>181</v>
      </c>
      <c r="C15" s="563" t="s">
        <v>181</v>
      </c>
      <c r="D15" s="564">
        <v>108</v>
      </c>
      <c r="E15" s="565">
        <f t="shared" si="0"/>
        <v>1.3796627491057742E-2</v>
      </c>
      <c r="F15" s="568">
        <v>115</v>
      </c>
      <c r="G15" s="565">
        <f t="shared" si="1"/>
        <v>1.4601320467242255E-2</v>
      </c>
      <c r="H15" s="569">
        <v>120</v>
      </c>
      <c r="I15" s="565">
        <f t="shared" si="2"/>
        <v>1.4584346135148274E-2</v>
      </c>
      <c r="J15" s="54">
        <v>127</v>
      </c>
      <c r="K15" s="565">
        <f t="shared" si="3"/>
        <v>1.408763172490294E-2</v>
      </c>
    </row>
    <row r="16" spans="1:11" x14ac:dyDescent="0.2">
      <c r="A16" s="342" t="s">
        <v>14</v>
      </c>
      <c r="B16" s="563" t="s">
        <v>181</v>
      </c>
      <c r="C16" s="563" t="s">
        <v>181</v>
      </c>
      <c r="D16" s="564">
        <v>170</v>
      </c>
      <c r="E16" s="565">
        <f t="shared" si="0"/>
        <v>2.1716913643331628E-2</v>
      </c>
      <c r="F16" s="568">
        <v>115</v>
      </c>
      <c r="G16" s="565">
        <f t="shared" si="1"/>
        <v>1.4601320467242255E-2</v>
      </c>
      <c r="H16" s="569">
        <v>197</v>
      </c>
      <c r="I16" s="565">
        <f t="shared" si="2"/>
        <v>2.3942634905201751E-2</v>
      </c>
      <c r="J16" s="54">
        <v>212</v>
      </c>
      <c r="K16" s="565">
        <f t="shared" si="3"/>
        <v>2.3516361619523016E-2</v>
      </c>
    </row>
    <row r="17" spans="1:11" x14ac:dyDescent="0.2">
      <c r="A17" s="342" t="s">
        <v>15</v>
      </c>
      <c r="B17" s="563" t="s">
        <v>181</v>
      </c>
      <c r="C17" s="563" t="s">
        <v>181</v>
      </c>
      <c r="D17" s="564">
        <v>97</v>
      </c>
      <c r="E17" s="565">
        <f t="shared" si="0"/>
        <v>1.2391415431783341E-2</v>
      </c>
      <c r="F17" s="568">
        <v>116</v>
      </c>
      <c r="G17" s="565">
        <f t="shared" si="1"/>
        <v>1.4728288471305232E-2</v>
      </c>
      <c r="H17" s="569">
        <v>116</v>
      </c>
      <c r="I17" s="565">
        <f t="shared" si="2"/>
        <v>1.4098201263976665E-2</v>
      </c>
      <c r="J17" s="54">
        <v>113</v>
      </c>
      <c r="K17" s="565">
        <f t="shared" si="3"/>
        <v>1.2534664448141986E-2</v>
      </c>
    </row>
    <row r="18" spans="1:11" x14ac:dyDescent="0.2">
      <c r="A18" s="342" t="s">
        <v>1529</v>
      </c>
      <c r="B18" s="563" t="s">
        <v>181</v>
      </c>
      <c r="C18" s="563" t="s">
        <v>181</v>
      </c>
      <c r="D18" s="564">
        <v>48</v>
      </c>
      <c r="E18" s="565">
        <f t="shared" si="0"/>
        <v>6.1318344404701075E-3</v>
      </c>
      <c r="F18" s="570" t="s">
        <v>181</v>
      </c>
      <c r="G18" s="570" t="s">
        <v>181</v>
      </c>
      <c r="H18" s="570" t="s">
        <v>181</v>
      </c>
      <c r="I18" s="570" t="s">
        <v>181</v>
      </c>
      <c r="J18" s="570" t="s">
        <v>181</v>
      </c>
      <c r="K18" s="570" t="s">
        <v>181</v>
      </c>
    </row>
    <row r="19" spans="1:11" x14ac:dyDescent="0.2">
      <c r="A19" s="342" t="s">
        <v>17</v>
      </c>
      <c r="B19" s="563" t="s">
        <v>181</v>
      </c>
      <c r="C19" s="563" t="s">
        <v>181</v>
      </c>
      <c r="D19" s="564">
        <v>98</v>
      </c>
      <c r="E19" s="565">
        <f t="shared" si="0"/>
        <v>1.2519161982626469E-2</v>
      </c>
      <c r="F19" s="568">
        <v>138</v>
      </c>
      <c r="G19" s="565">
        <f t="shared" si="1"/>
        <v>1.7521584560690705E-2</v>
      </c>
      <c r="H19" s="569">
        <v>142</v>
      </c>
      <c r="I19" s="565">
        <f t="shared" si="2"/>
        <v>1.7258142926592123E-2</v>
      </c>
      <c r="J19" s="54">
        <v>245</v>
      </c>
      <c r="K19" s="565">
        <f t="shared" si="3"/>
        <v>2.7176927343316695E-2</v>
      </c>
    </row>
    <row r="20" spans="1:11" x14ac:dyDescent="0.2">
      <c r="A20" s="342" t="s">
        <v>18</v>
      </c>
      <c r="B20" s="563" t="s">
        <v>181</v>
      </c>
      <c r="C20" s="563" t="s">
        <v>181</v>
      </c>
      <c r="D20" s="564">
        <v>29</v>
      </c>
      <c r="E20" s="565">
        <f t="shared" si="0"/>
        <v>3.7046499744506898E-3</v>
      </c>
      <c r="F20" s="568">
        <v>31</v>
      </c>
      <c r="G20" s="565">
        <f t="shared" si="1"/>
        <v>3.9360081259522603E-3</v>
      </c>
      <c r="H20" s="569">
        <v>31</v>
      </c>
      <c r="I20" s="565">
        <f t="shared" si="2"/>
        <v>3.767622751579971E-3</v>
      </c>
      <c r="J20" s="54">
        <v>31</v>
      </c>
      <c r="K20" s="565">
        <f t="shared" si="3"/>
        <v>3.4387132556849697E-3</v>
      </c>
    </row>
    <row r="21" spans="1:11" x14ac:dyDescent="0.2">
      <c r="A21" s="342" t="s">
        <v>19</v>
      </c>
      <c r="B21" s="563" t="s">
        <v>181</v>
      </c>
      <c r="C21" s="563" t="s">
        <v>181</v>
      </c>
      <c r="D21" s="564">
        <v>21</v>
      </c>
      <c r="E21" s="565">
        <f t="shared" si="0"/>
        <v>2.682677567705672E-3</v>
      </c>
      <c r="F21" s="568">
        <v>22</v>
      </c>
      <c r="G21" s="565">
        <f t="shared" si="1"/>
        <v>2.7932960893854749E-3</v>
      </c>
      <c r="H21" s="571">
        <v>24</v>
      </c>
      <c r="I21" s="565">
        <f t="shared" si="2"/>
        <v>2.9168692270296549E-3</v>
      </c>
      <c r="J21" s="54">
        <v>26</v>
      </c>
      <c r="K21" s="565">
        <f t="shared" si="3"/>
        <v>2.8840820854132004E-3</v>
      </c>
    </row>
    <row r="22" spans="1:11" x14ac:dyDescent="0.2">
      <c r="A22" s="342" t="s">
        <v>1530</v>
      </c>
      <c r="B22" s="563" t="s">
        <v>181</v>
      </c>
      <c r="C22" s="563" t="s">
        <v>181</v>
      </c>
      <c r="D22" s="572">
        <v>26</v>
      </c>
      <c r="E22" s="565">
        <f t="shared" si="0"/>
        <v>3.3214103219213081E-3</v>
      </c>
      <c r="F22" s="573">
        <v>26</v>
      </c>
      <c r="G22" s="565">
        <f t="shared" si="1"/>
        <v>3.3011681056373792E-3</v>
      </c>
      <c r="H22" s="566" t="s">
        <v>181</v>
      </c>
      <c r="I22" s="566" t="s">
        <v>181</v>
      </c>
      <c r="J22" s="566" t="s">
        <v>181</v>
      </c>
      <c r="K22" s="566" t="s">
        <v>181</v>
      </c>
    </row>
    <row r="23" spans="1:11" x14ac:dyDescent="0.2">
      <c r="A23" s="251" t="s">
        <v>1531</v>
      </c>
      <c r="B23" s="563" t="s">
        <v>181</v>
      </c>
      <c r="C23" s="563" t="s">
        <v>181</v>
      </c>
      <c r="D23" s="574">
        <v>76</v>
      </c>
      <c r="E23" s="565">
        <f t="shared" si="0"/>
        <v>9.7087378640776691E-3</v>
      </c>
      <c r="F23" s="573">
        <v>355</v>
      </c>
      <c r="G23" s="565">
        <f t="shared" si="1"/>
        <v>4.5073641442356524E-2</v>
      </c>
      <c r="H23" s="575">
        <v>453</v>
      </c>
      <c r="I23" s="565">
        <f t="shared" si="2"/>
        <v>5.5055906660184735E-2</v>
      </c>
      <c r="J23" s="54">
        <v>568</v>
      </c>
      <c r="K23" s="565">
        <f t="shared" si="3"/>
        <v>6.3006100942872983E-2</v>
      </c>
    </row>
    <row r="24" spans="1:11" x14ac:dyDescent="0.2">
      <c r="A24" s="251"/>
      <c r="B24" s="54"/>
      <c r="C24" s="576"/>
      <c r="D24" s="54"/>
      <c r="E24" s="576"/>
      <c r="F24" s="54"/>
      <c r="G24" s="576"/>
    </row>
    <row r="25" spans="1:11" ht="21" customHeight="1" x14ac:dyDescent="0.2">
      <c r="A25" s="2629" t="s">
        <v>1532</v>
      </c>
      <c r="B25" s="2629"/>
      <c r="C25" s="2629"/>
      <c r="D25" s="2629"/>
      <c r="E25" s="2629"/>
      <c r="F25" s="2629"/>
      <c r="G25" s="2629"/>
      <c r="H25" s="2629"/>
      <c r="I25" s="2629"/>
      <c r="J25" s="2629"/>
      <c r="K25" s="2629"/>
    </row>
    <row r="26" spans="1:11" ht="15.75" customHeight="1" x14ac:dyDescent="0.2">
      <c r="A26" s="2736" t="s">
        <v>1533</v>
      </c>
      <c r="B26" s="2736"/>
      <c r="C26" s="2736"/>
      <c r="D26" s="2736"/>
      <c r="E26" s="2736"/>
      <c r="F26" s="2736"/>
      <c r="G26" s="2736"/>
      <c r="H26" s="2736"/>
      <c r="I26" s="2736"/>
      <c r="J26" s="2736"/>
      <c r="K26" s="2736"/>
    </row>
    <row r="27" spans="1:11" ht="15.75" customHeight="1" x14ac:dyDescent="0.2">
      <c r="A27" s="2736" t="s">
        <v>1534</v>
      </c>
      <c r="B27" s="2736"/>
      <c r="C27" s="2736"/>
      <c r="D27" s="2736"/>
      <c r="E27" s="2736"/>
      <c r="F27" s="2736"/>
      <c r="G27" s="2736"/>
      <c r="H27" s="2736"/>
      <c r="I27" s="2736"/>
      <c r="J27" s="2736"/>
      <c r="K27" s="2736"/>
    </row>
    <row r="28" spans="1:11" x14ac:dyDescent="0.2">
      <c r="A28" s="2736" t="s">
        <v>1535</v>
      </c>
      <c r="B28" s="2736"/>
      <c r="C28" s="2736"/>
      <c r="D28" s="2736"/>
      <c r="E28" s="2736"/>
      <c r="F28" s="2736"/>
      <c r="G28" s="2736"/>
      <c r="H28" s="2736"/>
      <c r="I28" s="2736"/>
      <c r="J28" s="2736"/>
      <c r="K28" s="2736"/>
    </row>
    <row r="29" spans="1:11" x14ac:dyDescent="0.2">
      <c r="A29" s="2737" t="s">
        <v>1536</v>
      </c>
      <c r="B29" s="2737"/>
      <c r="C29" s="2737"/>
    </row>
    <row r="30" spans="1:11" x14ac:dyDescent="0.2">
      <c r="A30" s="379" t="s">
        <v>1537</v>
      </c>
      <c r="B30" s="379"/>
      <c r="C30" s="379"/>
      <c r="D30" s="379"/>
      <c r="E30" s="379"/>
      <c r="F30" s="379"/>
      <c r="G30" s="379"/>
      <c r="H30" s="379"/>
      <c r="I30" s="379"/>
      <c r="J30" s="379"/>
      <c r="K30" s="379"/>
    </row>
  </sheetData>
  <mergeCells count="12">
    <mergeCell ref="A25:K25"/>
    <mergeCell ref="A26:K26"/>
    <mergeCell ref="A27:K27"/>
    <mergeCell ref="A28:K28"/>
    <mergeCell ref="A29:C29"/>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N32"/>
  <sheetViews>
    <sheetView zoomScaleNormal="100" workbookViewId="0">
      <selection activeCell="F31" sqref="F31"/>
    </sheetView>
  </sheetViews>
  <sheetFormatPr baseColWidth="10" defaultRowHeight="12.75" x14ac:dyDescent="0.2"/>
  <cols>
    <col min="1" max="1" width="19.42578125" style="558" customWidth="1"/>
    <col min="2" max="16384" width="11.42578125" style="558"/>
  </cols>
  <sheetData>
    <row r="1" spans="1:14" ht="15.75" x14ac:dyDescent="0.2">
      <c r="A1" s="577"/>
    </row>
    <row r="2" spans="1:14" s="380" customFormat="1" ht="24.75" customHeight="1" x14ac:dyDescent="0.15">
      <c r="A2" s="2738" t="s">
        <v>4355</v>
      </c>
      <c r="B2" s="2738"/>
      <c r="C2" s="2738"/>
      <c r="D2" s="2738"/>
      <c r="E2" s="2738"/>
      <c r="F2" s="2738"/>
      <c r="G2" s="2738"/>
      <c r="J2" s="396"/>
      <c r="K2" s="396"/>
      <c r="L2" s="396"/>
      <c r="M2" s="396"/>
    </row>
    <row r="3" spans="1:14" s="380" customFormat="1" ht="10.5" x14ac:dyDescent="0.15">
      <c r="A3" s="468"/>
      <c r="J3" s="578"/>
      <c r="K3" s="578"/>
      <c r="L3" s="578"/>
      <c r="M3" s="578"/>
    </row>
    <row r="4" spans="1:14" s="380" customFormat="1" ht="24" customHeight="1" x14ac:dyDescent="0.15">
      <c r="A4" s="579" t="s">
        <v>1</v>
      </c>
      <c r="B4" s="579" t="s">
        <v>1538</v>
      </c>
      <c r="C4" s="579" t="s">
        <v>727</v>
      </c>
      <c r="D4" s="579" t="s">
        <v>966</v>
      </c>
      <c r="E4" s="579" t="s">
        <v>727</v>
      </c>
      <c r="F4" s="579" t="s">
        <v>967</v>
      </c>
      <c r="G4" s="579" t="s">
        <v>727</v>
      </c>
      <c r="J4" s="396"/>
      <c r="M4" s="396"/>
      <c r="N4" s="396"/>
    </row>
    <row r="5" spans="1:14" s="380" customFormat="1" ht="10.5" x14ac:dyDescent="0.15">
      <c r="A5" s="369" t="s">
        <v>141</v>
      </c>
      <c r="B5" s="580">
        <f>SUM(B6:B21)</f>
        <v>9015</v>
      </c>
      <c r="C5" s="581">
        <f t="shared" ref="C5:G5" si="0">SUM(C6:C21)</f>
        <v>1</v>
      </c>
      <c r="D5" s="580">
        <f>SUM(D6:D21)</f>
        <v>7432</v>
      </c>
      <c r="E5" s="581">
        <f t="shared" si="0"/>
        <v>1</v>
      </c>
      <c r="F5" s="580">
        <f>SUM(F6:F21)</f>
        <v>1105</v>
      </c>
      <c r="G5" s="581">
        <f t="shared" si="0"/>
        <v>1.0000000000000002</v>
      </c>
      <c r="I5" s="582"/>
      <c r="J5" s="568"/>
      <c r="K5" s="568"/>
      <c r="L5" s="568"/>
      <c r="M5" s="583"/>
    </row>
    <row r="6" spans="1:14" s="380" customFormat="1" ht="11.25" x14ac:dyDescent="0.15">
      <c r="A6" s="584" t="s">
        <v>1528</v>
      </c>
      <c r="B6" s="570" t="s">
        <v>181</v>
      </c>
      <c r="C6" s="570" t="s">
        <v>181</v>
      </c>
      <c r="D6" s="570" t="s">
        <v>181</v>
      </c>
      <c r="E6" s="570" t="s">
        <v>181</v>
      </c>
      <c r="F6" s="570" t="s">
        <v>181</v>
      </c>
      <c r="G6" s="570" t="s">
        <v>181</v>
      </c>
      <c r="I6" s="585"/>
      <c r="J6" s="568"/>
      <c r="K6" s="568"/>
      <c r="L6" s="568"/>
      <c r="M6" s="583"/>
    </row>
    <row r="7" spans="1:14" s="380" customFormat="1" ht="10.5" x14ac:dyDescent="0.15">
      <c r="A7" s="584" t="s">
        <v>6</v>
      </c>
      <c r="B7" s="570">
        <v>112</v>
      </c>
      <c r="C7" s="586">
        <f t="shared" ref="C7:C16" si="1">+B7/$B$5</f>
        <v>1.2423738214087631E-2</v>
      </c>
      <c r="D7" s="570">
        <v>107</v>
      </c>
      <c r="E7" s="586">
        <f t="shared" ref="E7:E16" si="2">+D7/$D$5</f>
        <v>1.4397201291711518E-2</v>
      </c>
      <c r="F7" s="570">
        <v>5</v>
      </c>
      <c r="G7" s="587">
        <f t="shared" ref="G7:G16" si="3">+F7/$F$5</f>
        <v>4.5248868778280547E-3</v>
      </c>
      <c r="I7" s="585"/>
      <c r="J7" s="568"/>
      <c r="K7" s="568"/>
      <c r="L7" s="568"/>
      <c r="M7" s="583"/>
    </row>
    <row r="8" spans="1:14" s="380" customFormat="1" ht="10.5" x14ac:dyDescent="0.15">
      <c r="A8" s="584" t="s">
        <v>7</v>
      </c>
      <c r="B8" s="570">
        <v>45</v>
      </c>
      <c r="C8" s="586">
        <f t="shared" si="1"/>
        <v>4.9916805324459234E-3</v>
      </c>
      <c r="D8" s="570">
        <v>39</v>
      </c>
      <c r="E8" s="586">
        <f t="shared" si="2"/>
        <v>5.2475780409041977E-3</v>
      </c>
      <c r="F8" s="570">
        <v>6</v>
      </c>
      <c r="G8" s="587">
        <f t="shared" si="3"/>
        <v>5.4298642533936649E-3</v>
      </c>
      <c r="I8" s="585"/>
      <c r="J8" s="568"/>
      <c r="K8" s="568"/>
      <c r="L8" s="568"/>
      <c r="M8" s="583"/>
    </row>
    <row r="9" spans="1:14" s="380" customFormat="1" ht="10.5" x14ac:dyDescent="0.15">
      <c r="A9" s="584" t="s">
        <v>8</v>
      </c>
      <c r="B9" s="570">
        <v>31</v>
      </c>
      <c r="C9" s="586">
        <f t="shared" si="1"/>
        <v>3.4387132556849697E-3</v>
      </c>
      <c r="D9" s="570">
        <v>29</v>
      </c>
      <c r="E9" s="586">
        <f t="shared" si="2"/>
        <v>3.9020452099031216E-3</v>
      </c>
      <c r="F9" s="570">
        <v>2</v>
      </c>
      <c r="G9" s="587">
        <f t="shared" si="3"/>
        <v>1.8099547511312218E-3</v>
      </c>
      <c r="I9" s="585"/>
      <c r="J9" s="568"/>
      <c r="K9" s="568"/>
      <c r="L9" s="568"/>
      <c r="M9" s="583"/>
    </row>
    <row r="10" spans="1:14" s="380" customFormat="1" ht="10.5" x14ac:dyDescent="0.15">
      <c r="A10" s="584" t="s">
        <v>9</v>
      </c>
      <c r="B10" s="570">
        <v>179</v>
      </c>
      <c r="C10" s="586">
        <f t="shared" si="1"/>
        <v>1.985579589572934E-2</v>
      </c>
      <c r="D10" s="570">
        <v>164</v>
      </c>
      <c r="E10" s="586">
        <f t="shared" si="2"/>
        <v>2.2066738428417654E-2</v>
      </c>
      <c r="F10" s="570">
        <v>15</v>
      </c>
      <c r="G10" s="587">
        <f t="shared" si="3"/>
        <v>1.3574660633484163E-2</v>
      </c>
      <c r="I10" s="585"/>
      <c r="J10" s="568"/>
      <c r="K10" s="568"/>
      <c r="L10" s="568"/>
      <c r="M10" s="583"/>
    </row>
    <row r="11" spans="1:14" s="380" customFormat="1" ht="10.5" x14ac:dyDescent="0.15">
      <c r="A11" s="584" t="s">
        <v>10</v>
      </c>
      <c r="B11" s="570">
        <v>607</v>
      </c>
      <c r="C11" s="586">
        <f t="shared" si="1"/>
        <v>6.7332224070992791E-2</v>
      </c>
      <c r="D11" s="570">
        <v>535</v>
      </c>
      <c r="E11" s="586">
        <f t="shared" si="2"/>
        <v>7.1986006458557586E-2</v>
      </c>
      <c r="F11" s="570">
        <v>72</v>
      </c>
      <c r="G11" s="587">
        <f t="shared" si="3"/>
        <v>6.5158371040723986E-2</v>
      </c>
      <c r="I11" s="585"/>
      <c r="J11" s="568"/>
      <c r="K11" s="568"/>
      <c r="L11" s="568"/>
      <c r="M11" s="583"/>
    </row>
    <row r="12" spans="1:14" s="380" customFormat="1" ht="10.5" x14ac:dyDescent="0.15">
      <c r="A12" s="584" t="s">
        <v>11</v>
      </c>
      <c r="B12" s="570">
        <v>6565</v>
      </c>
      <c r="C12" s="586">
        <f t="shared" si="1"/>
        <v>0.72823072656683308</v>
      </c>
      <c r="D12" s="570">
        <v>5677</v>
      </c>
      <c r="E12" s="586">
        <f t="shared" si="2"/>
        <v>0.76385898815931108</v>
      </c>
      <c r="F12" s="570">
        <v>888</v>
      </c>
      <c r="G12" s="587">
        <f t="shared" si="3"/>
        <v>0.80361990950226247</v>
      </c>
      <c r="I12" s="585"/>
      <c r="J12" s="568"/>
      <c r="K12" s="568"/>
      <c r="L12" s="568"/>
      <c r="M12" s="583"/>
    </row>
    <row r="13" spans="1:14" s="380" customFormat="1" ht="10.5" x14ac:dyDescent="0.15">
      <c r="A13" s="584" t="s">
        <v>12</v>
      </c>
      <c r="B13" s="570">
        <v>154</v>
      </c>
      <c r="C13" s="586">
        <f t="shared" si="1"/>
        <v>1.7082640044370493E-2</v>
      </c>
      <c r="D13" s="570">
        <v>132</v>
      </c>
      <c r="E13" s="586">
        <f t="shared" si="2"/>
        <v>1.776103336921421E-2</v>
      </c>
      <c r="F13" s="570">
        <v>22</v>
      </c>
      <c r="G13" s="587">
        <f t="shared" si="3"/>
        <v>1.9909502262443438E-2</v>
      </c>
      <c r="I13" s="585"/>
      <c r="J13" s="568"/>
      <c r="K13" s="568"/>
      <c r="L13" s="568"/>
      <c r="M13" s="583"/>
    </row>
    <row r="14" spans="1:14" s="380" customFormat="1" ht="10.5" x14ac:dyDescent="0.15">
      <c r="A14" s="584" t="s">
        <v>13</v>
      </c>
      <c r="B14" s="570">
        <v>127</v>
      </c>
      <c r="C14" s="586">
        <f t="shared" si="1"/>
        <v>1.408763172490294E-2</v>
      </c>
      <c r="D14" s="570">
        <v>115</v>
      </c>
      <c r="E14" s="586">
        <f t="shared" si="2"/>
        <v>1.5473627556512378E-2</v>
      </c>
      <c r="F14" s="570">
        <v>12</v>
      </c>
      <c r="G14" s="587">
        <f t="shared" si="3"/>
        <v>1.085972850678733E-2</v>
      </c>
      <c r="I14" s="585"/>
      <c r="J14" s="568"/>
      <c r="K14" s="568"/>
      <c r="L14" s="568"/>
      <c r="M14" s="583"/>
    </row>
    <row r="15" spans="1:14" s="380" customFormat="1" ht="10.5" x14ac:dyDescent="0.15">
      <c r="A15" s="584" t="s">
        <v>14</v>
      </c>
      <c r="B15" s="570">
        <v>212</v>
      </c>
      <c r="C15" s="586">
        <f t="shared" si="1"/>
        <v>2.3516361619523016E-2</v>
      </c>
      <c r="D15" s="570">
        <v>186</v>
      </c>
      <c r="E15" s="586">
        <f t="shared" si="2"/>
        <v>2.5026910656620022E-2</v>
      </c>
      <c r="F15" s="570">
        <v>26</v>
      </c>
      <c r="G15" s="587">
        <f t="shared" si="3"/>
        <v>2.3529411764705882E-2</v>
      </c>
      <c r="I15" s="585"/>
      <c r="J15" s="568"/>
      <c r="K15" s="568"/>
      <c r="L15" s="568"/>
      <c r="M15" s="583"/>
    </row>
    <row r="16" spans="1:14" s="380" customFormat="1" ht="10.5" x14ac:dyDescent="0.15">
      <c r="A16" s="584" t="s">
        <v>15</v>
      </c>
      <c r="B16" s="570">
        <v>113</v>
      </c>
      <c r="C16" s="586">
        <f t="shared" si="1"/>
        <v>1.2534664448141986E-2</v>
      </c>
      <c r="D16" s="570">
        <v>96</v>
      </c>
      <c r="E16" s="586">
        <f t="shared" si="2"/>
        <v>1.2917115177610334E-2</v>
      </c>
      <c r="F16" s="570">
        <v>17</v>
      </c>
      <c r="G16" s="587">
        <f t="shared" si="3"/>
        <v>1.5384615384615385E-2</v>
      </c>
      <c r="I16" s="585"/>
      <c r="J16" s="568"/>
      <c r="K16" s="568"/>
      <c r="L16" s="568"/>
      <c r="M16" s="583"/>
    </row>
    <row r="17" spans="1:13" s="380" customFormat="1" ht="11.25" x14ac:dyDescent="0.15">
      <c r="A17" s="584" t="s">
        <v>1529</v>
      </c>
      <c r="B17" s="570" t="s">
        <v>181</v>
      </c>
      <c r="C17" s="570" t="s">
        <v>181</v>
      </c>
      <c r="D17" s="570" t="s">
        <v>181</v>
      </c>
      <c r="E17" s="570" t="s">
        <v>181</v>
      </c>
      <c r="F17" s="570" t="s">
        <v>181</v>
      </c>
      <c r="G17" s="570" t="s">
        <v>181</v>
      </c>
      <c r="I17" s="585"/>
      <c r="J17" s="568"/>
      <c r="K17" s="568"/>
      <c r="L17" s="568"/>
      <c r="M17" s="583"/>
    </row>
    <row r="18" spans="1:13" s="380" customFormat="1" ht="10.5" x14ac:dyDescent="0.15">
      <c r="A18" s="584" t="s">
        <v>17</v>
      </c>
      <c r="B18" s="588">
        <v>245</v>
      </c>
      <c r="C18" s="587">
        <f>+B18/$B$5</f>
        <v>2.7176927343316695E-2</v>
      </c>
      <c r="D18" s="588">
        <v>225</v>
      </c>
      <c r="E18" s="587">
        <f>+D18/$D$5</f>
        <v>3.0274488697524221E-2</v>
      </c>
      <c r="F18" s="588">
        <v>20</v>
      </c>
      <c r="G18" s="587">
        <f>+F18/$F$5</f>
        <v>1.8099547511312219E-2</v>
      </c>
      <c r="I18" s="585"/>
      <c r="J18" s="568"/>
      <c r="K18" s="568"/>
      <c r="L18" s="568"/>
      <c r="M18" s="583"/>
    </row>
    <row r="19" spans="1:13" s="380" customFormat="1" ht="10.5" x14ac:dyDescent="0.15">
      <c r="A19" s="584" t="s">
        <v>18</v>
      </c>
      <c r="B19" s="588">
        <v>31</v>
      </c>
      <c r="C19" s="587">
        <f>+B19/$B$5</f>
        <v>3.4387132556849697E-3</v>
      </c>
      <c r="D19" s="588">
        <v>29</v>
      </c>
      <c r="E19" s="587">
        <f>+D19/$D$5</f>
        <v>3.9020452099031216E-3</v>
      </c>
      <c r="F19" s="588">
        <v>2</v>
      </c>
      <c r="G19" s="587">
        <f>+F19/$F$5</f>
        <v>1.8099547511312218E-3</v>
      </c>
      <c r="I19" s="585"/>
      <c r="J19" s="568"/>
      <c r="K19" s="568"/>
      <c r="L19" s="568"/>
      <c r="M19" s="583"/>
    </row>
    <row r="20" spans="1:13" s="380" customFormat="1" ht="10.5" x14ac:dyDescent="0.15">
      <c r="A20" s="584" t="s">
        <v>19</v>
      </c>
      <c r="B20" s="588">
        <v>26</v>
      </c>
      <c r="C20" s="587">
        <f>+B20/$B$5</f>
        <v>2.8840820854132004E-3</v>
      </c>
      <c r="D20" s="588">
        <v>21</v>
      </c>
      <c r="E20" s="587">
        <f>+D20/$D$5</f>
        <v>2.8256189451022606E-3</v>
      </c>
      <c r="F20" s="588">
        <v>5</v>
      </c>
      <c r="G20" s="587">
        <f>+F20/$F$5</f>
        <v>4.5248868778280547E-3</v>
      </c>
      <c r="I20" s="585"/>
      <c r="J20" s="568"/>
      <c r="K20" s="568"/>
      <c r="L20" s="568"/>
      <c r="M20" s="583"/>
    </row>
    <row r="21" spans="1:13" s="380" customFormat="1" ht="11.25" x14ac:dyDescent="0.15">
      <c r="A21" s="585" t="s">
        <v>1539</v>
      </c>
      <c r="B21" s="588">
        <v>568</v>
      </c>
      <c r="C21" s="587">
        <f>+B21/$B$5</f>
        <v>6.3006100942872983E-2</v>
      </c>
      <c r="D21" s="588">
        <v>77</v>
      </c>
      <c r="E21" s="587">
        <f>+D21/$D$5</f>
        <v>1.0360602798708289E-2</v>
      </c>
      <c r="F21" s="588">
        <v>13</v>
      </c>
      <c r="G21" s="587">
        <f>+F21/$F$5</f>
        <v>1.1764705882352941E-2</v>
      </c>
      <c r="I21" s="585"/>
      <c r="J21" s="568"/>
      <c r="K21" s="568"/>
      <c r="L21" s="568"/>
      <c r="M21" s="583"/>
    </row>
    <row r="22" spans="1:13" s="380" customFormat="1" ht="6.75" customHeight="1" x14ac:dyDescent="0.15">
      <c r="A22" s="585"/>
      <c r="B22" s="568"/>
      <c r="C22" s="587"/>
      <c r="D22" s="460"/>
      <c r="E22" s="587"/>
      <c r="F22" s="588"/>
      <c r="G22" s="587"/>
      <c r="I22" s="585"/>
      <c r="J22" s="568"/>
      <c r="K22" s="568"/>
      <c r="L22" s="568"/>
      <c r="M22" s="583"/>
    </row>
    <row r="23" spans="1:13" s="396" customFormat="1" ht="32.25" customHeight="1" x14ac:dyDescent="0.15">
      <c r="A23" s="2739" t="s">
        <v>1532</v>
      </c>
      <c r="B23" s="2739"/>
      <c r="C23" s="2739"/>
      <c r="D23" s="2739"/>
      <c r="E23" s="2739"/>
      <c r="F23" s="2739"/>
      <c r="G23" s="2739"/>
      <c r="J23" s="589"/>
      <c r="K23" s="589"/>
      <c r="L23" s="589"/>
      <c r="M23" s="590"/>
    </row>
    <row r="24" spans="1:13" s="380" customFormat="1" ht="23.25" customHeight="1" x14ac:dyDescent="0.15">
      <c r="A24" s="2629" t="s">
        <v>1540</v>
      </c>
      <c r="B24" s="2629"/>
      <c r="C24" s="2629"/>
      <c r="D24" s="2629"/>
      <c r="E24" s="2629"/>
      <c r="F24" s="2629"/>
      <c r="G24" s="2629"/>
      <c r="I24" s="468"/>
    </row>
    <row r="25" spans="1:13" s="380" customFormat="1" ht="10.5" x14ac:dyDescent="0.15">
      <c r="A25" s="2629" t="s">
        <v>1541</v>
      </c>
      <c r="B25" s="2629"/>
      <c r="C25" s="2629"/>
      <c r="D25" s="2629"/>
      <c r="E25" s="2629"/>
      <c r="F25" s="2629"/>
      <c r="G25" s="2629"/>
      <c r="I25" s="468"/>
    </row>
    <row r="26" spans="1:13" s="380" customFormat="1" ht="10.5" x14ac:dyDescent="0.15">
      <c r="A26" s="2740" t="s">
        <v>1536</v>
      </c>
      <c r="B26" s="2740"/>
      <c r="C26" s="2740"/>
      <c r="D26" s="2740"/>
      <c r="E26" s="2740"/>
      <c r="F26" s="2740"/>
      <c r="G26" s="2740"/>
      <c r="I26" s="379"/>
    </row>
    <row r="27" spans="1:13" s="380" customFormat="1" ht="10.5" x14ac:dyDescent="0.15">
      <c r="A27" s="2612" t="s">
        <v>1537</v>
      </c>
      <c r="B27" s="2612"/>
      <c r="C27" s="2612"/>
      <c r="D27" s="2612"/>
      <c r="E27" s="2612"/>
      <c r="F27" s="2612"/>
      <c r="G27" s="2612"/>
      <c r="I27" s="379"/>
    </row>
    <row r="28" spans="1:13" s="380" customFormat="1" ht="10.5" x14ac:dyDescent="0.15">
      <c r="A28" s="468"/>
      <c r="I28" s="468"/>
    </row>
    <row r="32" spans="1:13" x14ac:dyDescent="0.2">
      <c r="E32" s="591"/>
    </row>
  </sheetData>
  <mergeCells count="6">
    <mergeCell ref="A27:G27"/>
    <mergeCell ref="A2:G2"/>
    <mergeCell ref="A23:G23"/>
    <mergeCell ref="A24:G24"/>
    <mergeCell ref="A25:G25"/>
    <mergeCell ref="A26:G26"/>
  </mergeCells>
  <pageMargins left="0.7" right="0.7" top="0.75" bottom="0.75" header="0.3" footer="0.3"/>
  <pageSetup paperSize="14"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K21"/>
  <sheetViews>
    <sheetView zoomScaleNormal="100" workbookViewId="0">
      <selection activeCell="A3" sqref="A3:XFD3"/>
    </sheetView>
  </sheetViews>
  <sheetFormatPr baseColWidth="10" defaultRowHeight="10.5" x14ac:dyDescent="0.15"/>
  <cols>
    <col min="1" max="1" width="41.140625" style="12" customWidth="1"/>
    <col min="2" max="2" width="9.140625" style="12" bestFit="1" customWidth="1"/>
    <col min="3" max="3" width="11.140625" style="12" bestFit="1" customWidth="1"/>
    <col min="4" max="4" width="9.140625" style="12" bestFit="1" customWidth="1"/>
    <col min="5" max="5" width="11.140625" style="12" bestFit="1" customWidth="1"/>
    <col min="6" max="6" width="9.140625" style="12" bestFit="1" customWidth="1"/>
    <col min="7" max="7" width="11.7109375" style="12" customWidth="1"/>
    <col min="8" max="8" width="9.140625" style="12" bestFit="1" customWidth="1"/>
    <col min="9" max="9" width="11.42578125" style="12"/>
    <col min="10" max="10" width="9.140625" style="12" bestFit="1" customWidth="1"/>
    <col min="11" max="16384" width="11.42578125" style="12"/>
  </cols>
  <sheetData>
    <row r="1" spans="1:11" x14ac:dyDescent="0.15">
      <c r="A1" s="592"/>
    </row>
    <row r="2" spans="1:11" s="593" customFormat="1" ht="21" customHeight="1" x14ac:dyDescent="0.25">
      <c r="A2" s="2742" t="s">
        <v>1542</v>
      </c>
      <c r="B2" s="2742"/>
      <c r="C2" s="2742"/>
      <c r="D2" s="2742"/>
      <c r="E2" s="2742"/>
      <c r="F2" s="2742"/>
      <c r="G2" s="2742"/>
      <c r="H2" s="2742"/>
      <c r="I2" s="2742"/>
      <c r="J2" s="2742"/>
      <c r="K2" s="2742"/>
    </row>
    <row r="3" spans="1:11" ht="11.25" customHeight="1" x14ac:dyDescent="0.15">
      <c r="A3" s="244"/>
      <c r="B3" s="594"/>
      <c r="C3" s="594"/>
    </row>
    <row r="4" spans="1:11" ht="19.5" customHeight="1" x14ac:dyDescent="0.15">
      <c r="A4" s="2743" t="s">
        <v>1543</v>
      </c>
      <c r="B4" s="2744" t="s">
        <v>1544</v>
      </c>
      <c r="C4" s="2745"/>
      <c r="D4" s="2744" t="s">
        <v>1545</v>
      </c>
      <c r="E4" s="2745"/>
      <c r="F4" s="2744">
        <v>2013</v>
      </c>
      <c r="G4" s="2745"/>
      <c r="H4" s="2744">
        <v>2014</v>
      </c>
      <c r="I4" s="2745"/>
      <c r="J4" s="2744">
        <v>2015</v>
      </c>
      <c r="K4" s="2745"/>
    </row>
    <row r="5" spans="1:11" s="244" customFormat="1" ht="17.25" customHeight="1" x14ac:dyDescent="0.15">
      <c r="A5" s="2733"/>
      <c r="B5" s="595" t="s">
        <v>1527</v>
      </c>
      <c r="C5" s="595" t="s">
        <v>727</v>
      </c>
      <c r="D5" s="595" t="s">
        <v>1527</v>
      </c>
      <c r="E5" s="595" t="s">
        <v>727</v>
      </c>
      <c r="F5" s="595" t="s">
        <v>1527</v>
      </c>
      <c r="G5" s="595" t="s">
        <v>727</v>
      </c>
      <c r="H5" s="595" t="s">
        <v>1527</v>
      </c>
      <c r="I5" s="595" t="s">
        <v>727</v>
      </c>
      <c r="J5" s="595" t="s">
        <v>1527</v>
      </c>
      <c r="K5" s="595" t="s">
        <v>727</v>
      </c>
    </row>
    <row r="6" spans="1:11" s="244" customFormat="1" x14ac:dyDescent="0.15">
      <c r="A6" s="560" t="s">
        <v>141</v>
      </c>
      <c r="B6" s="596">
        <v>7172</v>
      </c>
      <c r="C6" s="597">
        <f>+(B6/$B$6)</f>
        <v>1</v>
      </c>
      <c r="D6" s="596">
        <v>7828</v>
      </c>
      <c r="E6" s="597">
        <f>+(D6/$D$6)</f>
        <v>1</v>
      </c>
      <c r="F6" s="596">
        <f t="shared" ref="F6:K6" si="0">SUM(F7:F9)</f>
        <v>7876</v>
      </c>
      <c r="G6" s="598">
        <f t="shared" si="0"/>
        <v>1</v>
      </c>
      <c r="H6" s="596">
        <f t="shared" si="0"/>
        <v>8228</v>
      </c>
      <c r="I6" s="598">
        <f t="shared" si="0"/>
        <v>1</v>
      </c>
      <c r="J6" s="596">
        <f t="shared" si="0"/>
        <v>9015</v>
      </c>
      <c r="K6" s="598">
        <f t="shared" si="0"/>
        <v>1</v>
      </c>
    </row>
    <row r="7" spans="1:11" s="244" customFormat="1" x14ac:dyDescent="0.15">
      <c r="A7" s="251" t="s">
        <v>1546</v>
      </c>
      <c r="B7" s="570" t="s">
        <v>181</v>
      </c>
      <c r="C7" s="570" t="s">
        <v>181</v>
      </c>
      <c r="D7" s="570" t="s">
        <v>181</v>
      </c>
      <c r="E7" s="570" t="s">
        <v>181</v>
      </c>
      <c r="F7" s="599">
        <v>270</v>
      </c>
      <c r="G7" s="600">
        <f>+(F7/$F$6)</f>
        <v>3.4281361097003554E-2</v>
      </c>
      <c r="H7" s="599">
        <v>1485</v>
      </c>
      <c r="I7" s="600">
        <f>+(H7/$H$6)</f>
        <v>0.18048128342245989</v>
      </c>
      <c r="J7" s="599">
        <v>1764</v>
      </c>
      <c r="K7" s="600">
        <f>+(J7/$J$6)</f>
        <v>0.1956738768718802</v>
      </c>
    </row>
    <row r="8" spans="1:11" s="244" customFormat="1" x14ac:dyDescent="0.15">
      <c r="A8" s="251" t="s">
        <v>1547</v>
      </c>
      <c r="B8" s="570" t="s">
        <v>181</v>
      </c>
      <c r="C8" s="570" t="s">
        <v>181</v>
      </c>
      <c r="D8" s="570" t="s">
        <v>181</v>
      </c>
      <c r="E8" s="570" t="s">
        <v>181</v>
      </c>
      <c r="F8" s="599">
        <v>1661</v>
      </c>
      <c r="G8" s="600">
        <f t="shared" ref="G8:G9" si="1">+(F8/$F$6)</f>
        <v>0.21089385474860337</v>
      </c>
      <c r="H8" s="599">
        <v>1703</v>
      </c>
      <c r="I8" s="600">
        <f t="shared" ref="I8:I9" si="2">+(H8/$H$6)</f>
        <v>0.20697617890131259</v>
      </c>
      <c r="J8" s="599">
        <v>1695</v>
      </c>
      <c r="K8" s="600">
        <f t="shared" ref="K8:K9" si="3">+(J8/$J$6)</f>
        <v>0.18801996672212978</v>
      </c>
    </row>
    <row r="9" spans="1:11" s="244" customFormat="1" x14ac:dyDescent="0.15">
      <c r="A9" s="251" t="s">
        <v>1548</v>
      </c>
      <c r="B9" s="570" t="s">
        <v>181</v>
      </c>
      <c r="C9" s="570" t="s">
        <v>181</v>
      </c>
      <c r="D9" s="570" t="s">
        <v>181</v>
      </c>
      <c r="E9" s="570" t="s">
        <v>181</v>
      </c>
      <c r="F9" s="599">
        <v>5945</v>
      </c>
      <c r="G9" s="600">
        <f t="shared" si="1"/>
        <v>0.75482478415439314</v>
      </c>
      <c r="H9" s="599">
        <v>5040</v>
      </c>
      <c r="I9" s="600">
        <f t="shared" si="2"/>
        <v>0.61254253767622746</v>
      </c>
      <c r="J9" s="599">
        <v>5556</v>
      </c>
      <c r="K9" s="600">
        <f t="shared" si="3"/>
        <v>0.61630615640599007</v>
      </c>
    </row>
    <row r="10" spans="1:11" s="244" customFormat="1" ht="10.5" customHeight="1" x14ac:dyDescent="0.15">
      <c r="A10" s="251"/>
      <c r="B10" s="573"/>
      <c r="C10" s="600"/>
    </row>
    <row r="11" spans="1:11" ht="15.75" customHeight="1" x14ac:dyDescent="0.15">
      <c r="A11" s="2736" t="s">
        <v>1549</v>
      </c>
      <c r="B11" s="2736"/>
      <c r="C11" s="2736"/>
      <c r="D11" s="2736"/>
      <c r="E11" s="2736"/>
      <c r="F11" s="2736"/>
      <c r="G11" s="2736"/>
      <c r="H11" s="2736"/>
      <c r="I11" s="2736"/>
      <c r="J11" s="2736"/>
      <c r="K11" s="2736"/>
    </row>
    <row r="12" spans="1:11" ht="11.25" customHeight="1" x14ac:dyDescent="0.15">
      <c r="A12" s="12" t="s">
        <v>1536</v>
      </c>
      <c r="B12" s="601"/>
      <c r="C12" s="601"/>
      <c r="D12" s="601"/>
      <c r="E12" s="601"/>
      <c r="F12" s="601"/>
      <c r="G12" s="601"/>
      <c r="H12" s="601"/>
      <c r="I12" s="601"/>
      <c r="J12" s="601"/>
      <c r="K12" s="601"/>
    </row>
    <row r="13" spans="1:11" x14ac:dyDescent="0.15">
      <c r="A13" s="2612" t="s">
        <v>1537</v>
      </c>
      <c r="B13" s="2612"/>
      <c r="C13" s="2612"/>
    </row>
    <row r="14" spans="1:11" x14ac:dyDescent="0.15">
      <c r="A14" s="244"/>
      <c r="B14" s="594"/>
      <c r="C14" s="594"/>
    </row>
    <row r="15" spans="1:11" x14ac:dyDescent="0.15">
      <c r="B15" s="559"/>
      <c r="C15" s="559"/>
    </row>
    <row r="21" spans="1:3" x14ac:dyDescent="0.15">
      <c r="A21" s="2741"/>
      <c r="B21" s="2538"/>
      <c r="C21" s="2538"/>
    </row>
  </sheetData>
  <mergeCells count="10">
    <mergeCell ref="A11:K11"/>
    <mergeCell ref="A13:C13"/>
    <mergeCell ref="A21:C21"/>
    <mergeCell ref="A2:K2"/>
    <mergeCell ref="A4:A5"/>
    <mergeCell ref="B4:C4"/>
    <mergeCell ref="D4:E4"/>
    <mergeCell ref="F4:G4"/>
    <mergeCell ref="H4:I4"/>
    <mergeCell ref="J4:K4"/>
  </mergeCells>
  <pageMargins left="0.7" right="0.7" top="0.75" bottom="0.75" header="0.3" footer="0.3"/>
  <pageSetup paperSize="1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K10"/>
  <sheetViews>
    <sheetView zoomScaleNormal="100" workbookViewId="0">
      <selection activeCell="A2" sqref="A2:F2"/>
    </sheetView>
  </sheetViews>
  <sheetFormatPr baseColWidth="10" defaultRowHeight="12.75" x14ac:dyDescent="0.2"/>
  <cols>
    <col min="1" max="1" width="21.28515625" style="612" customWidth="1"/>
    <col min="2" max="7" width="11.42578125" style="612"/>
    <col min="8" max="8" width="6.7109375" style="612" customWidth="1"/>
    <col min="9" max="16384" width="11.42578125" style="612"/>
  </cols>
  <sheetData>
    <row r="1" spans="1:11" s="603" customFormat="1" ht="10.5" x14ac:dyDescent="0.15">
      <c r="A1" s="602"/>
      <c r="J1" s="604"/>
    </row>
    <row r="2" spans="1:11" s="603" customFormat="1" ht="26.25" customHeight="1" x14ac:dyDescent="0.15">
      <c r="A2" s="2567" t="s">
        <v>1550</v>
      </c>
      <c r="B2" s="2567"/>
      <c r="C2" s="2567"/>
      <c r="D2" s="2567"/>
      <c r="E2" s="2567"/>
      <c r="F2" s="2567"/>
      <c r="G2" s="605"/>
      <c r="H2" s="605"/>
      <c r="I2" s="380"/>
      <c r="J2" s="468"/>
      <c r="K2" s="380"/>
    </row>
    <row r="3" spans="1:11" s="603" customFormat="1" ht="13.5" customHeight="1" x14ac:dyDescent="0.15">
      <c r="A3" s="58"/>
      <c r="I3" s="380"/>
      <c r="J3" s="468"/>
      <c r="K3" s="380"/>
    </row>
    <row r="4" spans="1:11" s="607" customFormat="1" ht="18" customHeight="1" x14ac:dyDescent="0.25">
      <c r="A4" s="2746" t="s">
        <v>1551</v>
      </c>
      <c r="B4" s="2748" t="s">
        <v>2</v>
      </c>
      <c r="C4" s="2748"/>
      <c r="D4" s="2748"/>
      <c r="E4" s="2748"/>
      <c r="F4" s="2748"/>
      <c r="G4" s="606"/>
      <c r="I4" s="385"/>
      <c r="J4" s="385"/>
      <c r="K4" s="385"/>
    </row>
    <row r="5" spans="1:11" s="607" customFormat="1" ht="18" customHeight="1" x14ac:dyDescent="0.25">
      <c r="A5" s="2747"/>
      <c r="B5" s="608">
        <v>2011</v>
      </c>
      <c r="C5" s="608">
        <v>2012</v>
      </c>
      <c r="D5" s="608">
        <v>2013</v>
      </c>
      <c r="E5" s="608">
        <v>2014</v>
      </c>
      <c r="F5" s="608">
        <v>2015</v>
      </c>
      <c r="I5" s="385"/>
      <c r="J5" s="367"/>
      <c r="K5" s="385"/>
    </row>
    <row r="6" spans="1:11" s="603" customFormat="1" ht="10.5" x14ac:dyDescent="0.15">
      <c r="A6" s="609" t="s">
        <v>141</v>
      </c>
      <c r="B6" s="610">
        <v>6654</v>
      </c>
      <c r="C6" s="610">
        <v>5543</v>
      </c>
      <c r="D6" s="610">
        <v>6358</v>
      </c>
      <c r="E6" s="610">
        <v>5975</v>
      </c>
      <c r="F6" s="611">
        <v>6747</v>
      </c>
      <c r="J6" s="604"/>
    </row>
    <row r="7" spans="1:11" s="603" customFormat="1" ht="10.5" x14ac:dyDescent="0.15">
      <c r="J7" s="604"/>
    </row>
    <row r="8" spans="1:11" s="603" customFormat="1" ht="10.5" x14ac:dyDescent="0.15">
      <c r="A8" s="379" t="s">
        <v>1537</v>
      </c>
      <c r="J8" s="604"/>
    </row>
    <row r="9" spans="1:11" s="603" customFormat="1" ht="10.5" x14ac:dyDescent="0.15">
      <c r="A9" s="604"/>
      <c r="J9" s="12"/>
    </row>
    <row r="10" spans="1:11" x14ac:dyDescent="0.2">
      <c r="F10" s="613"/>
      <c r="G10" s="613"/>
      <c r="H10" s="613"/>
    </row>
  </sheetData>
  <mergeCells count="3">
    <mergeCell ref="A4:A5"/>
    <mergeCell ref="B4:F4"/>
    <mergeCell ref="A2:F2"/>
  </mergeCells>
  <pageMargins left="0.7" right="0.7" top="0.75" bottom="0.75" header="0.3" footer="0.3"/>
  <pageSetup paperSize="14"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M12"/>
  <sheetViews>
    <sheetView zoomScaleNormal="100" workbookViewId="0">
      <selection activeCell="F9" sqref="F9"/>
    </sheetView>
  </sheetViews>
  <sheetFormatPr baseColWidth="10" defaultRowHeight="10.5" x14ac:dyDescent="0.15"/>
  <cols>
    <col min="1" max="1" width="28.140625" style="12" customWidth="1"/>
    <col min="2" max="4" width="10.7109375" style="12" customWidth="1"/>
    <col min="5" max="5" width="13.5703125" style="12" customWidth="1"/>
    <col min="6" max="8" width="10.7109375" style="12" customWidth="1"/>
    <col min="9" max="9" width="13.5703125" style="12" customWidth="1"/>
    <col min="10" max="12" width="10.7109375" style="12" customWidth="1"/>
    <col min="13" max="13" width="13.5703125" style="12" customWidth="1"/>
    <col min="14" max="16384" width="11.42578125" style="12"/>
  </cols>
  <sheetData>
    <row r="2" spans="1:13" ht="12.75" customHeight="1" x14ac:dyDescent="0.15">
      <c r="A2" s="2738" t="s">
        <v>1552</v>
      </c>
      <c r="B2" s="2738"/>
      <c r="C2" s="2738"/>
      <c r="D2" s="2738"/>
      <c r="E2" s="2738"/>
      <c r="F2" s="2738"/>
      <c r="G2" s="2738"/>
      <c r="H2" s="2738"/>
      <c r="I2" s="2738"/>
      <c r="J2" s="2738"/>
      <c r="K2" s="2738"/>
      <c r="L2" s="2738"/>
      <c r="M2" s="2738"/>
    </row>
    <row r="4" spans="1:13" ht="15" customHeight="1" x14ac:dyDescent="0.15">
      <c r="A4" s="2751" t="s">
        <v>1553</v>
      </c>
      <c r="B4" s="2752">
        <v>2013</v>
      </c>
      <c r="C4" s="2752"/>
      <c r="D4" s="2752"/>
      <c r="E4" s="2752"/>
      <c r="F4" s="2744">
        <v>2014</v>
      </c>
      <c r="G4" s="2753"/>
      <c r="H4" s="2753"/>
      <c r="I4" s="2745"/>
      <c r="J4" s="2744">
        <v>2015</v>
      </c>
      <c r="K4" s="2753"/>
      <c r="L4" s="2753"/>
      <c r="M4" s="2745"/>
    </row>
    <row r="5" spans="1:13" ht="15" customHeight="1" x14ac:dyDescent="0.15">
      <c r="A5" s="2751"/>
      <c r="B5" s="2754" t="s">
        <v>69</v>
      </c>
      <c r="C5" s="2749" t="s">
        <v>1377</v>
      </c>
      <c r="D5" s="2749"/>
      <c r="E5" s="2749"/>
      <c r="F5" s="2754" t="s">
        <v>69</v>
      </c>
      <c r="G5" s="2749" t="s">
        <v>1377</v>
      </c>
      <c r="H5" s="2749"/>
      <c r="I5" s="2749"/>
      <c r="J5" s="2754" t="s">
        <v>69</v>
      </c>
      <c r="K5" s="2749" t="s">
        <v>1377</v>
      </c>
      <c r="L5" s="2749"/>
      <c r="M5" s="2749"/>
    </row>
    <row r="6" spans="1:13" ht="22.5" customHeight="1" x14ac:dyDescent="0.15">
      <c r="A6" s="2751"/>
      <c r="B6" s="2754"/>
      <c r="C6" s="614" t="s">
        <v>966</v>
      </c>
      <c r="D6" s="614" t="s">
        <v>967</v>
      </c>
      <c r="E6" s="579" t="s">
        <v>1554</v>
      </c>
      <c r="F6" s="2754"/>
      <c r="G6" s="614" t="s">
        <v>966</v>
      </c>
      <c r="H6" s="614" t="s">
        <v>967</v>
      </c>
      <c r="I6" s="579" t="s">
        <v>1554</v>
      </c>
      <c r="J6" s="2754"/>
      <c r="K6" s="614" t="s">
        <v>966</v>
      </c>
      <c r="L6" s="614" t="s">
        <v>967</v>
      </c>
      <c r="M6" s="579" t="s">
        <v>1554</v>
      </c>
    </row>
    <row r="7" spans="1:13" ht="21" x14ac:dyDescent="0.15">
      <c r="A7" s="396" t="s">
        <v>1555</v>
      </c>
      <c r="B7" s="615">
        <f>SUM(C7:E7)</f>
        <v>7876</v>
      </c>
      <c r="C7" s="570">
        <v>6514</v>
      </c>
      <c r="D7" s="570">
        <v>981</v>
      </c>
      <c r="E7" s="570">
        <v>381</v>
      </c>
      <c r="F7" s="615">
        <f>SUM(G7:I7)</f>
        <v>8228</v>
      </c>
      <c r="G7" s="570">
        <v>6754</v>
      </c>
      <c r="H7" s="570">
        <v>1021</v>
      </c>
      <c r="I7" s="570">
        <v>453</v>
      </c>
      <c r="J7" s="615">
        <f>SUM(K7:M7)</f>
        <v>9015</v>
      </c>
      <c r="K7" s="570">
        <v>7432</v>
      </c>
      <c r="L7" s="570">
        <v>1105</v>
      </c>
      <c r="M7" s="570">
        <v>478</v>
      </c>
    </row>
    <row r="8" spans="1:13" ht="21" x14ac:dyDescent="0.15">
      <c r="A8" s="396" t="s">
        <v>1556</v>
      </c>
      <c r="B8" s="615">
        <f>SUM(C8:E8)</f>
        <v>6058</v>
      </c>
      <c r="C8" s="570">
        <v>5284</v>
      </c>
      <c r="D8" s="570">
        <v>774</v>
      </c>
      <c r="E8" s="570">
        <v>0</v>
      </c>
      <c r="F8" s="615">
        <f>SUM(G8:I8)</f>
        <v>6028</v>
      </c>
      <c r="G8" s="570">
        <v>5269</v>
      </c>
      <c r="H8" s="570">
        <v>759</v>
      </c>
      <c r="I8" s="570">
        <v>0</v>
      </c>
      <c r="J8" s="615">
        <f>SUM(K8:M8)</f>
        <v>6400</v>
      </c>
      <c r="K8" s="570">
        <v>5604</v>
      </c>
      <c r="L8" s="570">
        <v>796</v>
      </c>
      <c r="M8" s="570">
        <v>0</v>
      </c>
    </row>
    <row r="10" spans="1:13" ht="12.75" customHeight="1" x14ac:dyDescent="0.15">
      <c r="A10" s="2736" t="s">
        <v>1557</v>
      </c>
      <c r="B10" s="2736"/>
      <c r="C10" s="2736"/>
      <c r="D10" s="2736"/>
      <c r="E10" s="2736"/>
      <c r="F10" s="2736"/>
      <c r="G10" s="2736"/>
      <c r="H10" s="2736"/>
      <c r="I10" s="2736"/>
      <c r="J10" s="2736"/>
      <c r="K10" s="2736"/>
    </row>
    <row r="11" spans="1:13" x14ac:dyDescent="0.15">
      <c r="A11" s="2750" t="s">
        <v>60</v>
      </c>
      <c r="B11" s="2750"/>
      <c r="C11" s="2750"/>
      <c r="D11" s="2750"/>
      <c r="E11" s="2750"/>
    </row>
    <row r="12" spans="1:13" x14ac:dyDescent="0.15">
      <c r="A12" s="379" t="s">
        <v>1537</v>
      </c>
    </row>
  </sheetData>
  <mergeCells count="13">
    <mergeCell ref="K5:M5"/>
    <mergeCell ref="A10:K10"/>
    <mergeCell ref="A11:E11"/>
    <mergeCell ref="A2:M2"/>
    <mergeCell ref="A4:A6"/>
    <mergeCell ref="B4:E4"/>
    <mergeCell ref="F4:I4"/>
    <mergeCell ref="J4:M4"/>
    <mergeCell ref="B5:B6"/>
    <mergeCell ref="C5:E5"/>
    <mergeCell ref="F5:F6"/>
    <mergeCell ref="G5:I5"/>
    <mergeCell ref="J5:J6"/>
  </mergeCells>
  <pageMargins left="0.7" right="0.7" top="0.75" bottom="0.75" header="0.3" footer="0.3"/>
  <pageSetup paperSize="14"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K14"/>
  <sheetViews>
    <sheetView zoomScaleNormal="100" workbookViewId="0">
      <selection activeCell="E31" sqref="E31"/>
    </sheetView>
  </sheetViews>
  <sheetFormatPr baseColWidth="10" defaultRowHeight="12.75" x14ac:dyDescent="0.2"/>
  <cols>
    <col min="1" max="1" width="26.85546875" style="558" bestFit="1" customWidth="1"/>
    <col min="2" max="3" width="16.42578125" style="558" customWidth="1"/>
    <col min="4" max="16384" width="11.42578125" style="558"/>
  </cols>
  <sheetData>
    <row r="1" spans="1:11" ht="15.75" x14ac:dyDescent="0.2">
      <c r="A1" s="616"/>
    </row>
    <row r="2" spans="1:11" s="12" customFormat="1" ht="37.5" customHeight="1" x14ac:dyDescent="0.15">
      <c r="A2" s="2755" t="s">
        <v>1558</v>
      </c>
      <c r="B2" s="2755"/>
      <c r="C2" s="2755"/>
      <c r="D2" s="617"/>
    </row>
    <row r="3" spans="1:11" s="12" customFormat="1" ht="13.5" customHeight="1" x14ac:dyDescent="0.15">
      <c r="A3" s="58"/>
      <c r="B3" s="58"/>
    </row>
    <row r="4" spans="1:11" s="12" customFormat="1" ht="18" customHeight="1" x14ac:dyDescent="0.15">
      <c r="A4" s="614" t="s">
        <v>1559</v>
      </c>
      <c r="B4" s="595">
        <v>2014</v>
      </c>
      <c r="C4" s="595">
        <v>2015</v>
      </c>
    </row>
    <row r="5" spans="1:11" s="12" customFormat="1" ht="10.5" x14ac:dyDescent="0.15">
      <c r="A5" s="58" t="s">
        <v>141</v>
      </c>
      <c r="B5" s="618">
        <f>SUM(B6:B9)</f>
        <v>4310</v>
      </c>
      <c r="C5" s="618">
        <f>SUM(C6:C9)</f>
        <v>5113</v>
      </c>
    </row>
    <row r="6" spans="1:11" s="12" customFormat="1" ht="10.5" x14ac:dyDescent="0.15">
      <c r="A6" s="619" t="s">
        <v>1560</v>
      </c>
      <c r="B6" s="563">
        <v>3953</v>
      </c>
      <c r="C6" s="563">
        <v>4570</v>
      </c>
    </row>
    <row r="7" spans="1:11" s="12" customFormat="1" ht="10.5" x14ac:dyDescent="0.15">
      <c r="A7" s="619" t="s">
        <v>1561</v>
      </c>
      <c r="B7" s="563">
        <v>300</v>
      </c>
      <c r="C7" s="563">
        <v>478</v>
      </c>
    </row>
    <row r="8" spans="1:11" s="12" customFormat="1" ht="10.5" x14ac:dyDescent="0.15">
      <c r="A8" s="619" t="s">
        <v>1562</v>
      </c>
      <c r="B8" s="570">
        <v>11</v>
      </c>
      <c r="C8" s="570">
        <v>14</v>
      </c>
    </row>
    <row r="9" spans="1:11" x14ac:dyDescent="0.2">
      <c r="A9" s="619" t="s">
        <v>1563</v>
      </c>
      <c r="B9" s="563">
        <v>46</v>
      </c>
      <c r="C9" s="563">
        <v>51</v>
      </c>
    </row>
    <row r="11" spans="1:11" ht="26.25" customHeight="1" x14ac:dyDescent="0.2">
      <c r="A11" s="2673" t="s">
        <v>1564</v>
      </c>
      <c r="B11" s="2673"/>
      <c r="C11" s="2673"/>
      <c r="D11" s="385"/>
      <c r="E11" s="385"/>
      <c r="F11" s="385"/>
      <c r="G11" s="385"/>
      <c r="H11" s="385"/>
      <c r="I11" s="385"/>
      <c r="J11" s="385"/>
      <c r="K11" s="385"/>
    </row>
    <row r="12" spans="1:11" ht="16.5" customHeight="1" x14ac:dyDescent="0.2">
      <c r="A12" s="2756" t="s">
        <v>1537</v>
      </c>
      <c r="B12" s="2756"/>
      <c r="C12" s="2756"/>
    </row>
    <row r="14" spans="1:11" x14ac:dyDescent="0.2">
      <c r="A14" s="390"/>
      <c r="B14" s="390"/>
    </row>
  </sheetData>
  <mergeCells count="3">
    <mergeCell ref="A2:C2"/>
    <mergeCell ref="A11:C11"/>
    <mergeCell ref="A12:C12"/>
  </mergeCells>
  <pageMargins left="0.7" right="0.7" top="0.75" bottom="0.75" header="0.3" footer="0.3"/>
  <pageSetup paperSize="14"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F13"/>
  <sheetViews>
    <sheetView workbookViewId="0">
      <selection activeCell="B17" sqref="B17"/>
    </sheetView>
  </sheetViews>
  <sheetFormatPr baseColWidth="10" defaultColWidth="9.140625" defaultRowHeight="12.75" x14ac:dyDescent="0.2"/>
  <cols>
    <col min="1" max="1" width="40.42578125" style="111" customWidth="1"/>
    <col min="2" max="5" width="11.42578125" style="111" customWidth="1"/>
    <col min="6" max="6" width="9.28515625" style="111" customWidth="1"/>
    <col min="7" max="7" width="17.28515625" style="111" customWidth="1"/>
    <col min="8" max="16384" width="9.140625" style="111"/>
  </cols>
  <sheetData>
    <row r="1" spans="1:6" ht="15" customHeight="1" x14ac:dyDescent="0.2">
      <c r="A1" s="2064"/>
      <c r="B1" s="2064"/>
      <c r="C1" s="2064"/>
      <c r="D1" s="2064"/>
      <c r="E1" s="2064"/>
      <c r="F1" s="2064"/>
    </row>
    <row r="2" spans="1:6" ht="21" customHeight="1" x14ac:dyDescent="0.2">
      <c r="A2" s="2390" t="s">
        <v>1565</v>
      </c>
      <c r="B2" s="2390"/>
      <c r="C2" s="2390"/>
      <c r="D2" s="2390"/>
      <c r="E2" s="2390"/>
      <c r="F2" s="2665"/>
    </row>
    <row r="3" spans="1:6" ht="11.25" customHeight="1" x14ac:dyDescent="0.2">
      <c r="A3" s="2757"/>
      <c r="B3" s="2757"/>
      <c r="C3" s="2757"/>
      <c r="D3" s="2757"/>
      <c r="E3" s="2757"/>
      <c r="F3" s="2757"/>
    </row>
    <row r="4" spans="1:6" ht="18.75" customHeight="1" x14ac:dyDescent="0.2">
      <c r="A4" s="2670" t="s">
        <v>1566</v>
      </c>
      <c r="B4" s="2351" t="s">
        <v>2</v>
      </c>
      <c r="C4" s="2351"/>
      <c r="D4" s="2351"/>
      <c r="E4" s="2351"/>
      <c r="F4" s="2351"/>
    </row>
    <row r="5" spans="1:6" x14ac:dyDescent="0.2">
      <c r="A5" s="2670"/>
      <c r="B5" s="2067">
        <v>2011</v>
      </c>
      <c r="C5" s="2067">
        <v>2012</v>
      </c>
      <c r="D5" s="2067">
        <v>2013</v>
      </c>
      <c r="E5" s="2067">
        <v>2014</v>
      </c>
      <c r="F5" s="2052">
        <v>2015</v>
      </c>
    </row>
    <row r="6" spans="1:6" x14ac:dyDescent="0.2">
      <c r="A6" s="115" t="s">
        <v>141</v>
      </c>
      <c r="B6" s="620">
        <v>7</v>
      </c>
      <c r="C6" s="620">
        <v>8</v>
      </c>
      <c r="D6" s="620">
        <v>7</v>
      </c>
      <c r="E6" s="620">
        <v>7</v>
      </c>
      <c r="F6" s="621" t="s">
        <v>1567</v>
      </c>
    </row>
    <row r="7" spans="1:6" ht="11.25" customHeight="1" x14ac:dyDescent="0.2">
      <c r="A7" s="2758"/>
      <c r="B7" s="2758"/>
      <c r="C7" s="2758"/>
      <c r="D7" s="2758"/>
      <c r="E7" s="2758"/>
      <c r="F7" s="2758"/>
    </row>
    <row r="8" spans="1:6" ht="11.25" customHeight="1" x14ac:dyDescent="0.2">
      <c r="A8" s="2356" t="s">
        <v>1568</v>
      </c>
      <c r="B8" s="2356"/>
      <c r="C8" s="2356"/>
      <c r="D8" s="2356"/>
      <c r="E8" s="2356"/>
      <c r="F8" s="2665"/>
    </row>
    <row r="9" spans="1:6" x14ac:dyDescent="0.2">
      <c r="A9" s="2064"/>
      <c r="B9" s="2064"/>
      <c r="C9" s="2064"/>
      <c r="D9" s="2064"/>
      <c r="E9" s="2064"/>
      <c r="F9" s="2064"/>
    </row>
    <row r="10" spans="1:6" x14ac:dyDescent="0.2">
      <c r="A10" s="2064"/>
      <c r="B10" s="2064"/>
      <c r="C10" s="2064"/>
      <c r="D10" s="2064"/>
      <c r="E10" s="2064"/>
      <c r="F10" s="2064"/>
    </row>
    <row r="11" spans="1:6" x14ac:dyDescent="0.2">
      <c r="A11" s="2064"/>
      <c r="B11" s="2064"/>
      <c r="C11" s="2064"/>
      <c r="D11" s="2064"/>
      <c r="E11" s="2064"/>
      <c r="F11" s="2064"/>
    </row>
    <row r="12" spans="1:6" x14ac:dyDescent="0.2">
      <c r="A12" s="2064"/>
      <c r="B12" s="2064"/>
      <c r="C12" s="2064"/>
      <c r="D12" s="2064"/>
      <c r="E12" s="2064"/>
      <c r="F12" s="2064"/>
    </row>
    <row r="13" spans="1:6" x14ac:dyDescent="0.2">
      <c r="A13" s="2064"/>
      <c r="B13" s="2064"/>
      <c r="C13" s="2152" t="s">
        <v>739</v>
      </c>
      <c r="D13" s="2064"/>
      <c r="E13" s="2064"/>
      <c r="F13" s="2064"/>
    </row>
  </sheetData>
  <mergeCells count="6">
    <mergeCell ref="A8:F8"/>
    <mergeCell ref="A2:F2"/>
    <mergeCell ref="A3:F3"/>
    <mergeCell ref="A4:A5"/>
    <mergeCell ref="B4:F4"/>
    <mergeCell ref="A7:F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G10"/>
  <sheetViews>
    <sheetView workbookViewId="0">
      <selection activeCell="H24" sqref="H24"/>
    </sheetView>
  </sheetViews>
  <sheetFormatPr baseColWidth="10" defaultColWidth="9.140625" defaultRowHeight="11.25" x14ac:dyDescent="0.2"/>
  <cols>
    <col min="1" max="1" width="40.42578125" style="623" customWidth="1"/>
    <col min="2" max="5" width="12" style="623" customWidth="1"/>
    <col min="6" max="6" width="11.42578125" style="623" customWidth="1"/>
    <col min="7" max="7" width="11.28515625" style="623" customWidth="1"/>
    <col min="8" max="16384" width="9.140625" style="623"/>
  </cols>
  <sheetData>
    <row r="1" spans="1:7" ht="14.25" customHeight="1" x14ac:dyDescent="0.2">
      <c r="A1" s="1497"/>
      <c r="B1" s="1497"/>
      <c r="C1" s="1497"/>
      <c r="D1" s="1497"/>
      <c r="E1" s="1497"/>
      <c r="F1" s="1497"/>
    </row>
    <row r="2" spans="1:7" ht="14.25" customHeight="1" x14ac:dyDescent="0.2">
      <c r="A2" s="2390" t="s">
        <v>1569</v>
      </c>
      <c r="B2" s="2390"/>
      <c r="C2" s="2390"/>
      <c r="D2" s="2390"/>
      <c r="E2" s="2390"/>
      <c r="F2" s="2759"/>
    </row>
    <row r="3" spans="1:7" ht="11.25" customHeight="1" x14ac:dyDescent="0.2">
      <c r="A3" s="2056"/>
      <c r="B3" s="2056"/>
      <c r="C3" s="2056"/>
      <c r="D3" s="2056"/>
      <c r="E3" s="2056"/>
      <c r="F3" s="2155"/>
    </row>
    <row r="4" spans="1:7" ht="15" customHeight="1" x14ac:dyDescent="0.2">
      <c r="A4" s="2351" t="s">
        <v>1566</v>
      </c>
      <c r="B4" s="2760" t="s">
        <v>2</v>
      </c>
      <c r="C4" s="2760"/>
      <c r="D4" s="2760"/>
      <c r="E4" s="2760"/>
      <c r="F4" s="2760"/>
    </row>
    <row r="5" spans="1:7" x14ac:dyDescent="0.2">
      <c r="A5" s="2351"/>
      <c r="B5" s="2067">
        <v>2011</v>
      </c>
      <c r="C5" s="2067">
        <v>2012</v>
      </c>
      <c r="D5" s="2067">
        <v>2013</v>
      </c>
      <c r="E5" s="2067">
        <v>2014</v>
      </c>
      <c r="F5" s="2052">
        <v>2015</v>
      </c>
    </row>
    <row r="6" spans="1:7" x14ac:dyDescent="0.2">
      <c r="A6" s="2056" t="s">
        <v>141</v>
      </c>
      <c r="B6" s="620">
        <v>140</v>
      </c>
      <c r="C6" s="620">
        <v>125</v>
      </c>
      <c r="D6" s="2065">
        <v>115</v>
      </c>
      <c r="E6" s="2065">
        <v>105</v>
      </c>
      <c r="F6" s="2065">
        <v>107</v>
      </c>
      <c r="G6" s="1497"/>
    </row>
    <row r="7" spans="1:7" x14ac:dyDescent="0.2">
      <c r="A7" s="2153"/>
      <c r="B7" s="2153"/>
      <c r="C7" s="2153"/>
      <c r="D7" s="2153"/>
      <c r="E7" s="2153"/>
      <c r="F7" s="2153"/>
      <c r="G7" s="1497"/>
    </row>
    <row r="8" spans="1:7" ht="12" customHeight="1" x14ac:dyDescent="0.2">
      <c r="A8" s="2356" t="s">
        <v>1570</v>
      </c>
      <c r="B8" s="2356"/>
      <c r="C8" s="2356"/>
      <c r="D8" s="2356"/>
      <c r="E8" s="2356"/>
      <c r="F8" s="2759"/>
      <c r="G8" s="1497"/>
    </row>
    <row r="9" spans="1:7" x14ac:dyDescent="0.2">
      <c r="A9" s="1497"/>
      <c r="B9" s="1497"/>
      <c r="C9" s="1497"/>
      <c r="D9" s="1497"/>
      <c r="E9" s="1497"/>
      <c r="F9" s="1497"/>
      <c r="G9" s="1497"/>
    </row>
    <row r="10" spans="1:7" x14ac:dyDescent="0.2">
      <c r="A10" s="1497"/>
      <c r="B10" s="1497"/>
      <c r="C10" s="2154"/>
      <c r="D10" s="2154"/>
      <c r="E10" s="2154"/>
      <c r="F10" s="2154"/>
      <c r="G10" s="1497"/>
    </row>
  </sheetData>
  <mergeCells count="4">
    <mergeCell ref="A2:F2"/>
    <mergeCell ref="A4:A5"/>
    <mergeCell ref="B4:F4"/>
    <mergeCell ref="A8:F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F23"/>
  <sheetViews>
    <sheetView workbookViewId="0">
      <selection activeCell="A2" sqref="A2:F2"/>
    </sheetView>
  </sheetViews>
  <sheetFormatPr baseColWidth="10" defaultColWidth="11.42578125" defaultRowHeight="10.5" x14ac:dyDescent="0.15"/>
  <cols>
    <col min="1" max="1" width="17.42578125" style="1" customWidth="1"/>
    <col min="2" max="3" width="11.42578125" style="1"/>
    <col min="4" max="4" width="12.140625" style="1" customWidth="1"/>
    <col min="5" max="13" width="11.42578125" style="1"/>
    <col min="14" max="14" width="11.42578125" style="1" customWidth="1"/>
    <col min="15" max="16384" width="11.42578125" style="1"/>
  </cols>
  <sheetData>
    <row r="2" spans="1:6" s="29" customFormat="1" ht="22.5" customHeight="1" x14ac:dyDescent="0.15">
      <c r="A2" s="2313" t="s">
        <v>97</v>
      </c>
      <c r="B2" s="2313"/>
      <c r="C2" s="2313"/>
      <c r="D2" s="2313"/>
      <c r="E2" s="2313"/>
      <c r="F2" s="2313"/>
    </row>
    <row r="3" spans="1:6" x14ac:dyDescent="0.15">
      <c r="A3" s="2305"/>
      <c r="B3" s="2305"/>
      <c r="C3" s="2305"/>
      <c r="D3" s="2305"/>
      <c r="E3" s="2305"/>
      <c r="F3" s="2305"/>
    </row>
    <row r="4" spans="1:6" s="65" customFormat="1" ht="10.5" customHeight="1" x14ac:dyDescent="0.15">
      <c r="A4" s="2325" t="s">
        <v>98</v>
      </c>
      <c r="B4" s="2325" t="s">
        <v>99</v>
      </c>
      <c r="C4" s="2325"/>
      <c r="D4" s="2325"/>
      <c r="E4" s="2325"/>
      <c r="F4" s="2325"/>
    </row>
    <row r="5" spans="1:6" s="65" customFormat="1" ht="10.5" customHeight="1" x14ac:dyDescent="0.15">
      <c r="A5" s="2325"/>
      <c r="B5" s="37">
        <v>2011</v>
      </c>
      <c r="C5" s="37">
        <v>2012</v>
      </c>
      <c r="D5" s="37">
        <v>2013</v>
      </c>
      <c r="E5" s="37">
        <v>2014</v>
      </c>
      <c r="F5" s="69">
        <v>2015</v>
      </c>
    </row>
    <row r="6" spans="1:6" s="30" customFormat="1" ht="10.5" customHeight="1" x14ac:dyDescent="0.15">
      <c r="A6" s="30" t="s">
        <v>4</v>
      </c>
      <c r="B6" s="30">
        <f t="shared" ref="B6:E6" si="0">SUM(B7:B16)</f>
        <v>26</v>
      </c>
      <c r="C6" s="30">
        <f t="shared" si="0"/>
        <v>26</v>
      </c>
      <c r="D6" s="30">
        <f t="shared" si="0"/>
        <v>27</v>
      </c>
      <c r="E6" s="30">
        <f t="shared" si="0"/>
        <v>27</v>
      </c>
      <c r="F6" s="29">
        <f>SUM(F7:F16)</f>
        <v>27</v>
      </c>
    </row>
    <row r="7" spans="1:6" x14ac:dyDescent="0.15">
      <c r="A7" s="1" t="s">
        <v>100</v>
      </c>
      <c r="B7" s="1">
        <v>6</v>
      </c>
      <c r="C7" s="1">
        <v>6</v>
      </c>
      <c r="D7" s="1">
        <v>7</v>
      </c>
      <c r="E7" s="16">
        <v>7</v>
      </c>
      <c r="F7" s="1">
        <v>7</v>
      </c>
    </row>
    <row r="8" spans="1:6" x14ac:dyDescent="0.15">
      <c r="A8" s="1" t="s">
        <v>101</v>
      </c>
      <c r="B8" s="1">
        <v>2</v>
      </c>
      <c r="C8" s="1">
        <v>2</v>
      </c>
      <c r="D8" s="1">
        <v>1</v>
      </c>
      <c r="E8" s="16">
        <v>1</v>
      </c>
      <c r="F8" s="1">
        <v>1</v>
      </c>
    </row>
    <row r="9" spans="1:6" x14ac:dyDescent="0.15">
      <c r="A9" s="1" t="s">
        <v>102</v>
      </c>
      <c r="B9" s="1">
        <v>1</v>
      </c>
      <c r="C9" s="1">
        <v>1</v>
      </c>
      <c r="D9" s="1">
        <v>1</v>
      </c>
      <c r="E9" s="16">
        <v>1</v>
      </c>
      <c r="F9" s="1">
        <v>1</v>
      </c>
    </row>
    <row r="10" spans="1:6" x14ac:dyDescent="0.15">
      <c r="A10" s="1" t="s">
        <v>103</v>
      </c>
      <c r="B10" s="1">
        <v>2</v>
      </c>
      <c r="C10" s="1">
        <v>2</v>
      </c>
      <c r="D10" s="1">
        <v>2</v>
      </c>
      <c r="E10" s="16">
        <v>2</v>
      </c>
      <c r="F10" s="1">
        <v>2</v>
      </c>
    </row>
    <row r="11" spans="1:6" x14ac:dyDescent="0.15">
      <c r="A11" s="1" t="s">
        <v>104</v>
      </c>
      <c r="B11" s="1">
        <v>5</v>
      </c>
      <c r="C11" s="1">
        <v>5</v>
      </c>
      <c r="D11" s="1">
        <v>6</v>
      </c>
      <c r="E11" s="16">
        <v>6</v>
      </c>
      <c r="F11" s="1">
        <v>6</v>
      </c>
    </row>
    <row r="12" spans="1:6" x14ac:dyDescent="0.15">
      <c r="A12" s="1" t="s">
        <v>105</v>
      </c>
      <c r="B12" s="1">
        <v>2</v>
      </c>
      <c r="C12" s="1">
        <v>2</v>
      </c>
      <c r="D12" s="1">
        <v>3</v>
      </c>
      <c r="E12" s="16">
        <v>3</v>
      </c>
      <c r="F12" s="1">
        <v>3</v>
      </c>
    </row>
    <row r="13" spans="1:6" x14ac:dyDescent="0.15">
      <c r="A13" s="1" t="s">
        <v>106</v>
      </c>
      <c r="B13" s="1">
        <v>1</v>
      </c>
      <c r="C13" s="1">
        <v>1</v>
      </c>
      <c r="D13" s="1">
        <v>1</v>
      </c>
      <c r="E13" s="16">
        <v>1</v>
      </c>
      <c r="F13" s="1">
        <v>1</v>
      </c>
    </row>
    <row r="14" spans="1:6" x14ac:dyDescent="0.15">
      <c r="A14" s="1" t="s">
        <v>107</v>
      </c>
      <c r="B14" s="1">
        <v>1</v>
      </c>
      <c r="C14" s="1">
        <v>1</v>
      </c>
      <c r="D14" s="1">
        <v>0</v>
      </c>
      <c r="E14" s="16">
        <v>0</v>
      </c>
      <c r="F14" s="1">
        <v>0</v>
      </c>
    </row>
    <row r="15" spans="1:6" x14ac:dyDescent="0.15">
      <c r="A15" s="1" t="s">
        <v>108</v>
      </c>
      <c r="B15" s="1">
        <v>3</v>
      </c>
      <c r="C15" s="1">
        <v>3</v>
      </c>
      <c r="D15" s="1">
        <v>3</v>
      </c>
      <c r="E15" s="16">
        <v>3</v>
      </c>
      <c r="F15" s="1">
        <v>3</v>
      </c>
    </row>
    <row r="16" spans="1:6" x14ac:dyDescent="0.15">
      <c r="A16" s="1" t="s">
        <v>109</v>
      </c>
      <c r="B16" s="1">
        <v>3</v>
      </c>
      <c r="C16" s="1">
        <v>3</v>
      </c>
      <c r="D16" s="1">
        <v>3</v>
      </c>
      <c r="E16" s="16">
        <v>3</v>
      </c>
      <c r="F16" s="12">
        <v>3</v>
      </c>
    </row>
    <row r="17" spans="1:6" x14ac:dyDescent="0.15">
      <c r="A17" s="2307"/>
      <c r="B17" s="2307"/>
      <c r="C17" s="2307"/>
      <c r="D17" s="2307"/>
      <c r="E17" s="2307"/>
      <c r="F17" s="2307"/>
    </row>
    <row r="18" spans="1:6" ht="31.5" customHeight="1" x14ac:dyDescent="0.15">
      <c r="A18" s="2318" t="s">
        <v>110</v>
      </c>
      <c r="B18" s="2318"/>
      <c r="C18" s="2318"/>
      <c r="D18" s="2318"/>
      <c r="E18" s="2318"/>
      <c r="F18" s="2318"/>
    </row>
    <row r="19" spans="1:6" x14ac:dyDescent="0.15">
      <c r="A19" s="2303" t="s">
        <v>21</v>
      </c>
      <c r="B19" s="2303"/>
      <c r="C19" s="2303"/>
      <c r="D19" s="2303"/>
      <c r="E19" s="2303"/>
      <c r="F19" s="2303"/>
    </row>
    <row r="22" spans="1:6" ht="15" x14ac:dyDescent="0.25">
      <c r="F22" s="70"/>
    </row>
    <row r="23" spans="1:6" ht="15" x14ac:dyDescent="0.25">
      <c r="F23" s="70"/>
    </row>
  </sheetData>
  <mergeCells count="7">
    <mergeCell ref="A19:F19"/>
    <mergeCell ref="A2:F2"/>
    <mergeCell ref="A3:F3"/>
    <mergeCell ref="A4:A5"/>
    <mergeCell ref="B4:F4"/>
    <mergeCell ref="A17:F17"/>
    <mergeCell ref="A18:F18"/>
  </mergeCells>
  <pageMargins left="0.7" right="0.7" top="0.75" bottom="0.75" header="0.3" footer="0.3"/>
  <pageSetup orientation="portrait"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I51"/>
  <sheetViews>
    <sheetView zoomScaleNormal="100" workbookViewId="0">
      <selection activeCell="L14" sqref="L14"/>
    </sheetView>
  </sheetViews>
  <sheetFormatPr baseColWidth="10" defaultRowHeight="15" x14ac:dyDescent="0.25"/>
  <cols>
    <col min="1" max="1" width="45.140625" customWidth="1"/>
    <col min="2" max="2" width="11" customWidth="1"/>
    <col min="3" max="3" width="12.42578125" customWidth="1"/>
    <col min="4" max="4" width="10.7109375" customWidth="1"/>
    <col min="5" max="5" width="12.42578125" customWidth="1"/>
    <col min="6" max="7" width="11.42578125" style="625"/>
  </cols>
  <sheetData>
    <row r="1" spans="1:9" ht="11.25" customHeight="1" x14ac:dyDescent="0.25"/>
    <row r="2" spans="1:9" s="180" customFormat="1" ht="22.5" customHeight="1" x14ac:dyDescent="0.15">
      <c r="A2" s="2762" t="s">
        <v>1571</v>
      </c>
      <c r="B2" s="2762"/>
      <c r="C2" s="2762"/>
      <c r="D2" s="2762"/>
      <c r="E2" s="2762"/>
      <c r="F2" s="2762"/>
      <c r="G2" s="2762"/>
      <c r="H2" s="2762"/>
      <c r="I2" s="2762"/>
    </row>
    <row r="3" spans="1:9" ht="11.25" customHeight="1" x14ac:dyDescent="0.25">
      <c r="A3" s="626"/>
      <c r="B3" s="626"/>
      <c r="C3" s="626"/>
      <c r="D3" s="626"/>
      <c r="E3" s="626"/>
    </row>
    <row r="4" spans="1:9" x14ac:dyDescent="0.25">
      <c r="A4" s="2763" t="s">
        <v>1572</v>
      </c>
      <c r="B4" s="2765">
        <v>2012</v>
      </c>
      <c r="C4" s="2766"/>
      <c r="D4" s="2767">
        <v>2013</v>
      </c>
      <c r="E4" s="2767"/>
      <c r="F4" s="2765">
        <v>2014</v>
      </c>
      <c r="G4" s="2766"/>
      <c r="H4" s="2765">
        <v>2015</v>
      </c>
      <c r="I4" s="2766"/>
    </row>
    <row r="5" spans="1:9" x14ac:dyDescent="0.25">
      <c r="A5" s="2764"/>
      <c r="B5" s="627" t="s">
        <v>1573</v>
      </c>
      <c r="C5" s="627" t="s">
        <v>727</v>
      </c>
      <c r="D5" s="627" t="s">
        <v>1573</v>
      </c>
      <c r="E5" s="627" t="s">
        <v>727</v>
      </c>
      <c r="F5" s="627" t="s">
        <v>1573</v>
      </c>
      <c r="G5" s="627" t="s">
        <v>727</v>
      </c>
      <c r="H5" s="627" t="s">
        <v>1573</v>
      </c>
      <c r="I5" s="627" t="s">
        <v>727</v>
      </c>
    </row>
    <row r="6" spans="1:9" x14ac:dyDescent="0.25">
      <c r="A6" s="628" t="s">
        <v>1574</v>
      </c>
      <c r="B6" s="629">
        <f t="shared" ref="B6:G6" si="0">SUM(B7:B9)</f>
        <v>642</v>
      </c>
      <c r="C6" s="630">
        <f t="shared" si="0"/>
        <v>100.00000000000001</v>
      </c>
      <c r="D6" s="629">
        <f t="shared" si="0"/>
        <v>1017</v>
      </c>
      <c r="E6" s="630">
        <f t="shared" si="0"/>
        <v>100</v>
      </c>
      <c r="F6" s="629">
        <f t="shared" si="0"/>
        <v>1021</v>
      </c>
      <c r="G6" s="630">
        <f t="shared" si="0"/>
        <v>100</v>
      </c>
      <c r="H6" s="631" t="s">
        <v>181</v>
      </c>
      <c r="I6" s="631" t="s">
        <v>181</v>
      </c>
    </row>
    <row r="7" spans="1:9" x14ac:dyDescent="0.25">
      <c r="A7" s="632" t="s">
        <v>1575</v>
      </c>
      <c r="B7" s="633">
        <v>150</v>
      </c>
      <c r="C7" s="634">
        <f>B7*100/B6</f>
        <v>23.364485981308412</v>
      </c>
      <c r="D7" s="633">
        <v>310</v>
      </c>
      <c r="E7" s="634">
        <f>D7*100/D6</f>
        <v>30.48180924287119</v>
      </c>
      <c r="F7" s="633">
        <v>434</v>
      </c>
      <c r="G7" s="634">
        <f>F7*100/F6</f>
        <v>42.507345739471106</v>
      </c>
      <c r="H7" s="631" t="s">
        <v>181</v>
      </c>
      <c r="I7" s="631" t="s">
        <v>181</v>
      </c>
    </row>
    <row r="8" spans="1:9" x14ac:dyDescent="0.25">
      <c r="A8" s="632" t="s">
        <v>1576</v>
      </c>
      <c r="B8" s="633">
        <v>395</v>
      </c>
      <c r="C8" s="634">
        <f>B8*100/B6</f>
        <v>61.526479750778819</v>
      </c>
      <c r="D8" s="633">
        <v>637</v>
      </c>
      <c r="E8" s="634">
        <f>D8*100/D6</f>
        <v>62.635201573254669</v>
      </c>
      <c r="F8" s="633">
        <v>38</v>
      </c>
      <c r="G8" s="634">
        <f>F8*100/F6</f>
        <v>3.7218413320274242</v>
      </c>
      <c r="H8" s="631" t="s">
        <v>181</v>
      </c>
      <c r="I8" s="631" t="s">
        <v>181</v>
      </c>
    </row>
    <row r="9" spans="1:9" x14ac:dyDescent="0.25">
      <c r="A9" s="632" t="s">
        <v>1577</v>
      </c>
      <c r="B9" s="633">
        <v>97</v>
      </c>
      <c r="C9" s="634">
        <f>B9*100/B6</f>
        <v>15.109034267912772</v>
      </c>
      <c r="D9" s="633">
        <v>70</v>
      </c>
      <c r="E9" s="634">
        <f>D9*100/D6</f>
        <v>6.8829891838741393</v>
      </c>
      <c r="F9" s="633">
        <v>549</v>
      </c>
      <c r="G9" s="634">
        <f>F9*100/F6</f>
        <v>53.770812928501471</v>
      </c>
      <c r="H9" s="631" t="s">
        <v>181</v>
      </c>
      <c r="I9" s="631" t="s">
        <v>181</v>
      </c>
    </row>
    <row r="10" spans="1:9" x14ac:dyDescent="0.25">
      <c r="A10" s="628" t="s">
        <v>1578</v>
      </c>
      <c r="B10" s="629">
        <f t="shared" ref="B10:G10" si="1">SUM(B11:B13)</f>
        <v>643</v>
      </c>
      <c r="C10" s="635">
        <f t="shared" si="1"/>
        <v>1</v>
      </c>
      <c r="D10" s="629">
        <f t="shared" si="1"/>
        <v>1015</v>
      </c>
      <c r="E10" s="635">
        <f t="shared" si="1"/>
        <v>1</v>
      </c>
      <c r="F10" s="629">
        <f t="shared" si="1"/>
        <v>1021</v>
      </c>
      <c r="G10" s="630">
        <f t="shared" si="1"/>
        <v>100</v>
      </c>
      <c r="H10" s="631" t="s">
        <v>181</v>
      </c>
      <c r="I10" s="631" t="s">
        <v>181</v>
      </c>
    </row>
    <row r="11" spans="1:9" x14ac:dyDescent="0.25">
      <c r="A11" s="632" t="s">
        <v>1579</v>
      </c>
      <c r="B11" s="633">
        <v>568</v>
      </c>
      <c r="C11" s="636">
        <f>B11/$B$10</f>
        <v>0.8833592534992224</v>
      </c>
      <c r="D11" s="633">
        <v>929</v>
      </c>
      <c r="E11" s="636">
        <f>D11/$D$10</f>
        <v>0.91527093596059117</v>
      </c>
      <c r="F11" s="633">
        <v>937</v>
      </c>
      <c r="G11" s="634">
        <f>F11*100/F10</f>
        <v>91.77277179236043</v>
      </c>
      <c r="H11" s="631" t="s">
        <v>181</v>
      </c>
      <c r="I11" s="631" t="s">
        <v>181</v>
      </c>
    </row>
    <row r="12" spans="1:9" x14ac:dyDescent="0.25">
      <c r="A12" s="632" t="s">
        <v>1580</v>
      </c>
      <c r="B12" s="633">
        <v>61</v>
      </c>
      <c r="C12" s="636">
        <f t="shared" ref="C12:C13" si="2">B12/$B$10</f>
        <v>9.4867807153965783E-2</v>
      </c>
      <c r="D12" s="633">
        <v>72</v>
      </c>
      <c r="E12" s="636">
        <f t="shared" ref="E12:E13" si="3">D12/$D$10</f>
        <v>7.093596059113301E-2</v>
      </c>
      <c r="F12" s="633">
        <v>56</v>
      </c>
      <c r="G12" s="634">
        <f>F12*100/F10</f>
        <v>5.4848188050930462</v>
      </c>
      <c r="H12" s="631" t="s">
        <v>181</v>
      </c>
      <c r="I12" s="631" t="s">
        <v>181</v>
      </c>
    </row>
    <row r="13" spans="1:9" x14ac:dyDescent="0.25">
      <c r="A13" s="632" t="s">
        <v>1581</v>
      </c>
      <c r="B13" s="633">
        <v>14</v>
      </c>
      <c r="C13" s="636">
        <f t="shared" si="2"/>
        <v>2.177293934681182E-2</v>
      </c>
      <c r="D13" s="633">
        <v>14</v>
      </c>
      <c r="E13" s="636">
        <f t="shared" si="3"/>
        <v>1.3793103448275862E-2</v>
      </c>
      <c r="F13" s="633">
        <v>28</v>
      </c>
      <c r="G13" s="634">
        <f>F13*100/F10</f>
        <v>2.7424094025465231</v>
      </c>
      <c r="H13" s="631" t="s">
        <v>181</v>
      </c>
      <c r="I13" s="631" t="s">
        <v>181</v>
      </c>
    </row>
    <row r="14" spans="1:9" x14ac:dyDescent="0.25">
      <c r="A14" s="628" t="s">
        <v>1582</v>
      </c>
      <c r="B14" s="629">
        <f t="shared" ref="B14:G14" si="4">SUM(B15:B16)</f>
        <v>640</v>
      </c>
      <c r="C14" s="635">
        <f t="shared" si="4"/>
        <v>1</v>
      </c>
      <c r="D14" s="629">
        <f t="shared" si="4"/>
        <v>1017</v>
      </c>
      <c r="E14" s="635">
        <f t="shared" si="4"/>
        <v>1</v>
      </c>
      <c r="F14" s="629">
        <f t="shared" si="4"/>
        <v>1021</v>
      </c>
      <c r="G14" s="630">
        <f t="shared" si="4"/>
        <v>100</v>
      </c>
      <c r="H14" s="631" t="s">
        <v>181</v>
      </c>
      <c r="I14" s="631" t="s">
        <v>181</v>
      </c>
    </row>
    <row r="15" spans="1:9" x14ac:dyDescent="0.25">
      <c r="A15" s="632" t="s">
        <v>1583</v>
      </c>
      <c r="B15" s="633">
        <v>73</v>
      </c>
      <c r="C15" s="636">
        <f>B15/$B$14</f>
        <v>0.1140625</v>
      </c>
      <c r="D15" s="633">
        <v>53</v>
      </c>
      <c r="E15" s="636">
        <f>D15/$D$14</f>
        <v>5.2114060963618487E-2</v>
      </c>
      <c r="F15" s="633">
        <v>84</v>
      </c>
      <c r="G15" s="634">
        <f>F15*100/F14</f>
        <v>8.2272282076395697</v>
      </c>
      <c r="H15" s="631" t="s">
        <v>181</v>
      </c>
      <c r="I15" s="631" t="s">
        <v>181</v>
      </c>
    </row>
    <row r="16" spans="1:9" x14ac:dyDescent="0.25">
      <c r="A16" s="632" t="s">
        <v>1584</v>
      </c>
      <c r="B16" s="633">
        <v>567</v>
      </c>
      <c r="C16" s="636">
        <f>B16/$B$14</f>
        <v>0.88593750000000004</v>
      </c>
      <c r="D16" s="633">
        <v>964</v>
      </c>
      <c r="E16" s="636">
        <f>D16/$D$14</f>
        <v>0.94788593903638152</v>
      </c>
      <c r="F16" s="633">
        <v>937</v>
      </c>
      <c r="G16" s="634">
        <f>F16*100/F14</f>
        <v>91.77277179236043</v>
      </c>
      <c r="H16" s="631" t="s">
        <v>181</v>
      </c>
      <c r="I16" s="631" t="s">
        <v>181</v>
      </c>
    </row>
    <row r="17" spans="1:9" x14ac:dyDescent="0.25">
      <c r="A17" s="628" t="s">
        <v>1585</v>
      </c>
      <c r="B17" s="629">
        <f>SUM(B18:B29)</f>
        <v>595</v>
      </c>
      <c r="C17" s="635">
        <f>SUM(C18:C29)</f>
        <v>1</v>
      </c>
      <c r="D17" s="631">
        <f>SUM(D18:D29)</f>
        <v>1017</v>
      </c>
      <c r="E17" s="637">
        <f>SUM(E18:E29)</f>
        <v>0.99999999999999989</v>
      </c>
      <c r="F17" s="631" t="s">
        <v>181</v>
      </c>
      <c r="G17" s="631" t="s">
        <v>181</v>
      </c>
      <c r="H17" s="631" t="s">
        <v>181</v>
      </c>
      <c r="I17" s="631" t="s">
        <v>181</v>
      </c>
    </row>
    <row r="18" spans="1:9" x14ac:dyDescent="0.25">
      <c r="A18" s="632" t="s">
        <v>1586</v>
      </c>
      <c r="B18" s="633">
        <v>33</v>
      </c>
      <c r="C18" s="636">
        <f>B18/$B$17</f>
        <v>5.5462184873949577E-2</v>
      </c>
      <c r="D18" s="638">
        <v>50</v>
      </c>
      <c r="E18" s="639">
        <f>D18/$D$17</f>
        <v>4.9164208456243856E-2</v>
      </c>
      <c r="F18" s="631" t="s">
        <v>181</v>
      </c>
      <c r="G18" s="631" t="s">
        <v>181</v>
      </c>
      <c r="H18" s="631" t="s">
        <v>181</v>
      </c>
      <c r="I18" s="631" t="s">
        <v>181</v>
      </c>
    </row>
    <row r="19" spans="1:9" x14ac:dyDescent="0.25">
      <c r="A19" s="632" t="s">
        <v>1587</v>
      </c>
      <c r="B19" s="633">
        <v>13</v>
      </c>
      <c r="C19" s="636">
        <f t="shared" ref="C19:C29" si="5">B19/$B$17</f>
        <v>2.1848739495798318E-2</v>
      </c>
      <c r="D19" s="638">
        <v>27</v>
      </c>
      <c r="E19" s="639">
        <f t="shared" ref="E19:E29" si="6">D19/$D$17</f>
        <v>2.6548672566371681E-2</v>
      </c>
      <c r="F19" s="631" t="s">
        <v>181</v>
      </c>
      <c r="G19" s="631" t="s">
        <v>181</v>
      </c>
      <c r="H19" s="631" t="s">
        <v>181</v>
      </c>
      <c r="I19" s="631" t="s">
        <v>181</v>
      </c>
    </row>
    <row r="20" spans="1:9" x14ac:dyDescent="0.25">
      <c r="A20" s="632" t="s">
        <v>1588</v>
      </c>
      <c r="B20" s="633">
        <v>38</v>
      </c>
      <c r="C20" s="636">
        <f t="shared" si="5"/>
        <v>6.386554621848739E-2</v>
      </c>
      <c r="D20" s="638">
        <v>51</v>
      </c>
      <c r="E20" s="639">
        <f t="shared" si="6"/>
        <v>5.0147492625368731E-2</v>
      </c>
      <c r="F20" s="631" t="s">
        <v>181</v>
      </c>
      <c r="G20" s="631" t="s">
        <v>181</v>
      </c>
      <c r="H20" s="631" t="s">
        <v>181</v>
      </c>
      <c r="I20" s="631" t="s">
        <v>181</v>
      </c>
    </row>
    <row r="21" spans="1:9" x14ac:dyDescent="0.25">
      <c r="A21" s="632" t="s">
        <v>1589</v>
      </c>
      <c r="B21" s="633">
        <v>42</v>
      </c>
      <c r="C21" s="636">
        <f t="shared" si="5"/>
        <v>7.0588235294117646E-2</v>
      </c>
      <c r="D21" s="638">
        <v>74</v>
      </c>
      <c r="E21" s="639">
        <f t="shared" si="6"/>
        <v>7.2763028515240899E-2</v>
      </c>
      <c r="F21" s="631" t="s">
        <v>181</v>
      </c>
      <c r="G21" s="631" t="s">
        <v>181</v>
      </c>
      <c r="H21" s="631" t="s">
        <v>181</v>
      </c>
      <c r="I21" s="631" t="s">
        <v>181</v>
      </c>
    </row>
    <row r="22" spans="1:9" x14ac:dyDescent="0.25">
      <c r="A22" s="632" t="s">
        <v>1590</v>
      </c>
      <c r="B22" s="633">
        <v>55</v>
      </c>
      <c r="C22" s="636">
        <f t="shared" si="5"/>
        <v>9.2436974789915971E-2</v>
      </c>
      <c r="D22" s="638">
        <v>67</v>
      </c>
      <c r="E22" s="639">
        <f t="shared" si="6"/>
        <v>6.5880039331366769E-2</v>
      </c>
      <c r="F22" s="631" t="s">
        <v>181</v>
      </c>
      <c r="G22" s="631" t="s">
        <v>181</v>
      </c>
      <c r="H22" s="631" t="s">
        <v>181</v>
      </c>
      <c r="I22" s="631" t="s">
        <v>181</v>
      </c>
    </row>
    <row r="23" spans="1:9" x14ac:dyDescent="0.25">
      <c r="A23" s="632" t="s">
        <v>1591</v>
      </c>
      <c r="B23" s="633">
        <v>44</v>
      </c>
      <c r="C23" s="636">
        <f t="shared" si="5"/>
        <v>7.3949579831932774E-2</v>
      </c>
      <c r="D23" s="638">
        <v>83</v>
      </c>
      <c r="E23" s="639">
        <f t="shared" si="6"/>
        <v>8.1612586037364793E-2</v>
      </c>
      <c r="F23" s="631" t="s">
        <v>181</v>
      </c>
      <c r="G23" s="631" t="s">
        <v>181</v>
      </c>
      <c r="H23" s="631" t="s">
        <v>181</v>
      </c>
      <c r="I23" s="631" t="s">
        <v>181</v>
      </c>
    </row>
    <row r="24" spans="1:9" x14ac:dyDescent="0.25">
      <c r="A24" s="632" t="s">
        <v>1592</v>
      </c>
      <c r="B24" s="633">
        <v>57</v>
      </c>
      <c r="C24" s="636">
        <f t="shared" si="5"/>
        <v>9.5798319327731099E-2</v>
      </c>
      <c r="D24" s="638">
        <v>70</v>
      </c>
      <c r="E24" s="639">
        <f t="shared" si="6"/>
        <v>6.88298918387414E-2</v>
      </c>
      <c r="F24" s="631" t="s">
        <v>181</v>
      </c>
      <c r="G24" s="631" t="s">
        <v>181</v>
      </c>
      <c r="H24" s="631" t="s">
        <v>181</v>
      </c>
      <c r="I24" s="631" t="s">
        <v>181</v>
      </c>
    </row>
    <row r="25" spans="1:9" x14ac:dyDescent="0.25">
      <c r="A25" s="632" t="s">
        <v>1593</v>
      </c>
      <c r="B25" s="633">
        <v>52</v>
      </c>
      <c r="C25" s="636">
        <f t="shared" si="5"/>
        <v>8.7394957983193272E-2</v>
      </c>
      <c r="D25" s="638">
        <v>100</v>
      </c>
      <c r="E25" s="639">
        <f t="shared" si="6"/>
        <v>9.8328416912487712E-2</v>
      </c>
      <c r="F25" s="631" t="s">
        <v>181</v>
      </c>
      <c r="G25" s="631" t="s">
        <v>181</v>
      </c>
      <c r="H25" s="631" t="s">
        <v>181</v>
      </c>
      <c r="I25" s="631" t="s">
        <v>181</v>
      </c>
    </row>
    <row r="26" spans="1:9" x14ac:dyDescent="0.25">
      <c r="A26" s="632" t="s">
        <v>1594</v>
      </c>
      <c r="B26" s="633">
        <v>52</v>
      </c>
      <c r="C26" s="636">
        <f t="shared" si="5"/>
        <v>8.7394957983193272E-2</v>
      </c>
      <c r="D26" s="638">
        <v>79</v>
      </c>
      <c r="E26" s="639">
        <f t="shared" si="6"/>
        <v>7.7679449360865294E-2</v>
      </c>
      <c r="F26" s="631" t="s">
        <v>181</v>
      </c>
      <c r="G26" s="631" t="s">
        <v>181</v>
      </c>
      <c r="H26" s="631" t="s">
        <v>181</v>
      </c>
      <c r="I26" s="631" t="s">
        <v>181</v>
      </c>
    </row>
    <row r="27" spans="1:9" x14ac:dyDescent="0.25">
      <c r="A27" s="632" t="s">
        <v>1595</v>
      </c>
      <c r="B27" s="633">
        <v>68</v>
      </c>
      <c r="C27" s="636">
        <f t="shared" si="5"/>
        <v>0.11428571428571428</v>
      </c>
      <c r="D27" s="638">
        <v>85</v>
      </c>
      <c r="E27" s="639">
        <f t="shared" si="6"/>
        <v>8.3579154375614556E-2</v>
      </c>
      <c r="F27" s="631" t="s">
        <v>181</v>
      </c>
      <c r="G27" s="631" t="s">
        <v>181</v>
      </c>
      <c r="H27" s="631" t="s">
        <v>181</v>
      </c>
      <c r="I27" s="631" t="s">
        <v>181</v>
      </c>
    </row>
    <row r="28" spans="1:9" x14ac:dyDescent="0.25">
      <c r="A28" s="632" t="s">
        <v>1596</v>
      </c>
      <c r="B28" s="633">
        <v>60</v>
      </c>
      <c r="C28" s="636">
        <f t="shared" si="5"/>
        <v>0.10084033613445378</v>
      </c>
      <c r="D28" s="638">
        <v>231</v>
      </c>
      <c r="E28" s="639">
        <f t="shared" si="6"/>
        <v>0.22713864306784662</v>
      </c>
      <c r="F28" s="631" t="s">
        <v>181</v>
      </c>
      <c r="G28" s="631" t="s">
        <v>181</v>
      </c>
      <c r="H28" s="631" t="s">
        <v>181</v>
      </c>
      <c r="I28" s="631" t="s">
        <v>181</v>
      </c>
    </row>
    <row r="29" spans="1:9" x14ac:dyDescent="0.25">
      <c r="A29" s="632" t="s">
        <v>1597</v>
      </c>
      <c r="B29" s="633">
        <v>81</v>
      </c>
      <c r="C29" s="636">
        <f t="shared" si="5"/>
        <v>0.13613445378151259</v>
      </c>
      <c r="D29" s="638">
        <v>100</v>
      </c>
      <c r="E29" s="639">
        <f t="shared" si="6"/>
        <v>9.8328416912487712E-2</v>
      </c>
      <c r="F29" s="631" t="s">
        <v>181</v>
      </c>
      <c r="G29" s="631" t="s">
        <v>181</v>
      </c>
      <c r="H29" s="631" t="s">
        <v>181</v>
      </c>
      <c r="I29" s="631" t="s">
        <v>181</v>
      </c>
    </row>
    <row r="30" spans="1:9" x14ac:dyDescent="0.25">
      <c r="A30" s="628" t="s">
        <v>1598</v>
      </c>
      <c r="B30" s="629">
        <f>SUM(B31:B34)</f>
        <v>567</v>
      </c>
      <c r="C30" s="635">
        <f t="shared" ref="C30:C33" si="7">B30/$B$30</f>
        <v>1</v>
      </c>
      <c r="D30" s="631">
        <f>SUM(D31:D34)</f>
        <v>1044</v>
      </c>
      <c r="E30" s="640">
        <f>D30/$D$30</f>
        <v>1</v>
      </c>
      <c r="F30" s="631">
        <v>1021</v>
      </c>
      <c r="G30" s="640">
        <f>SUM(G31:G34)</f>
        <v>0</v>
      </c>
      <c r="H30" s="631" t="s">
        <v>181</v>
      </c>
      <c r="I30" s="631" t="s">
        <v>181</v>
      </c>
    </row>
    <row r="31" spans="1:9" x14ac:dyDescent="0.25">
      <c r="A31" s="632" t="s">
        <v>1599</v>
      </c>
      <c r="B31" s="633">
        <v>277</v>
      </c>
      <c r="C31" s="636">
        <f t="shared" si="7"/>
        <v>0.48853615520282184</v>
      </c>
      <c r="D31" s="638">
        <v>437</v>
      </c>
      <c r="E31" s="639">
        <f>D31/$D$30</f>
        <v>0.41858237547892718</v>
      </c>
      <c r="F31" s="631" t="s">
        <v>181</v>
      </c>
      <c r="G31" s="631" t="s">
        <v>181</v>
      </c>
      <c r="H31" s="631" t="s">
        <v>181</v>
      </c>
      <c r="I31" s="631" t="s">
        <v>181</v>
      </c>
    </row>
    <row r="32" spans="1:9" x14ac:dyDescent="0.25">
      <c r="A32" s="632" t="s">
        <v>1600</v>
      </c>
      <c r="B32" s="633">
        <v>248</v>
      </c>
      <c r="C32" s="636">
        <f t="shared" si="7"/>
        <v>0.43738977072310403</v>
      </c>
      <c r="D32" s="638">
        <v>566</v>
      </c>
      <c r="E32" s="639">
        <f>D32/$D$30</f>
        <v>0.54214559386973182</v>
      </c>
      <c r="F32" s="631" t="s">
        <v>181</v>
      </c>
      <c r="G32" s="631" t="s">
        <v>181</v>
      </c>
      <c r="H32" s="631" t="s">
        <v>181</v>
      </c>
      <c r="I32" s="631" t="s">
        <v>181</v>
      </c>
    </row>
    <row r="33" spans="1:9" x14ac:dyDescent="0.25">
      <c r="A33" s="632" t="s">
        <v>1601</v>
      </c>
      <c r="B33" s="633">
        <v>28</v>
      </c>
      <c r="C33" s="636">
        <f t="shared" si="7"/>
        <v>4.9382716049382713E-2</v>
      </c>
      <c r="D33" s="638">
        <v>24</v>
      </c>
      <c r="E33" s="639">
        <f>D33/$D$30</f>
        <v>2.2988505747126436E-2</v>
      </c>
      <c r="F33" s="631" t="s">
        <v>181</v>
      </c>
      <c r="G33" s="631" t="s">
        <v>181</v>
      </c>
      <c r="H33" s="631" t="s">
        <v>181</v>
      </c>
      <c r="I33" s="631" t="s">
        <v>181</v>
      </c>
    </row>
    <row r="34" spans="1:9" x14ac:dyDescent="0.25">
      <c r="A34" s="632" t="s">
        <v>1602</v>
      </c>
      <c r="B34" s="633">
        <v>14</v>
      </c>
      <c r="C34" s="636">
        <f>B34/$B$30</f>
        <v>2.4691358024691357E-2</v>
      </c>
      <c r="D34" s="638">
        <v>17</v>
      </c>
      <c r="E34" s="639">
        <f>D34/$D$30</f>
        <v>1.6283524904214558E-2</v>
      </c>
      <c r="F34" s="631" t="s">
        <v>181</v>
      </c>
      <c r="G34" s="631" t="s">
        <v>181</v>
      </c>
      <c r="H34" s="631" t="s">
        <v>181</v>
      </c>
      <c r="I34" s="631" t="s">
        <v>181</v>
      </c>
    </row>
    <row r="35" spans="1:9" x14ac:dyDescent="0.25">
      <c r="A35" s="628" t="s">
        <v>1603</v>
      </c>
      <c r="B35" s="629">
        <f t="shared" ref="B35:G35" si="8">SUM(B36:B37)</f>
        <v>378</v>
      </c>
      <c r="C35" s="635">
        <f t="shared" si="8"/>
        <v>1</v>
      </c>
      <c r="D35" s="631">
        <f t="shared" si="8"/>
        <v>1017</v>
      </c>
      <c r="E35" s="637">
        <f t="shared" si="8"/>
        <v>1</v>
      </c>
      <c r="F35" s="631">
        <f t="shared" si="8"/>
        <v>936</v>
      </c>
      <c r="G35" s="637">
        <f t="shared" si="8"/>
        <v>1</v>
      </c>
      <c r="H35" s="631" t="s">
        <v>181</v>
      </c>
      <c r="I35" s="631" t="s">
        <v>181</v>
      </c>
    </row>
    <row r="36" spans="1:9" x14ac:dyDescent="0.25">
      <c r="A36" s="632" t="s">
        <v>1604</v>
      </c>
      <c r="B36" s="633">
        <v>305</v>
      </c>
      <c r="C36" s="636">
        <f>B36/$B$35</f>
        <v>0.80687830687830686</v>
      </c>
      <c r="D36" s="638">
        <v>911</v>
      </c>
      <c r="E36" s="639">
        <f>D36/$D$35</f>
        <v>0.89577187807276304</v>
      </c>
      <c r="F36" s="638">
        <v>876</v>
      </c>
      <c r="G36" s="639">
        <f>F36/$F$35</f>
        <v>0.9358974358974359</v>
      </c>
      <c r="H36" s="631" t="s">
        <v>181</v>
      </c>
      <c r="I36" s="631" t="s">
        <v>181</v>
      </c>
    </row>
    <row r="37" spans="1:9" x14ac:dyDescent="0.25">
      <c r="A37" s="632" t="s">
        <v>1605</v>
      </c>
      <c r="B37" s="633">
        <v>73</v>
      </c>
      <c r="C37" s="636">
        <f>B37/$B$35</f>
        <v>0.19312169312169311</v>
      </c>
      <c r="D37" s="638">
        <v>106</v>
      </c>
      <c r="E37" s="639">
        <f>D37/$D$35</f>
        <v>0.10422812192723697</v>
      </c>
      <c r="F37" s="638">
        <v>60</v>
      </c>
      <c r="G37" s="639">
        <f>F37/$F$35</f>
        <v>6.4102564102564097E-2</v>
      </c>
      <c r="H37" s="631" t="s">
        <v>181</v>
      </c>
      <c r="I37" s="631" t="s">
        <v>181</v>
      </c>
    </row>
    <row r="38" spans="1:9" x14ac:dyDescent="0.25">
      <c r="A38" s="628" t="s">
        <v>1606</v>
      </c>
      <c r="B38" s="629">
        <f>SUM(B39:B44)</f>
        <v>391</v>
      </c>
      <c r="C38" s="635">
        <f>SUM(C39:C44)</f>
        <v>1</v>
      </c>
      <c r="D38" s="631">
        <f>SUM(D39:D44)</f>
        <v>1015</v>
      </c>
      <c r="E38" s="637">
        <f>SUM(E39:E44)</f>
        <v>1</v>
      </c>
      <c r="F38" s="629">
        <f t="shared" ref="F38" si="9">SUM(F39:F44)</f>
        <v>1021</v>
      </c>
      <c r="G38" s="637">
        <f>SUM(G39:G44)</f>
        <v>1.0000000000000002</v>
      </c>
      <c r="H38" s="631" t="s">
        <v>181</v>
      </c>
      <c r="I38" s="631" t="s">
        <v>181</v>
      </c>
    </row>
    <row r="39" spans="1:9" x14ac:dyDescent="0.25">
      <c r="A39" s="632" t="s">
        <v>1607</v>
      </c>
      <c r="B39" s="633">
        <v>72</v>
      </c>
      <c r="C39" s="636">
        <f>B39/$B$38</f>
        <v>0.18414322250639387</v>
      </c>
      <c r="D39" s="638">
        <v>133</v>
      </c>
      <c r="E39" s="639">
        <f>SUM(D39)/$D$38</f>
        <v>0.1310344827586207</v>
      </c>
      <c r="F39" s="638">
        <v>56</v>
      </c>
      <c r="G39" s="639">
        <f>SUM(F39)/$F$38</f>
        <v>5.484818805093046E-2</v>
      </c>
      <c r="H39" s="631" t="s">
        <v>181</v>
      </c>
      <c r="I39" s="631" t="s">
        <v>181</v>
      </c>
    </row>
    <row r="40" spans="1:9" x14ac:dyDescent="0.25">
      <c r="A40" s="632" t="s">
        <v>1608</v>
      </c>
      <c r="B40" s="633">
        <v>18</v>
      </c>
      <c r="C40" s="636">
        <f t="shared" ref="C40:C44" si="10">B40/$B$38</f>
        <v>4.6035805626598467E-2</v>
      </c>
      <c r="D40" s="638">
        <v>30</v>
      </c>
      <c r="E40" s="639">
        <f t="shared" ref="E40:E44" si="11">SUM(D40)/$D$38</f>
        <v>2.9556650246305417E-2</v>
      </c>
      <c r="F40" s="638">
        <v>17</v>
      </c>
      <c r="G40" s="639">
        <f t="shared" ref="G40:G44" si="12">SUM(F40)/$F$38</f>
        <v>1.6650342801175319E-2</v>
      </c>
      <c r="H40" s="631" t="s">
        <v>181</v>
      </c>
      <c r="I40" s="631" t="s">
        <v>181</v>
      </c>
    </row>
    <row r="41" spans="1:9" x14ac:dyDescent="0.25">
      <c r="A41" s="632" t="s">
        <v>1609</v>
      </c>
      <c r="B41" s="633">
        <v>268</v>
      </c>
      <c r="C41" s="636">
        <f t="shared" si="10"/>
        <v>0.68542199488491051</v>
      </c>
      <c r="D41" s="638">
        <v>806</v>
      </c>
      <c r="E41" s="639">
        <f t="shared" si="11"/>
        <v>0.7940886699507389</v>
      </c>
      <c r="F41" s="638">
        <v>795</v>
      </c>
      <c r="G41" s="639">
        <f t="shared" si="12"/>
        <v>0.77864838393731639</v>
      </c>
      <c r="H41" s="631" t="s">
        <v>181</v>
      </c>
      <c r="I41" s="631" t="s">
        <v>181</v>
      </c>
    </row>
    <row r="42" spans="1:9" x14ac:dyDescent="0.25">
      <c r="A42" s="632" t="s">
        <v>1610</v>
      </c>
      <c r="B42" s="633">
        <v>28</v>
      </c>
      <c r="C42" s="636">
        <f t="shared" si="10"/>
        <v>7.1611253196930943E-2</v>
      </c>
      <c r="D42" s="638">
        <v>30</v>
      </c>
      <c r="E42" s="639">
        <f t="shared" si="11"/>
        <v>2.9556650246305417E-2</v>
      </c>
      <c r="F42" s="638">
        <v>57</v>
      </c>
      <c r="G42" s="639">
        <f t="shared" si="12"/>
        <v>5.5827619980411358E-2</v>
      </c>
      <c r="H42" s="631" t="s">
        <v>181</v>
      </c>
      <c r="I42" s="631" t="s">
        <v>181</v>
      </c>
    </row>
    <row r="43" spans="1:9" x14ac:dyDescent="0.25">
      <c r="A43" s="632" t="s">
        <v>1611</v>
      </c>
      <c r="B43" s="633">
        <v>0</v>
      </c>
      <c r="C43" s="636">
        <f t="shared" si="10"/>
        <v>0</v>
      </c>
      <c r="D43" s="638">
        <v>16</v>
      </c>
      <c r="E43" s="639">
        <f t="shared" si="11"/>
        <v>1.5763546798029555E-2</v>
      </c>
      <c r="F43" s="638">
        <v>3</v>
      </c>
      <c r="G43" s="639">
        <f t="shared" si="12"/>
        <v>2.9382957884427031E-3</v>
      </c>
      <c r="H43" s="631" t="s">
        <v>181</v>
      </c>
      <c r="I43" s="631" t="s">
        <v>181</v>
      </c>
    </row>
    <row r="44" spans="1:9" x14ac:dyDescent="0.25">
      <c r="A44" s="632" t="s">
        <v>1612</v>
      </c>
      <c r="B44" s="633">
        <v>5</v>
      </c>
      <c r="C44" s="636">
        <f t="shared" si="10"/>
        <v>1.278772378516624E-2</v>
      </c>
      <c r="D44" s="638" t="s">
        <v>193</v>
      </c>
      <c r="E44" s="639">
        <f t="shared" si="11"/>
        <v>0</v>
      </c>
      <c r="F44" s="638">
        <v>93</v>
      </c>
      <c r="G44" s="639">
        <f t="shared" si="12"/>
        <v>9.1087169441723806E-2</v>
      </c>
      <c r="H44" s="631" t="s">
        <v>181</v>
      </c>
      <c r="I44" s="631" t="s">
        <v>181</v>
      </c>
    </row>
    <row r="45" spans="1:9" ht="22.5" x14ac:dyDescent="0.25">
      <c r="A45" s="628" t="s">
        <v>1613</v>
      </c>
      <c r="B45" s="629">
        <f>SUM(B46:B48)</f>
        <v>362</v>
      </c>
      <c r="C45" s="635">
        <f>SUM(C46:C48)</f>
        <v>1</v>
      </c>
      <c r="D45" s="631">
        <f>SUM(D46:D48)</f>
        <v>700</v>
      </c>
      <c r="E45" s="637">
        <f>D45/$D$45</f>
        <v>1</v>
      </c>
      <c r="F45" s="631" t="s">
        <v>181</v>
      </c>
      <c r="G45" s="631" t="s">
        <v>181</v>
      </c>
      <c r="H45" s="631" t="s">
        <v>181</v>
      </c>
      <c r="I45" s="631" t="s">
        <v>181</v>
      </c>
    </row>
    <row r="46" spans="1:9" x14ac:dyDescent="0.25">
      <c r="A46" s="632" t="s">
        <v>1614</v>
      </c>
      <c r="B46" s="633">
        <v>113</v>
      </c>
      <c r="C46" s="636">
        <f>B46/$B$45</f>
        <v>0.31215469613259667</v>
      </c>
      <c r="D46" s="638">
        <v>352</v>
      </c>
      <c r="E46" s="641">
        <f>D46/$D$45</f>
        <v>0.50285714285714289</v>
      </c>
      <c r="F46" s="631" t="s">
        <v>181</v>
      </c>
      <c r="G46" s="631" t="s">
        <v>181</v>
      </c>
      <c r="H46" s="631" t="s">
        <v>181</v>
      </c>
      <c r="I46" s="631" t="s">
        <v>181</v>
      </c>
    </row>
    <row r="47" spans="1:9" x14ac:dyDescent="0.25">
      <c r="A47" s="632" t="s">
        <v>1615</v>
      </c>
      <c r="B47" s="633">
        <v>52</v>
      </c>
      <c r="C47" s="636">
        <f t="shared" ref="C47:C48" si="13">B47/$B$45</f>
        <v>0.143646408839779</v>
      </c>
      <c r="D47" s="638">
        <v>124</v>
      </c>
      <c r="E47" s="641">
        <f>D47/$D$45</f>
        <v>0.17714285714285713</v>
      </c>
      <c r="F47" s="631" t="s">
        <v>181</v>
      </c>
      <c r="G47" s="631" t="s">
        <v>181</v>
      </c>
      <c r="H47" s="631" t="s">
        <v>181</v>
      </c>
      <c r="I47" s="631" t="s">
        <v>181</v>
      </c>
    </row>
    <row r="48" spans="1:9" x14ac:dyDescent="0.25">
      <c r="A48" s="632" t="s">
        <v>1616</v>
      </c>
      <c r="B48" s="633">
        <v>197</v>
      </c>
      <c r="C48" s="636">
        <f t="shared" si="13"/>
        <v>0.54419889502762431</v>
      </c>
      <c r="D48" s="638">
        <v>224</v>
      </c>
      <c r="E48" s="641">
        <f>D48/$D$45</f>
        <v>0.32</v>
      </c>
      <c r="F48" s="631" t="s">
        <v>181</v>
      </c>
      <c r="G48" s="631" t="s">
        <v>181</v>
      </c>
      <c r="H48" s="631" t="s">
        <v>181</v>
      </c>
      <c r="I48" s="631" t="s">
        <v>181</v>
      </c>
    </row>
    <row r="49" spans="1:9" x14ac:dyDescent="0.25">
      <c r="D49" s="642"/>
      <c r="E49" s="642"/>
      <c r="F49" s="643"/>
      <c r="G49" s="643"/>
      <c r="H49" s="642"/>
      <c r="I49" s="642"/>
    </row>
    <row r="50" spans="1:9" x14ac:dyDescent="0.25">
      <c r="A50" s="2761" t="s">
        <v>1536</v>
      </c>
      <c r="B50" s="2761"/>
      <c r="D50" s="642"/>
      <c r="E50" s="642"/>
      <c r="F50" s="643"/>
      <c r="G50" s="643"/>
      <c r="H50" s="642"/>
      <c r="I50" s="642"/>
    </row>
    <row r="51" spans="1:9" x14ac:dyDescent="0.25">
      <c r="A51" s="645" t="s">
        <v>1617</v>
      </c>
      <c r="B51" s="625"/>
      <c r="C51" s="625"/>
      <c r="D51" s="643"/>
      <c r="E51" s="642"/>
      <c r="F51" s="643"/>
      <c r="G51" s="643"/>
      <c r="H51" s="642"/>
      <c r="I51" s="642"/>
    </row>
  </sheetData>
  <mergeCells count="7">
    <mergeCell ref="A50:B50"/>
    <mergeCell ref="A2:I2"/>
    <mergeCell ref="A4:A5"/>
    <mergeCell ref="B4:C4"/>
    <mergeCell ref="D4:E4"/>
    <mergeCell ref="F4:G4"/>
    <mergeCell ref="H4:I4"/>
  </mergeCells>
  <pageMargins left="0.7" right="0.7" top="0.75" bottom="0.75" header="0.3" footer="0.3"/>
  <pageSetup paperSize="14"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S28"/>
  <sheetViews>
    <sheetView workbookViewId="0">
      <selection activeCell="B6" sqref="B6"/>
    </sheetView>
  </sheetViews>
  <sheetFormatPr baseColWidth="10" defaultColWidth="9.140625" defaultRowHeight="12.75" x14ac:dyDescent="0.2"/>
  <cols>
    <col min="1" max="1" width="18.140625" style="646" customWidth="1"/>
    <col min="2" max="2" width="10.28515625" style="646" bestFit="1" customWidth="1"/>
    <col min="3" max="3" width="15.28515625" style="646" customWidth="1"/>
    <col min="4" max="4" width="14.85546875" style="646" bestFit="1" customWidth="1"/>
    <col min="5" max="5" width="15.5703125" style="646" customWidth="1"/>
    <col min="6" max="6" width="10.28515625" style="646" bestFit="1" customWidth="1"/>
    <col min="7" max="7" width="15.28515625" style="646" customWidth="1"/>
    <col min="8" max="8" width="10.28515625" style="646" bestFit="1" customWidth="1"/>
    <col min="9" max="9" width="15.140625" style="646" customWidth="1"/>
    <col min="10" max="10" width="10.28515625" style="646" bestFit="1" customWidth="1"/>
    <col min="11" max="11" width="15.28515625" style="646" customWidth="1"/>
    <col min="12" max="12" width="10.28515625" style="646" bestFit="1" customWidth="1"/>
    <col min="13" max="13" width="16.7109375" style="646" customWidth="1"/>
    <col min="14" max="14" width="10.28515625" style="646" bestFit="1" customWidth="1"/>
    <col min="15" max="15" width="15.28515625" style="646" customWidth="1"/>
    <col min="16" max="16" width="10.28515625" style="646" bestFit="1" customWidth="1"/>
    <col min="17" max="17" width="15.28515625" style="646" customWidth="1"/>
    <col min="18" max="18" width="10.28515625" style="646" bestFit="1" customWidth="1"/>
    <col min="19" max="19" width="14.85546875" style="646" customWidth="1"/>
    <col min="20" max="20" width="0" style="646" hidden="1" customWidth="1"/>
    <col min="21" max="21" width="30.85546875" style="646" customWidth="1"/>
    <col min="22" max="22" width="87.5703125" style="646" customWidth="1"/>
    <col min="23" max="16384" width="9.140625" style="646"/>
  </cols>
  <sheetData>
    <row r="2" spans="1:19" x14ac:dyDescent="0.2">
      <c r="A2" s="2768" t="s">
        <v>1618</v>
      </c>
      <c r="B2" s="2769"/>
      <c r="C2" s="2769"/>
      <c r="D2" s="2769"/>
      <c r="E2" s="2769"/>
      <c r="F2" s="2769"/>
      <c r="G2" s="2769"/>
      <c r="H2" s="2769"/>
      <c r="I2" s="2769"/>
      <c r="J2" s="2769"/>
      <c r="K2" s="2769"/>
      <c r="L2" s="2769"/>
      <c r="M2" s="2769"/>
      <c r="N2" s="2769"/>
      <c r="O2" s="2769"/>
      <c r="P2" s="2769"/>
      <c r="Q2" s="2769"/>
      <c r="R2" s="2769"/>
      <c r="S2" s="2769"/>
    </row>
    <row r="3" spans="1:19" ht="11.25" customHeight="1" x14ac:dyDescent="0.2">
      <c r="A3" s="2770"/>
      <c r="B3" s="2771"/>
      <c r="C3" s="2771"/>
      <c r="D3" s="2771"/>
      <c r="E3" s="2771"/>
      <c r="F3" s="2771"/>
      <c r="G3" s="2771"/>
      <c r="H3" s="2771"/>
      <c r="I3" s="2771"/>
      <c r="J3" s="2771"/>
      <c r="K3" s="2771"/>
      <c r="L3" s="2771"/>
      <c r="M3" s="2771"/>
      <c r="N3" s="2771"/>
      <c r="O3" s="2771"/>
      <c r="P3" s="2771"/>
      <c r="Q3" s="2771"/>
      <c r="R3" s="2771"/>
      <c r="S3" s="2771"/>
    </row>
    <row r="4" spans="1:19" ht="32.25" customHeight="1" x14ac:dyDescent="0.2">
      <c r="A4" s="2772" t="s">
        <v>1619</v>
      </c>
      <c r="B4" s="2773" t="s">
        <v>372</v>
      </c>
      <c r="C4" s="2774"/>
      <c r="D4" s="2773" t="s">
        <v>1620</v>
      </c>
      <c r="E4" s="2774"/>
      <c r="F4" s="2773" t="s">
        <v>1621</v>
      </c>
      <c r="G4" s="2774"/>
      <c r="H4" s="2772" t="s">
        <v>1622</v>
      </c>
      <c r="I4" s="2775"/>
      <c r="J4" s="2773" t="s">
        <v>1623</v>
      </c>
      <c r="K4" s="2774"/>
      <c r="L4" s="2773" t="s">
        <v>1624</v>
      </c>
      <c r="M4" s="2774"/>
      <c r="N4" s="2773" t="s">
        <v>1625</v>
      </c>
      <c r="O4" s="2774"/>
      <c r="P4" s="2777" t="s">
        <v>1626</v>
      </c>
      <c r="Q4" s="2778"/>
      <c r="R4" s="2773" t="s">
        <v>1627</v>
      </c>
      <c r="S4" s="2774"/>
    </row>
    <row r="5" spans="1:19" ht="21" x14ac:dyDescent="0.2">
      <c r="A5" s="2772"/>
      <c r="B5" s="647" t="s">
        <v>1628</v>
      </c>
      <c r="C5" s="647" t="s">
        <v>1629</v>
      </c>
      <c r="D5" s="647" t="s">
        <v>1628</v>
      </c>
      <c r="E5" s="647" t="s">
        <v>1629</v>
      </c>
      <c r="F5" s="647" t="s">
        <v>1628</v>
      </c>
      <c r="G5" s="647" t="s">
        <v>1629</v>
      </c>
      <c r="H5" s="647" t="s">
        <v>1628</v>
      </c>
      <c r="I5" s="647" t="s">
        <v>1629</v>
      </c>
      <c r="J5" s="647" t="s">
        <v>1628</v>
      </c>
      <c r="K5" s="647" t="s">
        <v>1629</v>
      </c>
      <c r="L5" s="647" t="s">
        <v>1628</v>
      </c>
      <c r="M5" s="647" t="s">
        <v>1629</v>
      </c>
      <c r="N5" s="647" t="s">
        <v>1628</v>
      </c>
      <c r="O5" s="647" t="s">
        <v>1629</v>
      </c>
      <c r="P5" s="647" t="s">
        <v>1628</v>
      </c>
      <c r="Q5" s="647" t="s">
        <v>1629</v>
      </c>
      <c r="R5" s="647" t="s">
        <v>1628</v>
      </c>
      <c r="S5" s="647" t="s">
        <v>1629</v>
      </c>
    </row>
    <row r="6" spans="1:19" x14ac:dyDescent="0.2">
      <c r="A6" s="648" t="s">
        <v>141</v>
      </c>
      <c r="B6" s="649">
        <f>SUM(B7:B22)</f>
        <v>347</v>
      </c>
      <c r="C6" s="649">
        <f>SUM(C7:C22)</f>
        <v>2037774128</v>
      </c>
      <c r="D6" s="649">
        <f>SUM(D7:D22)</f>
        <v>44</v>
      </c>
      <c r="E6" s="649">
        <f t="shared" ref="E6:S6" si="0">SUM(E7:E22)</f>
        <v>355654693</v>
      </c>
      <c r="F6" s="649">
        <f t="shared" si="0"/>
        <v>16</v>
      </c>
      <c r="G6" s="649">
        <f t="shared" si="0"/>
        <v>89754818</v>
      </c>
      <c r="H6" s="649">
        <f t="shared" si="0"/>
        <v>14</v>
      </c>
      <c r="I6" s="649">
        <f t="shared" si="0"/>
        <v>92655604</v>
      </c>
      <c r="J6" s="649">
        <f t="shared" si="0"/>
        <v>76</v>
      </c>
      <c r="K6" s="649">
        <f t="shared" si="0"/>
        <v>344371196</v>
      </c>
      <c r="L6" s="649">
        <f t="shared" si="0"/>
        <v>42</v>
      </c>
      <c r="M6" s="649">
        <f t="shared" si="0"/>
        <v>414482812</v>
      </c>
      <c r="N6" s="649">
        <f t="shared" si="0"/>
        <v>13</v>
      </c>
      <c r="O6" s="649">
        <f t="shared" si="0"/>
        <v>206906984</v>
      </c>
      <c r="P6" s="649">
        <f t="shared" si="0"/>
        <v>19</v>
      </c>
      <c r="Q6" s="649">
        <f t="shared" si="0"/>
        <v>255343751</v>
      </c>
      <c r="R6" s="649">
        <f t="shared" si="0"/>
        <v>123</v>
      </c>
      <c r="S6" s="649">
        <f t="shared" si="0"/>
        <v>278604270</v>
      </c>
    </row>
    <row r="7" spans="1:19" x14ac:dyDescent="0.2">
      <c r="A7" s="650" t="s">
        <v>5</v>
      </c>
      <c r="B7" s="651">
        <f>SUM(D7+F7+H7+J7+L7+N7+P7+R7)</f>
        <v>3</v>
      </c>
      <c r="C7" s="651">
        <f>SUM(E7+G7+I7+K7+M7+O7+Q7+S7)</f>
        <v>6567988</v>
      </c>
      <c r="D7" s="652">
        <v>0</v>
      </c>
      <c r="E7" s="652">
        <v>0</v>
      </c>
      <c r="F7" s="652">
        <v>0</v>
      </c>
      <c r="G7" s="652">
        <v>0</v>
      </c>
      <c r="H7" s="652">
        <v>0</v>
      </c>
      <c r="I7" s="652">
        <v>0</v>
      </c>
      <c r="J7" s="652">
        <v>3</v>
      </c>
      <c r="K7" s="652">
        <v>6567988</v>
      </c>
      <c r="L7" s="652">
        <v>0</v>
      </c>
      <c r="M7" s="652">
        <v>0</v>
      </c>
      <c r="N7" s="652">
        <v>0</v>
      </c>
      <c r="O7" s="652">
        <v>0</v>
      </c>
      <c r="P7" s="652">
        <v>0</v>
      </c>
      <c r="Q7" s="652">
        <v>0</v>
      </c>
      <c r="R7" s="652">
        <v>0</v>
      </c>
      <c r="S7" s="652">
        <v>0</v>
      </c>
    </row>
    <row r="8" spans="1:19" x14ac:dyDescent="0.2">
      <c r="A8" s="650" t="s">
        <v>6</v>
      </c>
      <c r="B8" s="651">
        <f t="shared" ref="B8:C22" si="1">SUM(D8+F8+H8+J8+L8+N8+P8+R8)</f>
        <v>3</v>
      </c>
      <c r="C8" s="651">
        <f t="shared" si="1"/>
        <v>11146529</v>
      </c>
      <c r="D8" s="652">
        <v>0</v>
      </c>
      <c r="E8" s="652">
        <v>0</v>
      </c>
      <c r="F8" s="652">
        <v>0</v>
      </c>
      <c r="G8" s="652">
        <v>0</v>
      </c>
      <c r="H8" s="652">
        <v>0</v>
      </c>
      <c r="I8" s="652">
        <v>0</v>
      </c>
      <c r="J8" s="652">
        <v>2</v>
      </c>
      <c r="K8" s="652">
        <v>9928883</v>
      </c>
      <c r="L8" s="652">
        <v>0</v>
      </c>
      <c r="M8" s="652">
        <v>0</v>
      </c>
      <c r="N8" s="652">
        <v>0</v>
      </c>
      <c r="O8" s="652">
        <v>0</v>
      </c>
      <c r="P8" s="652">
        <v>0</v>
      </c>
      <c r="Q8" s="652">
        <v>0</v>
      </c>
      <c r="R8" s="652">
        <v>1</v>
      </c>
      <c r="S8" s="652">
        <v>1217646</v>
      </c>
    </row>
    <row r="9" spans="1:19" x14ac:dyDescent="0.2">
      <c r="A9" s="650" t="s">
        <v>7</v>
      </c>
      <c r="B9" s="651">
        <f t="shared" si="1"/>
        <v>1</v>
      </c>
      <c r="C9" s="651">
        <f t="shared" si="1"/>
        <v>4455000</v>
      </c>
      <c r="D9" s="652">
        <v>0</v>
      </c>
      <c r="E9" s="652">
        <v>0</v>
      </c>
      <c r="F9" s="652">
        <v>0</v>
      </c>
      <c r="G9" s="652">
        <v>0</v>
      </c>
      <c r="H9" s="652">
        <v>0</v>
      </c>
      <c r="I9" s="652">
        <v>0</v>
      </c>
      <c r="J9" s="652">
        <v>0</v>
      </c>
      <c r="K9" s="652">
        <v>0</v>
      </c>
      <c r="L9" s="652">
        <v>0</v>
      </c>
      <c r="M9" s="652">
        <v>0</v>
      </c>
      <c r="N9" s="652">
        <v>0</v>
      </c>
      <c r="O9" s="652">
        <v>0</v>
      </c>
      <c r="P9" s="652">
        <v>0</v>
      </c>
      <c r="Q9" s="652">
        <v>0</v>
      </c>
      <c r="R9" s="652">
        <v>1</v>
      </c>
      <c r="S9" s="652">
        <v>4455000</v>
      </c>
    </row>
    <row r="10" spans="1:19" x14ac:dyDescent="0.2">
      <c r="A10" s="650" t="s">
        <v>8</v>
      </c>
      <c r="B10" s="651">
        <f t="shared" si="1"/>
        <v>2</v>
      </c>
      <c r="C10" s="651">
        <f t="shared" si="1"/>
        <v>26008346</v>
      </c>
      <c r="D10" s="652">
        <v>0</v>
      </c>
      <c r="E10" s="652">
        <v>0</v>
      </c>
      <c r="F10" s="652">
        <v>0</v>
      </c>
      <c r="G10" s="652">
        <v>0</v>
      </c>
      <c r="H10" s="652">
        <v>0</v>
      </c>
      <c r="I10" s="652">
        <v>0</v>
      </c>
      <c r="J10" s="652">
        <v>0</v>
      </c>
      <c r="K10" s="652">
        <v>0</v>
      </c>
      <c r="L10" s="652">
        <v>1</v>
      </c>
      <c r="M10" s="652">
        <v>13086463</v>
      </c>
      <c r="N10" s="652">
        <v>1</v>
      </c>
      <c r="O10" s="652">
        <v>12921883</v>
      </c>
      <c r="P10" s="652">
        <v>0</v>
      </c>
      <c r="Q10" s="652">
        <v>0</v>
      </c>
      <c r="R10" s="652">
        <v>0</v>
      </c>
      <c r="S10" s="652">
        <v>0</v>
      </c>
    </row>
    <row r="11" spans="1:19" x14ac:dyDescent="0.2">
      <c r="A11" s="650" t="s">
        <v>9</v>
      </c>
      <c r="B11" s="651">
        <f t="shared" si="1"/>
        <v>18</v>
      </c>
      <c r="C11" s="651">
        <f t="shared" si="1"/>
        <v>118462692</v>
      </c>
      <c r="D11" s="652">
        <v>4</v>
      </c>
      <c r="E11" s="652">
        <v>35558684</v>
      </c>
      <c r="F11" s="652">
        <v>0</v>
      </c>
      <c r="G11" s="652">
        <v>0</v>
      </c>
      <c r="H11" s="652">
        <v>2</v>
      </c>
      <c r="I11" s="652">
        <v>13646070</v>
      </c>
      <c r="J11" s="652">
        <v>5</v>
      </c>
      <c r="K11" s="652">
        <v>24204800</v>
      </c>
      <c r="L11" s="652">
        <v>2</v>
      </c>
      <c r="M11" s="652">
        <v>18429277</v>
      </c>
      <c r="N11" s="652">
        <v>0</v>
      </c>
      <c r="O11" s="652">
        <v>0</v>
      </c>
      <c r="P11" s="652">
        <v>1</v>
      </c>
      <c r="Q11" s="652">
        <v>17999999</v>
      </c>
      <c r="R11" s="652">
        <v>4</v>
      </c>
      <c r="S11" s="652">
        <v>8623862</v>
      </c>
    </row>
    <row r="12" spans="1:19" x14ac:dyDescent="0.2">
      <c r="A12" s="650" t="s">
        <v>10</v>
      </c>
      <c r="B12" s="651">
        <f t="shared" si="1"/>
        <v>48</v>
      </c>
      <c r="C12" s="651">
        <f t="shared" si="1"/>
        <v>262882456</v>
      </c>
      <c r="D12" s="652">
        <v>1</v>
      </c>
      <c r="E12" s="652">
        <v>9351000</v>
      </c>
      <c r="F12" s="652">
        <v>3</v>
      </c>
      <c r="G12" s="652">
        <v>16517493</v>
      </c>
      <c r="H12" s="652">
        <v>3</v>
      </c>
      <c r="I12" s="652">
        <v>17642810</v>
      </c>
      <c r="J12" s="652">
        <v>17</v>
      </c>
      <c r="K12" s="652">
        <v>82737406</v>
      </c>
      <c r="L12" s="652">
        <v>4</v>
      </c>
      <c r="M12" s="652">
        <v>25596782</v>
      </c>
      <c r="N12" s="652">
        <v>2</v>
      </c>
      <c r="O12" s="652">
        <v>36549198</v>
      </c>
      <c r="P12" s="652">
        <v>5</v>
      </c>
      <c r="Q12" s="652">
        <v>51039045</v>
      </c>
      <c r="R12" s="652">
        <v>13</v>
      </c>
      <c r="S12" s="652">
        <v>23448722</v>
      </c>
    </row>
    <row r="13" spans="1:19" x14ac:dyDescent="0.2">
      <c r="A13" s="650" t="s">
        <v>11</v>
      </c>
      <c r="B13" s="651">
        <f>SUM(D13+F13+H13+J13+L13+N13+P13+R13)</f>
        <v>190</v>
      </c>
      <c r="C13" s="651">
        <f t="shared" si="1"/>
        <v>1040831285</v>
      </c>
      <c r="D13" s="652">
        <v>25</v>
      </c>
      <c r="E13" s="652">
        <v>174983035</v>
      </c>
      <c r="F13" s="652">
        <v>6</v>
      </c>
      <c r="G13" s="652">
        <v>28360290</v>
      </c>
      <c r="H13" s="652">
        <v>1</v>
      </c>
      <c r="I13" s="652">
        <v>5121900</v>
      </c>
      <c r="J13" s="652">
        <v>35</v>
      </c>
      <c r="K13" s="652">
        <v>155927572</v>
      </c>
      <c r="L13" s="652">
        <v>16</v>
      </c>
      <c r="M13" s="652">
        <v>196087268</v>
      </c>
      <c r="N13" s="652">
        <v>9</v>
      </c>
      <c r="O13" s="652">
        <v>143993654</v>
      </c>
      <c r="P13" s="652">
        <v>8</v>
      </c>
      <c r="Q13" s="652">
        <v>120182979</v>
      </c>
      <c r="R13" s="652">
        <v>90</v>
      </c>
      <c r="S13" s="652">
        <v>216174587</v>
      </c>
    </row>
    <row r="14" spans="1:19" x14ac:dyDescent="0.2">
      <c r="A14" s="650" t="s">
        <v>12</v>
      </c>
      <c r="B14" s="651">
        <f t="shared" si="1"/>
        <v>5</v>
      </c>
      <c r="C14" s="651">
        <f t="shared" si="1"/>
        <v>26746399</v>
      </c>
      <c r="D14" s="652">
        <v>0</v>
      </c>
      <c r="E14" s="652">
        <v>0</v>
      </c>
      <c r="F14" s="652">
        <v>0</v>
      </c>
      <c r="G14" s="652">
        <v>0</v>
      </c>
      <c r="H14" s="652">
        <v>0</v>
      </c>
      <c r="I14" s="652">
        <v>0</v>
      </c>
      <c r="J14" s="652">
        <v>3</v>
      </c>
      <c r="K14" s="652">
        <v>16078842</v>
      </c>
      <c r="L14" s="652">
        <v>0</v>
      </c>
      <c r="M14" s="652">
        <v>0</v>
      </c>
      <c r="N14" s="652">
        <v>0</v>
      </c>
      <c r="O14" s="652">
        <v>0</v>
      </c>
      <c r="P14" s="652">
        <v>0</v>
      </c>
      <c r="Q14" s="652">
        <v>0</v>
      </c>
      <c r="R14" s="652">
        <v>2</v>
      </c>
      <c r="S14" s="652">
        <v>10667557</v>
      </c>
    </row>
    <row r="15" spans="1:19" x14ac:dyDescent="0.2">
      <c r="A15" s="650" t="s">
        <v>13</v>
      </c>
      <c r="B15" s="651">
        <f t="shared" si="1"/>
        <v>3</v>
      </c>
      <c r="C15" s="651">
        <f t="shared" si="1"/>
        <v>15651391</v>
      </c>
      <c r="D15" s="652">
        <v>0</v>
      </c>
      <c r="E15" s="652">
        <v>0</v>
      </c>
      <c r="F15" s="652">
        <v>0</v>
      </c>
      <c r="G15" s="652">
        <v>0</v>
      </c>
      <c r="H15" s="652">
        <v>0</v>
      </c>
      <c r="I15" s="652">
        <v>0</v>
      </c>
      <c r="J15" s="652">
        <v>1</v>
      </c>
      <c r="K15" s="652">
        <v>5396976</v>
      </c>
      <c r="L15" s="652">
        <v>1</v>
      </c>
      <c r="M15" s="652">
        <v>4374415</v>
      </c>
      <c r="N15" s="652">
        <v>0</v>
      </c>
      <c r="O15" s="652">
        <v>0</v>
      </c>
      <c r="P15" s="652">
        <v>1</v>
      </c>
      <c r="Q15" s="652">
        <v>5880000</v>
      </c>
      <c r="R15" s="652">
        <v>0</v>
      </c>
      <c r="S15" s="652">
        <v>0</v>
      </c>
    </row>
    <row r="16" spans="1:19" x14ac:dyDescent="0.2">
      <c r="A16" s="650" t="s">
        <v>14</v>
      </c>
      <c r="B16" s="651">
        <f t="shared" si="1"/>
        <v>14</v>
      </c>
      <c r="C16" s="651">
        <f t="shared" si="1"/>
        <v>95199869</v>
      </c>
      <c r="D16" s="652">
        <v>1</v>
      </c>
      <c r="E16" s="652">
        <v>13284810</v>
      </c>
      <c r="F16" s="652">
        <v>1</v>
      </c>
      <c r="G16" s="652">
        <v>7972025</v>
      </c>
      <c r="H16" s="652">
        <v>2</v>
      </c>
      <c r="I16" s="652">
        <v>14119200</v>
      </c>
      <c r="J16" s="652">
        <v>4</v>
      </c>
      <c r="K16" s="652">
        <v>17275105</v>
      </c>
      <c r="L16" s="652">
        <v>2</v>
      </c>
      <c r="M16" s="652">
        <v>28471730</v>
      </c>
      <c r="N16" s="652">
        <v>0</v>
      </c>
      <c r="O16" s="652">
        <v>0</v>
      </c>
      <c r="P16" s="652">
        <v>1</v>
      </c>
      <c r="Q16" s="652">
        <v>12375000</v>
      </c>
      <c r="R16" s="652">
        <v>3</v>
      </c>
      <c r="S16" s="652">
        <v>1701999</v>
      </c>
    </row>
    <row r="17" spans="1:19" x14ac:dyDescent="0.2">
      <c r="A17" s="650" t="s">
        <v>15</v>
      </c>
      <c r="B17" s="651">
        <f t="shared" si="1"/>
        <v>8</v>
      </c>
      <c r="C17" s="651">
        <f t="shared" si="1"/>
        <v>59822692</v>
      </c>
      <c r="D17" s="652">
        <v>0</v>
      </c>
      <c r="E17" s="652">
        <v>0</v>
      </c>
      <c r="F17" s="652">
        <v>0</v>
      </c>
      <c r="G17" s="652">
        <v>0</v>
      </c>
      <c r="H17" s="652">
        <v>1</v>
      </c>
      <c r="I17" s="652">
        <v>6945930</v>
      </c>
      <c r="J17" s="652">
        <v>0</v>
      </c>
      <c r="K17" s="652">
        <v>0</v>
      </c>
      <c r="L17" s="652">
        <v>3</v>
      </c>
      <c r="M17" s="652">
        <v>32878317</v>
      </c>
      <c r="N17" s="652">
        <v>0</v>
      </c>
      <c r="O17" s="652">
        <v>0</v>
      </c>
      <c r="P17" s="652">
        <v>1</v>
      </c>
      <c r="Q17" s="652">
        <v>17866728</v>
      </c>
      <c r="R17" s="652">
        <v>3</v>
      </c>
      <c r="S17" s="652">
        <v>2131717</v>
      </c>
    </row>
    <row r="18" spans="1:19" x14ac:dyDescent="0.2">
      <c r="A18" s="650" t="s">
        <v>16</v>
      </c>
      <c r="B18" s="651">
        <f t="shared" si="1"/>
        <v>14</v>
      </c>
      <c r="C18" s="651">
        <f t="shared" si="1"/>
        <v>90324073</v>
      </c>
      <c r="D18" s="652">
        <v>1</v>
      </c>
      <c r="E18" s="652">
        <v>8992031</v>
      </c>
      <c r="F18" s="652">
        <v>2</v>
      </c>
      <c r="G18" s="652">
        <v>12456670</v>
      </c>
      <c r="H18" s="652">
        <v>3</v>
      </c>
      <c r="I18" s="652">
        <v>20779831</v>
      </c>
      <c r="J18" s="652">
        <v>0</v>
      </c>
      <c r="K18" s="652">
        <v>0</v>
      </c>
      <c r="L18" s="652">
        <v>5</v>
      </c>
      <c r="M18" s="652">
        <v>30309825</v>
      </c>
      <c r="N18" s="652">
        <v>0</v>
      </c>
      <c r="O18" s="652">
        <v>0</v>
      </c>
      <c r="P18" s="652">
        <v>1</v>
      </c>
      <c r="Q18" s="652">
        <v>15000000</v>
      </c>
      <c r="R18" s="652">
        <v>2</v>
      </c>
      <c r="S18" s="652">
        <v>2785716</v>
      </c>
    </row>
    <row r="19" spans="1:19" x14ac:dyDescent="0.2">
      <c r="A19" s="650" t="s">
        <v>17</v>
      </c>
      <c r="B19" s="651">
        <f t="shared" si="1"/>
        <v>15</v>
      </c>
      <c r="C19" s="651">
        <f t="shared" si="1"/>
        <v>113080024</v>
      </c>
      <c r="D19" s="652">
        <v>1</v>
      </c>
      <c r="E19" s="652">
        <v>12624813</v>
      </c>
      <c r="F19" s="652">
        <v>0</v>
      </c>
      <c r="G19" s="652">
        <v>0</v>
      </c>
      <c r="H19" s="652">
        <v>2</v>
      </c>
      <c r="I19" s="652">
        <v>14399863</v>
      </c>
      <c r="J19" s="652">
        <v>2</v>
      </c>
      <c r="K19" s="652">
        <v>8219725</v>
      </c>
      <c r="L19" s="652">
        <v>7</v>
      </c>
      <c r="M19" s="652">
        <v>57286159</v>
      </c>
      <c r="N19" s="652">
        <v>0</v>
      </c>
      <c r="O19" s="652">
        <v>0</v>
      </c>
      <c r="P19" s="652">
        <v>1</v>
      </c>
      <c r="Q19" s="652">
        <v>15000000</v>
      </c>
      <c r="R19" s="652">
        <v>2</v>
      </c>
      <c r="S19" s="652">
        <v>5549464</v>
      </c>
    </row>
    <row r="20" spans="1:19" x14ac:dyDescent="0.2">
      <c r="A20" s="650" t="s">
        <v>18</v>
      </c>
      <c r="B20" s="651">
        <f t="shared" si="1"/>
        <v>2</v>
      </c>
      <c r="C20" s="651">
        <f t="shared" si="1"/>
        <v>8996638</v>
      </c>
      <c r="D20" s="652">
        <v>0</v>
      </c>
      <c r="E20" s="652">
        <v>0</v>
      </c>
      <c r="F20" s="652">
        <v>0</v>
      </c>
      <c r="G20" s="652">
        <v>0</v>
      </c>
      <c r="H20" s="652">
        <v>0</v>
      </c>
      <c r="I20" s="652">
        <v>0</v>
      </c>
      <c r="J20" s="652">
        <v>2</v>
      </c>
      <c r="K20" s="652">
        <v>8996638</v>
      </c>
      <c r="L20" s="652">
        <v>0</v>
      </c>
      <c r="M20" s="652">
        <v>0</v>
      </c>
      <c r="N20" s="652">
        <v>0</v>
      </c>
      <c r="O20" s="652">
        <v>0</v>
      </c>
      <c r="P20" s="652">
        <v>0</v>
      </c>
      <c r="Q20" s="652">
        <v>0</v>
      </c>
      <c r="R20" s="652">
        <v>0</v>
      </c>
      <c r="S20" s="652">
        <v>0</v>
      </c>
    </row>
    <row r="21" spans="1:19" x14ac:dyDescent="0.2">
      <c r="A21" s="650" t="s">
        <v>19</v>
      </c>
      <c r="B21" s="651">
        <f t="shared" si="1"/>
        <v>2</v>
      </c>
      <c r="C21" s="651">
        <f t="shared" si="1"/>
        <v>14342016</v>
      </c>
      <c r="D21" s="652">
        <v>0</v>
      </c>
      <c r="E21" s="652">
        <v>0</v>
      </c>
      <c r="F21" s="652">
        <v>1</v>
      </c>
      <c r="G21" s="652">
        <v>6379440</v>
      </c>
      <c r="H21" s="652">
        <v>0</v>
      </c>
      <c r="I21" s="652">
        <v>0</v>
      </c>
      <c r="J21" s="652">
        <v>0</v>
      </c>
      <c r="K21" s="652">
        <v>0</v>
      </c>
      <c r="L21" s="652">
        <v>1</v>
      </c>
      <c r="M21" s="652">
        <v>7962576</v>
      </c>
      <c r="N21" s="652">
        <v>0</v>
      </c>
      <c r="O21" s="652">
        <v>0</v>
      </c>
      <c r="P21" s="652">
        <v>0</v>
      </c>
      <c r="Q21" s="652">
        <v>0</v>
      </c>
      <c r="R21" s="652">
        <v>0</v>
      </c>
      <c r="S21" s="652">
        <v>0</v>
      </c>
    </row>
    <row r="22" spans="1:19" x14ac:dyDescent="0.2">
      <c r="A22" s="650" t="s">
        <v>1630</v>
      </c>
      <c r="B22" s="651">
        <f t="shared" si="1"/>
        <v>19</v>
      </c>
      <c r="C22" s="651">
        <f t="shared" si="1"/>
        <v>143256730</v>
      </c>
      <c r="D22" s="652">
        <v>11</v>
      </c>
      <c r="E22" s="652">
        <v>100860320</v>
      </c>
      <c r="F22" s="652">
        <v>3</v>
      </c>
      <c r="G22" s="652">
        <v>18068900</v>
      </c>
      <c r="H22" s="652">
        <v>0</v>
      </c>
      <c r="I22" s="652">
        <v>0</v>
      </c>
      <c r="J22" s="652">
        <v>2</v>
      </c>
      <c r="K22" s="652">
        <v>9037261</v>
      </c>
      <c r="L22" s="652">
        <v>0</v>
      </c>
      <c r="M22" s="652">
        <v>0</v>
      </c>
      <c r="N22" s="652">
        <v>1</v>
      </c>
      <c r="O22" s="652">
        <v>13442249</v>
      </c>
      <c r="P22" s="652">
        <v>0</v>
      </c>
      <c r="Q22" s="652">
        <v>0</v>
      </c>
      <c r="R22" s="652">
        <v>2</v>
      </c>
      <c r="S22" s="652">
        <v>1848000</v>
      </c>
    </row>
    <row r="23" spans="1:19" ht="11.25" customHeight="1" x14ac:dyDescent="0.2">
      <c r="A23" s="2770"/>
      <c r="B23" s="2771"/>
      <c r="C23" s="2771"/>
      <c r="D23" s="2771"/>
      <c r="E23" s="2771"/>
      <c r="F23" s="2771"/>
      <c r="G23" s="2771"/>
      <c r="H23" s="2771"/>
      <c r="I23" s="2771"/>
      <c r="J23" s="2771"/>
      <c r="K23" s="2771"/>
      <c r="L23" s="2771"/>
      <c r="M23" s="2771"/>
      <c r="N23" s="2771"/>
      <c r="O23" s="2771"/>
      <c r="P23" s="2771"/>
      <c r="Q23" s="2771"/>
      <c r="R23" s="2771"/>
      <c r="S23" s="2771"/>
    </row>
    <row r="24" spans="1:19" x14ac:dyDescent="0.2">
      <c r="A24" s="2461" t="s">
        <v>1631</v>
      </c>
      <c r="B24" s="2461"/>
      <c r="C24" s="2461"/>
      <c r="D24" s="2461"/>
      <c r="E24" s="2461"/>
      <c r="F24" s="2461"/>
      <c r="G24" s="2461"/>
      <c r="H24" s="2461"/>
      <c r="I24" s="2461"/>
      <c r="J24" s="2461"/>
      <c r="K24" s="2461"/>
      <c r="L24" s="2461"/>
      <c r="M24" s="2461"/>
      <c r="N24" s="2461"/>
      <c r="O24" s="2461"/>
      <c r="P24" s="2461"/>
      <c r="Q24" s="2461"/>
      <c r="R24" s="2461"/>
      <c r="S24" s="2461"/>
    </row>
    <row r="25" spans="1:19" x14ac:dyDescent="0.2">
      <c r="A25" s="2768" t="s">
        <v>1632</v>
      </c>
      <c r="B25" s="2776"/>
      <c r="C25" s="2776"/>
      <c r="D25" s="2776"/>
      <c r="E25" s="2776"/>
      <c r="F25" s="2776"/>
      <c r="G25" s="2776"/>
      <c r="H25" s="2776"/>
      <c r="I25" s="2776"/>
      <c r="J25" s="2776"/>
      <c r="K25" s="2776"/>
      <c r="L25" s="2776"/>
      <c r="M25" s="2776"/>
      <c r="N25" s="2776"/>
      <c r="O25" s="2776"/>
      <c r="P25" s="2776"/>
      <c r="Q25" s="2776"/>
      <c r="R25" s="2776"/>
      <c r="S25" s="2776"/>
    </row>
    <row r="26" spans="1:19" x14ac:dyDescent="0.2">
      <c r="A26" s="2779" t="s">
        <v>1633</v>
      </c>
      <c r="B26" s="2776"/>
      <c r="C26" s="2776"/>
      <c r="D26" s="2776"/>
      <c r="E26" s="2776"/>
      <c r="F26" s="2776"/>
      <c r="G26" s="2776"/>
      <c r="H26" s="2776"/>
      <c r="I26" s="2776"/>
      <c r="J26" s="2776"/>
      <c r="K26" s="2776"/>
      <c r="L26" s="2776"/>
      <c r="M26" s="2776"/>
      <c r="N26" s="2776"/>
      <c r="O26" s="2776"/>
      <c r="P26" s="2776"/>
      <c r="Q26" s="2776"/>
      <c r="R26" s="2776"/>
      <c r="S26" s="2776"/>
    </row>
    <row r="27" spans="1:19" x14ac:dyDescent="0.2">
      <c r="A27" s="2461" t="s">
        <v>1634</v>
      </c>
      <c r="B27" s="2776"/>
      <c r="C27" s="2776"/>
      <c r="D27" s="2776"/>
      <c r="E27" s="2776"/>
      <c r="F27" s="2776"/>
      <c r="G27" s="2776"/>
      <c r="H27" s="2776"/>
      <c r="I27" s="2776"/>
      <c r="J27" s="2776"/>
      <c r="K27" s="2776"/>
      <c r="L27" s="2776"/>
      <c r="M27" s="2776"/>
      <c r="N27" s="2776"/>
      <c r="O27" s="2776"/>
      <c r="P27" s="2776"/>
      <c r="Q27" s="2776"/>
      <c r="R27" s="2776"/>
      <c r="S27" s="2776"/>
    </row>
    <row r="28" spans="1:19" ht="409.6" hidden="1" customHeight="1" x14ac:dyDescent="0.2"/>
  </sheetData>
  <mergeCells count="17">
    <mergeCell ref="A27:S27"/>
    <mergeCell ref="P4:Q4"/>
    <mergeCell ref="R4:S4"/>
    <mergeCell ref="A23:S23"/>
    <mergeCell ref="A24:S24"/>
    <mergeCell ref="A25:S25"/>
    <mergeCell ref="A26:S26"/>
    <mergeCell ref="A2:S2"/>
    <mergeCell ref="A3:S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L10"/>
  <sheetViews>
    <sheetView zoomScaleNormal="100" workbookViewId="0">
      <selection activeCell="C22" sqref="C22"/>
    </sheetView>
  </sheetViews>
  <sheetFormatPr baseColWidth="10" defaultRowHeight="10.5" x14ac:dyDescent="0.15"/>
  <cols>
    <col min="1" max="1" width="24.28515625" style="25" customWidth="1"/>
    <col min="2" max="4" width="20" style="25" customWidth="1"/>
    <col min="5" max="16384" width="11.42578125" style="25"/>
  </cols>
  <sheetData>
    <row r="1" spans="1:12" s="180" customFormat="1" x14ac:dyDescent="0.15">
      <c r="A1" s="653"/>
      <c r="F1" s="179"/>
      <c r="L1" s="179"/>
    </row>
    <row r="2" spans="1:12" s="180" customFormat="1" ht="12.75" customHeight="1" x14ac:dyDescent="0.15">
      <c r="A2" s="2554" t="s">
        <v>1635</v>
      </c>
      <c r="B2" s="2554"/>
      <c r="C2" s="2554"/>
      <c r="D2" s="2554"/>
      <c r="F2" s="179"/>
      <c r="L2" s="179"/>
    </row>
    <row r="3" spans="1:12" s="180" customFormat="1" x14ac:dyDescent="0.15">
      <c r="F3" s="179"/>
      <c r="L3" s="179"/>
    </row>
    <row r="4" spans="1:12" s="654" customFormat="1" ht="18" customHeight="1" x14ac:dyDescent="0.25">
      <c r="A4" s="206" t="s">
        <v>1636</v>
      </c>
      <c r="B4" s="206" t="s">
        <v>1399</v>
      </c>
      <c r="C4" s="206" t="s">
        <v>1637</v>
      </c>
      <c r="D4" s="206">
        <v>2015</v>
      </c>
      <c r="F4" s="655"/>
      <c r="L4" s="655"/>
    </row>
    <row r="5" spans="1:12" s="180" customFormat="1" ht="15.75" customHeight="1" x14ac:dyDescent="0.15">
      <c r="A5" s="656" t="s">
        <v>141</v>
      </c>
      <c r="B5" s="179">
        <v>136</v>
      </c>
      <c r="C5" s="179">
        <v>206</v>
      </c>
      <c r="D5" s="657" t="s">
        <v>181</v>
      </c>
      <c r="E5" s="196"/>
      <c r="F5" s="196"/>
      <c r="G5" s="196"/>
      <c r="L5" s="179"/>
    </row>
    <row r="6" spans="1:12" s="180" customFormat="1" x14ac:dyDescent="0.15">
      <c r="A6" s="201"/>
      <c r="B6" s="179"/>
      <c r="D6" s="196"/>
      <c r="E6" s="196"/>
      <c r="F6" s="196"/>
      <c r="G6" s="196"/>
      <c r="L6" s="179"/>
    </row>
    <row r="7" spans="1:12" s="180" customFormat="1" ht="22.5" customHeight="1" x14ac:dyDescent="0.15">
      <c r="A7" s="2509" t="s">
        <v>1639</v>
      </c>
      <c r="B7" s="2509"/>
      <c r="C7" s="2509"/>
      <c r="D7" s="2509"/>
      <c r="E7" s="267"/>
      <c r="F7" s="196"/>
      <c r="G7" s="196"/>
      <c r="L7" s="179"/>
    </row>
    <row r="8" spans="1:12" ht="22.5" customHeight="1" x14ac:dyDescent="0.15">
      <c r="A8" s="2509" t="s">
        <v>1640</v>
      </c>
      <c r="B8" s="2509"/>
      <c r="C8" s="2509"/>
      <c r="D8" s="2509"/>
    </row>
    <row r="9" spans="1:12" customFormat="1" ht="15" x14ac:dyDescent="0.25">
      <c r="A9" s="2761" t="s">
        <v>1536</v>
      </c>
      <c r="B9" s="2761"/>
      <c r="D9" s="642"/>
      <c r="E9" s="642"/>
      <c r="F9" s="643"/>
      <c r="G9" s="643"/>
      <c r="H9" s="642"/>
      <c r="I9" s="642"/>
    </row>
    <row r="10" spans="1:12" x14ac:dyDescent="0.15">
      <c r="A10" s="2557" t="s">
        <v>1617</v>
      </c>
      <c r="B10" s="2557"/>
      <c r="C10" s="2557"/>
      <c r="D10" s="2557"/>
    </row>
  </sheetData>
  <mergeCells count="5">
    <mergeCell ref="A2:D2"/>
    <mergeCell ref="A7:D7"/>
    <mergeCell ref="A8:D8"/>
    <mergeCell ref="A9:B9"/>
    <mergeCell ref="A10:D10"/>
  </mergeCells>
  <pageMargins left="0.7" right="0.7" top="0.75" bottom="0.75" header="0.3" footer="0.3"/>
  <pageSetup paperSize="1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G30"/>
  <sheetViews>
    <sheetView zoomScaleNormal="100" workbookViewId="0">
      <selection activeCell="E34" sqref="E34"/>
    </sheetView>
  </sheetViews>
  <sheetFormatPr baseColWidth="10" defaultRowHeight="12.75" x14ac:dyDescent="0.2"/>
  <cols>
    <col min="1" max="1" width="27.28515625" style="612" customWidth="1"/>
    <col min="2" max="3" width="17.5703125" style="612" bestFit="1" customWidth="1"/>
    <col min="4" max="5" width="15.28515625" style="612" bestFit="1" customWidth="1"/>
    <col min="6" max="6" width="16.42578125" style="612" customWidth="1"/>
    <col min="7" max="7" width="2.7109375" style="612" customWidth="1"/>
    <col min="8" max="16384" width="11.42578125" style="612"/>
  </cols>
  <sheetData>
    <row r="1" spans="1:7" s="603" customFormat="1" ht="15.75" x14ac:dyDescent="0.15">
      <c r="A1" s="658"/>
    </row>
    <row r="2" spans="1:7" s="603" customFormat="1" ht="24" customHeight="1" x14ac:dyDescent="0.15">
      <c r="A2" s="2312" t="s">
        <v>1641</v>
      </c>
      <c r="B2" s="2312"/>
      <c r="C2" s="2312"/>
      <c r="D2" s="2312"/>
      <c r="E2" s="2312"/>
      <c r="F2" s="2312"/>
    </row>
    <row r="3" spans="1:7" s="607" customFormat="1" ht="15.75" customHeight="1" x14ac:dyDescent="0.15">
      <c r="A3" s="603"/>
      <c r="B3" s="603"/>
      <c r="C3" s="603"/>
      <c r="D3" s="603"/>
      <c r="E3" s="603"/>
      <c r="F3" s="603"/>
      <c r="G3" s="603"/>
    </row>
    <row r="4" spans="1:7" s="607" customFormat="1" ht="15.75" customHeight="1" x14ac:dyDescent="0.25">
      <c r="A4" s="2760" t="s">
        <v>1642</v>
      </c>
      <c r="B4" s="2760" t="s">
        <v>1643</v>
      </c>
      <c r="C4" s="2760"/>
      <c r="D4" s="2760"/>
      <c r="E4" s="2760"/>
      <c r="F4" s="2760"/>
    </row>
    <row r="5" spans="1:7" s="603" customFormat="1" ht="10.5" x14ac:dyDescent="0.15">
      <c r="A5" s="2760"/>
      <c r="B5" s="624">
        <v>2011</v>
      </c>
      <c r="C5" s="624">
        <v>2012</v>
      </c>
      <c r="D5" s="624">
        <v>2013</v>
      </c>
      <c r="E5" s="624">
        <v>2014</v>
      </c>
      <c r="F5" s="624">
        <v>2015</v>
      </c>
    </row>
    <row r="6" spans="1:7" s="603" customFormat="1" ht="10.5" x14ac:dyDescent="0.15">
      <c r="A6" s="604" t="s">
        <v>141</v>
      </c>
      <c r="B6" s="659">
        <f t="shared" ref="B6:E6" si="0">SUM(B7:B14)</f>
        <v>11449314288</v>
      </c>
      <c r="C6" s="659">
        <f t="shared" si="0"/>
        <v>12444855932</v>
      </c>
      <c r="D6" s="659">
        <f t="shared" si="0"/>
        <v>13375208881</v>
      </c>
      <c r="E6" s="659">
        <f t="shared" si="0"/>
        <v>14855769721</v>
      </c>
      <c r="F6" s="659">
        <f>SUM(F7:F14)</f>
        <v>17119526560</v>
      </c>
    </row>
    <row r="7" spans="1:7" s="603" customFormat="1" ht="10.5" customHeight="1" x14ac:dyDescent="0.15">
      <c r="A7" s="603" t="s">
        <v>1644</v>
      </c>
      <c r="B7" s="660">
        <v>872027916</v>
      </c>
      <c r="C7" s="660">
        <v>932524932</v>
      </c>
      <c r="D7" s="661">
        <v>1001313327</v>
      </c>
      <c r="E7" s="661">
        <v>961791486</v>
      </c>
      <c r="F7" s="248">
        <v>925763306</v>
      </c>
    </row>
    <row r="8" spans="1:7" s="603" customFormat="1" ht="10.5" x14ac:dyDescent="0.15">
      <c r="A8" s="603" t="s">
        <v>1645</v>
      </c>
      <c r="B8" s="660">
        <v>1738710584</v>
      </c>
      <c r="C8" s="660">
        <v>1730573577</v>
      </c>
      <c r="D8" s="661">
        <v>1757087722</v>
      </c>
      <c r="E8" s="661">
        <v>1741870712</v>
      </c>
      <c r="F8" s="248">
        <v>1731099458</v>
      </c>
    </row>
    <row r="9" spans="1:7" s="603" customFormat="1" ht="10.5" x14ac:dyDescent="0.15">
      <c r="A9" s="603" t="s">
        <v>1646</v>
      </c>
      <c r="B9" s="660">
        <v>410291821</v>
      </c>
      <c r="C9" s="660">
        <v>486691909</v>
      </c>
      <c r="D9" s="661">
        <v>520308891</v>
      </c>
      <c r="E9" s="661">
        <v>541795040</v>
      </c>
      <c r="F9" s="248">
        <v>696755202</v>
      </c>
    </row>
    <row r="10" spans="1:7" s="603" customFormat="1" ht="10.5" x14ac:dyDescent="0.15">
      <c r="A10" s="603" t="s">
        <v>1647</v>
      </c>
      <c r="B10" s="660">
        <v>4806349245</v>
      </c>
      <c r="C10" s="660">
        <v>4905605431</v>
      </c>
      <c r="D10" s="661">
        <v>5502885703</v>
      </c>
      <c r="E10" s="661">
        <v>5861591876</v>
      </c>
      <c r="F10" s="248">
        <v>6322307941</v>
      </c>
    </row>
    <row r="11" spans="1:7" s="603" customFormat="1" ht="10.5" x14ac:dyDescent="0.15">
      <c r="A11" s="603" t="s">
        <v>1648</v>
      </c>
      <c r="B11" s="660">
        <v>1161427101</v>
      </c>
      <c r="C11" s="660">
        <v>1615509413</v>
      </c>
      <c r="D11" s="661">
        <v>1458214938</v>
      </c>
      <c r="E11" s="661">
        <v>2102026900</v>
      </c>
      <c r="F11" s="248">
        <v>2424012559</v>
      </c>
    </row>
    <row r="12" spans="1:7" s="603" customFormat="1" ht="10.5" x14ac:dyDescent="0.15">
      <c r="A12" s="603" t="s">
        <v>1649</v>
      </c>
      <c r="B12" s="660">
        <v>118631921</v>
      </c>
      <c r="C12" s="660">
        <v>131250303</v>
      </c>
      <c r="D12" s="661">
        <v>143834040</v>
      </c>
      <c r="E12" s="661">
        <v>153643317</v>
      </c>
      <c r="F12" s="248">
        <v>166719158</v>
      </c>
    </row>
    <row r="13" spans="1:7" s="603" customFormat="1" ht="10.5" x14ac:dyDescent="0.15">
      <c r="A13" s="603" t="s">
        <v>1650</v>
      </c>
      <c r="B13" s="660">
        <v>2307718202</v>
      </c>
      <c r="C13" s="660">
        <v>2593398864</v>
      </c>
      <c r="D13" s="661">
        <v>2933683788</v>
      </c>
      <c r="E13" s="661">
        <v>3450425344</v>
      </c>
      <c r="F13" s="248">
        <v>4084031392</v>
      </c>
    </row>
    <row r="14" spans="1:7" s="603" customFormat="1" ht="10.5" x14ac:dyDescent="0.15">
      <c r="A14" s="603" t="s">
        <v>1651</v>
      </c>
      <c r="B14" s="660">
        <v>34157498</v>
      </c>
      <c r="C14" s="660">
        <v>49301503</v>
      </c>
      <c r="D14" s="661">
        <v>57880472</v>
      </c>
      <c r="E14" s="661">
        <v>42625046</v>
      </c>
      <c r="F14" s="248">
        <v>768837544</v>
      </c>
    </row>
    <row r="15" spans="1:7" s="603" customFormat="1" ht="11.25" customHeight="1" x14ac:dyDescent="0.15">
      <c r="B15" s="660"/>
      <c r="C15" s="660"/>
      <c r="D15" s="660"/>
      <c r="E15" s="660"/>
      <c r="F15" s="660"/>
    </row>
    <row r="16" spans="1:7" s="603" customFormat="1" ht="10.5" x14ac:dyDescent="0.15">
      <c r="A16" s="603" t="s">
        <v>1652</v>
      </c>
      <c r="E16" s="659"/>
      <c r="F16" s="659"/>
      <c r="G16" s="662"/>
    </row>
    <row r="17" spans="1:6" s="603" customFormat="1" ht="10.5" x14ac:dyDescent="0.15">
      <c r="A17" s="663" t="s">
        <v>1537</v>
      </c>
      <c r="E17" s="659"/>
      <c r="F17" s="659"/>
    </row>
    <row r="18" spans="1:6" s="603" customFormat="1" ht="10.5" x14ac:dyDescent="0.15">
      <c r="A18" s="663"/>
      <c r="E18" s="659"/>
      <c r="F18" s="659"/>
    </row>
    <row r="19" spans="1:6" s="603" customFormat="1" ht="10.5" x14ac:dyDescent="0.15">
      <c r="A19" s="663"/>
      <c r="E19" s="659"/>
      <c r="F19" s="659"/>
    </row>
    <row r="20" spans="1:6" s="603" customFormat="1" ht="15.75" customHeight="1" x14ac:dyDescent="0.15"/>
    <row r="30" spans="1:6" x14ac:dyDescent="0.2">
      <c r="A30" s="603"/>
      <c r="B30" s="664"/>
      <c r="C30" s="665"/>
      <c r="D30" s="664"/>
      <c r="E30" s="665"/>
      <c r="F30" s="329"/>
    </row>
  </sheetData>
  <mergeCells count="3">
    <mergeCell ref="A2:F2"/>
    <mergeCell ref="A4:A5"/>
    <mergeCell ref="B4:F4"/>
  </mergeCells>
  <pageMargins left="0.7" right="0.7" top="0.75" bottom="0.75" header="0.3" footer="0.3"/>
  <pageSetup paperSize="14" scale="8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L14"/>
  <sheetViews>
    <sheetView zoomScaleNormal="100" workbookViewId="0">
      <selection activeCell="E34" sqref="E34"/>
    </sheetView>
  </sheetViews>
  <sheetFormatPr baseColWidth="10" defaultRowHeight="10.5" x14ac:dyDescent="0.15"/>
  <cols>
    <col min="1" max="1" width="40.7109375" style="603" customWidth="1"/>
    <col min="2" max="2" width="14.85546875" style="603" bestFit="1" customWidth="1"/>
    <col min="3" max="3" width="14.140625" style="603" bestFit="1" customWidth="1"/>
    <col min="4" max="4" width="15.28515625" style="603" bestFit="1" customWidth="1"/>
    <col min="5" max="5" width="16.42578125" style="603" customWidth="1"/>
    <col min="6" max="6" width="15.28515625" style="603" customWidth="1"/>
    <col min="7" max="7" width="5" style="603" customWidth="1"/>
    <col min="8" max="8" width="11.42578125" style="603"/>
    <col min="9" max="9" width="15.85546875" style="603" customWidth="1"/>
    <col min="10" max="10" width="14" style="603" customWidth="1"/>
    <col min="11" max="11" width="12" style="603" bestFit="1" customWidth="1"/>
    <col min="12" max="16384" width="11.42578125" style="603"/>
  </cols>
  <sheetData>
    <row r="1" spans="1:12" ht="15.75" x14ac:dyDescent="0.15">
      <c r="A1" s="658"/>
    </row>
    <row r="2" spans="1:12" ht="22.5" customHeight="1" x14ac:dyDescent="0.15">
      <c r="A2" s="2312" t="s">
        <v>1653</v>
      </c>
      <c r="B2" s="2312"/>
      <c r="C2" s="2312"/>
      <c r="D2" s="2312"/>
      <c r="E2" s="2312"/>
      <c r="F2" s="2312"/>
    </row>
    <row r="3" spans="1:12" ht="16.5" customHeight="1" x14ac:dyDescent="0.15">
      <c r="A3" s="604"/>
      <c r="H3" s="379"/>
      <c r="I3" s="379"/>
      <c r="J3" s="663"/>
      <c r="K3" s="663"/>
      <c r="L3" s="666"/>
    </row>
    <row r="4" spans="1:12" ht="16.5" customHeight="1" x14ac:dyDescent="0.15">
      <c r="A4" s="2760" t="s">
        <v>1398</v>
      </c>
      <c r="B4" s="2760" t="s">
        <v>1643</v>
      </c>
      <c r="C4" s="2760"/>
      <c r="D4" s="2760"/>
      <c r="E4" s="2760"/>
      <c r="F4" s="2760"/>
      <c r="H4" s="379"/>
      <c r="I4" s="464"/>
      <c r="J4" s="666"/>
      <c r="K4" s="666"/>
      <c r="L4" s="666"/>
    </row>
    <row r="5" spans="1:12" x14ac:dyDescent="0.15">
      <c r="A5" s="2760"/>
      <c r="B5" s="624">
        <v>2011</v>
      </c>
      <c r="C5" s="624">
        <v>2012</v>
      </c>
      <c r="D5" s="624">
        <v>2013</v>
      </c>
      <c r="E5" s="624">
        <v>2014</v>
      </c>
      <c r="F5" s="624">
        <v>2015</v>
      </c>
      <c r="H5" s="380"/>
      <c r="I5" s="569"/>
      <c r="J5" s="667"/>
      <c r="K5" s="667"/>
      <c r="L5" s="659"/>
    </row>
    <row r="6" spans="1:12" x14ac:dyDescent="0.15">
      <c r="A6" s="604" t="s">
        <v>141</v>
      </c>
      <c r="B6" s="659">
        <f t="shared" ref="B6:F6" si="0">SUM(B7:B9)</f>
        <v>7844990076</v>
      </c>
      <c r="C6" s="659">
        <f t="shared" si="0"/>
        <v>9235984781</v>
      </c>
      <c r="D6" s="659">
        <f t="shared" si="0"/>
        <v>10588567636</v>
      </c>
      <c r="E6" s="659">
        <f t="shared" si="0"/>
        <v>10959761250</v>
      </c>
      <c r="F6" s="615">
        <f t="shared" si="0"/>
        <v>11525629547</v>
      </c>
      <c r="H6" s="380"/>
      <c r="I6" s="569"/>
      <c r="J6" s="667"/>
      <c r="K6" s="668"/>
      <c r="L6" s="668"/>
    </row>
    <row r="7" spans="1:12" x14ac:dyDescent="0.15">
      <c r="A7" s="603" t="s">
        <v>1454</v>
      </c>
      <c r="B7" s="668">
        <v>1307132912</v>
      </c>
      <c r="C7" s="668">
        <v>1474820887</v>
      </c>
      <c r="D7" s="667">
        <v>1810278275</v>
      </c>
      <c r="E7" s="569">
        <v>1829777387</v>
      </c>
      <c r="F7" s="569">
        <v>2141440801</v>
      </c>
      <c r="H7" s="380"/>
      <c r="I7" s="569"/>
      <c r="J7" s="667"/>
      <c r="K7" s="668"/>
      <c r="L7" s="668"/>
    </row>
    <row r="8" spans="1:12" x14ac:dyDescent="0.15">
      <c r="A8" s="603" t="s">
        <v>1654</v>
      </c>
      <c r="B8" s="668">
        <v>2508433594</v>
      </c>
      <c r="C8" s="668">
        <v>2964090787</v>
      </c>
      <c r="D8" s="667">
        <v>3433107578</v>
      </c>
      <c r="E8" s="569">
        <v>3529811174</v>
      </c>
      <c r="F8" s="569">
        <v>3559754213</v>
      </c>
      <c r="H8" s="380"/>
      <c r="I8" s="569"/>
      <c r="J8" s="667"/>
      <c r="K8" s="668"/>
      <c r="L8" s="668"/>
    </row>
    <row r="9" spans="1:12" x14ac:dyDescent="0.15">
      <c r="A9" s="603" t="s">
        <v>1655</v>
      </c>
      <c r="B9" s="668">
        <v>4029423570</v>
      </c>
      <c r="C9" s="668">
        <v>4797073107</v>
      </c>
      <c r="D9" s="667">
        <v>5345181783</v>
      </c>
      <c r="E9" s="569">
        <v>5600172689</v>
      </c>
      <c r="F9" s="569">
        <v>5824434533</v>
      </c>
      <c r="H9" s="380"/>
      <c r="I9" s="569"/>
      <c r="J9" s="667"/>
      <c r="K9" s="668"/>
      <c r="L9" s="668"/>
    </row>
    <row r="10" spans="1:12" ht="6" customHeight="1" x14ac:dyDescent="0.15">
      <c r="B10" s="667"/>
      <c r="C10" s="667"/>
      <c r="D10" s="668"/>
      <c r="E10" s="668"/>
      <c r="F10" s="667"/>
      <c r="H10" s="380"/>
      <c r="I10" s="380"/>
    </row>
    <row r="11" spans="1:12" x14ac:dyDescent="0.15">
      <c r="A11" s="603" t="s">
        <v>1652</v>
      </c>
      <c r="H11" s="379"/>
      <c r="I11" s="380"/>
    </row>
    <row r="12" spans="1:12" x14ac:dyDescent="0.15">
      <c r="A12" s="663" t="s">
        <v>1537</v>
      </c>
    </row>
    <row r="13" spans="1:12" x14ac:dyDescent="0.15">
      <c r="A13" s="663"/>
    </row>
    <row r="14" spans="1:12" x14ac:dyDescent="0.15">
      <c r="A14" s="663"/>
    </row>
  </sheetData>
  <mergeCells count="3">
    <mergeCell ref="A2:F2"/>
    <mergeCell ref="A4:A5"/>
    <mergeCell ref="B4:F4"/>
  </mergeCells>
  <pageMargins left="0.7" right="0.7" top="0.75" bottom="0.75" header="0.3" footer="0.3"/>
  <pageSetup paperSize="14" scale="7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M15"/>
  <sheetViews>
    <sheetView zoomScaleNormal="100" workbookViewId="0">
      <selection activeCell="E34" sqref="E34"/>
    </sheetView>
  </sheetViews>
  <sheetFormatPr baseColWidth="10" defaultRowHeight="12.75" x14ac:dyDescent="0.2"/>
  <cols>
    <col min="1" max="1" width="22" style="612" customWidth="1"/>
    <col min="2" max="6" width="17.28515625" style="612" customWidth="1"/>
    <col min="7" max="7" width="5.5703125" style="612" customWidth="1"/>
    <col min="8" max="8" width="11.42578125" style="612"/>
    <col min="9" max="9" width="9.28515625" style="612" customWidth="1"/>
    <col min="10" max="10" width="2.85546875" style="612" customWidth="1"/>
    <col min="11" max="16384" width="11.42578125" style="612"/>
  </cols>
  <sheetData>
    <row r="1" spans="1:13" ht="15.75" x14ac:dyDescent="0.2">
      <c r="A1" s="658"/>
    </row>
    <row r="2" spans="1:13" s="603" customFormat="1" ht="25.5" customHeight="1" x14ac:dyDescent="0.15">
      <c r="A2" s="2312" t="s">
        <v>1656</v>
      </c>
      <c r="B2" s="2312"/>
      <c r="C2" s="2312"/>
      <c r="D2" s="2312"/>
      <c r="E2" s="2312"/>
      <c r="F2" s="2312"/>
      <c r="H2" s="663"/>
      <c r="I2" s="663"/>
      <c r="J2" s="663"/>
      <c r="K2" s="663"/>
      <c r="L2" s="663"/>
      <c r="M2" s="663"/>
    </row>
    <row r="3" spans="1:13" s="603" customFormat="1" ht="14.25" customHeight="1" x14ac:dyDescent="0.15">
      <c r="A3" s="604"/>
      <c r="H3" s="663"/>
      <c r="I3" s="663"/>
      <c r="J3" s="663"/>
      <c r="K3" s="663"/>
      <c r="L3" s="663"/>
      <c r="M3" s="663"/>
    </row>
    <row r="4" spans="1:13" s="603" customFormat="1" ht="14.25" customHeight="1" x14ac:dyDescent="0.15">
      <c r="A4" s="2780" t="s">
        <v>1657</v>
      </c>
      <c r="B4" s="2760" t="s">
        <v>1643</v>
      </c>
      <c r="C4" s="2760"/>
      <c r="D4" s="2760"/>
      <c r="E4" s="2760"/>
      <c r="F4" s="2760"/>
      <c r="H4" s="663"/>
      <c r="I4" s="666"/>
      <c r="J4" s="666"/>
      <c r="K4" s="666"/>
      <c r="L4" s="666"/>
      <c r="M4" s="666"/>
    </row>
    <row r="5" spans="1:13" s="603" customFormat="1" ht="10.5" x14ac:dyDescent="0.15">
      <c r="A5" s="2781"/>
      <c r="B5" s="624">
        <v>2011</v>
      </c>
      <c r="C5" s="624">
        <v>2012</v>
      </c>
      <c r="D5" s="624">
        <v>2013</v>
      </c>
      <c r="E5" s="624">
        <v>2014</v>
      </c>
      <c r="F5" s="624">
        <v>2015</v>
      </c>
      <c r="H5" s="380"/>
      <c r="I5" s="380"/>
      <c r="J5" s="569"/>
      <c r="K5" s="569"/>
      <c r="L5" s="667"/>
      <c r="M5" s="663"/>
    </row>
    <row r="6" spans="1:13" s="603" customFormat="1" ht="10.5" x14ac:dyDescent="0.15">
      <c r="A6" s="669" t="s">
        <v>1658</v>
      </c>
      <c r="B6" s="659">
        <v>93685036</v>
      </c>
      <c r="C6" s="615">
        <v>151694202</v>
      </c>
      <c r="D6" s="659">
        <v>119931127</v>
      </c>
      <c r="E6" s="659">
        <v>82456206</v>
      </c>
      <c r="F6" s="659">
        <v>116257740</v>
      </c>
      <c r="H6" s="380"/>
      <c r="I6" s="380"/>
      <c r="J6" s="506"/>
      <c r="K6" s="506"/>
      <c r="L6" s="670"/>
      <c r="M6" s="670"/>
    </row>
    <row r="7" spans="1:13" s="603" customFormat="1" ht="10.5" x14ac:dyDescent="0.15">
      <c r="A7" s="669" t="s">
        <v>1659</v>
      </c>
      <c r="B7" s="671">
        <f t="shared" ref="B7:D7" si="0">SUM(B8:B10)</f>
        <v>74340998</v>
      </c>
      <c r="C7" s="671">
        <f t="shared" si="0"/>
        <v>186162609</v>
      </c>
      <c r="D7" s="671">
        <f t="shared" si="0"/>
        <v>149283568</v>
      </c>
      <c r="E7" s="671">
        <f>SUM(E8:E10)</f>
        <v>93645303</v>
      </c>
      <c r="F7" s="671">
        <f>SUM(F8:F10)</f>
        <v>267187231</v>
      </c>
      <c r="H7" s="390"/>
      <c r="I7" s="569"/>
      <c r="J7" s="380"/>
      <c r="K7" s="380"/>
      <c r="M7" s="663"/>
    </row>
    <row r="8" spans="1:13" s="603" customFormat="1" ht="10.5" x14ac:dyDescent="0.15">
      <c r="A8" s="603" t="s">
        <v>1660</v>
      </c>
      <c r="B8" s="672">
        <v>40229791</v>
      </c>
      <c r="C8" s="672">
        <v>77613888</v>
      </c>
      <c r="D8" s="667">
        <v>69678766</v>
      </c>
      <c r="E8" s="667">
        <v>45783556</v>
      </c>
      <c r="F8" s="667">
        <v>232549095</v>
      </c>
      <c r="H8" s="379"/>
      <c r="I8" s="569"/>
      <c r="J8" s="380"/>
      <c r="K8" s="380"/>
      <c r="M8" s="663"/>
    </row>
    <row r="9" spans="1:13" s="603" customFormat="1" ht="10.5" x14ac:dyDescent="0.15">
      <c r="A9" s="603" t="s">
        <v>1661</v>
      </c>
      <c r="B9" s="672">
        <v>4231630</v>
      </c>
      <c r="C9" s="672">
        <v>11079180</v>
      </c>
      <c r="D9" s="667">
        <v>12831255</v>
      </c>
      <c r="E9" s="667">
        <v>7467553</v>
      </c>
      <c r="F9" s="667">
        <v>7536361</v>
      </c>
      <c r="H9" s="379"/>
      <c r="I9" s="569"/>
      <c r="J9" s="569"/>
      <c r="K9" s="380"/>
      <c r="M9" s="663"/>
    </row>
    <row r="10" spans="1:13" s="603" customFormat="1" ht="10.5" x14ac:dyDescent="0.15">
      <c r="A10" s="603" t="s">
        <v>1662</v>
      </c>
      <c r="B10" s="672">
        <v>29879577</v>
      </c>
      <c r="C10" s="672">
        <v>97469541</v>
      </c>
      <c r="D10" s="667">
        <v>66773547</v>
      </c>
      <c r="E10" s="667">
        <v>40394194</v>
      </c>
      <c r="F10" s="667">
        <v>27101775</v>
      </c>
      <c r="H10" s="379"/>
      <c r="I10" s="569"/>
      <c r="J10" s="569"/>
      <c r="K10" s="380"/>
      <c r="M10" s="663"/>
    </row>
    <row r="11" spans="1:13" s="603" customFormat="1" ht="10.5" x14ac:dyDescent="0.15">
      <c r="B11" s="329"/>
      <c r="C11" s="667"/>
      <c r="D11" s="673"/>
      <c r="E11" s="673"/>
      <c r="F11" s="673"/>
      <c r="H11" s="379"/>
      <c r="I11" s="379"/>
      <c r="J11" s="379"/>
      <c r="K11" s="379"/>
      <c r="L11" s="663"/>
      <c r="M11" s="663"/>
    </row>
    <row r="12" spans="1:13" s="603" customFormat="1" ht="10.5" x14ac:dyDescent="0.15">
      <c r="A12" s="603" t="s">
        <v>1663</v>
      </c>
      <c r="H12" s="380"/>
      <c r="I12" s="379"/>
      <c r="J12" s="379"/>
      <c r="K12" s="379"/>
      <c r="L12" s="663"/>
      <c r="M12" s="663"/>
    </row>
    <row r="13" spans="1:13" s="603" customFormat="1" ht="10.5" x14ac:dyDescent="0.15">
      <c r="A13" s="663" t="s">
        <v>1537</v>
      </c>
      <c r="H13" s="380"/>
      <c r="I13" s="380"/>
      <c r="J13" s="380"/>
      <c r="K13" s="380"/>
    </row>
    <row r="14" spans="1:13" s="603" customFormat="1" ht="10.5" x14ac:dyDescent="0.15">
      <c r="A14" s="663"/>
      <c r="H14" s="380"/>
      <c r="I14" s="380"/>
      <c r="J14" s="380"/>
      <c r="K14" s="380"/>
    </row>
    <row r="15" spans="1:13" s="603" customFormat="1" ht="10.5" x14ac:dyDescent="0.15">
      <c r="A15" s="663"/>
      <c r="H15" s="380"/>
      <c r="I15" s="380"/>
      <c r="J15" s="380"/>
      <c r="K15" s="380"/>
    </row>
  </sheetData>
  <mergeCells count="3">
    <mergeCell ref="A2:F2"/>
    <mergeCell ref="A4:A5"/>
    <mergeCell ref="B4:F4"/>
  </mergeCells>
  <pageMargins left="0.7" right="0.7" top="0.75" bottom="0.75" header="0.3" footer="0.3"/>
  <pageSetup paperSize="14"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S20"/>
  <sheetViews>
    <sheetView zoomScaleNormal="100" workbookViewId="0">
      <selection activeCell="E34" sqref="E34"/>
    </sheetView>
  </sheetViews>
  <sheetFormatPr baseColWidth="10" defaultRowHeight="12.75" x14ac:dyDescent="0.2"/>
  <cols>
    <col min="1" max="1" width="27.7109375" style="612" customWidth="1"/>
    <col min="2" max="2" width="16.140625" style="612" bestFit="1" customWidth="1"/>
    <col min="3" max="6" width="14.140625" style="612" bestFit="1" customWidth="1"/>
    <col min="7" max="7" width="4.7109375" style="612" customWidth="1"/>
    <col min="8" max="16384" width="11.42578125" style="612"/>
  </cols>
  <sheetData>
    <row r="1" spans="1:12" ht="15.75" x14ac:dyDescent="0.2">
      <c r="A1" s="658"/>
    </row>
    <row r="2" spans="1:12" s="603" customFormat="1" ht="24.75" customHeight="1" x14ac:dyDescent="0.15">
      <c r="A2" s="2312" t="s">
        <v>1664</v>
      </c>
      <c r="B2" s="2312"/>
      <c r="C2" s="2312"/>
      <c r="D2" s="2312"/>
      <c r="E2" s="2312"/>
      <c r="F2" s="2312"/>
      <c r="G2" s="663"/>
      <c r="H2" s="663"/>
      <c r="I2" s="663"/>
      <c r="J2" s="663"/>
      <c r="K2" s="663"/>
      <c r="L2" s="663"/>
    </row>
    <row r="3" spans="1:12" s="603" customFormat="1" ht="10.5" x14ac:dyDescent="0.15">
      <c r="A3" s="2782"/>
      <c r="B3" s="2782"/>
      <c r="C3" s="2782"/>
      <c r="D3" s="2782"/>
      <c r="E3" s="2782"/>
      <c r="F3" s="2782"/>
      <c r="G3" s="663"/>
      <c r="H3" s="464"/>
      <c r="I3" s="379"/>
      <c r="J3" s="379"/>
      <c r="K3" s="663"/>
      <c r="L3" s="663"/>
    </row>
    <row r="4" spans="1:12" s="603" customFormat="1" ht="15" customHeight="1" x14ac:dyDescent="0.15">
      <c r="A4" s="2760" t="s">
        <v>1642</v>
      </c>
      <c r="B4" s="2760" t="s">
        <v>1643</v>
      </c>
      <c r="C4" s="2760"/>
      <c r="D4" s="2760"/>
      <c r="E4" s="2760"/>
      <c r="F4" s="2760"/>
      <c r="G4" s="663"/>
      <c r="H4" s="379"/>
      <c r="I4" s="379"/>
      <c r="J4" s="379"/>
      <c r="K4" s="663"/>
      <c r="L4" s="663"/>
    </row>
    <row r="5" spans="1:12" s="603" customFormat="1" ht="10.5" x14ac:dyDescent="0.15">
      <c r="A5" s="2760"/>
      <c r="B5" s="624">
        <v>2011</v>
      </c>
      <c r="C5" s="624">
        <v>2012</v>
      </c>
      <c r="D5" s="624">
        <v>2013</v>
      </c>
      <c r="E5" s="624">
        <v>2014</v>
      </c>
      <c r="F5" s="624">
        <v>2015</v>
      </c>
      <c r="G5" s="663"/>
      <c r="H5" s="380"/>
      <c r="I5" s="380"/>
      <c r="J5" s="569"/>
      <c r="K5" s="667"/>
      <c r="L5" s="667"/>
    </row>
    <row r="6" spans="1:12" s="603" customFormat="1" ht="10.5" x14ac:dyDescent="0.15">
      <c r="A6" s="604" t="s">
        <v>141</v>
      </c>
      <c r="B6" s="659">
        <f t="shared" ref="B6:F6" si="0">SUM(B7:B15)</f>
        <v>3673708226</v>
      </c>
      <c r="C6" s="659">
        <f t="shared" si="0"/>
        <v>3976924084</v>
      </c>
      <c r="D6" s="659">
        <f t="shared" si="0"/>
        <v>4600304668</v>
      </c>
      <c r="E6" s="659">
        <f t="shared" si="0"/>
        <v>5222390478</v>
      </c>
      <c r="F6" s="659">
        <f t="shared" si="0"/>
        <v>6142163595</v>
      </c>
      <c r="G6" s="663"/>
      <c r="H6" s="380"/>
      <c r="I6" s="380"/>
      <c r="J6" s="674"/>
      <c r="K6" s="675"/>
      <c r="L6" s="663"/>
    </row>
    <row r="7" spans="1:12" s="603" customFormat="1" ht="10.5" x14ac:dyDescent="0.15">
      <c r="A7" s="603" t="s">
        <v>1644</v>
      </c>
      <c r="B7" s="676">
        <v>436369592</v>
      </c>
      <c r="C7" s="676">
        <v>466439138</v>
      </c>
      <c r="D7" s="569">
        <v>500987520</v>
      </c>
      <c r="E7" s="569">
        <v>481387957</v>
      </c>
      <c r="F7" s="248">
        <v>463440674</v>
      </c>
      <c r="G7" s="663"/>
      <c r="H7" s="677"/>
      <c r="I7" s="569"/>
      <c r="J7" s="674"/>
      <c r="K7" s="675"/>
      <c r="L7" s="663"/>
    </row>
    <row r="8" spans="1:12" s="603" customFormat="1" ht="10.5" x14ac:dyDescent="0.15">
      <c r="A8" s="603" t="s">
        <v>1645</v>
      </c>
      <c r="B8" s="676">
        <v>869355512</v>
      </c>
      <c r="C8" s="676">
        <v>865286773</v>
      </c>
      <c r="D8" s="569">
        <v>878543864</v>
      </c>
      <c r="E8" s="569">
        <v>870935348</v>
      </c>
      <c r="F8" s="248">
        <v>865550311</v>
      </c>
      <c r="G8" s="663"/>
      <c r="H8" s="677"/>
      <c r="I8" s="569"/>
      <c r="J8" s="674"/>
      <c r="K8" s="675"/>
      <c r="L8" s="663"/>
    </row>
    <row r="9" spans="1:12" s="603" customFormat="1" ht="10.5" x14ac:dyDescent="0.15">
      <c r="A9" s="603" t="s">
        <v>1646</v>
      </c>
      <c r="B9" s="676">
        <v>205143160</v>
      </c>
      <c r="C9" s="676">
        <v>243342442</v>
      </c>
      <c r="D9" s="569">
        <v>260154824</v>
      </c>
      <c r="E9" s="569">
        <v>270842895</v>
      </c>
      <c r="F9" s="248">
        <v>348378037</v>
      </c>
      <c r="G9" s="663"/>
      <c r="H9" s="677"/>
      <c r="I9" s="569"/>
      <c r="J9" s="674"/>
      <c r="K9" s="675"/>
      <c r="L9" s="663"/>
    </row>
    <row r="10" spans="1:12" s="603" customFormat="1" ht="10.5" x14ac:dyDescent="0.15">
      <c r="A10" s="603" t="s">
        <v>1665</v>
      </c>
      <c r="B10" s="676">
        <v>910741316</v>
      </c>
      <c r="C10" s="676">
        <v>993398940</v>
      </c>
      <c r="D10" s="569">
        <v>1338350192</v>
      </c>
      <c r="E10" s="569">
        <v>1717991132</v>
      </c>
      <c r="F10" s="248">
        <v>2244998235</v>
      </c>
      <c r="G10" s="663"/>
      <c r="H10" s="677"/>
      <c r="I10" s="569"/>
      <c r="J10" s="674"/>
      <c r="K10" s="675"/>
      <c r="L10" s="663"/>
    </row>
    <row r="11" spans="1:12" s="603" customFormat="1" ht="10.5" x14ac:dyDescent="0.15">
      <c r="A11" s="603" t="s">
        <v>1648</v>
      </c>
      <c r="B11" s="676">
        <v>22207314</v>
      </c>
      <c r="C11" s="676">
        <v>28584889</v>
      </c>
      <c r="D11" s="569">
        <v>48801896</v>
      </c>
      <c r="E11" s="569">
        <v>52371173</v>
      </c>
      <c r="F11" s="248">
        <v>82902431</v>
      </c>
      <c r="G11" s="663"/>
      <c r="H11" s="677"/>
      <c r="I11" s="569"/>
      <c r="J11" s="674"/>
      <c r="K11" s="675"/>
      <c r="L11" s="663"/>
    </row>
    <row r="12" spans="1:12" s="603" customFormat="1" ht="10.5" x14ac:dyDescent="0.15">
      <c r="A12" s="603" t="s">
        <v>1649</v>
      </c>
      <c r="B12" s="676">
        <v>57564744</v>
      </c>
      <c r="C12" s="676">
        <v>60562000</v>
      </c>
      <c r="D12" s="569">
        <v>71915335</v>
      </c>
      <c r="E12" s="569">
        <v>76821471</v>
      </c>
      <c r="F12" s="248">
        <v>83296304</v>
      </c>
      <c r="G12" s="663"/>
      <c r="H12" s="677"/>
      <c r="I12" s="569"/>
      <c r="J12" s="674"/>
      <c r="K12" s="675"/>
      <c r="L12" s="663"/>
    </row>
    <row r="13" spans="1:12" s="603" customFormat="1" ht="10.5" x14ac:dyDescent="0.15">
      <c r="A13" s="603" t="s">
        <v>1650</v>
      </c>
      <c r="B13" s="676">
        <v>1153818472</v>
      </c>
      <c r="C13" s="676">
        <v>1296698812</v>
      </c>
      <c r="D13" s="569">
        <v>1466838839</v>
      </c>
      <c r="E13" s="569">
        <v>1725212937</v>
      </c>
      <c r="F13" s="248">
        <v>2042015694</v>
      </c>
      <c r="G13" s="663"/>
      <c r="H13" s="677"/>
      <c r="I13" s="569"/>
      <c r="J13" s="674"/>
      <c r="K13" s="675"/>
      <c r="L13" s="663"/>
    </row>
    <row r="14" spans="1:12" s="603" customFormat="1" ht="10.5" x14ac:dyDescent="0.15">
      <c r="A14" s="603" t="s">
        <v>1651</v>
      </c>
      <c r="B14" s="676">
        <v>16111550</v>
      </c>
      <c r="C14" s="676">
        <v>22611090</v>
      </c>
      <c r="D14" s="569">
        <v>25483677</v>
      </c>
      <c r="E14" s="569">
        <v>18887694</v>
      </c>
      <c r="F14" s="248">
        <v>11231505</v>
      </c>
      <c r="G14" s="663"/>
      <c r="H14" s="677"/>
      <c r="I14" s="379"/>
      <c r="J14" s="678"/>
      <c r="K14" s="661"/>
      <c r="L14" s="663"/>
    </row>
    <row r="15" spans="1:12" s="603" customFormat="1" ht="10.5" x14ac:dyDescent="0.15">
      <c r="A15" s="603" t="s">
        <v>1666</v>
      </c>
      <c r="B15" s="664">
        <v>2396566</v>
      </c>
      <c r="C15" s="665">
        <v>0</v>
      </c>
      <c r="D15" s="329">
        <v>9228521</v>
      </c>
      <c r="E15" s="329">
        <v>7939871</v>
      </c>
      <c r="F15" s="248">
        <v>350404</v>
      </c>
      <c r="G15" s="663"/>
      <c r="H15" s="677"/>
      <c r="I15" s="379"/>
      <c r="J15" s="678"/>
      <c r="K15" s="661"/>
      <c r="L15" s="663"/>
    </row>
    <row r="16" spans="1:12" s="603" customFormat="1" ht="10.5" x14ac:dyDescent="0.15">
      <c r="B16" s="664"/>
      <c r="C16" s="665"/>
      <c r="D16" s="664"/>
      <c r="E16" s="665"/>
      <c r="F16" s="329"/>
      <c r="G16" s="663"/>
      <c r="H16" s="677"/>
      <c r="I16" s="379"/>
      <c r="J16" s="379"/>
      <c r="K16" s="663"/>
      <c r="L16" s="663"/>
    </row>
    <row r="17" spans="1:19" s="400" customFormat="1" ht="12" customHeight="1" x14ac:dyDescent="0.15">
      <c r="A17" s="603" t="s">
        <v>1663</v>
      </c>
      <c r="B17" s="603"/>
      <c r="C17" s="603"/>
      <c r="D17" s="679"/>
      <c r="E17" s="679"/>
      <c r="F17" s="603"/>
      <c r="G17" s="593"/>
      <c r="I17" s="251"/>
      <c r="J17" s="399"/>
      <c r="K17" s="399"/>
      <c r="L17" s="399"/>
      <c r="M17" s="399"/>
      <c r="N17" s="399"/>
      <c r="O17" s="399"/>
      <c r="P17" s="399"/>
      <c r="Q17" s="399"/>
      <c r="R17" s="399"/>
      <c r="S17" s="399"/>
    </row>
    <row r="18" spans="1:19" s="603" customFormat="1" ht="10.5" x14ac:dyDescent="0.15">
      <c r="A18" s="680" t="s">
        <v>20</v>
      </c>
      <c r="B18" s="593"/>
      <c r="C18" s="593"/>
      <c r="D18" s="593"/>
      <c r="E18" s="593"/>
      <c r="F18" s="593"/>
      <c r="H18" s="380"/>
      <c r="I18" s="380"/>
      <c r="J18" s="380"/>
    </row>
    <row r="19" spans="1:19" s="603" customFormat="1" ht="10.5" x14ac:dyDescent="0.15">
      <c r="A19" s="663" t="s">
        <v>1537</v>
      </c>
      <c r="H19" s="380"/>
      <c r="I19" s="380"/>
      <c r="J19" s="380"/>
    </row>
    <row r="20" spans="1:19" x14ac:dyDescent="0.2">
      <c r="H20" s="558"/>
      <c r="I20" s="558"/>
      <c r="J20" s="558"/>
    </row>
  </sheetData>
  <mergeCells count="4">
    <mergeCell ref="A2:F2"/>
    <mergeCell ref="A3:F3"/>
    <mergeCell ref="A4:A5"/>
    <mergeCell ref="B4:F4"/>
  </mergeCells>
  <pageMargins left="0.7" right="0.7" top="0.75" bottom="0.75" header="0.3" footer="0.3"/>
  <pageSetup paperSize="14"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H16"/>
  <sheetViews>
    <sheetView zoomScaleNormal="100" workbookViewId="0">
      <selection activeCell="E34" sqref="E34"/>
    </sheetView>
  </sheetViews>
  <sheetFormatPr baseColWidth="10" defaultRowHeight="12.75" x14ac:dyDescent="0.2"/>
  <cols>
    <col min="1" max="1" width="23.140625" style="612" customWidth="1"/>
    <col min="2" max="2" width="15.28515625" style="612" bestFit="1" customWidth="1"/>
    <col min="3" max="6" width="14.140625" style="612" bestFit="1" customWidth="1"/>
    <col min="7" max="7" width="4.85546875" style="612" customWidth="1"/>
    <col min="8" max="16384" width="11.42578125" style="612"/>
  </cols>
  <sheetData>
    <row r="1" spans="1:8" ht="15.75" x14ac:dyDescent="0.2">
      <c r="A1" s="658"/>
    </row>
    <row r="2" spans="1:8" s="603" customFormat="1" ht="24" customHeight="1" x14ac:dyDescent="0.15">
      <c r="A2" s="2312" t="s">
        <v>1667</v>
      </c>
      <c r="B2" s="2312"/>
      <c r="C2" s="2312"/>
      <c r="D2" s="2312"/>
      <c r="E2" s="2312"/>
      <c r="F2" s="2312"/>
    </row>
    <row r="3" spans="1:8" s="603" customFormat="1" ht="7.5" customHeight="1" x14ac:dyDescent="0.15">
      <c r="A3" s="604"/>
      <c r="G3" s="663"/>
    </row>
    <row r="4" spans="1:8" s="603" customFormat="1" ht="13.5" customHeight="1" x14ac:dyDescent="0.15">
      <c r="A4" s="2783" t="s">
        <v>1398</v>
      </c>
      <c r="B4" s="2783" t="s">
        <v>1643</v>
      </c>
      <c r="C4" s="2783"/>
      <c r="D4" s="2783"/>
      <c r="E4" s="2783"/>
      <c r="F4" s="2783"/>
      <c r="G4" s="663"/>
      <c r="H4" s="380"/>
    </row>
    <row r="5" spans="1:8" s="603" customFormat="1" ht="13.5" customHeight="1" x14ac:dyDescent="0.15">
      <c r="A5" s="2783"/>
      <c r="B5" s="681">
        <v>2011</v>
      </c>
      <c r="C5" s="681">
        <v>2012</v>
      </c>
      <c r="D5" s="681">
        <v>2013</v>
      </c>
      <c r="E5" s="681">
        <v>2014</v>
      </c>
      <c r="F5" s="681">
        <v>2015</v>
      </c>
      <c r="H5" s="380"/>
    </row>
    <row r="6" spans="1:8" s="603" customFormat="1" ht="10.5" x14ac:dyDescent="0.15">
      <c r="A6" s="604" t="s">
        <v>141</v>
      </c>
      <c r="B6" s="659">
        <f t="shared" ref="B6:F6" si="0">SUM(B7:B9)</f>
        <v>2304052834</v>
      </c>
      <c r="C6" s="659">
        <f t="shared" si="0"/>
        <v>2875080399</v>
      </c>
      <c r="D6" s="659">
        <f t="shared" si="0"/>
        <v>3355595094</v>
      </c>
      <c r="E6" s="659">
        <f t="shared" si="0"/>
        <v>3634295459</v>
      </c>
      <c r="F6" s="659">
        <f t="shared" si="0"/>
        <v>4118999251</v>
      </c>
      <c r="H6" s="380"/>
    </row>
    <row r="7" spans="1:8" s="603" customFormat="1" ht="10.5" x14ac:dyDescent="0.15">
      <c r="A7" s="603" t="s">
        <v>1668</v>
      </c>
      <c r="B7" s="682">
        <v>886376463</v>
      </c>
      <c r="C7" s="682">
        <v>1186621756</v>
      </c>
      <c r="D7" s="667">
        <v>1484043907</v>
      </c>
      <c r="E7" s="667">
        <v>1410125822</v>
      </c>
      <c r="F7" s="667">
        <v>1600842273</v>
      </c>
      <c r="H7" s="380"/>
    </row>
    <row r="8" spans="1:8" s="603" customFormat="1" ht="10.5" x14ac:dyDescent="0.15">
      <c r="A8" s="603" t="s">
        <v>1669</v>
      </c>
      <c r="B8" s="682">
        <v>1298667173</v>
      </c>
      <c r="C8" s="682">
        <v>1534445533</v>
      </c>
      <c r="D8" s="667">
        <v>1682633226</v>
      </c>
      <c r="E8" s="667">
        <v>2033576722</v>
      </c>
      <c r="F8" s="667">
        <v>2276525555</v>
      </c>
      <c r="H8" s="380"/>
    </row>
    <row r="9" spans="1:8" s="603" customFormat="1" ht="10.5" x14ac:dyDescent="0.15">
      <c r="A9" s="603" t="s">
        <v>1662</v>
      </c>
      <c r="B9" s="682">
        <v>119009198</v>
      </c>
      <c r="C9" s="682">
        <v>154013110</v>
      </c>
      <c r="D9" s="667">
        <v>188917961</v>
      </c>
      <c r="E9" s="667">
        <v>190592915</v>
      </c>
      <c r="F9" s="667">
        <v>241631423</v>
      </c>
      <c r="H9" s="380"/>
    </row>
    <row r="10" spans="1:8" s="603" customFormat="1" ht="10.5" x14ac:dyDescent="0.15">
      <c r="B10" s="667"/>
      <c r="C10" s="667"/>
      <c r="D10" s="682"/>
      <c r="E10" s="682"/>
      <c r="F10" s="667"/>
      <c r="H10" s="380"/>
    </row>
    <row r="11" spans="1:8" s="603" customFormat="1" ht="10.5" x14ac:dyDescent="0.15">
      <c r="A11" s="603" t="s">
        <v>1652</v>
      </c>
      <c r="G11" s="663"/>
    </row>
    <row r="12" spans="1:8" s="603" customFormat="1" ht="10.5" x14ac:dyDescent="0.15">
      <c r="A12" s="663" t="s">
        <v>1537</v>
      </c>
    </row>
    <row r="13" spans="1:8" s="603" customFormat="1" ht="10.5" x14ac:dyDescent="0.15"/>
    <row r="14" spans="1:8" s="603" customFormat="1" ht="10.5" x14ac:dyDescent="0.15"/>
    <row r="15" spans="1:8" s="603" customFormat="1" ht="10.5" x14ac:dyDescent="0.15"/>
    <row r="16" spans="1:8" s="603" customFormat="1" ht="10.5" x14ac:dyDescent="0.15"/>
  </sheetData>
  <mergeCells count="3">
    <mergeCell ref="A2:F2"/>
    <mergeCell ref="A4:A5"/>
    <mergeCell ref="B4:F4"/>
  </mergeCells>
  <pageMargins left="0.7" right="0.7" top="0.75" bottom="0.75" header="0.3" footer="0.3"/>
  <pageSetup paperSize="14"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F31"/>
  <sheetViews>
    <sheetView workbookViewId="0">
      <selection activeCell="A2" sqref="A2:E2"/>
    </sheetView>
  </sheetViews>
  <sheetFormatPr baseColWidth="10" defaultColWidth="9.140625" defaultRowHeight="10.5" x14ac:dyDescent="0.15"/>
  <cols>
    <col min="1" max="1" width="22" style="99" customWidth="1"/>
    <col min="2" max="5" width="19.28515625" style="99" customWidth="1"/>
    <col min="6" max="6" width="9.7109375" style="99" customWidth="1"/>
    <col min="7" max="14" width="9.140625" style="99"/>
    <col min="15" max="15" width="14.28515625" style="99" bestFit="1" customWidth="1"/>
    <col min="16" max="16384" width="9.140625" style="99"/>
  </cols>
  <sheetData>
    <row r="1" spans="1:6" x14ac:dyDescent="0.15">
      <c r="A1" s="2081"/>
      <c r="B1" s="2081"/>
      <c r="C1" s="2081"/>
      <c r="D1" s="2081"/>
      <c r="E1" s="2081"/>
    </row>
    <row r="2" spans="1:6" ht="30.75" customHeight="1" x14ac:dyDescent="0.15">
      <c r="A2" s="2784" t="s">
        <v>5055</v>
      </c>
      <c r="B2" s="2784"/>
      <c r="C2" s="2784"/>
      <c r="D2" s="2784"/>
      <c r="E2" s="2784"/>
    </row>
    <row r="3" spans="1:6" ht="11.25" customHeight="1" x14ac:dyDescent="0.15">
      <c r="A3" s="136"/>
      <c r="B3" s="136"/>
      <c r="C3" s="136"/>
      <c r="D3" s="136"/>
      <c r="E3" s="136"/>
    </row>
    <row r="4" spans="1:6" ht="12.75" customHeight="1" x14ac:dyDescent="0.15">
      <c r="A4" s="2785" t="s">
        <v>1670</v>
      </c>
      <c r="B4" s="2786" t="s">
        <v>2</v>
      </c>
      <c r="C4" s="2786"/>
      <c r="D4" s="2786"/>
      <c r="E4" s="2786"/>
    </row>
    <row r="5" spans="1:6" x14ac:dyDescent="0.15">
      <c r="A5" s="2785"/>
      <c r="B5" s="2080">
        <v>2012</v>
      </c>
      <c r="C5" s="2080">
        <v>2013</v>
      </c>
      <c r="D5" s="2080">
        <v>2014</v>
      </c>
      <c r="E5" s="2080">
        <v>2015</v>
      </c>
    </row>
    <row r="6" spans="1:6" x14ac:dyDescent="0.15">
      <c r="A6" s="136" t="s">
        <v>1658</v>
      </c>
      <c r="B6" s="2156">
        <f>SUM(B7:B14)</f>
        <v>2004490482</v>
      </c>
      <c r="C6" s="2156">
        <f>SUM(C7:C14)</f>
        <v>2305760209</v>
      </c>
      <c r="D6" s="2156">
        <f>SUM(D7:D14)</f>
        <v>2607225305</v>
      </c>
      <c r="E6" s="2156">
        <f>SUM(E7:E14)</f>
        <v>3073050587</v>
      </c>
      <c r="F6" s="683"/>
    </row>
    <row r="7" spans="1:6" x14ac:dyDescent="0.15">
      <c r="A7" s="2048" t="s">
        <v>1644</v>
      </c>
      <c r="B7" s="547">
        <v>233219569</v>
      </c>
      <c r="C7" s="547">
        <v>250493760</v>
      </c>
      <c r="D7" s="547">
        <v>240693979</v>
      </c>
      <c r="E7" s="547">
        <v>231720337</v>
      </c>
    </row>
    <row r="8" spans="1:6" x14ac:dyDescent="0.15">
      <c r="A8" s="2048" t="s">
        <v>1645</v>
      </c>
      <c r="B8" s="547">
        <v>443191051</v>
      </c>
      <c r="C8" s="547">
        <v>439271932</v>
      </c>
      <c r="D8" s="547">
        <v>435467674</v>
      </c>
      <c r="E8" s="547">
        <v>432775156</v>
      </c>
    </row>
    <row r="9" spans="1:6" x14ac:dyDescent="0.15">
      <c r="A9" s="2048" t="s">
        <v>1671</v>
      </c>
      <c r="B9" s="547">
        <v>121671221</v>
      </c>
      <c r="C9" s="547">
        <v>130077412</v>
      </c>
      <c r="D9" s="547">
        <v>135421448</v>
      </c>
      <c r="E9" s="547">
        <v>174189019</v>
      </c>
    </row>
    <row r="10" spans="1:6" x14ac:dyDescent="0.15">
      <c r="A10" s="2048" t="s">
        <v>1672</v>
      </c>
      <c r="B10" s="547">
        <v>496680245</v>
      </c>
      <c r="C10" s="547">
        <v>669182949</v>
      </c>
      <c r="D10" s="547">
        <v>858995566</v>
      </c>
      <c r="E10" s="547">
        <v>1122278693</v>
      </c>
    </row>
    <row r="11" spans="1:6" x14ac:dyDescent="0.15">
      <c r="A11" s="2048" t="s">
        <v>1648</v>
      </c>
      <c r="B11" s="547">
        <v>14292445</v>
      </c>
      <c r="C11" s="547">
        <v>24400948</v>
      </c>
      <c r="D11" s="547">
        <v>26185587</v>
      </c>
      <c r="E11" s="547">
        <v>41414503</v>
      </c>
    </row>
    <row r="12" spans="1:6" x14ac:dyDescent="0.15">
      <c r="A12" s="2048" t="s">
        <v>1650</v>
      </c>
      <c r="B12" s="547">
        <v>648349406</v>
      </c>
      <c r="C12" s="547">
        <v>733419420</v>
      </c>
      <c r="D12" s="547">
        <v>862606468</v>
      </c>
      <c r="E12" s="547">
        <v>1023507525</v>
      </c>
    </row>
    <row r="13" spans="1:6" x14ac:dyDescent="0.15">
      <c r="A13" s="2048" t="s">
        <v>431</v>
      </c>
      <c r="B13" s="547">
        <v>30281000</v>
      </c>
      <c r="C13" s="547">
        <v>35957668</v>
      </c>
      <c r="D13" s="547">
        <v>38410736</v>
      </c>
      <c r="E13" s="547">
        <v>41585988</v>
      </c>
    </row>
    <row r="14" spans="1:6" x14ac:dyDescent="0.15">
      <c r="A14" s="2048" t="s">
        <v>1651</v>
      </c>
      <c r="B14" s="547">
        <v>16805545</v>
      </c>
      <c r="C14" s="547">
        <v>22956120</v>
      </c>
      <c r="D14" s="547">
        <v>9443847</v>
      </c>
      <c r="E14" s="547">
        <v>5579366</v>
      </c>
    </row>
    <row r="15" spans="1:6" x14ac:dyDescent="0.15">
      <c r="A15" s="136" t="s">
        <v>1659</v>
      </c>
      <c r="B15" s="2156">
        <f>SUM(B16:B24)</f>
        <v>1251652110</v>
      </c>
      <c r="C15" s="2156">
        <f>SUM(C16:C24)</f>
        <v>1533229755</v>
      </c>
      <c r="D15" s="2156">
        <f>SUM(D16:D24)</f>
        <v>1697883038</v>
      </c>
      <c r="E15" s="2156">
        <f>SUM(E16:E24)</f>
        <v>1996479204</v>
      </c>
    </row>
    <row r="16" spans="1:6" ht="11.25" x14ac:dyDescent="0.15">
      <c r="A16" s="2048" t="s">
        <v>1673</v>
      </c>
      <c r="B16" s="547">
        <v>218839104</v>
      </c>
      <c r="C16" s="547">
        <v>126319059</v>
      </c>
      <c r="D16" s="547">
        <v>12471096</v>
      </c>
      <c r="E16" s="547">
        <v>0</v>
      </c>
    </row>
    <row r="17" spans="1:5" x14ac:dyDescent="0.15">
      <c r="A17" s="2048" t="s">
        <v>1674</v>
      </c>
      <c r="B17" s="547">
        <v>151658490</v>
      </c>
      <c r="C17" s="547">
        <v>174659001</v>
      </c>
      <c r="D17" s="547">
        <v>78367528</v>
      </c>
      <c r="E17" s="547">
        <v>90837641</v>
      </c>
    </row>
    <row r="18" spans="1:5" x14ac:dyDescent="0.15">
      <c r="A18" s="2048" t="s">
        <v>1675</v>
      </c>
      <c r="B18" s="547">
        <v>126415049</v>
      </c>
      <c r="C18" s="547">
        <v>154688268</v>
      </c>
      <c r="D18" s="547">
        <v>38298272</v>
      </c>
      <c r="E18" s="547">
        <v>0</v>
      </c>
    </row>
    <row r="19" spans="1:5" x14ac:dyDescent="0.15">
      <c r="A19" s="2048" t="s">
        <v>1676</v>
      </c>
      <c r="B19" s="547">
        <v>211138038</v>
      </c>
      <c r="C19" s="547">
        <v>474648056</v>
      </c>
      <c r="D19" s="547">
        <v>593852000</v>
      </c>
      <c r="E19" s="547">
        <v>698813623</v>
      </c>
    </row>
    <row r="20" spans="1:5" x14ac:dyDescent="0.15">
      <c r="A20" s="2048" t="s">
        <v>1677</v>
      </c>
      <c r="B20" s="547">
        <v>315944116</v>
      </c>
      <c r="C20" s="547">
        <v>296902258</v>
      </c>
      <c r="D20" s="547">
        <v>494950165</v>
      </c>
      <c r="E20" s="547">
        <v>623937977</v>
      </c>
    </row>
    <row r="21" spans="1:5" x14ac:dyDescent="0.15">
      <c r="A21" s="2048" t="s">
        <v>1678</v>
      </c>
      <c r="B21" s="547">
        <v>227657313</v>
      </c>
      <c r="C21" s="547">
        <v>237543796</v>
      </c>
      <c r="D21" s="547">
        <v>445461245</v>
      </c>
      <c r="E21" s="547">
        <v>555256232</v>
      </c>
    </row>
    <row r="22" spans="1:5" x14ac:dyDescent="0.15">
      <c r="A22" s="2048" t="s">
        <v>1679</v>
      </c>
      <c r="B22" s="547">
        <v>0</v>
      </c>
      <c r="C22" s="547">
        <v>68469317</v>
      </c>
      <c r="D22" s="547">
        <v>34482732</v>
      </c>
      <c r="E22" s="547">
        <v>12991317</v>
      </c>
    </row>
    <row r="23" spans="1:5" x14ac:dyDescent="0.15">
      <c r="A23" s="2048" t="s">
        <v>1680</v>
      </c>
      <c r="B23" s="547">
        <v>0</v>
      </c>
      <c r="C23" s="547">
        <v>0</v>
      </c>
      <c r="D23" s="547">
        <v>0</v>
      </c>
      <c r="E23" s="547">
        <v>14055636</v>
      </c>
    </row>
    <row r="24" spans="1:5" x14ac:dyDescent="0.15">
      <c r="A24" s="2048" t="s">
        <v>1681</v>
      </c>
      <c r="B24" s="547">
        <v>0</v>
      </c>
      <c r="C24" s="547">
        <v>0</v>
      </c>
      <c r="D24" s="547">
        <v>0</v>
      </c>
      <c r="E24" s="547">
        <v>586778</v>
      </c>
    </row>
    <row r="25" spans="1:5" x14ac:dyDescent="0.15">
      <c r="A25" s="2062"/>
      <c r="B25" s="2062"/>
      <c r="C25" s="2062"/>
      <c r="D25" s="2062"/>
      <c r="E25" s="547"/>
    </row>
    <row r="26" spans="1:5" ht="21.75" customHeight="1" x14ac:dyDescent="0.15">
      <c r="A26" s="2645" t="s">
        <v>1682</v>
      </c>
      <c r="B26" s="2645"/>
      <c r="C26" s="2645"/>
      <c r="D26" s="2645"/>
      <c r="E26" s="2645"/>
    </row>
    <row r="27" spans="1:5" ht="24" customHeight="1" x14ac:dyDescent="0.15">
      <c r="A27" s="2345" t="s">
        <v>1683</v>
      </c>
      <c r="B27" s="2345"/>
      <c r="C27" s="2345"/>
      <c r="D27" s="2345"/>
      <c r="E27" s="2345"/>
    </row>
    <row r="28" spans="1:5" ht="12" customHeight="1" x14ac:dyDescent="0.15">
      <c r="A28" s="2645" t="s">
        <v>1684</v>
      </c>
      <c r="B28" s="2645"/>
      <c r="C28" s="2645"/>
      <c r="D28" s="2645"/>
      <c r="E28" s="2645"/>
    </row>
    <row r="29" spans="1:5" ht="11.25" customHeight="1" x14ac:dyDescent="0.15">
      <c r="A29" s="2645" t="s">
        <v>1685</v>
      </c>
      <c r="B29" s="2645"/>
      <c r="C29" s="2645"/>
      <c r="D29" s="2645"/>
      <c r="E29" s="2645"/>
    </row>
    <row r="30" spans="1:5" ht="11.25" customHeight="1" x14ac:dyDescent="0.15">
      <c r="A30" s="2645" t="s">
        <v>1686</v>
      </c>
      <c r="B30" s="2645"/>
      <c r="C30" s="2645"/>
      <c r="D30" s="2645"/>
      <c r="E30" s="2645"/>
    </row>
    <row r="31" spans="1:5" x14ac:dyDescent="0.15">
      <c r="A31" s="2081"/>
      <c r="B31" s="2081"/>
      <c r="C31" s="2081"/>
      <c r="D31" s="2081"/>
      <c r="E31" s="2081"/>
    </row>
  </sheetData>
  <mergeCells count="8">
    <mergeCell ref="A29:E29"/>
    <mergeCell ref="A30:E30"/>
    <mergeCell ref="A2:E2"/>
    <mergeCell ref="A4:A5"/>
    <mergeCell ref="B4:E4"/>
    <mergeCell ref="A26:E26"/>
    <mergeCell ref="A27:E27"/>
    <mergeCell ref="A28:E2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E32"/>
  <sheetViews>
    <sheetView workbookViewId="0">
      <selection activeCell="E31" sqref="E31"/>
    </sheetView>
  </sheetViews>
  <sheetFormatPr baseColWidth="10" defaultColWidth="9.140625" defaultRowHeight="12.75" x14ac:dyDescent="0.2"/>
  <cols>
    <col min="1" max="1" width="40.140625" style="538" customWidth="1"/>
    <col min="2" max="5" width="16.42578125" style="538" customWidth="1"/>
    <col min="6" max="6" width="7.28515625" style="538" customWidth="1"/>
    <col min="7" max="16384" width="9.140625" style="538"/>
  </cols>
  <sheetData>
    <row r="1" spans="1:5" ht="11.25" customHeight="1" x14ac:dyDescent="0.2"/>
    <row r="2" spans="1:5" s="684" customFormat="1" ht="25.5" customHeight="1" x14ac:dyDescent="0.2">
      <c r="A2" s="2784" t="s">
        <v>5057</v>
      </c>
      <c r="B2" s="2784"/>
      <c r="C2" s="2784"/>
      <c r="D2" s="2784"/>
      <c r="E2" s="2784"/>
    </row>
    <row r="3" spans="1:5" ht="11.25" customHeight="1" x14ac:dyDescent="0.2">
      <c r="A3" s="136"/>
      <c r="B3" s="136"/>
      <c r="C3" s="136"/>
      <c r="D3" s="136"/>
      <c r="E3" s="136"/>
    </row>
    <row r="4" spans="1:5" ht="12.75" customHeight="1" x14ac:dyDescent="0.2">
      <c r="A4" s="2785" t="s">
        <v>1687</v>
      </c>
      <c r="B4" s="2786" t="s">
        <v>2</v>
      </c>
      <c r="C4" s="2786"/>
      <c r="D4" s="2786"/>
      <c r="E4" s="2786"/>
    </row>
    <row r="5" spans="1:5" ht="13.5" customHeight="1" x14ac:dyDescent="0.2">
      <c r="A5" s="2785"/>
      <c r="B5" s="2080">
        <v>2012</v>
      </c>
      <c r="C5" s="2080">
        <v>2013</v>
      </c>
      <c r="D5" s="2080">
        <v>2014</v>
      </c>
      <c r="E5" s="2080">
        <v>2015</v>
      </c>
    </row>
    <row r="6" spans="1:5" x14ac:dyDescent="0.2">
      <c r="A6" s="136" t="s">
        <v>1658</v>
      </c>
      <c r="B6" s="2157">
        <f>SUM(B7:B14)</f>
        <v>220301686</v>
      </c>
      <c r="C6" s="2157">
        <f>SUM(C7:C14)</f>
        <v>303988581</v>
      </c>
      <c r="D6" s="2157">
        <f>SUM(D7:D14)</f>
        <v>335861032</v>
      </c>
      <c r="E6" s="2157">
        <f>SUM(E7:E14)</f>
        <v>370346228</v>
      </c>
    </row>
    <row r="7" spans="1:5" x14ac:dyDescent="0.2">
      <c r="A7" s="2048" t="s">
        <v>1674</v>
      </c>
      <c r="B7" s="547">
        <v>36566269</v>
      </c>
      <c r="C7" s="547">
        <v>29803504</v>
      </c>
      <c r="D7" s="547">
        <v>16430848</v>
      </c>
      <c r="E7" s="433">
        <v>14378964</v>
      </c>
    </row>
    <row r="8" spans="1:5" x14ac:dyDescent="0.2">
      <c r="A8" s="2048" t="s">
        <v>1676</v>
      </c>
      <c r="B8" s="547">
        <v>26794074</v>
      </c>
      <c r="C8" s="547">
        <v>92697728</v>
      </c>
      <c r="D8" s="547">
        <v>120068078</v>
      </c>
      <c r="E8" s="433">
        <v>124123014</v>
      </c>
    </row>
    <row r="9" spans="1:5" x14ac:dyDescent="0.2">
      <c r="A9" s="2048" t="s">
        <v>1677</v>
      </c>
      <c r="B9" s="547">
        <v>22754123</v>
      </c>
      <c r="C9" s="547">
        <v>67068422</v>
      </c>
      <c r="D9" s="547">
        <v>94518354</v>
      </c>
      <c r="E9" s="433">
        <v>113603598</v>
      </c>
    </row>
    <row r="10" spans="1:5" x14ac:dyDescent="0.2">
      <c r="A10" s="2048" t="s">
        <v>1678</v>
      </c>
      <c r="B10" s="547">
        <v>34767906</v>
      </c>
      <c r="C10" s="547">
        <v>51306755</v>
      </c>
      <c r="D10" s="547">
        <v>81822237</v>
      </c>
      <c r="E10" s="433">
        <v>89009030</v>
      </c>
    </row>
    <row r="11" spans="1:5" x14ac:dyDescent="0.2">
      <c r="A11" s="2048" t="s">
        <v>1688</v>
      </c>
      <c r="B11" s="547">
        <v>54580467</v>
      </c>
      <c r="C11" s="547">
        <v>23035226</v>
      </c>
      <c r="D11" s="547">
        <v>4887725</v>
      </c>
      <c r="E11" s="433">
        <v>11718639</v>
      </c>
    </row>
    <row r="12" spans="1:5" x14ac:dyDescent="0.2">
      <c r="A12" s="2048" t="s">
        <v>1675</v>
      </c>
      <c r="B12" s="547">
        <v>37857543</v>
      </c>
      <c r="C12" s="547">
        <v>27848179</v>
      </c>
      <c r="D12" s="547">
        <v>5581662</v>
      </c>
      <c r="E12" s="433">
        <v>0</v>
      </c>
    </row>
    <row r="13" spans="1:5" x14ac:dyDescent="0.2">
      <c r="A13" s="2048" t="s">
        <v>1689</v>
      </c>
      <c r="B13" s="547">
        <v>6981304</v>
      </c>
      <c r="C13" s="547">
        <v>12228767</v>
      </c>
      <c r="D13" s="547">
        <v>5669855</v>
      </c>
      <c r="E13" s="433">
        <v>2049768</v>
      </c>
    </row>
    <row r="14" spans="1:5" x14ac:dyDescent="0.2">
      <c r="A14" s="2048" t="s">
        <v>1690</v>
      </c>
      <c r="B14" s="547">
        <v>0</v>
      </c>
      <c r="C14" s="547">
        <v>0</v>
      </c>
      <c r="D14" s="547">
        <v>6882273</v>
      </c>
      <c r="E14" s="433">
        <v>15463215</v>
      </c>
    </row>
    <row r="15" spans="1:5" x14ac:dyDescent="0.2">
      <c r="A15" s="136" t="s">
        <v>1659</v>
      </c>
      <c r="B15" s="2157">
        <f>SUM(B16:B23)</f>
        <v>210330268</v>
      </c>
      <c r="C15" s="2157">
        <f>SUM(C16:C23)</f>
        <v>313159839</v>
      </c>
      <c r="D15" s="2157">
        <f>SUM(D16:D23)</f>
        <v>360666920</v>
      </c>
      <c r="E15" s="2157">
        <f>SUM(E16:E23)</f>
        <v>263519935</v>
      </c>
    </row>
    <row r="16" spans="1:5" x14ac:dyDescent="0.2">
      <c r="A16" s="2048" t="s">
        <v>1691</v>
      </c>
      <c r="B16" s="547">
        <v>26194647</v>
      </c>
      <c r="C16" s="547">
        <v>41247832</v>
      </c>
      <c r="D16" s="547">
        <v>12810751</v>
      </c>
      <c r="E16" s="433">
        <v>12724807</v>
      </c>
    </row>
    <row r="17" spans="1:5" x14ac:dyDescent="0.2">
      <c r="A17" s="2048" t="s">
        <v>1676</v>
      </c>
      <c r="B17" s="547">
        <v>27205668</v>
      </c>
      <c r="C17" s="547">
        <v>85060475</v>
      </c>
      <c r="D17" s="547">
        <v>98447934</v>
      </c>
      <c r="E17" s="433">
        <v>85415231</v>
      </c>
    </row>
    <row r="18" spans="1:5" x14ac:dyDescent="0.2">
      <c r="A18" s="2048" t="s">
        <v>1677</v>
      </c>
      <c r="B18" s="547">
        <v>42009485</v>
      </c>
      <c r="C18" s="547">
        <v>54413753</v>
      </c>
      <c r="D18" s="547">
        <v>95067514</v>
      </c>
      <c r="E18" s="433">
        <v>70610456</v>
      </c>
    </row>
    <row r="19" spans="1:5" x14ac:dyDescent="0.2">
      <c r="A19" s="2048" t="s">
        <v>1678</v>
      </c>
      <c r="B19" s="547">
        <v>24937440</v>
      </c>
      <c r="C19" s="547">
        <v>55506512</v>
      </c>
      <c r="D19" s="547">
        <v>60714954</v>
      </c>
      <c r="E19" s="433">
        <v>70655323</v>
      </c>
    </row>
    <row r="20" spans="1:5" x14ac:dyDescent="0.2">
      <c r="A20" s="2048" t="s">
        <v>1675</v>
      </c>
      <c r="B20" s="547">
        <v>40962989</v>
      </c>
      <c r="C20" s="547">
        <v>30851857</v>
      </c>
      <c r="D20" s="547">
        <v>43420108</v>
      </c>
      <c r="E20" s="433">
        <v>0</v>
      </c>
    </row>
    <row r="21" spans="1:5" x14ac:dyDescent="0.2">
      <c r="A21" s="2048" t="s">
        <v>1692</v>
      </c>
      <c r="B21" s="547">
        <v>46233344</v>
      </c>
      <c r="C21" s="547">
        <v>31804938</v>
      </c>
      <c r="D21" s="547">
        <v>38099080</v>
      </c>
      <c r="E21" s="433">
        <v>9460299</v>
      </c>
    </row>
    <row r="22" spans="1:5" x14ac:dyDescent="0.2">
      <c r="A22" s="2048" t="s">
        <v>1679</v>
      </c>
      <c r="B22" s="547">
        <v>2786695</v>
      </c>
      <c r="C22" s="547">
        <v>14274472</v>
      </c>
      <c r="D22" s="547">
        <v>7657318</v>
      </c>
      <c r="E22" s="433">
        <v>1404816</v>
      </c>
    </row>
    <row r="23" spans="1:5" x14ac:dyDescent="0.2">
      <c r="A23" s="2048" t="s">
        <v>1690</v>
      </c>
      <c r="B23" s="547">
        <v>0</v>
      </c>
      <c r="C23" s="547">
        <v>0</v>
      </c>
      <c r="D23" s="547">
        <v>4449261</v>
      </c>
      <c r="E23" s="433">
        <v>13249003</v>
      </c>
    </row>
    <row r="24" spans="1:5" x14ac:dyDescent="0.2">
      <c r="A24" s="2158"/>
      <c r="B24" s="2158"/>
      <c r="C24" s="2158"/>
      <c r="D24" s="2158"/>
      <c r="E24" s="2158"/>
    </row>
    <row r="25" spans="1:5" ht="15" customHeight="1" x14ac:dyDescent="0.2">
      <c r="A25" s="2645" t="s">
        <v>1693</v>
      </c>
      <c r="B25" s="2645"/>
      <c r="C25" s="2645"/>
      <c r="D25" s="2645"/>
      <c r="E25" s="2787"/>
    </row>
    <row r="26" spans="1:5" ht="22.5" customHeight="1" x14ac:dyDescent="0.2">
      <c r="A26" s="2645" t="s">
        <v>1683</v>
      </c>
      <c r="B26" s="2645"/>
      <c r="C26" s="2645"/>
      <c r="D26" s="2645"/>
      <c r="E26" s="2787"/>
    </row>
    <row r="27" spans="1:5" ht="12" customHeight="1" x14ac:dyDescent="0.2">
      <c r="A27" s="2645" t="s">
        <v>1694</v>
      </c>
      <c r="B27" s="2645"/>
      <c r="C27" s="2645"/>
      <c r="D27" s="2645"/>
      <c r="E27" s="2787"/>
    </row>
    <row r="28" spans="1:5" ht="11.25" customHeight="1" x14ac:dyDescent="0.2">
      <c r="A28" s="684"/>
      <c r="B28" s="684"/>
      <c r="C28" s="684"/>
      <c r="D28" s="684"/>
      <c r="E28" s="684"/>
    </row>
    <row r="29" spans="1:5" ht="11.25" customHeight="1" x14ac:dyDescent="0.2"/>
    <row r="32" spans="1:5" x14ac:dyDescent="0.2">
      <c r="C32" s="685"/>
    </row>
  </sheetData>
  <mergeCells count="6">
    <mergeCell ref="A27:E27"/>
    <mergeCell ref="A2:E2"/>
    <mergeCell ref="A4:A5"/>
    <mergeCell ref="B4:E4"/>
    <mergeCell ref="A25:E25"/>
    <mergeCell ref="A26:E2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D13"/>
  <sheetViews>
    <sheetView workbookViewId="0">
      <selection activeCell="A13" sqref="A13:B13"/>
    </sheetView>
  </sheetViews>
  <sheetFormatPr baseColWidth="10" defaultColWidth="11.42578125" defaultRowHeight="10.5" x14ac:dyDescent="0.15"/>
  <cols>
    <col min="1" max="1" width="27.28515625" style="1" customWidth="1"/>
    <col min="2" max="2" width="38.5703125" style="1" customWidth="1"/>
    <col min="3" max="3" width="5.140625" style="1" customWidth="1"/>
    <col min="4" max="16384" width="11.42578125" style="1"/>
  </cols>
  <sheetData>
    <row r="2" spans="1:4" s="29" customFormat="1" ht="47.25" customHeight="1" x14ac:dyDescent="0.15">
      <c r="A2" s="2313" t="s">
        <v>111</v>
      </c>
      <c r="B2" s="2313"/>
      <c r="D2" s="68"/>
    </row>
    <row r="3" spans="1:4" ht="4.5" customHeight="1" x14ac:dyDescent="0.15"/>
    <row r="4" spans="1:4" ht="14.25" customHeight="1" x14ac:dyDescent="0.15">
      <c r="A4" s="37" t="s">
        <v>112</v>
      </c>
      <c r="B4" s="37" t="s">
        <v>113</v>
      </c>
    </row>
    <row r="5" spans="1:4" x14ac:dyDescent="0.15">
      <c r="A5" s="30" t="s">
        <v>4</v>
      </c>
      <c r="B5" s="71">
        <f>SUM(B6:B10)</f>
        <v>7159</v>
      </c>
    </row>
    <row r="6" spans="1:4" x14ac:dyDescent="0.15">
      <c r="A6" s="1" t="s">
        <v>114</v>
      </c>
      <c r="B6" s="33">
        <v>314</v>
      </c>
    </row>
    <row r="7" spans="1:4" x14ac:dyDescent="0.15">
      <c r="A7" s="1" t="s">
        <v>115</v>
      </c>
      <c r="B7" s="33">
        <v>2833</v>
      </c>
    </row>
    <row r="8" spans="1:4" x14ac:dyDescent="0.15">
      <c r="A8" s="1" t="s">
        <v>116</v>
      </c>
      <c r="B8" s="33">
        <v>127</v>
      </c>
    </row>
    <row r="9" spans="1:4" x14ac:dyDescent="0.15">
      <c r="A9" s="1" t="s">
        <v>117</v>
      </c>
      <c r="B9" s="33">
        <v>66</v>
      </c>
    </row>
    <row r="10" spans="1:4" x14ac:dyDescent="0.15">
      <c r="A10" s="1" t="s">
        <v>118</v>
      </c>
      <c r="B10" s="33">
        <v>3819</v>
      </c>
    </row>
    <row r="12" spans="1:4" ht="30" customHeight="1" x14ac:dyDescent="0.15">
      <c r="A12" s="2316" t="s">
        <v>119</v>
      </c>
      <c r="B12" s="2316"/>
    </row>
    <row r="13" spans="1:4" x14ac:dyDescent="0.15">
      <c r="A13" s="2316" t="s">
        <v>21</v>
      </c>
      <c r="B13" s="2316"/>
    </row>
  </sheetData>
  <mergeCells count="3">
    <mergeCell ref="A2:B2"/>
    <mergeCell ref="A12:B12"/>
    <mergeCell ref="A13:B13"/>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K25"/>
  <sheetViews>
    <sheetView workbookViewId="0">
      <selection activeCell="G29" sqref="G29"/>
    </sheetView>
  </sheetViews>
  <sheetFormatPr baseColWidth="10" defaultColWidth="9.140625" defaultRowHeight="10.5" x14ac:dyDescent="0.15"/>
  <cols>
    <col min="1" max="1" width="18.7109375" style="99" customWidth="1"/>
    <col min="2" max="11" width="15.7109375" style="99" customWidth="1"/>
    <col min="12" max="12" width="9.140625" style="99" customWidth="1"/>
    <col min="13" max="16384" width="9.140625" style="99"/>
  </cols>
  <sheetData>
    <row r="1" spans="1:11" ht="15" customHeight="1" x14ac:dyDescent="0.15">
      <c r="A1" s="2081"/>
      <c r="B1" s="2081"/>
      <c r="C1" s="2081"/>
      <c r="D1" s="2081"/>
      <c r="E1" s="2081"/>
      <c r="F1" s="2081"/>
      <c r="G1" s="2081"/>
      <c r="H1" s="2081"/>
      <c r="I1" s="2081"/>
      <c r="J1" s="2081"/>
      <c r="K1" s="2081"/>
    </row>
    <row r="2" spans="1:11" ht="15" customHeight="1" x14ac:dyDescent="0.15">
      <c r="A2" s="2388" t="s">
        <v>1695</v>
      </c>
      <c r="B2" s="2388"/>
      <c r="C2" s="2388"/>
      <c r="D2" s="2388"/>
      <c r="E2" s="2388"/>
      <c r="F2" s="2789"/>
      <c r="G2" s="2789"/>
      <c r="H2" s="2789"/>
      <c r="I2" s="2789"/>
      <c r="J2" s="2789"/>
      <c r="K2" s="2789"/>
    </row>
    <row r="3" spans="1:11" ht="7.5" customHeight="1" x14ac:dyDescent="0.15"/>
    <row r="4" spans="1:11" ht="24.75" customHeight="1" x14ac:dyDescent="0.15">
      <c r="A4" s="2772" t="s">
        <v>1696</v>
      </c>
      <c r="B4" s="2772" t="s">
        <v>1697</v>
      </c>
      <c r="C4" s="2772"/>
      <c r="D4" s="2772"/>
      <c r="E4" s="2772"/>
      <c r="F4" s="2772"/>
      <c r="G4" s="2772" t="s">
        <v>1698</v>
      </c>
      <c r="H4" s="2772"/>
      <c r="I4" s="2772"/>
      <c r="J4" s="2772"/>
      <c r="K4" s="2772"/>
    </row>
    <row r="5" spans="1:11" x14ac:dyDescent="0.15">
      <c r="A5" s="2772"/>
      <c r="B5" s="686">
        <v>2011</v>
      </c>
      <c r="C5" s="686">
        <v>2012</v>
      </c>
      <c r="D5" s="2060">
        <v>2013</v>
      </c>
      <c r="E5" s="2060">
        <v>2014</v>
      </c>
      <c r="F5" s="2069">
        <v>2015</v>
      </c>
      <c r="G5" s="2070">
        <v>2011</v>
      </c>
      <c r="H5" s="2070">
        <v>2012</v>
      </c>
      <c r="I5" s="2060">
        <v>2013</v>
      </c>
      <c r="J5" s="2060">
        <v>2014</v>
      </c>
      <c r="K5" s="2069">
        <v>2015</v>
      </c>
    </row>
    <row r="6" spans="1:11" x14ac:dyDescent="0.15">
      <c r="A6" s="2055" t="s">
        <v>141</v>
      </c>
      <c r="B6" s="458">
        <f t="shared" ref="B6:K6" si="0">SUM(B7:B14)</f>
        <v>6038280</v>
      </c>
      <c r="C6" s="458">
        <f t="shared" si="0"/>
        <v>8208947</v>
      </c>
      <c r="D6" s="458">
        <f t="shared" si="0"/>
        <v>8325178</v>
      </c>
      <c r="E6" s="458">
        <f t="shared" si="0"/>
        <v>8162704</v>
      </c>
      <c r="F6" s="2160">
        <f>SUM(F7:F14)</f>
        <v>11367535</v>
      </c>
      <c r="G6" s="458">
        <f t="shared" si="0"/>
        <v>2625203</v>
      </c>
      <c r="H6" s="458">
        <f t="shared" si="0"/>
        <v>3503223</v>
      </c>
      <c r="I6" s="458">
        <f t="shared" si="0"/>
        <v>3136146</v>
      </c>
      <c r="J6" s="458">
        <f t="shared" si="0"/>
        <v>1309444</v>
      </c>
      <c r="K6" s="2160">
        <f t="shared" si="0"/>
        <v>1127263</v>
      </c>
    </row>
    <row r="7" spans="1:11" x14ac:dyDescent="0.15">
      <c r="A7" s="2053" t="s">
        <v>1599</v>
      </c>
      <c r="B7" s="687">
        <v>3641734</v>
      </c>
      <c r="C7" s="687">
        <v>4503832</v>
      </c>
      <c r="D7" s="568">
        <v>3926408</v>
      </c>
      <c r="E7" s="568">
        <v>2146406</v>
      </c>
      <c r="F7" s="2161">
        <v>2006602</v>
      </c>
      <c r="G7" s="687">
        <v>2330172</v>
      </c>
      <c r="H7" s="687">
        <v>2796112</v>
      </c>
      <c r="I7" s="568">
        <v>2743692</v>
      </c>
      <c r="J7" s="568">
        <v>1019082</v>
      </c>
      <c r="K7" s="2162">
        <v>895974</v>
      </c>
    </row>
    <row r="8" spans="1:11" ht="11.25" x14ac:dyDescent="0.15">
      <c r="A8" s="2053" t="s">
        <v>1699</v>
      </c>
      <c r="B8" s="570">
        <v>0</v>
      </c>
      <c r="C8" s="687">
        <v>57156</v>
      </c>
      <c r="D8" s="568">
        <v>18510</v>
      </c>
      <c r="E8" s="568">
        <v>14065</v>
      </c>
      <c r="F8" s="2161">
        <v>63025</v>
      </c>
      <c r="G8" s="570">
        <v>0</v>
      </c>
      <c r="H8" s="687">
        <v>51667</v>
      </c>
      <c r="I8" s="568">
        <v>11700</v>
      </c>
      <c r="J8" s="568">
        <v>2608</v>
      </c>
      <c r="K8" s="2162">
        <v>23555</v>
      </c>
    </row>
    <row r="9" spans="1:11" ht="11.25" x14ac:dyDescent="0.15">
      <c r="A9" s="2053" t="s">
        <v>1700</v>
      </c>
      <c r="B9" s="687">
        <v>30976</v>
      </c>
      <c r="C9" s="687">
        <v>89268</v>
      </c>
      <c r="D9" s="568">
        <v>149380</v>
      </c>
      <c r="E9" s="568">
        <v>571313</v>
      </c>
      <c r="F9" s="2161">
        <v>538225</v>
      </c>
      <c r="G9" s="687">
        <v>4153</v>
      </c>
      <c r="H9" s="687">
        <v>11513</v>
      </c>
      <c r="I9" s="568">
        <v>21942</v>
      </c>
      <c r="J9" s="568">
        <v>80169</v>
      </c>
      <c r="K9" s="2162">
        <v>67818</v>
      </c>
    </row>
    <row r="10" spans="1:11" x14ac:dyDescent="0.15">
      <c r="A10" s="2053" t="s">
        <v>1701</v>
      </c>
      <c r="B10" s="687">
        <v>199891</v>
      </c>
      <c r="C10" s="687">
        <v>632371</v>
      </c>
      <c r="D10" s="568">
        <v>288754</v>
      </c>
      <c r="E10" s="568">
        <v>211062</v>
      </c>
      <c r="F10" s="2161">
        <v>113228</v>
      </c>
      <c r="G10" s="570">
        <v>192054</v>
      </c>
      <c r="H10" s="570">
        <v>457754</v>
      </c>
      <c r="I10" s="568">
        <v>202589</v>
      </c>
      <c r="J10" s="568">
        <v>201210</v>
      </c>
      <c r="K10" s="2162">
        <v>74592</v>
      </c>
    </row>
    <row r="11" spans="1:11" x14ac:dyDescent="0.15">
      <c r="A11" s="2053" t="s">
        <v>1702</v>
      </c>
      <c r="B11" s="687">
        <v>8980</v>
      </c>
      <c r="C11" s="687">
        <v>45633</v>
      </c>
      <c r="D11" s="568">
        <v>163014</v>
      </c>
      <c r="E11" s="568">
        <v>14065</v>
      </c>
      <c r="F11" s="2161">
        <v>9756</v>
      </c>
      <c r="G11" s="687">
        <v>1540</v>
      </c>
      <c r="H11" s="687">
        <v>7584</v>
      </c>
      <c r="I11" s="568">
        <v>48645</v>
      </c>
      <c r="J11" s="568">
        <v>2608</v>
      </c>
      <c r="K11" s="2162">
        <v>1827</v>
      </c>
    </row>
    <row r="12" spans="1:11" ht="11.25" x14ac:dyDescent="0.15">
      <c r="A12" s="2053" t="s">
        <v>1703</v>
      </c>
      <c r="B12" s="687">
        <v>1839132</v>
      </c>
      <c r="C12" s="687">
        <v>2608351</v>
      </c>
      <c r="D12" s="568">
        <v>3532848</v>
      </c>
      <c r="E12" s="568">
        <v>4916751</v>
      </c>
      <c r="F12" s="2161">
        <v>8241067</v>
      </c>
      <c r="G12" s="570">
        <v>0</v>
      </c>
      <c r="H12" s="570">
        <v>0</v>
      </c>
      <c r="I12" s="570">
        <v>0</v>
      </c>
      <c r="J12" s="570">
        <v>0</v>
      </c>
      <c r="K12" s="2162">
        <v>0</v>
      </c>
    </row>
    <row r="13" spans="1:11" x14ac:dyDescent="0.15">
      <c r="A13" s="2053" t="s">
        <v>1704</v>
      </c>
      <c r="B13" s="687">
        <v>317567</v>
      </c>
      <c r="C13" s="687">
        <v>240879</v>
      </c>
      <c r="D13" s="568">
        <v>235944</v>
      </c>
      <c r="E13" s="568">
        <v>285731</v>
      </c>
      <c r="F13" s="2161">
        <v>390538</v>
      </c>
      <c r="G13" s="687">
        <v>97284</v>
      </c>
      <c r="H13" s="687">
        <v>67009</v>
      </c>
      <c r="I13" s="568">
        <v>95578</v>
      </c>
      <c r="J13" s="568">
        <v>2776</v>
      </c>
      <c r="K13" s="2162">
        <v>62524</v>
      </c>
    </row>
    <row r="14" spans="1:11" x14ac:dyDescent="0.15">
      <c r="A14" s="2053" t="s">
        <v>1341</v>
      </c>
      <c r="B14" s="570">
        <v>0</v>
      </c>
      <c r="C14" s="687">
        <v>31457</v>
      </c>
      <c r="D14" s="568">
        <v>10320</v>
      </c>
      <c r="E14" s="568">
        <v>3311</v>
      </c>
      <c r="F14" s="2161">
        <v>5094</v>
      </c>
      <c r="G14" s="570">
        <v>0</v>
      </c>
      <c r="H14" s="687">
        <v>111584</v>
      </c>
      <c r="I14" s="568">
        <v>12000</v>
      </c>
      <c r="J14" s="568">
        <v>991</v>
      </c>
      <c r="K14" s="2161">
        <v>973</v>
      </c>
    </row>
    <row r="15" spans="1:11" ht="14.25" customHeight="1" x14ac:dyDescent="0.15">
      <c r="A15" s="2068"/>
      <c r="B15" s="2068"/>
      <c r="C15" s="2068"/>
      <c r="D15" s="2068"/>
      <c r="E15" s="2068"/>
      <c r="F15" s="2068"/>
      <c r="G15" s="2068"/>
      <c r="H15" s="2068"/>
      <c r="I15" s="2068"/>
      <c r="J15" s="2068"/>
      <c r="K15" s="2068"/>
    </row>
    <row r="16" spans="1:11" ht="23.25" customHeight="1" x14ac:dyDescent="0.15">
      <c r="A16" s="2788" t="s">
        <v>1705</v>
      </c>
      <c r="B16" s="2788"/>
      <c r="C16" s="2788"/>
      <c r="D16" s="2788"/>
      <c r="E16" s="2788"/>
      <c r="F16" s="2788"/>
      <c r="G16" s="2788"/>
      <c r="H16" s="2788"/>
      <c r="I16" s="2788"/>
      <c r="J16" s="2788"/>
      <c r="K16" s="2788"/>
    </row>
    <row r="17" spans="1:11" x14ac:dyDescent="0.15">
      <c r="A17" s="2788" t="s">
        <v>1706</v>
      </c>
      <c r="B17" s="2788"/>
      <c r="C17" s="2788"/>
      <c r="D17" s="2788"/>
      <c r="E17" s="2788"/>
      <c r="F17" s="2788"/>
      <c r="G17" s="2788"/>
      <c r="H17" s="2788"/>
      <c r="I17" s="2788"/>
      <c r="J17" s="2788"/>
      <c r="K17" s="2788"/>
    </row>
    <row r="18" spans="1:11" x14ac:dyDescent="0.15">
      <c r="A18" s="2788" t="s">
        <v>1707</v>
      </c>
      <c r="B18" s="2788"/>
      <c r="C18" s="2788"/>
      <c r="D18" s="2788"/>
      <c r="E18" s="2788"/>
      <c r="F18" s="2788"/>
      <c r="G18" s="2788"/>
      <c r="H18" s="2788"/>
      <c r="I18" s="2788"/>
      <c r="J18" s="2788"/>
      <c r="K18" s="2788"/>
    </row>
    <row r="19" spans="1:11" x14ac:dyDescent="0.15">
      <c r="A19" s="2788" t="s">
        <v>1708</v>
      </c>
      <c r="B19" s="2788"/>
      <c r="C19" s="2788"/>
      <c r="D19" s="2788"/>
      <c r="E19" s="2788"/>
      <c r="F19" s="2788"/>
      <c r="G19" s="2788"/>
      <c r="H19" s="2788"/>
      <c r="I19" s="2788"/>
      <c r="J19" s="2788"/>
      <c r="K19" s="2788"/>
    </row>
    <row r="20" spans="1:11" x14ac:dyDescent="0.15">
      <c r="A20" s="2788" t="s">
        <v>1709</v>
      </c>
      <c r="B20" s="2788"/>
      <c r="C20" s="2788"/>
      <c r="D20" s="2788"/>
      <c r="E20" s="2788"/>
      <c r="F20" s="2788"/>
      <c r="G20" s="2788"/>
      <c r="H20" s="2788"/>
      <c r="I20" s="2788"/>
      <c r="J20" s="2788"/>
      <c r="K20" s="2788"/>
    </row>
    <row r="21" spans="1:11" x14ac:dyDescent="0.15">
      <c r="A21" s="2790" t="s">
        <v>460</v>
      </c>
      <c r="B21" s="2790"/>
      <c r="C21" s="2790"/>
      <c r="D21" s="2790"/>
      <c r="E21" s="2790"/>
      <c r="F21" s="2790"/>
      <c r="G21" s="2790"/>
      <c r="H21" s="2790"/>
      <c r="I21" s="2790"/>
      <c r="J21" s="2790"/>
      <c r="K21" s="2790"/>
    </row>
    <row r="22" spans="1:11" x14ac:dyDescent="0.15">
      <c r="A22" s="2788" t="s">
        <v>1710</v>
      </c>
      <c r="B22" s="2788"/>
      <c r="C22" s="2788"/>
      <c r="D22" s="2788"/>
      <c r="E22" s="2788"/>
      <c r="F22" s="2788"/>
      <c r="G22" s="2788"/>
      <c r="H22" s="2788"/>
      <c r="I22" s="2788"/>
      <c r="J22" s="2788"/>
      <c r="K22" s="2788"/>
    </row>
    <row r="23" spans="1:11" x14ac:dyDescent="0.15">
      <c r="A23" s="2081"/>
      <c r="B23" s="2081"/>
      <c r="C23" s="2081"/>
      <c r="D23" s="2081"/>
      <c r="E23" s="2081"/>
      <c r="F23" s="2081"/>
      <c r="G23" s="2081"/>
      <c r="H23" s="2081"/>
      <c r="I23" s="2081"/>
      <c r="J23" s="2081"/>
      <c r="K23" s="2081"/>
    </row>
    <row r="24" spans="1:11" x14ac:dyDescent="0.15">
      <c r="A24" s="2081"/>
      <c r="B24" s="2081"/>
      <c r="C24" s="2081"/>
      <c r="D24" s="2081"/>
      <c r="E24" s="2081"/>
      <c r="F24" s="2081"/>
      <c r="G24" s="2081"/>
      <c r="H24" s="2081"/>
      <c r="I24" s="2081"/>
      <c r="J24" s="2081"/>
      <c r="K24" s="2081"/>
    </row>
    <row r="25" spans="1:11" x14ac:dyDescent="0.15">
      <c r="A25" s="2081"/>
      <c r="B25" s="2081"/>
      <c r="C25" s="2081"/>
      <c r="D25" s="2081"/>
      <c r="E25" s="2081"/>
      <c r="F25" s="2081"/>
      <c r="G25" s="2081"/>
      <c r="H25" s="2081"/>
      <c r="I25" s="2081"/>
      <c r="J25" s="2081"/>
      <c r="K25" s="2081"/>
    </row>
  </sheetData>
  <mergeCells count="11">
    <mergeCell ref="A18:K18"/>
    <mergeCell ref="A19:K19"/>
    <mergeCell ref="A20:K20"/>
    <mergeCell ref="A21:K21"/>
    <mergeCell ref="A22:K22"/>
    <mergeCell ref="A17:K17"/>
    <mergeCell ref="A2:K2"/>
    <mergeCell ref="A4:A5"/>
    <mergeCell ref="B4:F4"/>
    <mergeCell ref="G4:K4"/>
    <mergeCell ref="A16:K1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K19"/>
  <sheetViews>
    <sheetView workbookViewId="0">
      <selection activeCell="B27" sqref="B27"/>
    </sheetView>
  </sheetViews>
  <sheetFormatPr baseColWidth="10" defaultColWidth="9.140625" defaultRowHeight="10.5" x14ac:dyDescent="0.15"/>
  <cols>
    <col min="1" max="1" width="21.7109375" style="99" customWidth="1"/>
    <col min="2" max="11" width="15.85546875" style="99" customWidth="1"/>
    <col min="12" max="12" width="9.140625" style="99" customWidth="1"/>
    <col min="13" max="13" width="11.28515625" style="99" customWidth="1"/>
    <col min="14" max="14" width="27.28515625" style="99" customWidth="1"/>
    <col min="15" max="19" width="0" style="99" hidden="1" customWidth="1"/>
    <col min="20" max="20" width="18" style="99" customWidth="1"/>
    <col min="21" max="25" width="0" style="99" hidden="1" customWidth="1"/>
    <col min="26" max="26" width="19" style="99" customWidth="1"/>
    <col min="27" max="16384" width="9.140625" style="99"/>
  </cols>
  <sheetData>
    <row r="1" spans="1:11" ht="15" customHeight="1" x14ac:dyDescent="0.15">
      <c r="A1" s="2081"/>
      <c r="B1" s="2081"/>
      <c r="C1" s="2081"/>
      <c r="D1" s="2081"/>
      <c r="E1" s="2081"/>
      <c r="F1" s="2081"/>
      <c r="G1" s="2081"/>
      <c r="H1" s="2081"/>
      <c r="I1" s="2081"/>
      <c r="J1" s="2081"/>
      <c r="K1" s="2081"/>
    </row>
    <row r="2" spans="1:11" ht="15" customHeight="1" x14ac:dyDescent="0.15">
      <c r="A2" s="2791" t="s">
        <v>1711</v>
      </c>
      <c r="B2" s="2791"/>
      <c r="C2" s="2791"/>
      <c r="D2" s="2791"/>
      <c r="E2" s="2791"/>
      <c r="F2" s="2792"/>
      <c r="G2" s="2792"/>
      <c r="H2" s="2792"/>
      <c r="I2" s="2792"/>
      <c r="J2" s="2792"/>
      <c r="K2" s="2792"/>
    </row>
    <row r="3" spans="1:11" x14ac:dyDescent="0.15">
      <c r="A3" s="2055"/>
      <c r="B3" s="2055"/>
      <c r="C3" s="2055"/>
      <c r="D3" s="2055"/>
      <c r="E3" s="2055"/>
      <c r="F3" s="688"/>
      <c r="G3" s="688"/>
      <c r="H3" s="688"/>
      <c r="I3" s="688"/>
      <c r="J3" s="688"/>
      <c r="K3" s="688"/>
    </row>
    <row r="4" spans="1:11" ht="24" customHeight="1" x14ac:dyDescent="0.15">
      <c r="A4" s="2772" t="s">
        <v>1712</v>
      </c>
      <c r="B4" s="2772" t="s">
        <v>1713</v>
      </c>
      <c r="C4" s="2772"/>
      <c r="D4" s="2772"/>
      <c r="E4" s="2772"/>
      <c r="F4" s="2772"/>
      <c r="G4" s="2772" t="s">
        <v>1698</v>
      </c>
      <c r="H4" s="2772"/>
      <c r="I4" s="2772"/>
      <c r="J4" s="2772"/>
      <c r="K4" s="2772"/>
    </row>
    <row r="5" spans="1:11" x14ac:dyDescent="0.15">
      <c r="A5" s="2772"/>
      <c r="B5" s="686">
        <v>2011</v>
      </c>
      <c r="C5" s="686">
        <v>2012</v>
      </c>
      <c r="D5" s="2060">
        <v>2013</v>
      </c>
      <c r="E5" s="2060">
        <v>2014</v>
      </c>
      <c r="F5" s="2069">
        <v>2015</v>
      </c>
      <c r="G5" s="2070">
        <v>2011</v>
      </c>
      <c r="H5" s="2070">
        <v>2012</v>
      </c>
      <c r="I5" s="2060">
        <v>2013</v>
      </c>
      <c r="J5" s="2060">
        <v>2014</v>
      </c>
      <c r="K5" s="2069">
        <v>2015</v>
      </c>
    </row>
    <row r="6" spans="1:11" x14ac:dyDescent="0.15">
      <c r="A6" s="2055" t="s">
        <v>141</v>
      </c>
      <c r="B6" s="689">
        <f>SUM(B7:B12)</f>
        <v>6038280</v>
      </c>
      <c r="C6" s="689">
        <f t="shared" ref="C6:K6" si="0">SUM(C7:C12)</f>
        <v>8208947</v>
      </c>
      <c r="D6" s="689">
        <f t="shared" si="0"/>
        <v>8325178</v>
      </c>
      <c r="E6" s="689">
        <f t="shared" si="0"/>
        <v>8162704</v>
      </c>
      <c r="F6" s="2160">
        <f t="shared" si="0"/>
        <v>11367535</v>
      </c>
      <c r="G6" s="689">
        <f t="shared" si="0"/>
        <v>2625203</v>
      </c>
      <c r="H6" s="689">
        <f t="shared" si="0"/>
        <v>3503223</v>
      </c>
      <c r="I6" s="689">
        <f t="shared" si="0"/>
        <v>3136146</v>
      </c>
      <c r="J6" s="689">
        <f t="shared" si="0"/>
        <v>1309444</v>
      </c>
      <c r="K6" s="2160">
        <f t="shared" si="0"/>
        <v>1127263</v>
      </c>
    </row>
    <row r="7" spans="1:11" x14ac:dyDescent="0.15">
      <c r="A7" s="2053" t="s">
        <v>1714</v>
      </c>
      <c r="B7" s="690">
        <v>2005769</v>
      </c>
      <c r="C7" s="690">
        <v>2986193</v>
      </c>
      <c r="D7" s="690">
        <v>2247436</v>
      </c>
      <c r="E7" s="690">
        <v>1800377</v>
      </c>
      <c r="F7" s="2161">
        <v>1973227</v>
      </c>
      <c r="G7" s="690">
        <v>968653</v>
      </c>
      <c r="H7" s="690">
        <v>1346489</v>
      </c>
      <c r="I7" s="329">
        <v>1032659</v>
      </c>
      <c r="J7" s="329">
        <v>583793</v>
      </c>
      <c r="K7" s="2161">
        <v>629404</v>
      </c>
    </row>
    <row r="8" spans="1:11" x14ac:dyDescent="0.15">
      <c r="A8" s="2053" t="s">
        <v>1581</v>
      </c>
      <c r="B8" s="690">
        <v>60116</v>
      </c>
      <c r="C8" s="690">
        <v>84860</v>
      </c>
      <c r="D8" s="690">
        <v>24330</v>
      </c>
      <c r="E8" s="690">
        <v>23949</v>
      </c>
      <c r="F8" s="2161">
        <v>41360</v>
      </c>
      <c r="G8" s="690">
        <v>24171</v>
      </c>
      <c r="H8" s="690">
        <v>50931</v>
      </c>
      <c r="I8" s="329">
        <v>15659</v>
      </c>
      <c r="J8" s="329">
        <v>8062</v>
      </c>
      <c r="K8" s="2161">
        <v>19798</v>
      </c>
    </row>
    <row r="9" spans="1:11" x14ac:dyDescent="0.15">
      <c r="A9" s="2053" t="s">
        <v>1715</v>
      </c>
      <c r="B9" s="690">
        <v>1357954</v>
      </c>
      <c r="C9" s="690">
        <v>1646749</v>
      </c>
      <c r="D9" s="690">
        <v>1811706</v>
      </c>
      <c r="E9" s="690">
        <v>923429</v>
      </c>
      <c r="F9" s="2161">
        <v>597837</v>
      </c>
      <c r="G9" s="690">
        <v>1102825</v>
      </c>
      <c r="H9" s="690">
        <v>1380160</v>
      </c>
      <c r="I9" s="329">
        <v>1546584</v>
      </c>
      <c r="J9" s="329">
        <v>484889</v>
      </c>
      <c r="K9" s="2161">
        <v>263683</v>
      </c>
    </row>
    <row r="10" spans="1:11" x14ac:dyDescent="0.15">
      <c r="A10" s="2053" t="s">
        <v>1716</v>
      </c>
      <c r="B10" s="690">
        <v>754243</v>
      </c>
      <c r="C10" s="690">
        <v>836413</v>
      </c>
      <c r="D10" s="690">
        <v>670934</v>
      </c>
      <c r="E10" s="690">
        <v>479282</v>
      </c>
      <c r="F10" s="2161">
        <v>500791</v>
      </c>
      <c r="G10" s="569">
        <v>476337</v>
      </c>
      <c r="H10" s="569">
        <v>604243</v>
      </c>
      <c r="I10" s="329">
        <v>519772</v>
      </c>
      <c r="J10" s="329">
        <v>223391</v>
      </c>
      <c r="K10" s="2162">
        <v>207968</v>
      </c>
    </row>
    <row r="11" spans="1:11" ht="11.25" x14ac:dyDescent="0.15">
      <c r="A11" s="2053" t="s">
        <v>1717</v>
      </c>
      <c r="B11" s="690">
        <v>1839132</v>
      </c>
      <c r="C11" s="690">
        <v>2608351</v>
      </c>
      <c r="D11" s="690">
        <v>3532848</v>
      </c>
      <c r="E11" s="690">
        <v>4916751</v>
      </c>
      <c r="F11" s="2161">
        <v>8241067</v>
      </c>
      <c r="G11" s="690">
        <v>15130</v>
      </c>
      <c r="H11" s="569" t="s">
        <v>193</v>
      </c>
      <c r="I11" s="329">
        <v>0</v>
      </c>
      <c r="J11" s="329">
        <v>0</v>
      </c>
      <c r="K11" s="2162">
        <v>0</v>
      </c>
    </row>
    <row r="12" spans="1:11" x14ac:dyDescent="0.15">
      <c r="A12" s="2053" t="s">
        <v>1718</v>
      </c>
      <c r="B12" s="690">
        <v>21066</v>
      </c>
      <c r="C12" s="690">
        <v>46381</v>
      </c>
      <c r="D12" s="690">
        <v>37924</v>
      </c>
      <c r="E12" s="690">
        <v>18916</v>
      </c>
      <c r="F12" s="2161">
        <v>13253</v>
      </c>
      <c r="G12" s="690">
        <v>38087</v>
      </c>
      <c r="H12" s="690">
        <v>121400</v>
      </c>
      <c r="I12" s="329">
        <v>21472</v>
      </c>
      <c r="J12" s="329">
        <v>9309</v>
      </c>
      <c r="K12" s="2162">
        <v>6410</v>
      </c>
    </row>
    <row r="13" spans="1:11" x14ac:dyDescent="0.15">
      <c r="A13" s="2068"/>
      <c r="B13" s="2068"/>
      <c r="C13" s="2068"/>
      <c r="D13" s="2068"/>
      <c r="E13" s="2068"/>
      <c r="F13" s="2068"/>
      <c r="G13" s="2068"/>
      <c r="H13" s="2068"/>
      <c r="I13" s="2068"/>
      <c r="J13" s="2068"/>
      <c r="K13" s="2068"/>
    </row>
    <row r="14" spans="1:11" ht="22.5" customHeight="1" x14ac:dyDescent="0.15">
      <c r="A14" s="2788" t="s">
        <v>1719</v>
      </c>
      <c r="B14" s="2788"/>
      <c r="C14" s="2788"/>
      <c r="D14" s="2788"/>
      <c r="E14" s="2788"/>
      <c r="F14" s="2788"/>
      <c r="G14" s="2788"/>
      <c r="H14" s="2788"/>
      <c r="I14" s="2788"/>
      <c r="J14" s="2788"/>
      <c r="K14" s="2788"/>
    </row>
    <row r="15" spans="1:11" x14ac:dyDescent="0.15">
      <c r="A15" s="2788" t="s">
        <v>1720</v>
      </c>
      <c r="B15" s="2788"/>
      <c r="C15" s="2788"/>
      <c r="D15" s="2788"/>
      <c r="E15" s="2788"/>
      <c r="F15" s="2788"/>
      <c r="G15" s="2788"/>
      <c r="H15" s="2788"/>
      <c r="I15" s="2788"/>
      <c r="J15" s="2788"/>
      <c r="K15" s="2788"/>
    </row>
    <row r="16" spans="1:11" x14ac:dyDescent="0.15">
      <c r="A16" s="2788" t="s">
        <v>460</v>
      </c>
      <c r="B16" s="2788"/>
      <c r="C16" s="2788"/>
      <c r="D16" s="2788"/>
      <c r="E16" s="2788"/>
      <c r="F16" s="2788"/>
      <c r="G16" s="2788"/>
      <c r="H16" s="2788"/>
      <c r="I16" s="2788"/>
      <c r="J16" s="2788"/>
      <c r="K16" s="2788"/>
    </row>
    <row r="17" spans="1:11" x14ac:dyDescent="0.15">
      <c r="A17" s="2788" t="s">
        <v>1568</v>
      </c>
      <c r="B17" s="2788"/>
      <c r="C17" s="2788"/>
      <c r="D17" s="2788"/>
      <c r="E17" s="2788"/>
      <c r="F17" s="2788"/>
      <c r="G17" s="2788"/>
      <c r="H17" s="2788"/>
      <c r="I17" s="2788"/>
      <c r="J17" s="2788"/>
      <c r="K17" s="2788"/>
    </row>
    <row r="18" spans="1:11" x14ac:dyDescent="0.15">
      <c r="A18" s="2081"/>
      <c r="B18" s="2081"/>
      <c r="C18" s="2081"/>
      <c r="D18" s="2081"/>
      <c r="E18" s="2081"/>
      <c r="F18" s="2081"/>
      <c r="G18" s="2081"/>
      <c r="H18" s="2081"/>
      <c r="I18" s="2081"/>
      <c r="J18" s="2081"/>
      <c r="K18" s="2081"/>
    </row>
    <row r="19" spans="1:11" x14ac:dyDescent="0.15">
      <c r="A19" s="2081"/>
      <c r="B19" s="2081"/>
      <c r="C19" s="2081"/>
      <c r="D19" s="2081"/>
      <c r="E19" s="2081"/>
      <c r="F19" s="2081"/>
      <c r="G19" s="2081"/>
      <c r="H19" s="2081"/>
      <c r="I19" s="2081"/>
      <c r="J19" s="2081"/>
      <c r="K19" s="2081"/>
    </row>
  </sheetData>
  <mergeCells count="8">
    <mergeCell ref="A16:K16"/>
    <mergeCell ref="A17:K17"/>
    <mergeCell ref="A2:K2"/>
    <mergeCell ref="A4:A5"/>
    <mergeCell ref="B4:F4"/>
    <mergeCell ref="G4:K4"/>
    <mergeCell ref="A14:K14"/>
    <mergeCell ref="A15:K1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2:K108"/>
  <sheetViews>
    <sheetView zoomScaleNormal="100" workbookViewId="0">
      <selection activeCell="D24" sqref="D23:D24"/>
    </sheetView>
  </sheetViews>
  <sheetFormatPr baseColWidth="10" defaultRowHeight="10.5" x14ac:dyDescent="0.15"/>
  <cols>
    <col min="1" max="1" width="58.7109375" style="1" customWidth="1"/>
    <col min="2" max="3" width="7.7109375" style="73" customWidth="1"/>
    <col min="4" max="4" width="8" style="1" customWidth="1"/>
    <col min="5" max="5" width="8.28515625" style="1" customWidth="1"/>
    <col min="6" max="16384" width="11.42578125" style="1"/>
  </cols>
  <sheetData>
    <row r="2" spans="1:11" ht="15" customHeight="1" x14ac:dyDescent="0.15">
      <c r="A2" s="691" t="s">
        <v>1721</v>
      </c>
      <c r="B2" s="691"/>
      <c r="C2" s="559"/>
      <c r="D2" s="692"/>
      <c r="E2" s="692"/>
    </row>
    <row r="3" spans="1:11" ht="11.25" customHeight="1" x14ac:dyDescent="0.15">
      <c r="A3" s="592"/>
      <c r="B3" s="693"/>
      <c r="C3" s="559"/>
      <c r="D3" s="12"/>
      <c r="E3" s="12"/>
    </row>
    <row r="4" spans="1:11" ht="17.25" customHeight="1" x14ac:dyDescent="0.15">
      <c r="A4" s="2732" t="s">
        <v>1722</v>
      </c>
      <c r="B4" s="2793" t="s">
        <v>1723</v>
      </c>
      <c r="C4" s="2794"/>
      <c r="D4" s="2794"/>
      <c r="E4" s="2795"/>
    </row>
    <row r="5" spans="1:11" ht="17.25" customHeight="1" x14ac:dyDescent="0.15">
      <c r="A5" s="2733"/>
      <c r="B5" s="51">
        <v>2012</v>
      </c>
      <c r="C5" s="51">
        <v>2013</v>
      </c>
      <c r="D5" s="51">
        <v>2014</v>
      </c>
      <c r="E5" s="51">
        <v>2015</v>
      </c>
    </row>
    <row r="6" spans="1:11" ht="12.75" customHeight="1" x14ac:dyDescent="0.15">
      <c r="A6" s="560" t="s">
        <v>141</v>
      </c>
      <c r="B6" s="694">
        <f>SUM(B7:B11)</f>
        <v>1290</v>
      </c>
      <c r="C6" s="694">
        <f>SUM(C7:C11)</f>
        <v>1369</v>
      </c>
      <c r="D6" s="694">
        <f>SUM(D7:D11)</f>
        <v>1437</v>
      </c>
      <c r="E6" s="694">
        <f>SUM(E7:E11)</f>
        <v>1481</v>
      </c>
    </row>
    <row r="7" spans="1:11" ht="21" x14ac:dyDescent="0.15">
      <c r="A7" s="695" t="s">
        <v>1724</v>
      </c>
      <c r="B7" s="570">
        <v>632</v>
      </c>
      <c r="C7" s="570">
        <v>704</v>
      </c>
      <c r="D7" s="570">
        <v>672</v>
      </c>
      <c r="E7" s="570">
        <v>735</v>
      </c>
    </row>
    <row r="8" spans="1:11" x14ac:dyDescent="0.15">
      <c r="A8" s="695" t="s">
        <v>1725</v>
      </c>
      <c r="B8" s="570">
        <v>51</v>
      </c>
      <c r="C8" s="570">
        <v>61</v>
      </c>
      <c r="D8" s="570">
        <v>47</v>
      </c>
      <c r="E8" s="570">
        <v>55</v>
      </c>
    </row>
    <row r="9" spans="1:11" x14ac:dyDescent="0.15">
      <c r="A9" s="695" t="s">
        <v>1726</v>
      </c>
      <c r="B9" s="570">
        <v>339</v>
      </c>
      <c r="C9" s="570">
        <v>346</v>
      </c>
      <c r="D9" s="570">
        <v>358</v>
      </c>
      <c r="E9" s="570">
        <v>371</v>
      </c>
    </row>
    <row r="10" spans="1:11" x14ac:dyDescent="0.15">
      <c r="A10" s="695" t="s">
        <v>1727</v>
      </c>
      <c r="B10" s="570">
        <v>258</v>
      </c>
      <c r="C10" s="570">
        <v>247</v>
      </c>
      <c r="D10" s="570">
        <v>356</v>
      </c>
      <c r="E10" s="570">
        <v>315</v>
      </c>
    </row>
    <row r="11" spans="1:11" ht="25.5" customHeight="1" x14ac:dyDescent="0.15">
      <c r="A11" s="695" t="s">
        <v>1728</v>
      </c>
      <c r="B11" s="570">
        <v>10</v>
      </c>
      <c r="C11" s="570">
        <v>11</v>
      </c>
      <c r="D11" s="570">
        <v>4</v>
      </c>
      <c r="E11" s="570">
        <v>5</v>
      </c>
    </row>
    <row r="12" spans="1:11" ht="10.5" customHeight="1" x14ac:dyDescent="0.15">
      <c r="A12" s="695"/>
      <c r="B12" s="569"/>
      <c r="C12" s="559"/>
      <c r="D12" s="12"/>
      <c r="E12" s="12"/>
    </row>
    <row r="13" spans="1:11" s="12" customFormat="1" ht="15.75" customHeight="1" x14ac:dyDescent="0.15">
      <c r="A13" s="385" t="s">
        <v>1729</v>
      </c>
      <c r="B13" s="385"/>
      <c r="C13" s="385"/>
      <c r="D13" s="385"/>
      <c r="E13" s="385"/>
      <c r="F13" s="385"/>
      <c r="G13" s="385"/>
      <c r="H13" s="385"/>
      <c r="I13" s="385"/>
      <c r="J13" s="385"/>
      <c r="K13" s="385"/>
    </row>
    <row r="14" spans="1:11" ht="26.25" customHeight="1" x14ac:dyDescent="0.15">
      <c r="A14" s="2796" t="s">
        <v>1730</v>
      </c>
      <c r="B14" s="2796"/>
      <c r="C14" s="559"/>
      <c r="D14" s="12"/>
      <c r="E14" s="12"/>
    </row>
    <row r="15" spans="1:11" ht="22.5" customHeight="1" x14ac:dyDescent="0.15">
      <c r="A15" s="2433" t="s">
        <v>1731</v>
      </c>
      <c r="B15" s="2433"/>
      <c r="C15" s="559"/>
      <c r="D15" s="12"/>
      <c r="E15" s="12"/>
    </row>
    <row r="16" spans="1:11" s="603" customFormat="1" x14ac:dyDescent="0.15">
      <c r="A16" s="680" t="s">
        <v>20</v>
      </c>
      <c r="B16" s="593"/>
      <c r="C16" s="593"/>
      <c r="D16" s="593"/>
      <c r="E16" s="593"/>
      <c r="F16" s="593"/>
      <c r="H16" s="380"/>
      <c r="I16" s="380"/>
      <c r="J16" s="380"/>
    </row>
    <row r="17" spans="1:1" x14ac:dyDescent="0.15">
      <c r="A17" s="663" t="s">
        <v>1537</v>
      </c>
    </row>
    <row r="108" spans="1:1" x14ac:dyDescent="0.15">
      <c r="A108" s="696"/>
    </row>
  </sheetData>
  <mergeCells count="4">
    <mergeCell ref="A4:A5"/>
    <mergeCell ref="B4:E4"/>
    <mergeCell ref="A14:B14"/>
    <mergeCell ref="A15:B15"/>
  </mergeCells>
  <pageMargins left="0.7" right="0.7" top="0.75" bottom="0.75" header="0.3" footer="0.3"/>
  <pageSetup paperSize="14"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2:D15"/>
  <sheetViews>
    <sheetView zoomScaleNormal="100" workbookViewId="0">
      <selection activeCell="H20" sqref="H20"/>
    </sheetView>
  </sheetViews>
  <sheetFormatPr baseColWidth="10" defaultColWidth="9.140625" defaultRowHeight="12.75" x14ac:dyDescent="0.2"/>
  <cols>
    <col min="1" max="1" width="34.140625" style="111" customWidth="1"/>
    <col min="2" max="4" width="17.85546875" style="111" customWidth="1"/>
    <col min="5" max="5" width="8.28515625" style="111" customWidth="1"/>
    <col min="6"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2.5" customHeight="1" x14ac:dyDescent="0.2">
      <c r="A2" s="2688" t="s">
        <v>1732</v>
      </c>
      <c r="B2" s="2689"/>
      <c r="C2" s="2689"/>
      <c r="D2" s="2689"/>
    </row>
    <row r="3" spans="1:4" ht="10.5" customHeight="1" x14ac:dyDescent="0.2">
      <c r="A3" s="2347"/>
      <c r="B3" s="2667"/>
      <c r="C3" s="2667"/>
      <c r="D3" s="2667"/>
    </row>
    <row r="4" spans="1:4" x14ac:dyDescent="0.2">
      <c r="A4" s="2379" t="s">
        <v>2</v>
      </c>
      <c r="B4" s="2690" t="s">
        <v>1472</v>
      </c>
      <c r="C4" s="2691"/>
      <c r="D4" s="2692"/>
    </row>
    <row r="5" spans="1:4" x14ac:dyDescent="0.2">
      <c r="A5" s="2460"/>
      <c r="B5" s="2690" t="s">
        <v>1474</v>
      </c>
      <c r="C5" s="2691"/>
      <c r="D5" s="2692"/>
    </row>
    <row r="6" spans="1:4" ht="21" x14ac:dyDescent="0.2">
      <c r="A6" s="2360"/>
      <c r="B6" s="697" t="s">
        <v>1473</v>
      </c>
      <c r="C6" s="532" t="s">
        <v>1733</v>
      </c>
      <c r="D6" s="532" t="s">
        <v>1734</v>
      </c>
    </row>
    <row r="7" spans="1:4" x14ac:dyDescent="0.2">
      <c r="A7" s="172">
        <v>2011</v>
      </c>
      <c r="B7" s="533">
        <f>SUM(C7:D7)</f>
        <v>4299</v>
      </c>
      <c r="C7" s="534">
        <v>1346</v>
      </c>
      <c r="D7" s="534">
        <v>2953</v>
      </c>
    </row>
    <row r="8" spans="1:4" x14ac:dyDescent="0.2">
      <c r="A8" s="172">
        <v>2012</v>
      </c>
      <c r="B8" s="533">
        <f>SUM(C8:D8)</f>
        <v>4681</v>
      </c>
      <c r="C8" s="534">
        <v>1371</v>
      </c>
      <c r="D8" s="534">
        <v>3310</v>
      </c>
    </row>
    <row r="9" spans="1:4" x14ac:dyDescent="0.2">
      <c r="A9" s="172">
        <v>2013</v>
      </c>
      <c r="B9" s="533">
        <f>SUM(C9:D9)</f>
        <v>4479</v>
      </c>
      <c r="C9" s="534">
        <v>1398</v>
      </c>
      <c r="D9" s="534">
        <v>3081</v>
      </c>
    </row>
    <row r="10" spans="1:4" x14ac:dyDescent="0.2">
      <c r="A10" s="2059">
        <v>2014</v>
      </c>
      <c r="B10" s="533">
        <f>SUM(C10:D10)</f>
        <v>4704</v>
      </c>
      <c r="C10" s="534">
        <v>1495</v>
      </c>
      <c r="D10" s="534">
        <v>3209</v>
      </c>
    </row>
    <row r="11" spans="1:4" x14ac:dyDescent="0.2">
      <c r="A11" s="2059">
        <v>2015</v>
      </c>
      <c r="B11" s="533">
        <f>SUM(C11:D11)</f>
        <v>4405</v>
      </c>
      <c r="C11" s="535">
        <v>1472</v>
      </c>
      <c r="D11" s="535">
        <v>2933</v>
      </c>
    </row>
    <row r="12" spans="1:4" ht="12.75" customHeight="1" x14ac:dyDescent="0.2">
      <c r="A12" s="2356"/>
      <c r="B12" s="2672"/>
      <c r="C12" s="2672"/>
      <c r="D12" s="2672"/>
    </row>
    <row r="13" spans="1:4" ht="35.85" customHeight="1" x14ac:dyDescent="0.2">
      <c r="A13" s="2414" t="s">
        <v>1482</v>
      </c>
      <c r="B13" s="2687"/>
      <c r="C13" s="2687"/>
      <c r="D13" s="2687"/>
    </row>
    <row r="14" spans="1:4" ht="16.350000000000001" customHeight="1" x14ac:dyDescent="0.2">
      <c r="A14" s="2356" t="s">
        <v>1483</v>
      </c>
      <c r="B14" s="2665"/>
      <c r="C14" s="2665"/>
      <c r="D14" s="2665"/>
    </row>
    <row r="15" spans="1:4" x14ac:dyDescent="0.2">
      <c r="A15" s="2064"/>
      <c r="B15" s="2064"/>
      <c r="C15" s="2064"/>
      <c r="D15" s="2064"/>
    </row>
  </sheetData>
  <mergeCells count="8">
    <mergeCell ref="A13:D13"/>
    <mergeCell ref="A14:D14"/>
    <mergeCell ref="A2:D2"/>
    <mergeCell ref="A3:D3"/>
    <mergeCell ref="A4:A6"/>
    <mergeCell ref="B4:D4"/>
    <mergeCell ref="B5:D5"/>
    <mergeCell ref="A12:D1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2:J30"/>
  <sheetViews>
    <sheetView workbookViewId="0">
      <selection activeCell="F11" sqref="F11"/>
    </sheetView>
  </sheetViews>
  <sheetFormatPr baseColWidth="10" defaultColWidth="9.140625" defaultRowHeight="12.75" x14ac:dyDescent="0.2"/>
  <cols>
    <col min="1" max="1" width="34.140625" style="111" customWidth="1"/>
    <col min="2" max="4" width="17.85546875" style="111" customWidth="1"/>
    <col min="5" max="5" width="24.85546875" style="111" customWidth="1"/>
    <col min="6" max="255" width="9.140625" style="111"/>
    <col min="256" max="256" width="34.140625" style="111" customWidth="1"/>
    <col min="257" max="259" width="17.85546875" style="111" customWidth="1"/>
    <col min="260" max="260" width="9.140625" style="111" customWidth="1"/>
    <col min="261" max="261" width="24.85546875" style="111" customWidth="1"/>
    <col min="262" max="511" width="9.140625" style="111"/>
    <col min="512" max="512" width="34.140625" style="111" customWidth="1"/>
    <col min="513" max="515" width="17.85546875" style="111" customWidth="1"/>
    <col min="516" max="516" width="9.140625" style="111" customWidth="1"/>
    <col min="517" max="517" width="24.85546875" style="111" customWidth="1"/>
    <col min="518" max="767" width="9.140625" style="111"/>
    <col min="768" max="768" width="34.140625" style="111" customWidth="1"/>
    <col min="769" max="771" width="17.85546875" style="111" customWidth="1"/>
    <col min="772" max="772" width="9.140625" style="111" customWidth="1"/>
    <col min="773" max="773" width="24.85546875" style="111" customWidth="1"/>
    <col min="774" max="1023" width="9.140625" style="111"/>
    <col min="1024" max="1024" width="34.140625" style="111" customWidth="1"/>
    <col min="1025" max="1027" width="17.85546875" style="111" customWidth="1"/>
    <col min="1028" max="1028" width="9.140625" style="111" customWidth="1"/>
    <col min="1029" max="1029" width="24.85546875" style="111" customWidth="1"/>
    <col min="1030" max="1279" width="9.140625" style="111"/>
    <col min="1280" max="1280" width="34.140625" style="111" customWidth="1"/>
    <col min="1281" max="1283" width="17.85546875" style="111" customWidth="1"/>
    <col min="1284" max="1284" width="9.140625" style="111" customWidth="1"/>
    <col min="1285" max="1285" width="24.85546875" style="111" customWidth="1"/>
    <col min="1286" max="1535" width="9.140625" style="111"/>
    <col min="1536" max="1536" width="34.140625" style="111" customWidth="1"/>
    <col min="1537" max="1539" width="17.85546875" style="111" customWidth="1"/>
    <col min="1540" max="1540" width="9.140625" style="111" customWidth="1"/>
    <col min="1541" max="1541" width="24.85546875" style="111" customWidth="1"/>
    <col min="1542" max="1791" width="9.140625" style="111"/>
    <col min="1792" max="1792" width="34.140625" style="111" customWidth="1"/>
    <col min="1793" max="1795" width="17.85546875" style="111" customWidth="1"/>
    <col min="1796" max="1796" width="9.140625" style="111" customWidth="1"/>
    <col min="1797" max="1797" width="24.85546875" style="111" customWidth="1"/>
    <col min="1798" max="2047" width="9.140625" style="111"/>
    <col min="2048" max="2048" width="34.140625" style="111" customWidth="1"/>
    <col min="2049" max="2051" width="17.85546875" style="111" customWidth="1"/>
    <col min="2052" max="2052" width="9.140625" style="111" customWidth="1"/>
    <col min="2053" max="2053" width="24.85546875" style="111" customWidth="1"/>
    <col min="2054" max="2303" width="9.140625" style="111"/>
    <col min="2304" max="2304" width="34.140625" style="111" customWidth="1"/>
    <col min="2305" max="2307" width="17.85546875" style="111" customWidth="1"/>
    <col min="2308" max="2308" width="9.140625" style="111" customWidth="1"/>
    <col min="2309" max="2309" width="24.85546875" style="111" customWidth="1"/>
    <col min="2310" max="2559" width="9.140625" style="111"/>
    <col min="2560" max="2560" width="34.140625" style="111" customWidth="1"/>
    <col min="2561" max="2563" width="17.85546875" style="111" customWidth="1"/>
    <col min="2564" max="2564" width="9.140625" style="111" customWidth="1"/>
    <col min="2565" max="2565" width="24.85546875" style="111" customWidth="1"/>
    <col min="2566" max="2815" width="9.140625" style="111"/>
    <col min="2816" max="2816" width="34.140625" style="111" customWidth="1"/>
    <col min="2817" max="2819" width="17.85546875" style="111" customWidth="1"/>
    <col min="2820" max="2820" width="9.140625" style="111" customWidth="1"/>
    <col min="2821" max="2821" width="24.85546875" style="111" customWidth="1"/>
    <col min="2822" max="3071" width="9.140625" style="111"/>
    <col min="3072" max="3072" width="34.140625" style="111" customWidth="1"/>
    <col min="3073" max="3075" width="17.85546875" style="111" customWidth="1"/>
    <col min="3076" max="3076" width="9.140625" style="111" customWidth="1"/>
    <col min="3077" max="3077" width="24.85546875" style="111" customWidth="1"/>
    <col min="3078" max="3327" width="9.140625" style="111"/>
    <col min="3328" max="3328" width="34.140625" style="111" customWidth="1"/>
    <col min="3329" max="3331" width="17.85546875" style="111" customWidth="1"/>
    <col min="3332" max="3332" width="9.140625" style="111" customWidth="1"/>
    <col min="3333" max="3333" width="24.85546875" style="111" customWidth="1"/>
    <col min="3334" max="3583" width="9.140625" style="111"/>
    <col min="3584" max="3584" width="34.140625" style="111" customWidth="1"/>
    <col min="3585" max="3587" width="17.85546875" style="111" customWidth="1"/>
    <col min="3588" max="3588" width="9.140625" style="111" customWidth="1"/>
    <col min="3589" max="3589" width="24.85546875" style="111" customWidth="1"/>
    <col min="3590" max="3839" width="9.140625" style="111"/>
    <col min="3840" max="3840" width="34.140625" style="111" customWidth="1"/>
    <col min="3841" max="3843" width="17.85546875" style="111" customWidth="1"/>
    <col min="3844" max="3844" width="9.140625" style="111" customWidth="1"/>
    <col min="3845" max="3845" width="24.85546875" style="111" customWidth="1"/>
    <col min="3846" max="4095" width="9.140625" style="111"/>
    <col min="4096" max="4096" width="34.140625" style="111" customWidth="1"/>
    <col min="4097" max="4099" width="17.85546875" style="111" customWidth="1"/>
    <col min="4100" max="4100" width="9.140625" style="111" customWidth="1"/>
    <col min="4101" max="4101" width="24.85546875" style="111" customWidth="1"/>
    <col min="4102" max="4351" width="9.140625" style="111"/>
    <col min="4352" max="4352" width="34.140625" style="111" customWidth="1"/>
    <col min="4353" max="4355" width="17.85546875" style="111" customWidth="1"/>
    <col min="4356" max="4356" width="9.140625" style="111" customWidth="1"/>
    <col min="4357" max="4357" width="24.85546875" style="111" customWidth="1"/>
    <col min="4358" max="4607" width="9.140625" style="111"/>
    <col min="4608" max="4608" width="34.140625" style="111" customWidth="1"/>
    <col min="4609" max="4611" width="17.85546875" style="111" customWidth="1"/>
    <col min="4612" max="4612" width="9.140625" style="111" customWidth="1"/>
    <col min="4613" max="4613" width="24.85546875" style="111" customWidth="1"/>
    <col min="4614" max="4863" width="9.140625" style="111"/>
    <col min="4864" max="4864" width="34.140625" style="111" customWidth="1"/>
    <col min="4865" max="4867" width="17.85546875" style="111" customWidth="1"/>
    <col min="4868" max="4868" width="9.140625" style="111" customWidth="1"/>
    <col min="4869" max="4869" width="24.85546875" style="111" customWidth="1"/>
    <col min="4870" max="5119" width="9.140625" style="111"/>
    <col min="5120" max="5120" width="34.140625" style="111" customWidth="1"/>
    <col min="5121" max="5123" width="17.85546875" style="111" customWidth="1"/>
    <col min="5124" max="5124" width="9.140625" style="111" customWidth="1"/>
    <col min="5125" max="5125" width="24.85546875" style="111" customWidth="1"/>
    <col min="5126" max="5375" width="9.140625" style="111"/>
    <col min="5376" max="5376" width="34.140625" style="111" customWidth="1"/>
    <col min="5377" max="5379" width="17.85546875" style="111" customWidth="1"/>
    <col min="5380" max="5380" width="9.140625" style="111" customWidth="1"/>
    <col min="5381" max="5381" width="24.85546875" style="111" customWidth="1"/>
    <col min="5382" max="5631" width="9.140625" style="111"/>
    <col min="5632" max="5632" width="34.140625" style="111" customWidth="1"/>
    <col min="5633" max="5635" width="17.85546875" style="111" customWidth="1"/>
    <col min="5636" max="5636" width="9.140625" style="111" customWidth="1"/>
    <col min="5637" max="5637" width="24.85546875" style="111" customWidth="1"/>
    <col min="5638" max="5887" width="9.140625" style="111"/>
    <col min="5888" max="5888" width="34.140625" style="111" customWidth="1"/>
    <col min="5889" max="5891" width="17.85546875" style="111" customWidth="1"/>
    <col min="5892" max="5892" width="9.140625" style="111" customWidth="1"/>
    <col min="5893" max="5893" width="24.85546875" style="111" customWidth="1"/>
    <col min="5894" max="6143" width="9.140625" style="111"/>
    <col min="6144" max="6144" width="34.140625" style="111" customWidth="1"/>
    <col min="6145" max="6147" width="17.85546875" style="111" customWidth="1"/>
    <col min="6148" max="6148" width="9.140625" style="111" customWidth="1"/>
    <col min="6149" max="6149" width="24.85546875" style="111" customWidth="1"/>
    <col min="6150" max="6399" width="9.140625" style="111"/>
    <col min="6400" max="6400" width="34.140625" style="111" customWidth="1"/>
    <col min="6401" max="6403" width="17.85546875" style="111" customWidth="1"/>
    <col min="6404" max="6404" width="9.140625" style="111" customWidth="1"/>
    <col min="6405" max="6405" width="24.85546875" style="111" customWidth="1"/>
    <col min="6406" max="6655" width="9.140625" style="111"/>
    <col min="6656" max="6656" width="34.140625" style="111" customWidth="1"/>
    <col min="6657" max="6659" width="17.85546875" style="111" customWidth="1"/>
    <col min="6660" max="6660" width="9.140625" style="111" customWidth="1"/>
    <col min="6661" max="6661" width="24.85546875" style="111" customWidth="1"/>
    <col min="6662" max="6911" width="9.140625" style="111"/>
    <col min="6912" max="6912" width="34.140625" style="111" customWidth="1"/>
    <col min="6913" max="6915" width="17.85546875" style="111" customWidth="1"/>
    <col min="6916" max="6916" width="9.140625" style="111" customWidth="1"/>
    <col min="6917" max="6917" width="24.85546875" style="111" customWidth="1"/>
    <col min="6918" max="7167" width="9.140625" style="111"/>
    <col min="7168" max="7168" width="34.140625" style="111" customWidth="1"/>
    <col min="7169" max="7171" width="17.85546875" style="111" customWidth="1"/>
    <col min="7172" max="7172" width="9.140625" style="111" customWidth="1"/>
    <col min="7173" max="7173" width="24.85546875" style="111" customWidth="1"/>
    <col min="7174" max="7423" width="9.140625" style="111"/>
    <col min="7424" max="7424" width="34.140625" style="111" customWidth="1"/>
    <col min="7425" max="7427" width="17.85546875" style="111" customWidth="1"/>
    <col min="7428" max="7428" width="9.140625" style="111" customWidth="1"/>
    <col min="7429" max="7429" width="24.85546875" style="111" customWidth="1"/>
    <col min="7430" max="7679" width="9.140625" style="111"/>
    <col min="7680" max="7680" width="34.140625" style="111" customWidth="1"/>
    <col min="7681" max="7683" width="17.85546875" style="111" customWidth="1"/>
    <col min="7684" max="7684" width="9.140625" style="111" customWidth="1"/>
    <col min="7685" max="7685" width="24.85546875" style="111" customWidth="1"/>
    <col min="7686" max="7935" width="9.140625" style="111"/>
    <col min="7936" max="7936" width="34.140625" style="111" customWidth="1"/>
    <col min="7937" max="7939" width="17.85546875" style="111" customWidth="1"/>
    <col min="7940" max="7940" width="9.140625" style="111" customWidth="1"/>
    <col min="7941" max="7941" width="24.85546875" style="111" customWidth="1"/>
    <col min="7942" max="8191" width="9.140625" style="111"/>
    <col min="8192" max="8192" width="34.140625" style="111" customWidth="1"/>
    <col min="8193" max="8195" width="17.85546875" style="111" customWidth="1"/>
    <col min="8196" max="8196" width="9.140625" style="111" customWidth="1"/>
    <col min="8197" max="8197" width="24.85546875" style="111" customWidth="1"/>
    <col min="8198" max="8447" width="9.140625" style="111"/>
    <col min="8448" max="8448" width="34.140625" style="111" customWidth="1"/>
    <col min="8449" max="8451" width="17.85546875" style="111" customWidth="1"/>
    <col min="8452" max="8452" width="9.140625" style="111" customWidth="1"/>
    <col min="8453" max="8453" width="24.85546875" style="111" customWidth="1"/>
    <col min="8454" max="8703" width="9.140625" style="111"/>
    <col min="8704" max="8704" width="34.140625" style="111" customWidth="1"/>
    <col min="8705" max="8707" width="17.85546875" style="111" customWidth="1"/>
    <col min="8708" max="8708" width="9.140625" style="111" customWidth="1"/>
    <col min="8709" max="8709" width="24.85546875" style="111" customWidth="1"/>
    <col min="8710" max="8959" width="9.140625" style="111"/>
    <col min="8960" max="8960" width="34.140625" style="111" customWidth="1"/>
    <col min="8961" max="8963" width="17.85546875" style="111" customWidth="1"/>
    <col min="8964" max="8964" width="9.140625" style="111" customWidth="1"/>
    <col min="8965" max="8965" width="24.85546875" style="111" customWidth="1"/>
    <col min="8966" max="9215" width="9.140625" style="111"/>
    <col min="9216" max="9216" width="34.140625" style="111" customWidth="1"/>
    <col min="9217" max="9219" width="17.85546875" style="111" customWidth="1"/>
    <col min="9220" max="9220" width="9.140625" style="111" customWidth="1"/>
    <col min="9221" max="9221" width="24.85546875" style="111" customWidth="1"/>
    <col min="9222" max="9471" width="9.140625" style="111"/>
    <col min="9472" max="9472" width="34.140625" style="111" customWidth="1"/>
    <col min="9473" max="9475" width="17.85546875" style="111" customWidth="1"/>
    <col min="9476" max="9476" width="9.140625" style="111" customWidth="1"/>
    <col min="9477" max="9477" width="24.85546875" style="111" customWidth="1"/>
    <col min="9478" max="9727" width="9.140625" style="111"/>
    <col min="9728" max="9728" width="34.140625" style="111" customWidth="1"/>
    <col min="9729" max="9731" width="17.85546875" style="111" customWidth="1"/>
    <col min="9732" max="9732" width="9.140625" style="111" customWidth="1"/>
    <col min="9733" max="9733" width="24.85546875" style="111" customWidth="1"/>
    <col min="9734" max="9983" width="9.140625" style="111"/>
    <col min="9984" max="9984" width="34.140625" style="111" customWidth="1"/>
    <col min="9985" max="9987" width="17.85546875" style="111" customWidth="1"/>
    <col min="9988" max="9988" width="9.140625" style="111" customWidth="1"/>
    <col min="9989" max="9989" width="24.85546875" style="111" customWidth="1"/>
    <col min="9990" max="10239" width="9.140625" style="111"/>
    <col min="10240" max="10240" width="34.140625" style="111" customWidth="1"/>
    <col min="10241" max="10243" width="17.85546875" style="111" customWidth="1"/>
    <col min="10244" max="10244" width="9.140625" style="111" customWidth="1"/>
    <col min="10245" max="10245" width="24.85546875" style="111" customWidth="1"/>
    <col min="10246" max="10495" width="9.140625" style="111"/>
    <col min="10496" max="10496" width="34.140625" style="111" customWidth="1"/>
    <col min="10497" max="10499" width="17.85546875" style="111" customWidth="1"/>
    <col min="10500" max="10500" width="9.140625" style="111" customWidth="1"/>
    <col min="10501" max="10501" width="24.85546875" style="111" customWidth="1"/>
    <col min="10502" max="10751" width="9.140625" style="111"/>
    <col min="10752" max="10752" width="34.140625" style="111" customWidth="1"/>
    <col min="10753" max="10755" width="17.85546875" style="111" customWidth="1"/>
    <col min="10756" max="10756" width="9.140625" style="111" customWidth="1"/>
    <col min="10757" max="10757" width="24.85546875" style="111" customWidth="1"/>
    <col min="10758" max="11007" width="9.140625" style="111"/>
    <col min="11008" max="11008" width="34.140625" style="111" customWidth="1"/>
    <col min="11009" max="11011" width="17.85546875" style="111" customWidth="1"/>
    <col min="11012" max="11012" width="9.140625" style="111" customWidth="1"/>
    <col min="11013" max="11013" width="24.85546875" style="111" customWidth="1"/>
    <col min="11014" max="11263" width="9.140625" style="111"/>
    <col min="11264" max="11264" width="34.140625" style="111" customWidth="1"/>
    <col min="11265" max="11267" width="17.85546875" style="111" customWidth="1"/>
    <col min="11268" max="11268" width="9.140625" style="111" customWidth="1"/>
    <col min="11269" max="11269" width="24.85546875" style="111" customWidth="1"/>
    <col min="11270" max="11519" width="9.140625" style="111"/>
    <col min="11520" max="11520" width="34.140625" style="111" customWidth="1"/>
    <col min="11521" max="11523" width="17.85546875" style="111" customWidth="1"/>
    <col min="11524" max="11524" width="9.140625" style="111" customWidth="1"/>
    <col min="11525" max="11525" width="24.85546875" style="111" customWidth="1"/>
    <col min="11526" max="11775" width="9.140625" style="111"/>
    <col min="11776" max="11776" width="34.140625" style="111" customWidth="1"/>
    <col min="11777" max="11779" width="17.85546875" style="111" customWidth="1"/>
    <col min="11780" max="11780" width="9.140625" style="111" customWidth="1"/>
    <col min="11781" max="11781" width="24.85546875" style="111" customWidth="1"/>
    <col min="11782" max="12031" width="9.140625" style="111"/>
    <col min="12032" max="12032" width="34.140625" style="111" customWidth="1"/>
    <col min="12033" max="12035" width="17.85546875" style="111" customWidth="1"/>
    <col min="12036" max="12036" width="9.140625" style="111" customWidth="1"/>
    <col min="12037" max="12037" width="24.85546875" style="111" customWidth="1"/>
    <col min="12038" max="12287" width="9.140625" style="111"/>
    <col min="12288" max="12288" width="34.140625" style="111" customWidth="1"/>
    <col min="12289" max="12291" width="17.85546875" style="111" customWidth="1"/>
    <col min="12292" max="12292" width="9.140625" style="111" customWidth="1"/>
    <col min="12293" max="12293" width="24.85546875" style="111" customWidth="1"/>
    <col min="12294" max="12543" width="9.140625" style="111"/>
    <col min="12544" max="12544" width="34.140625" style="111" customWidth="1"/>
    <col min="12545" max="12547" width="17.85546875" style="111" customWidth="1"/>
    <col min="12548" max="12548" width="9.140625" style="111" customWidth="1"/>
    <col min="12549" max="12549" width="24.85546875" style="111" customWidth="1"/>
    <col min="12550" max="12799" width="9.140625" style="111"/>
    <col min="12800" max="12800" width="34.140625" style="111" customWidth="1"/>
    <col min="12801" max="12803" width="17.85546875" style="111" customWidth="1"/>
    <col min="12804" max="12804" width="9.140625" style="111" customWidth="1"/>
    <col min="12805" max="12805" width="24.85546875" style="111" customWidth="1"/>
    <col min="12806" max="13055" width="9.140625" style="111"/>
    <col min="13056" max="13056" width="34.140625" style="111" customWidth="1"/>
    <col min="13057" max="13059" width="17.85546875" style="111" customWidth="1"/>
    <col min="13060" max="13060" width="9.140625" style="111" customWidth="1"/>
    <col min="13061" max="13061" width="24.85546875" style="111" customWidth="1"/>
    <col min="13062" max="13311" width="9.140625" style="111"/>
    <col min="13312" max="13312" width="34.140625" style="111" customWidth="1"/>
    <col min="13313" max="13315" width="17.85546875" style="111" customWidth="1"/>
    <col min="13316" max="13316" width="9.140625" style="111" customWidth="1"/>
    <col min="13317" max="13317" width="24.85546875" style="111" customWidth="1"/>
    <col min="13318" max="13567" width="9.140625" style="111"/>
    <col min="13568" max="13568" width="34.140625" style="111" customWidth="1"/>
    <col min="13569" max="13571" width="17.85546875" style="111" customWidth="1"/>
    <col min="13572" max="13572" width="9.140625" style="111" customWidth="1"/>
    <col min="13573" max="13573" width="24.85546875" style="111" customWidth="1"/>
    <col min="13574" max="13823" width="9.140625" style="111"/>
    <col min="13824" max="13824" width="34.140625" style="111" customWidth="1"/>
    <col min="13825" max="13827" width="17.85546875" style="111" customWidth="1"/>
    <col min="13828" max="13828" width="9.140625" style="111" customWidth="1"/>
    <col min="13829" max="13829" width="24.85546875" style="111" customWidth="1"/>
    <col min="13830" max="14079" width="9.140625" style="111"/>
    <col min="14080" max="14080" width="34.140625" style="111" customWidth="1"/>
    <col min="14081" max="14083" width="17.85546875" style="111" customWidth="1"/>
    <col min="14084" max="14084" width="9.140625" style="111" customWidth="1"/>
    <col min="14085" max="14085" width="24.85546875" style="111" customWidth="1"/>
    <col min="14086" max="14335" width="9.140625" style="111"/>
    <col min="14336" max="14336" width="34.140625" style="111" customWidth="1"/>
    <col min="14337" max="14339" width="17.85546875" style="111" customWidth="1"/>
    <col min="14340" max="14340" width="9.140625" style="111" customWidth="1"/>
    <col min="14341" max="14341" width="24.85546875" style="111" customWidth="1"/>
    <col min="14342" max="14591" width="9.140625" style="111"/>
    <col min="14592" max="14592" width="34.140625" style="111" customWidth="1"/>
    <col min="14593" max="14595" width="17.85546875" style="111" customWidth="1"/>
    <col min="14596" max="14596" width="9.140625" style="111" customWidth="1"/>
    <col min="14597" max="14597" width="24.85546875" style="111" customWidth="1"/>
    <col min="14598" max="14847" width="9.140625" style="111"/>
    <col min="14848" max="14848" width="34.140625" style="111" customWidth="1"/>
    <col min="14849" max="14851" width="17.85546875" style="111" customWidth="1"/>
    <col min="14852" max="14852" width="9.140625" style="111" customWidth="1"/>
    <col min="14853" max="14853" width="24.85546875" style="111" customWidth="1"/>
    <col min="14854" max="15103" width="9.140625" style="111"/>
    <col min="15104" max="15104" width="34.140625" style="111" customWidth="1"/>
    <col min="15105" max="15107" width="17.85546875" style="111" customWidth="1"/>
    <col min="15108" max="15108" width="9.140625" style="111" customWidth="1"/>
    <col min="15109" max="15109" width="24.85546875" style="111" customWidth="1"/>
    <col min="15110" max="15359" width="9.140625" style="111"/>
    <col min="15360" max="15360" width="34.140625" style="111" customWidth="1"/>
    <col min="15361" max="15363" width="17.85546875" style="111" customWidth="1"/>
    <col min="15364" max="15364" width="9.140625" style="111" customWidth="1"/>
    <col min="15365" max="15365" width="24.85546875" style="111" customWidth="1"/>
    <col min="15366" max="15615" width="9.140625" style="111"/>
    <col min="15616" max="15616" width="34.140625" style="111" customWidth="1"/>
    <col min="15617" max="15619" width="17.85546875" style="111" customWidth="1"/>
    <col min="15620" max="15620" width="9.140625" style="111" customWidth="1"/>
    <col min="15621" max="15621" width="24.85546875" style="111" customWidth="1"/>
    <col min="15622" max="15871" width="9.140625" style="111"/>
    <col min="15872" max="15872" width="34.140625" style="111" customWidth="1"/>
    <col min="15873" max="15875" width="17.85546875" style="111" customWidth="1"/>
    <col min="15876" max="15876" width="9.140625" style="111" customWidth="1"/>
    <col min="15877" max="15877" width="24.85546875" style="111" customWidth="1"/>
    <col min="15878" max="16127" width="9.140625" style="111"/>
    <col min="16128" max="16128" width="34.140625" style="111" customWidth="1"/>
    <col min="16129" max="16131" width="17.85546875" style="111" customWidth="1"/>
    <col min="16132" max="16132" width="9.140625" style="111" customWidth="1"/>
    <col min="16133" max="16133" width="24.85546875" style="111" customWidth="1"/>
    <col min="16134" max="16384" width="9.140625" style="111"/>
  </cols>
  <sheetData>
    <row r="2" spans="1:4" ht="24.75" customHeight="1" x14ac:dyDescent="0.2">
      <c r="A2" s="2688" t="s">
        <v>1735</v>
      </c>
      <c r="B2" s="2689"/>
      <c r="C2" s="2689"/>
      <c r="D2" s="2689"/>
    </row>
    <row r="3" spans="1:4" ht="10.5" customHeight="1" x14ac:dyDescent="0.2">
      <c r="A3" s="2347"/>
      <c r="B3" s="2667"/>
      <c r="C3" s="2667"/>
      <c r="D3" s="2667"/>
    </row>
    <row r="4" spans="1:4" x14ac:dyDescent="0.2">
      <c r="A4" s="2379" t="s">
        <v>1</v>
      </c>
      <c r="B4" s="2690" t="s">
        <v>1472</v>
      </c>
      <c r="C4" s="2691"/>
      <c r="D4" s="2692"/>
    </row>
    <row r="5" spans="1:4" x14ac:dyDescent="0.2">
      <c r="A5" s="2460"/>
      <c r="B5" s="2379" t="s">
        <v>1473</v>
      </c>
      <c r="C5" s="2690" t="s">
        <v>1474</v>
      </c>
      <c r="D5" s="2692"/>
    </row>
    <row r="6" spans="1:4" ht="30" customHeight="1" x14ac:dyDescent="0.2">
      <c r="A6" s="2360"/>
      <c r="B6" s="2360"/>
      <c r="C6" s="541" t="s">
        <v>1733</v>
      </c>
      <c r="D6" s="541" t="s">
        <v>1734</v>
      </c>
    </row>
    <row r="7" spans="1:4" x14ac:dyDescent="0.2">
      <c r="A7" s="146" t="s">
        <v>141</v>
      </c>
      <c r="B7" s="477">
        <f>SUM(B8:B22)</f>
        <v>4405</v>
      </c>
      <c r="C7" s="477">
        <f>SUM(C8:C22)</f>
        <v>1472</v>
      </c>
      <c r="D7" s="477">
        <f>SUM(D8:D22)</f>
        <v>2933</v>
      </c>
    </row>
    <row r="8" spans="1:4" x14ac:dyDescent="0.2">
      <c r="A8" s="476" t="s">
        <v>5</v>
      </c>
      <c r="B8" s="477">
        <f>SUM(C8:D8)</f>
        <v>27</v>
      </c>
      <c r="C8" s="478">
        <v>11</v>
      </c>
      <c r="D8" s="478">
        <v>16</v>
      </c>
    </row>
    <row r="9" spans="1:4" x14ac:dyDescent="0.2">
      <c r="A9" s="476" t="s">
        <v>6</v>
      </c>
      <c r="B9" s="477">
        <f t="shared" ref="B9:B22" si="0">SUM(C9:D9)</f>
        <v>26</v>
      </c>
      <c r="C9" s="478">
        <v>14</v>
      </c>
      <c r="D9" s="478">
        <v>12</v>
      </c>
    </row>
    <row r="10" spans="1:4" x14ac:dyDescent="0.2">
      <c r="A10" s="476" t="s">
        <v>1485</v>
      </c>
      <c r="B10" s="477">
        <f t="shared" si="0"/>
        <v>98</v>
      </c>
      <c r="C10" s="478">
        <v>32</v>
      </c>
      <c r="D10" s="478">
        <v>66</v>
      </c>
    </row>
    <row r="11" spans="1:4" x14ac:dyDescent="0.2">
      <c r="A11" s="476" t="s">
        <v>1486</v>
      </c>
      <c r="B11" s="477">
        <f t="shared" si="0"/>
        <v>171</v>
      </c>
      <c r="C11" s="478">
        <v>29</v>
      </c>
      <c r="D11" s="478">
        <v>142</v>
      </c>
    </row>
    <row r="12" spans="1:4" x14ac:dyDescent="0.2">
      <c r="A12" s="476" t="s">
        <v>1487</v>
      </c>
      <c r="B12" s="477">
        <f t="shared" si="0"/>
        <v>122</v>
      </c>
      <c r="C12" s="478">
        <v>50</v>
      </c>
      <c r="D12" s="478">
        <v>72</v>
      </c>
    </row>
    <row r="13" spans="1:4" x14ac:dyDescent="0.2">
      <c r="A13" s="476" t="s">
        <v>1488</v>
      </c>
      <c r="B13" s="477">
        <f t="shared" si="0"/>
        <v>364</v>
      </c>
      <c r="C13" s="478">
        <v>123</v>
      </c>
      <c r="D13" s="478">
        <v>241</v>
      </c>
    </row>
    <row r="14" spans="1:4" x14ac:dyDescent="0.2">
      <c r="A14" s="476" t="s">
        <v>11</v>
      </c>
      <c r="B14" s="477">
        <f t="shared" si="0"/>
        <v>1783</v>
      </c>
      <c r="C14" s="478">
        <v>509</v>
      </c>
      <c r="D14" s="478">
        <v>1274</v>
      </c>
    </row>
    <row r="15" spans="1:4" x14ac:dyDescent="0.2">
      <c r="A15" s="476" t="s">
        <v>12</v>
      </c>
      <c r="B15" s="477">
        <f t="shared" si="0"/>
        <v>144</v>
      </c>
      <c r="C15" s="478">
        <v>34</v>
      </c>
      <c r="D15" s="478">
        <v>110</v>
      </c>
    </row>
    <row r="16" spans="1:4" x14ac:dyDescent="0.2">
      <c r="A16" s="476" t="s">
        <v>13</v>
      </c>
      <c r="B16" s="477">
        <f t="shared" si="0"/>
        <v>356</v>
      </c>
      <c r="C16" s="478">
        <v>128</v>
      </c>
      <c r="D16" s="478">
        <v>228</v>
      </c>
    </row>
    <row r="17" spans="1:10" x14ac:dyDescent="0.2">
      <c r="A17" s="476" t="s">
        <v>14</v>
      </c>
      <c r="B17" s="477">
        <f t="shared" si="0"/>
        <v>376</v>
      </c>
      <c r="C17" s="478">
        <v>132</v>
      </c>
      <c r="D17" s="478">
        <v>244</v>
      </c>
      <c r="E17" s="2064"/>
      <c r="F17" s="2064"/>
      <c r="G17" s="2064"/>
      <c r="H17" s="2064"/>
      <c r="I17" s="2064"/>
      <c r="J17" s="2064"/>
    </row>
    <row r="18" spans="1:10" x14ac:dyDescent="0.2">
      <c r="A18" s="476" t="s">
        <v>15</v>
      </c>
      <c r="B18" s="477">
        <f t="shared" si="0"/>
        <v>261</v>
      </c>
      <c r="C18" s="478">
        <v>90</v>
      </c>
      <c r="D18" s="478">
        <v>171</v>
      </c>
      <c r="E18" s="2064"/>
      <c r="F18" s="2064"/>
      <c r="G18" s="2064"/>
      <c r="H18" s="2064"/>
      <c r="I18" s="2064"/>
      <c r="J18" s="2064"/>
    </row>
    <row r="19" spans="1:10" x14ac:dyDescent="0.2">
      <c r="A19" s="476" t="s">
        <v>16</v>
      </c>
      <c r="B19" s="477">
        <f t="shared" si="0"/>
        <v>355</v>
      </c>
      <c r="C19" s="478">
        <v>213</v>
      </c>
      <c r="D19" s="478">
        <v>142</v>
      </c>
      <c r="E19" s="2064"/>
      <c r="F19" s="2064"/>
      <c r="G19" s="2064"/>
      <c r="H19" s="2064"/>
      <c r="I19" s="2064"/>
      <c r="J19" s="2064"/>
    </row>
    <row r="20" spans="1:10" x14ac:dyDescent="0.2">
      <c r="A20" s="2050" t="s">
        <v>17</v>
      </c>
      <c r="B20" s="477">
        <f t="shared" si="0"/>
        <v>225</v>
      </c>
      <c r="C20" s="478">
        <v>85</v>
      </c>
      <c r="D20" s="478">
        <v>140</v>
      </c>
      <c r="E20" s="2064"/>
      <c r="F20" s="2064"/>
      <c r="G20" s="2064"/>
      <c r="H20" s="2064"/>
      <c r="I20" s="2064"/>
      <c r="J20" s="2064"/>
    </row>
    <row r="21" spans="1:10" x14ac:dyDescent="0.2">
      <c r="A21" s="2050" t="s">
        <v>18</v>
      </c>
      <c r="B21" s="477">
        <f t="shared" si="0"/>
        <v>63</v>
      </c>
      <c r="C21" s="478">
        <v>11</v>
      </c>
      <c r="D21" s="433">
        <v>52</v>
      </c>
      <c r="E21" s="2064"/>
      <c r="F21" s="2064"/>
      <c r="G21" s="2064"/>
      <c r="H21" s="2064"/>
      <c r="I21" s="2064"/>
      <c r="J21" s="2064"/>
    </row>
    <row r="22" spans="1:10" x14ac:dyDescent="0.2">
      <c r="A22" s="2050" t="s">
        <v>19</v>
      </c>
      <c r="B22" s="477">
        <f t="shared" si="0"/>
        <v>34</v>
      </c>
      <c r="C22" s="478">
        <v>11</v>
      </c>
      <c r="D22" s="478">
        <v>23</v>
      </c>
      <c r="E22" s="2064"/>
      <c r="F22" s="2064"/>
      <c r="G22" s="2064"/>
      <c r="H22" s="2064"/>
      <c r="I22" s="2064"/>
      <c r="J22" s="2064"/>
    </row>
    <row r="23" spans="1:10" ht="12" customHeight="1" x14ac:dyDescent="0.2">
      <c r="A23" s="2356"/>
      <c r="B23" s="2672"/>
      <c r="C23" s="2672"/>
      <c r="D23" s="2672"/>
      <c r="E23" s="2064"/>
      <c r="F23" s="2064"/>
      <c r="G23" s="2064"/>
      <c r="H23" s="2064"/>
      <c r="I23" s="2064"/>
      <c r="J23" s="2064"/>
    </row>
    <row r="24" spans="1:10" ht="35.85" customHeight="1" x14ac:dyDescent="0.2">
      <c r="A24" s="2697" t="s">
        <v>1482</v>
      </c>
      <c r="B24" s="2665"/>
      <c r="C24" s="2665"/>
      <c r="D24" s="2665"/>
      <c r="E24" s="2064"/>
      <c r="F24" s="2064"/>
      <c r="G24" s="2064"/>
      <c r="H24" s="2064"/>
      <c r="I24" s="2064"/>
      <c r="J24" s="2064"/>
    </row>
    <row r="25" spans="1:10" x14ac:dyDescent="0.2">
      <c r="A25" s="2477" t="s">
        <v>1489</v>
      </c>
      <c r="B25" s="2477"/>
      <c r="C25" s="2477"/>
      <c r="D25" s="2477"/>
      <c r="E25" s="2163"/>
      <c r="F25" s="2163"/>
      <c r="G25" s="2163"/>
      <c r="H25" s="2163"/>
      <c r="I25" s="2064"/>
      <c r="J25" s="2064"/>
    </row>
    <row r="26" spans="1:10" x14ac:dyDescent="0.2">
      <c r="A26" s="2356" t="s">
        <v>1483</v>
      </c>
      <c r="B26" s="2665"/>
      <c r="C26" s="2665"/>
      <c r="D26" s="2665"/>
      <c r="E26" s="2064"/>
      <c r="F26" s="2064"/>
      <c r="G26" s="2064"/>
      <c r="H26" s="2064"/>
      <c r="I26" s="2064"/>
      <c r="J26" s="2064"/>
    </row>
    <row r="27" spans="1:10" ht="409.6" hidden="1" customHeight="1" x14ac:dyDescent="0.2">
      <c r="A27" s="2064"/>
      <c r="B27" s="2064"/>
      <c r="C27" s="2064"/>
      <c r="D27" s="2064"/>
      <c r="E27" s="2064"/>
      <c r="F27" s="2064"/>
      <c r="G27" s="2064"/>
      <c r="H27" s="2064"/>
      <c r="I27" s="2064"/>
      <c r="J27" s="2064"/>
    </row>
    <row r="28" spans="1:10" x14ac:dyDescent="0.2">
      <c r="A28" s="2064"/>
      <c r="B28" s="2064"/>
      <c r="C28" s="2064"/>
      <c r="D28" s="2064"/>
      <c r="E28" s="2064"/>
      <c r="F28" s="2064"/>
      <c r="G28" s="2064"/>
      <c r="H28" s="2064"/>
      <c r="I28" s="2064"/>
      <c r="J28" s="2064"/>
    </row>
    <row r="29" spans="1:10" x14ac:dyDescent="0.2">
      <c r="A29" s="2064"/>
      <c r="B29" s="2064"/>
      <c r="C29" s="2064"/>
      <c r="D29" s="2064"/>
      <c r="E29" s="2064"/>
      <c r="F29" s="2064"/>
      <c r="G29" s="2064"/>
      <c r="H29" s="2064"/>
      <c r="I29" s="2064"/>
      <c r="J29" s="2064"/>
    </row>
    <row r="30" spans="1:10" x14ac:dyDescent="0.2">
      <c r="A30" s="2064"/>
      <c r="B30" s="2064"/>
      <c r="C30" s="2064"/>
      <c r="D30" s="2064"/>
      <c r="E30" s="2064"/>
      <c r="F30" s="2064"/>
      <c r="G30" s="2064"/>
      <c r="H30" s="2064"/>
      <c r="I30" s="2064"/>
      <c r="J30" s="2064"/>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K14"/>
  <sheetViews>
    <sheetView zoomScaleNormal="100" workbookViewId="0">
      <selection activeCell="E19" sqref="E19"/>
    </sheetView>
  </sheetViews>
  <sheetFormatPr baseColWidth="10" defaultRowHeight="12.75" x14ac:dyDescent="0.2"/>
  <cols>
    <col min="1" max="1" width="52.7109375" style="558" customWidth="1"/>
    <col min="2" max="5" width="7.140625" style="558" customWidth="1"/>
    <col min="6" max="16384" width="11.42578125" style="558"/>
  </cols>
  <sheetData>
    <row r="1" spans="1:11" ht="15.75" x14ac:dyDescent="0.2">
      <c r="A1" s="616"/>
    </row>
    <row r="2" spans="1:11" ht="22.5" customHeight="1" x14ac:dyDescent="0.2">
      <c r="A2" s="2567" t="s">
        <v>1736</v>
      </c>
      <c r="B2" s="2567"/>
      <c r="C2" s="2567"/>
      <c r="D2" s="2567"/>
      <c r="E2" s="2567"/>
    </row>
    <row r="3" spans="1:11" ht="11.25" customHeight="1" x14ac:dyDescent="0.2">
      <c r="A3" s="698"/>
      <c r="B3" s="698"/>
      <c r="C3" s="559"/>
    </row>
    <row r="4" spans="1:11" ht="15" customHeight="1" x14ac:dyDescent="0.2">
      <c r="A4" s="2797" t="s">
        <v>1737</v>
      </c>
      <c r="B4" s="2797" t="s">
        <v>1738</v>
      </c>
      <c r="C4" s="2797"/>
      <c r="D4" s="2797"/>
      <c r="E4" s="2797"/>
      <c r="G4" s="251"/>
      <c r="H4" s="699"/>
    </row>
    <row r="5" spans="1:11" ht="17.25" customHeight="1" x14ac:dyDescent="0.2">
      <c r="A5" s="2797"/>
      <c r="B5" s="700">
        <v>2012</v>
      </c>
      <c r="C5" s="700">
        <v>2013</v>
      </c>
      <c r="D5" s="700">
        <v>2014</v>
      </c>
      <c r="E5" s="700">
        <v>2015</v>
      </c>
      <c r="G5" s="251"/>
      <c r="H5" s="699"/>
    </row>
    <row r="6" spans="1:11" x14ac:dyDescent="0.2">
      <c r="A6" s="560" t="s">
        <v>141</v>
      </c>
      <c r="B6" s="694">
        <f>SUM(B7:B10)</f>
        <v>2838</v>
      </c>
      <c r="C6" s="694">
        <f>SUM(C7:C10)</f>
        <v>2923</v>
      </c>
      <c r="D6" s="694">
        <f>SUM(D7:D10)</f>
        <v>5508</v>
      </c>
      <c r="E6" s="694">
        <f>SUM(E7:E10)</f>
        <v>6319</v>
      </c>
      <c r="G6" s="251"/>
      <c r="H6" s="701"/>
    </row>
    <row r="7" spans="1:11" x14ac:dyDescent="0.2">
      <c r="A7" s="251" t="s">
        <v>1739</v>
      </c>
      <c r="B7" s="569">
        <v>2098</v>
      </c>
      <c r="C7" s="569">
        <v>2206</v>
      </c>
      <c r="D7" s="569">
        <v>4463</v>
      </c>
      <c r="E7" s="569">
        <v>5153</v>
      </c>
      <c r="G7" s="251"/>
      <c r="H7" s="701"/>
    </row>
    <row r="8" spans="1:11" x14ac:dyDescent="0.2">
      <c r="A8" s="251" t="s">
        <v>1740</v>
      </c>
      <c r="B8" s="569">
        <v>367</v>
      </c>
      <c r="C8" s="569">
        <v>387</v>
      </c>
      <c r="D8" s="569">
        <v>468</v>
      </c>
      <c r="E8" s="569">
        <v>513</v>
      </c>
      <c r="G8" s="251"/>
      <c r="H8" s="701"/>
    </row>
    <row r="9" spans="1:11" x14ac:dyDescent="0.2">
      <c r="A9" s="251" t="s">
        <v>1741</v>
      </c>
      <c r="B9" s="569">
        <v>325</v>
      </c>
      <c r="C9" s="569">
        <v>266</v>
      </c>
      <c r="D9" s="569">
        <v>420</v>
      </c>
      <c r="E9" s="569">
        <v>497</v>
      </c>
    </row>
    <row r="10" spans="1:11" x14ac:dyDescent="0.2">
      <c r="A10" s="251" t="s">
        <v>1742</v>
      </c>
      <c r="B10" s="569">
        <v>48</v>
      </c>
      <c r="C10" s="569">
        <v>64</v>
      </c>
      <c r="D10" s="569">
        <v>157</v>
      </c>
      <c r="E10" s="569">
        <v>156</v>
      </c>
    </row>
    <row r="11" spans="1:11" ht="10.5" customHeight="1" x14ac:dyDescent="0.2">
      <c r="A11" s="251"/>
      <c r="B11" s="569"/>
      <c r="C11" s="559"/>
    </row>
    <row r="12" spans="1:11" ht="41.25" customHeight="1" x14ac:dyDescent="0.2">
      <c r="A12" s="2796" t="s">
        <v>1743</v>
      </c>
      <c r="B12" s="2796"/>
      <c r="C12" s="2796"/>
      <c r="D12" s="2796"/>
      <c r="E12" s="2796"/>
    </row>
    <row r="13" spans="1:11" ht="15.75" customHeight="1" x14ac:dyDescent="0.2">
      <c r="A13" s="2624" t="s">
        <v>1744</v>
      </c>
      <c r="B13" s="2624"/>
      <c r="C13" s="2624"/>
      <c r="D13" s="2624"/>
      <c r="E13" s="2624"/>
      <c r="F13" s="385"/>
      <c r="G13" s="385"/>
      <c r="H13" s="385"/>
      <c r="I13" s="385"/>
      <c r="J13" s="385"/>
      <c r="K13" s="385"/>
    </row>
    <row r="14" spans="1:11" x14ac:dyDescent="0.2">
      <c r="A14" s="2618" t="s">
        <v>1537</v>
      </c>
      <c r="B14" s="2618"/>
      <c r="C14" s="2618"/>
      <c r="D14" s="2618"/>
      <c r="E14" s="2618"/>
    </row>
  </sheetData>
  <mergeCells count="6">
    <mergeCell ref="A14:E14"/>
    <mergeCell ref="A2:E2"/>
    <mergeCell ref="A4:A5"/>
    <mergeCell ref="B4:E4"/>
    <mergeCell ref="A12:E12"/>
    <mergeCell ref="A13:E13"/>
  </mergeCells>
  <pageMargins left="0.7" right="0.7" top="0.75" bottom="0.75" header="0.3" footer="0.3"/>
  <pageSetup paperSize="14"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2:P43"/>
  <sheetViews>
    <sheetView workbookViewId="0">
      <selection activeCell="A31" sqref="A31"/>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9.140625" style="111" customWidth="1"/>
    <col min="262" max="262" width="146.42578125" style="111" customWidth="1"/>
    <col min="263" max="512" width="9.140625" style="111"/>
    <col min="513" max="513" width="34.140625" style="111" customWidth="1"/>
    <col min="514" max="516" width="17.85546875" style="111" customWidth="1"/>
    <col min="517" max="517" width="9.140625" style="111" customWidth="1"/>
    <col min="518" max="518" width="146.42578125" style="111" customWidth="1"/>
    <col min="519" max="768" width="9.140625" style="111"/>
    <col min="769" max="769" width="34.140625" style="111" customWidth="1"/>
    <col min="770" max="772" width="17.85546875" style="111" customWidth="1"/>
    <col min="773" max="773" width="9.140625" style="111" customWidth="1"/>
    <col min="774" max="774" width="146.42578125" style="111" customWidth="1"/>
    <col min="775" max="1024" width="9.140625" style="111"/>
    <col min="1025" max="1025" width="34.140625" style="111" customWidth="1"/>
    <col min="1026" max="1028" width="17.85546875" style="111" customWidth="1"/>
    <col min="1029" max="1029" width="9.140625" style="111" customWidth="1"/>
    <col min="1030" max="1030" width="146.42578125" style="111" customWidth="1"/>
    <col min="1031" max="1280" width="9.140625" style="111"/>
    <col min="1281" max="1281" width="34.140625" style="111" customWidth="1"/>
    <col min="1282" max="1284" width="17.85546875" style="111" customWidth="1"/>
    <col min="1285" max="1285" width="9.140625" style="111" customWidth="1"/>
    <col min="1286" max="1286" width="146.42578125" style="111" customWidth="1"/>
    <col min="1287" max="1536" width="9.140625" style="111"/>
    <col min="1537" max="1537" width="34.140625" style="111" customWidth="1"/>
    <col min="1538" max="1540" width="17.85546875" style="111" customWidth="1"/>
    <col min="1541" max="1541" width="9.140625" style="111" customWidth="1"/>
    <col min="1542" max="1542" width="146.42578125" style="111" customWidth="1"/>
    <col min="1543" max="1792" width="9.140625" style="111"/>
    <col min="1793" max="1793" width="34.140625" style="111" customWidth="1"/>
    <col min="1794" max="1796" width="17.85546875" style="111" customWidth="1"/>
    <col min="1797" max="1797" width="9.140625" style="111" customWidth="1"/>
    <col min="1798" max="1798" width="146.42578125" style="111" customWidth="1"/>
    <col min="1799" max="2048" width="9.140625" style="111"/>
    <col min="2049" max="2049" width="34.140625" style="111" customWidth="1"/>
    <col min="2050" max="2052" width="17.85546875" style="111" customWidth="1"/>
    <col min="2053" max="2053" width="9.140625" style="111" customWidth="1"/>
    <col min="2054" max="2054" width="146.42578125" style="111" customWidth="1"/>
    <col min="2055" max="2304" width="9.140625" style="111"/>
    <col min="2305" max="2305" width="34.140625" style="111" customWidth="1"/>
    <col min="2306" max="2308" width="17.85546875" style="111" customWidth="1"/>
    <col min="2309" max="2309" width="9.140625" style="111" customWidth="1"/>
    <col min="2310" max="2310" width="146.42578125" style="111" customWidth="1"/>
    <col min="2311" max="2560" width="9.140625" style="111"/>
    <col min="2561" max="2561" width="34.140625" style="111" customWidth="1"/>
    <col min="2562" max="2564" width="17.85546875" style="111" customWidth="1"/>
    <col min="2565" max="2565" width="9.140625" style="111" customWidth="1"/>
    <col min="2566" max="2566" width="146.42578125" style="111" customWidth="1"/>
    <col min="2567" max="2816" width="9.140625" style="111"/>
    <col min="2817" max="2817" width="34.140625" style="111" customWidth="1"/>
    <col min="2818" max="2820" width="17.85546875" style="111" customWidth="1"/>
    <col min="2821" max="2821" width="9.140625" style="111" customWidth="1"/>
    <col min="2822" max="2822" width="146.42578125" style="111" customWidth="1"/>
    <col min="2823" max="3072" width="9.140625" style="111"/>
    <col min="3073" max="3073" width="34.140625" style="111" customWidth="1"/>
    <col min="3074" max="3076" width="17.85546875" style="111" customWidth="1"/>
    <col min="3077" max="3077" width="9.140625" style="111" customWidth="1"/>
    <col min="3078" max="3078" width="146.42578125" style="111" customWidth="1"/>
    <col min="3079" max="3328" width="9.140625" style="111"/>
    <col min="3329" max="3329" width="34.140625" style="111" customWidth="1"/>
    <col min="3330" max="3332" width="17.85546875" style="111" customWidth="1"/>
    <col min="3333" max="3333" width="9.140625" style="111" customWidth="1"/>
    <col min="3334" max="3334" width="146.42578125" style="111" customWidth="1"/>
    <col min="3335" max="3584" width="9.140625" style="111"/>
    <col min="3585" max="3585" width="34.140625" style="111" customWidth="1"/>
    <col min="3586" max="3588" width="17.85546875" style="111" customWidth="1"/>
    <col min="3589" max="3589" width="9.140625" style="111" customWidth="1"/>
    <col min="3590" max="3590" width="146.42578125" style="111" customWidth="1"/>
    <col min="3591" max="3840" width="9.140625" style="111"/>
    <col min="3841" max="3841" width="34.140625" style="111" customWidth="1"/>
    <col min="3842" max="3844" width="17.85546875" style="111" customWidth="1"/>
    <col min="3845" max="3845" width="9.140625" style="111" customWidth="1"/>
    <col min="3846" max="3846" width="146.42578125" style="111" customWidth="1"/>
    <col min="3847" max="4096" width="9.140625" style="111"/>
    <col min="4097" max="4097" width="34.140625" style="111" customWidth="1"/>
    <col min="4098" max="4100" width="17.85546875" style="111" customWidth="1"/>
    <col min="4101" max="4101" width="9.140625" style="111" customWidth="1"/>
    <col min="4102" max="4102" width="146.42578125" style="111" customWidth="1"/>
    <col min="4103" max="4352" width="9.140625" style="111"/>
    <col min="4353" max="4353" width="34.140625" style="111" customWidth="1"/>
    <col min="4354" max="4356" width="17.85546875" style="111" customWidth="1"/>
    <col min="4357" max="4357" width="9.140625" style="111" customWidth="1"/>
    <col min="4358" max="4358" width="146.42578125" style="111" customWidth="1"/>
    <col min="4359" max="4608" width="9.140625" style="111"/>
    <col min="4609" max="4609" width="34.140625" style="111" customWidth="1"/>
    <col min="4610" max="4612" width="17.85546875" style="111" customWidth="1"/>
    <col min="4613" max="4613" width="9.140625" style="111" customWidth="1"/>
    <col min="4614" max="4614" width="146.42578125" style="111" customWidth="1"/>
    <col min="4615" max="4864" width="9.140625" style="111"/>
    <col min="4865" max="4865" width="34.140625" style="111" customWidth="1"/>
    <col min="4866" max="4868" width="17.85546875" style="111" customWidth="1"/>
    <col min="4869" max="4869" width="9.140625" style="111" customWidth="1"/>
    <col min="4870" max="4870" width="146.42578125" style="111" customWidth="1"/>
    <col min="4871" max="5120" width="9.140625" style="111"/>
    <col min="5121" max="5121" width="34.140625" style="111" customWidth="1"/>
    <col min="5122" max="5124" width="17.85546875" style="111" customWidth="1"/>
    <col min="5125" max="5125" width="9.140625" style="111" customWidth="1"/>
    <col min="5126" max="5126" width="146.42578125" style="111" customWidth="1"/>
    <col min="5127" max="5376" width="9.140625" style="111"/>
    <col min="5377" max="5377" width="34.140625" style="111" customWidth="1"/>
    <col min="5378" max="5380" width="17.85546875" style="111" customWidth="1"/>
    <col min="5381" max="5381" width="9.140625" style="111" customWidth="1"/>
    <col min="5382" max="5382" width="146.42578125" style="111" customWidth="1"/>
    <col min="5383" max="5632" width="9.140625" style="111"/>
    <col min="5633" max="5633" width="34.140625" style="111" customWidth="1"/>
    <col min="5634" max="5636" width="17.85546875" style="111" customWidth="1"/>
    <col min="5637" max="5637" width="9.140625" style="111" customWidth="1"/>
    <col min="5638" max="5638" width="146.42578125" style="111" customWidth="1"/>
    <col min="5639" max="5888" width="9.140625" style="111"/>
    <col min="5889" max="5889" width="34.140625" style="111" customWidth="1"/>
    <col min="5890" max="5892" width="17.85546875" style="111" customWidth="1"/>
    <col min="5893" max="5893" width="9.140625" style="111" customWidth="1"/>
    <col min="5894" max="5894" width="146.42578125" style="111" customWidth="1"/>
    <col min="5895" max="6144" width="9.140625" style="111"/>
    <col min="6145" max="6145" width="34.140625" style="111" customWidth="1"/>
    <col min="6146" max="6148" width="17.85546875" style="111" customWidth="1"/>
    <col min="6149" max="6149" width="9.140625" style="111" customWidth="1"/>
    <col min="6150" max="6150" width="146.42578125" style="111" customWidth="1"/>
    <col min="6151" max="6400" width="9.140625" style="111"/>
    <col min="6401" max="6401" width="34.140625" style="111" customWidth="1"/>
    <col min="6402" max="6404" width="17.85546875" style="111" customWidth="1"/>
    <col min="6405" max="6405" width="9.140625" style="111" customWidth="1"/>
    <col min="6406" max="6406" width="146.42578125" style="111" customWidth="1"/>
    <col min="6407" max="6656" width="9.140625" style="111"/>
    <col min="6657" max="6657" width="34.140625" style="111" customWidth="1"/>
    <col min="6658" max="6660" width="17.85546875" style="111" customWidth="1"/>
    <col min="6661" max="6661" width="9.140625" style="111" customWidth="1"/>
    <col min="6662" max="6662" width="146.42578125" style="111" customWidth="1"/>
    <col min="6663" max="6912" width="9.140625" style="111"/>
    <col min="6913" max="6913" width="34.140625" style="111" customWidth="1"/>
    <col min="6914" max="6916" width="17.85546875" style="111" customWidth="1"/>
    <col min="6917" max="6917" width="9.140625" style="111" customWidth="1"/>
    <col min="6918" max="6918" width="146.42578125" style="111" customWidth="1"/>
    <col min="6919" max="7168" width="9.140625" style="111"/>
    <col min="7169" max="7169" width="34.140625" style="111" customWidth="1"/>
    <col min="7170" max="7172" width="17.85546875" style="111" customWidth="1"/>
    <col min="7173" max="7173" width="9.140625" style="111" customWidth="1"/>
    <col min="7174" max="7174" width="146.42578125" style="111" customWidth="1"/>
    <col min="7175" max="7424" width="9.140625" style="111"/>
    <col min="7425" max="7425" width="34.140625" style="111" customWidth="1"/>
    <col min="7426" max="7428" width="17.85546875" style="111" customWidth="1"/>
    <col min="7429" max="7429" width="9.140625" style="111" customWidth="1"/>
    <col min="7430" max="7430" width="146.42578125" style="111" customWidth="1"/>
    <col min="7431" max="7680" width="9.140625" style="111"/>
    <col min="7681" max="7681" width="34.140625" style="111" customWidth="1"/>
    <col min="7682" max="7684" width="17.85546875" style="111" customWidth="1"/>
    <col min="7685" max="7685" width="9.140625" style="111" customWidth="1"/>
    <col min="7686" max="7686" width="146.42578125" style="111" customWidth="1"/>
    <col min="7687" max="7936" width="9.140625" style="111"/>
    <col min="7937" max="7937" width="34.140625" style="111" customWidth="1"/>
    <col min="7938" max="7940" width="17.85546875" style="111" customWidth="1"/>
    <col min="7941" max="7941" width="9.140625" style="111" customWidth="1"/>
    <col min="7942" max="7942" width="146.42578125" style="111" customWidth="1"/>
    <col min="7943" max="8192" width="9.140625" style="111"/>
    <col min="8193" max="8193" width="34.140625" style="111" customWidth="1"/>
    <col min="8194" max="8196" width="17.85546875" style="111" customWidth="1"/>
    <col min="8197" max="8197" width="9.140625" style="111" customWidth="1"/>
    <col min="8198" max="8198" width="146.42578125" style="111" customWidth="1"/>
    <col min="8199" max="8448" width="9.140625" style="111"/>
    <col min="8449" max="8449" width="34.140625" style="111" customWidth="1"/>
    <col min="8450" max="8452" width="17.85546875" style="111" customWidth="1"/>
    <col min="8453" max="8453" width="9.140625" style="111" customWidth="1"/>
    <col min="8454" max="8454" width="146.42578125" style="111" customWidth="1"/>
    <col min="8455" max="8704" width="9.140625" style="111"/>
    <col min="8705" max="8705" width="34.140625" style="111" customWidth="1"/>
    <col min="8706" max="8708" width="17.85546875" style="111" customWidth="1"/>
    <col min="8709" max="8709" width="9.140625" style="111" customWidth="1"/>
    <col min="8710" max="8710" width="146.42578125" style="111" customWidth="1"/>
    <col min="8711" max="8960" width="9.140625" style="111"/>
    <col min="8961" max="8961" width="34.140625" style="111" customWidth="1"/>
    <col min="8962" max="8964" width="17.85546875" style="111" customWidth="1"/>
    <col min="8965" max="8965" width="9.140625" style="111" customWidth="1"/>
    <col min="8966" max="8966" width="146.42578125" style="111" customWidth="1"/>
    <col min="8967" max="9216" width="9.140625" style="111"/>
    <col min="9217" max="9217" width="34.140625" style="111" customWidth="1"/>
    <col min="9218" max="9220" width="17.85546875" style="111" customWidth="1"/>
    <col min="9221" max="9221" width="9.140625" style="111" customWidth="1"/>
    <col min="9222" max="9222" width="146.42578125" style="111" customWidth="1"/>
    <col min="9223" max="9472" width="9.140625" style="111"/>
    <col min="9473" max="9473" width="34.140625" style="111" customWidth="1"/>
    <col min="9474" max="9476" width="17.85546875" style="111" customWidth="1"/>
    <col min="9477" max="9477" width="9.140625" style="111" customWidth="1"/>
    <col min="9478" max="9478" width="146.42578125" style="111" customWidth="1"/>
    <col min="9479" max="9728" width="9.140625" style="111"/>
    <col min="9729" max="9729" width="34.140625" style="111" customWidth="1"/>
    <col min="9730" max="9732" width="17.85546875" style="111" customWidth="1"/>
    <col min="9733" max="9733" width="9.140625" style="111" customWidth="1"/>
    <col min="9734" max="9734" width="146.42578125" style="111" customWidth="1"/>
    <col min="9735" max="9984" width="9.140625" style="111"/>
    <col min="9985" max="9985" width="34.140625" style="111" customWidth="1"/>
    <col min="9986" max="9988" width="17.85546875" style="111" customWidth="1"/>
    <col min="9989" max="9989" width="9.140625" style="111" customWidth="1"/>
    <col min="9990" max="9990" width="146.42578125" style="111" customWidth="1"/>
    <col min="9991" max="10240" width="9.140625" style="111"/>
    <col min="10241" max="10241" width="34.140625" style="111" customWidth="1"/>
    <col min="10242" max="10244" width="17.85546875" style="111" customWidth="1"/>
    <col min="10245" max="10245" width="9.140625" style="111" customWidth="1"/>
    <col min="10246" max="10246" width="146.42578125" style="111" customWidth="1"/>
    <col min="10247" max="10496" width="9.140625" style="111"/>
    <col min="10497" max="10497" width="34.140625" style="111" customWidth="1"/>
    <col min="10498" max="10500" width="17.85546875" style="111" customWidth="1"/>
    <col min="10501" max="10501" width="9.140625" style="111" customWidth="1"/>
    <col min="10502" max="10502" width="146.42578125" style="111" customWidth="1"/>
    <col min="10503" max="10752" width="9.140625" style="111"/>
    <col min="10753" max="10753" width="34.140625" style="111" customWidth="1"/>
    <col min="10754" max="10756" width="17.85546875" style="111" customWidth="1"/>
    <col min="10757" max="10757" width="9.140625" style="111" customWidth="1"/>
    <col min="10758" max="10758" width="146.42578125" style="111" customWidth="1"/>
    <col min="10759" max="11008" width="9.140625" style="111"/>
    <col min="11009" max="11009" width="34.140625" style="111" customWidth="1"/>
    <col min="11010" max="11012" width="17.85546875" style="111" customWidth="1"/>
    <col min="11013" max="11013" width="9.140625" style="111" customWidth="1"/>
    <col min="11014" max="11014" width="146.42578125" style="111" customWidth="1"/>
    <col min="11015" max="11264" width="9.140625" style="111"/>
    <col min="11265" max="11265" width="34.140625" style="111" customWidth="1"/>
    <col min="11266" max="11268" width="17.85546875" style="111" customWidth="1"/>
    <col min="11269" max="11269" width="9.140625" style="111" customWidth="1"/>
    <col min="11270" max="11270" width="146.42578125" style="111" customWidth="1"/>
    <col min="11271" max="11520" width="9.140625" style="111"/>
    <col min="11521" max="11521" width="34.140625" style="111" customWidth="1"/>
    <col min="11522" max="11524" width="17.85546875" style="111" customWidth="1"/>
    <col min="11525" max="11525" width="9.140625" style="111" customWidth="1"/>
    <col min="11526" max="11526" width="146.42578125" style="111" customWidth="1"/>
    <col min="11527" max="11776" width="9.140625" style="111"/>
    <col min="11777" max="11777" width="34.140625" style="111" customWidth="1"/>
    <col min="11778" max="11780" width="17.85546875" style="111" customWidth="1"/>
    <col min="11781" max="11781" width="9.140625" style="111" customWidth="1"/>
    <col min="11782" max="11782" width="146.42578125" style="111" customWidth="1"/>
    <col min="11783" max="12032" width="9.140625" style="111"/>
    <col min="12033" max="12033" width="34.140625" style="111" customWidth="1"/>
    <col min="12034" max="12036" width="17.85546875" style="111" customWidth="1"/>
    <col min="12037" max="12037" width="9.140625" style="111" customWidth="1"/>
    <col min="12038" max="12038" width="146.42578125" style="111" customWidth="1"/>
    <col min="12039" max="12288" width="9.140625" style="111"/>
    <col min="12289" max="12289" width="34.140625" style="111" customWidth="1"/>
    <col min="12290" max="12292" width="17.85546875" style="111" customWidth="1"/>
    <col min="12293" max="12293" width="9.140625" style="111" customWidth="1"/>
    <col min="12294" max="12294" width="146.42578125" style="111" customWidth="1"/>
    <col min="12295" max="12544" width="9.140625" style="111"/>
    <col min="12545" max="12545" width="34.140625" style="111" customWidth="1"/>
    <col min="12546" max="12548" width="17.85546875" style="111" customWidth="1"/>
    <col min="12549" max="12549" width="9.140625" style="111" customWidth="1"/>
    <col min="12550" max="12550" width="146.42578125" style="111" customWidth="1"/>
    <col min="12551" max="12800" width="9.140625" style="111"/>
    <col min="12801" max="12801" width="34.140625" style="111" customWidth="1"/>
    <col min="12802" max="12804" width="17.85546875" style="111" customWidth="1"/>
    <col min="12805" max="12805" width="9.140625" style="111" customWidth="1"/>
    <col min="12806" max="12806" width="146.42578125" style="111" customWidth="1"/>
    <col min="12807" max="13056" width="9.140625" style="111"/>
    <col min="13057" max="13057" width="34.140625" style="111" customWidth="1"/>
    <col min="13058" max="13060" width="17.85546875" style="111" customWidth="1"/>
    <col min="13061" max="13061" width="9.140625" style="111" customWidth="1"/>
    <col min="13062" max="13062" width="146.42578125" style="111" customWidth="1"/>
    <col min="13063" max="13312" width="9.140625" style="111"/>
    <col min="13313" max="13313" width="34.140625" style="111" customWidth="1"/>
    <col min="13314" max="13316" width="17.85546875" style="111" customWidth="1"/>
    <col min="13317" max="13317" width="9.140625" style="111" customWidth="1"/>
    <col min="13318" max="13318" width="146.42578125" style="111" customWidth="1"/>
    <col min="13319" max="13568" width="9.140625" style="111"/>
    <col min="13569" max="13569" width="34.140625" style="111" customWidth="1"/>
    <col min="13570" max="13572" width="17.85546875" style="111" customWidth="1"/>
    <col min="13573" max="13573" width="9.140625" style="111" customWidth="1"/>
    <col min="13574" max="13574" width="146.42578125" style="111" customWidth="1"/>
    <col min="13575" max="13824" width="9.140625" style="111"/>
    <col min="13825" max="13825" width="34.140625" style="111" customWidth="1"/>
    <col min="13826" max="13828" width="17.85546875" style="111" customWidth="1"/>
    <col min="13829" max="13829" width="9.140625" style="111" customWidth="1"/>
    <col min="13830" max="13830" width="146.42578125" style="111" customWidth="1"/>
    <col min="13831" max="14080" width="9.140625" style="111"/>
    <col min="14081" max="14081" width="34.140625" style="111" customWidth="1"/>
    <col min="14082" max="14084" width="17.85546875" style="111" customWidth="1"/>
    <col min="14085" max="14085" width="9.140625" style="111" customWidth="1"/>
    <col min="14086" max="14086" width="146.42578125" style="111" customWidth="1"/>
    <col min="14087" max="14336" width="9.140625" style="111"/>
    <col min="14337" max="14337" width="34.140625" style="111" customWidth="1"/>
    <col min="14338" max="14340" width="17.85546875" style="111" customWidth="1"/>
    <col min="14341" max="14341" width="9.140625" style="111" customWidth="1"/>
    <col min="14342" max="14342" width="146.42578125" style="111" customWidth="1"/>
    <col min="14343" max="14592" width="9.140625" style="111"/>
    <col min="14593" max="14593" width="34.140625" style="111" customWidth="1"/>
    <col min="14594" max="14596" width="17.85546875" style="111" customWidth="1"/>
    <col min="14597" max="14597" width="9.140625" style="111" customWidth="1"/>
    <col min="14598" max="14598" width="146.42578125" style="111" customWidth="1"/>
    <col min="14599" max="14848" width="9.140625" style="111"/>
    <col min="14849" max="14849" width="34.140625" style="111" customWidth="1"/>
    <col min="14850" max="14852" width="17.85546875" style="111" customWidth="1"/>
    <col min="14853" max="14853" width="9.140625" style="111" customWidth="1"/>
    <col min="14854" max="14854" width="146.42578125" style="111" customWidth="1"/>
    <col min="14855" max="15104" width="9.140625" style="111"/>
    <col min="15105" max="15105" width="34.140625" style="111" customWidth="1"/>
    <col min="15106" max="15108" width="17.85546875" style="111" customWidth="1"/>
    <col min="15109" max="15109" width="9.140625" style="111" customWidth="1"/>
    <col min="15110" max="15110" width="146.42578125" style="111" customWidth="1"/>
    <col min="15111" max="15360" width="9.140625" style="111"/>
    <col min="15361" max="15361" width="34.140625" style="111" customWidth="1"/>
    <col min="15362" max="15364" width="17.85546875" style="111" customWidth="1"/>
    <col min="15365" max="15365" width="9.140625" style="111" customWidth="1"/>
    <col min="15366" max="15366" width="146.42578125" style="111" customWidth="1"/>
    <col min="15367" max="15616" width="9.140625" style="111"/>
    <col min="15617" max="15617" width="34.140625" style="111" customWidth="1"/>
    <col min="15618" max="15620" width="17.85546875" style="111" customWidth="1"/>
    <col min="15621" max="15621" width="9.140625" style="111" customWidth="1"/>
    <col min="15622" max="15622" width="146.42578125" style="111" customWidth="1"/>
    <col min="15623" max="15872" width="9.140625" style="111"/>
    <col min="15873" max="15873" width="34.140625" style="111" customWidth="1"/>
    <col min="15874" max="15876" width="17.85546875" style="111" customWidth="1"/>
    <col min="15877" max="15877" width="9.140625" style="111" customWidth="1"/>
    <col min="15878" max="15878" width="146.42578125" style="111" customWidth="1"/>
    <col min="15879" max="16128" width="9.140625" style="111"/>
    <col min="16129" max="16129" width="34.140625" style="111" customWidth="1"/>
    <col min="16130" max="16132" width="17.85546875" style="111" customWidth="1"/>
    <col min="16133" max="16133" width="9.140625" style="111" customWidth="1"/>
    <col min="16134" max="16134" width="146.42578125" style="111" customWidth="1"/>
    <col min="16135" max="16384" width="9.140625" style="111"/>
  </cols>
  <sheetData>
    <row r="2" spans="1:16" ht="22.5" customHeight="1" x14ac:dyDescent="0.2">
      <c r="A2" s="2688" t="s">
        <v>1745</v>
      </c>
      <c r="B2" s="2689"/>
      <c r="C2" s="2689"/>
      <c r="D2" s="2689"/>
    </row>
    <row r="3" spans="1:16" ht="11.25" customHeight="1" x14ac:dyDescent="0.2">
      <c r="A3" s="2347"/>
      <c r="B3" s="2667"/>
      <c r="C3" s="2667"/>
      <c r="D3" s="2667"/>
    </row>
    <row r="4" spans="1:16" x14ac:dyDescent="0.2">
      <c r="A4" s="2379" t="s">
        <v>1</v>
      </c>
      <c r="B4" s="2798" t="s">
        <v>1492</v>
      </c>
      <c r="C4" s="2799"/>
      <c r="D4" s="2800"/>
    </row>
    <row r="5" spans="1:16" x14ac:dyDescent="0.2">
      <c r="A5" s="2460"/>
      <c r="B5" s="2379" t="s">
        <v>1473</v>
      </c>
      <c r="C5" s="2690" t="s">
        <v>1474</v>
      </c>
      <c r="D5" s="2692"/>
    </row>
    <row r="6" spans="1:16" ht="32.25" customHeight="1" x14ac:dyDescent="0.2">
      <c r="A6" s="2360"/>
      <c r="B6" s="2360"/>
      <c r="C6" s="541" t="s">
        <v>1733</v>
      </c>
      <c r="D6" s="541" t="s">
        <v>1734</v>
      </c>
    </row>
    <row r="7" spans="1:16" x14ac:dyDescent="0.2">
      <c r="A7" s="146" t="s">
        <v>141</v>
      </c>
      <c r="B7" s="477">
        <f>SUM(B8:B22)</f>
        <v>1757691</v>
      </c>
      <c r="C7" s="477">
        <f>SUM(C8:C22)</f>
        <v>206924</v>
      </c>
      <c r="D7" s="477">
        <f>SUM(D8:D22)</f>
        <v>1550767</v>
      </c>
    </row>
    <row r="8" spans="1:16" x14ac:dyDescent="0.2">
      <c r="A8" s="476" t="s">
        <v>5</v>
      </c>
      <c r="B8" s="477">
        <f>SUM(C8:D8)</f>
        <v>1150</v>
      </c>
      <c r="C8" s="478">
        <v>0</v>
      </c>
      <c r="D8" s="478">
        <v>1150</v>
      </c>
    </row>
    <row r="9" spans="1:16" x14ac:dyDescent="0.2">
      <c r="A9" s="476" t="s">
        <v>6</v>
      </c>
      <c r="B9" s="477">
        <f t="shared" ref="B9:B22" si="0">SUM(C9:D9)</f>
        <v>15250</v>
      </c>
      <c r="C9" s="478">
        <v>13750</v>
      </c>
      <c r="D9" s="478">
        <v>1500</v>
      </c>
    </row>
    <row r="10" spans="1:16" x14ac:dyDescent="0.2">
      <c r="A10" s="476" t="s">
        <v>1485</v>
      </c>
      <c r="B10" s="477">
        <f t="shared" si="0"/>
        <v>33667</v>
      </c>
      <c r="C10" s="478">
        <v>800</v>
      </c>
      <c r="D10" s="478">
        <v>32867</v>
      </c>
    </row>
    <row r="11" spans="1:16" x14ac:dyDescent="0.2">
      <c r="A11" s="476" t="s">
        <v>1486</v>
      </c>
      <c r="B11" s="477">
        <f t="shared" si="0"/>
        <v>1000</v>
      </c>
      <c r="C11" s="478">
        <v>0</v>
      </c>
      <c r="D11" s="478">
        <v>1000</v>
      </c>
    </row>
    <row r="12" spans="1:16" x14ac:dyDescent="0.2">
      <c r="A12" s="476" t="s">
        <v>1487</v>
      </c>
      <c r="B12" s="477">
        <f t="shared" si="0"/>
        <v>28980</v>
      </c>
      <c r="C12" s="478">
        <v>3000</v>
      </c>
      <c r="D12" s="478">
        <v>25980</v>
      </c>
    </row>
    <row r="13" spans="1:16" x14ac:dyDescent="0.2">
      <c r="A13" s="476" t="s">
        <v>1488</v>
      </c>
      <c r="B13" s="477">
        <f t="shared" si="0"/>
        <v>158527</v>
      </c>
      <c r="C13" s="478">
        <v>26585</v>
      </c>
      <c r="D13" s="478">
        <v>131942</v>
      </c>
    </row>
    <row r="14" spans="1:16" x14ac:dyDescent="0.2">
      <c r="A14" s="476" t="s">
        <v>11</v>
      </c>
      <c r="B14" s="477">
        <f t="shared" si="0"/>
        <v>1342629</v>
      </c>
      <c r="C14" s="478">
        <v>125177</v>
      </c>
      <c r="D14" s="478">
        <v>1217452</v>
      </c>
    </row>
    <row r="15" spans="1:16" x14ac:dyDescent="0.2">
      <c r="A15" s="476" t="s">
        <v>12</v>
      </c>
      <c r="B15" s="477">
        <f t="shared" si="0"/>
        <v>27732</v>
      </c>
      <c r="C15" s="478">
        <v>1300</v>
      </c>
      <c r="D15" s="478">
        <v>26432</v>
      </c>
    </row>
    <row r="16" spans="1:16" x14ac:dyDescent="0.2">
      <c r="A16" s="476" t="s">
        <v>13</v>
      </c>
      <c r="B16" s="477">
        <f t="shared" si="0"/>
        <v>18764</v>
      </c>
      <c r="C16" s="478">
        <v>1796</v>
      </c>
      <c r="D16" s="478">
        <v>16968</v>
      </c>
      <c r="H16" s="2064"/>
      <c r="I16" s="2064"/>
      <c r="J16" s="2064"/>
      <c r="K16" s="2064"/>
      <c r="L16" s="2064"/>
      <c r="M16" s="2064"/>
      <c r="N16" s="2064"/>
      <c r="O16" s="2064"/>
      <c r="P16" s="2064"/>
    </row>
    <row r="17" spans="1:16" x14ac:dyDescent="0.2">
      <c r="A17" s="2050" t="s">
        <v>14</v>
      </c>
      <c r="B17" s="477">
        <f t="shared" si="0"/>
        <v>58427</v>
      </c>
      <c r="C17" s="478">
        <v>18282</v>
      </c>
      <c r="D17" s="478">
        <v>40145</v>
      </c>
      <c r="E17" s="2064"/>
      <c r="H17" s="2064"/>
      <c r="I17" s="2064"/>
      <c r="J17" s="2064"/>
      <c r="K17" s="2064"/>
      <c r="L17" s="2064"/>
      <c r="M17" s="2064"/>
      <c r="N17" s="2064"/>
      <c r="O17" s="2064"/>
      <c r="P17" s="2064"/>
    </row>
    <row r="18" spans="1:16" x14ac:dyDescent="0.2">
      <c r="A18" s="2050" t="s">
        <v>15</v>
      </c>
      <c r="B18" s="477">
        <f t="shared" si="0"/>
        <v>17055</v>
      </c>
      <c r="C18" s="478">
        <v>6609</v>
      </c>
      <c r="D18" s="478">
        <v>10446</v>
      </c>
      <c r="E18" s="2064"/>
      <c r="F18" s="2064"/>
      <c r="G18" s="2064"/>
      <c r="H18" s="2064"/>
      <c r="I18" s="2064"/>
      <c r="J18" s="2064"/>
      <c r="K18" s="2064"/>
      <c r="L18" s="2064"/>
      <c r="M18" s="2064"/>
      <c r="N18" s="2064"/>
      <c r="O18" s="2064"/>
      <c r="P18" s="2064"/>
    </row>
    <row r="19" spans="1:16" x14ac:dyDescent="0.2">
      <c r="A19" s="2050" t="s">
        <v>16</v>
      </c>
      <c r="B19" s="477">
        <f t="shared" si="0"/>
        <v>13734</v>
      </c>
      <c r="C19" s="478">
        <v>3832</v>
      </c>
      <c r="D19" s="478">
        <v>9902</v>
      </c>
      <c r="E19" s="2064"/>
      <c r="F19" s="2064"/>
      <c r="G19" s="2064"/>
      <c r="H19" s="2064"/>
      <c r="I19" s="2064"/>
      <c r="J19" s="2064"/>
      <c r="K19" s="2064"/>
      <c r="L19" s="2064"/>
      <c r="M19" s="2064"/>
      <c r="N19" s="2064"/>
      <c r="O19" s="2064"/>
      <c r="P19" s="2064"/>
    </row>
    <row r="20" spans="1:16" x14ac:dyDescent="0.2">
      <c r="A20" s="2050" t="s">
        <v>17</v>
      </c>
      <c r="B20" s="477">
        <f t="shared" si="0"/>
        <v>32076</v>
      </c>
      <c r="C20" s="478">
        <v>5793</v>
      </c>
      <c r="D20" s="478">
        <v>26283</v>
      </c>
      <c r="E20" s="2064"/>
      <c r="F20" s="2064"/>
      <c r="G20" s="2064"/>
      <c r="H20" s="2064"/>
      <c r="I20" s="2064"/>
      <c r="J20" s="2064"/>
      <c r="K20" s="2064"/>
      <c r="L20" s="2064"/>
      <c r="M20" s="2064"/>
      <c r="N20" s="2064"/>
      <c r="O20" s="2064"/>
      <c r="P20" s="2064"/>
    </row>
    <row r="21" spans="1:16" x14ac:dyDescent="0.2">
      <c r="A21" s="2050" t="s">
        <v>18</v>
      </c>
      <c r="B21" s="477">
        <f t="shared" si="0"/>
        <v>1800</v>
      </c>
      <c r="C21" s="478">
        <v>0</v>
      </c>
      <c r="D21" s="478">
        <v>1800</v>
      </c>
      <c r="E21" s="2064"/>
      <c r="F21" s="2064"/>
      <c r="G21" s="2064"/>
      <c r="H21" s="2064"/>
      <c r="I21" s="2064"/>
      <c r="J21" s="2064"/>
      <c r="K21" s="2064"/>
      <c r="L21" s="2064"/>
      <c r="M21" s="2064"/>
      <c r="N21" s="2064"/>
      <c r="O21" s="2064"/>
      <c r="P21" s="2064"/>
    </row>
    <row r="22" spans="1:16" x14ac:dyDescent="0.2">
      <c r="A22" s="2050" t="s">
        <v>19</v>
      </c>
      <c r="B22" s="477">
        <f t="shared" si="0"/>
        <v>6900</v>
      </c>
      <c r="C22" s="478">
        <v>0</v>
      </c>
      <c r="D22" s="478">
        <v>6900</v>
      </c>
      <c r="E22" s="2064"/>
      <c r="F22" s="2064"/>
      <c r="G22" s="2064"/>
      <c r="H22" s="2064"/>
      <c r="I22" s="2064"/>
      <c r="J22" s="2064"/>
      <c r="K22" s="2064"/>
      <c r="L22" s="2064"/>
      <c r="M22" s="2064"/>
      <c r="N22" s="2064"/>
      <c r="O22" s="2064"/>
      <c r="P22" s="2064"/>
    </row>
    <row r="23" spans="1:16" ht="11.25" customHeight="1" x14ac:dyDescent="0.2">
      <c r="A23" s="2356"/>
      <c r="B23" s="2672"/>
      <c r="C23" s="2672"/>
      <c r="D23" s="2672"/>
      <c r="E23" s="2064"/>
      <c r="F23" s="2064"/>
      <c r="G23" s="2064"/>
      <c r="H23" s="2064"/>
      <c r="I23" s="2064"/>
      <c r="J23" s="2064"/>
      <c r="K23" s="2064"/>
      <c r="L23" s="2064"/>
      <c r="M23" s="2064"/>
      <c r="N23" s="2064"/>
      <c r="O23" s="2064"/>
      <c r="P23" s="2064"/>
    </row>
    <row r="24" spans="1:16" ht="35.85" customHeight="1" x14ac:dyDescent="0.2">
      <c r="A24" s="2414" t="s">
        <v>1746</v>
      </c>
      <c r="B24" s="2687"/>
      <c r="C24" s="2687"/>
      <c r="D24" s="2687"/>
      <c r="E24" s="2064"/>
      <c r="F24" s="2064"/>
      <c r="G24" s="2064"/>
      <c r="H24" s="2064"/>
      <c r="I24" s="2064"/>
      <c r="J24" s="2064"/>
      <c r="K24" s="2064"/>
      <c r="L24" s="2064"/>
      <c r="M24" s="2064"/>
      <c r="N24" s="2064"/>
      <c r="O24" s="2064"/>
      <c r="P24" s="2064"/>
    </row>
    <row r="25" spans="1:16" x14ac:dyDescent="0.2">
      <c r="A25" s="2463" t="s">
        <v>1489</v>
      </c>
      <c r="B25" s="2463"/>
      <c r="C25" s="2463"/>
      <c r="D25" s="2463"/>
      <c r="E25" s="2064"/>
      <c r="F25" s="2064"/>
      <c r="G25" s="2064"/>
      <c r="H25" s="2064"/>
      <c r="I25" s="2064"/>
      <c r="J25" s="2064"/>
      <c r="K25" s="2064"/>
      <c r="L25" s="2064"/>
      <c r="M25" s="2064"/>
      <c r="N25" s="2064"/>
      <c r="O25" s="2064"/>
      <c r="P25" s="2064"/>
    </row>
    <row r="26" spans="1:16" x14ac:dyDescent="0.2">
      <c r="A26" s="2463" t="s">
        <v>1747</v>
      </c>
      <c r="B26" s="2463"/>
      <c r="C26" s="2463"/>
      <c r="D26" s="2463"/>
      <c r="E26" s="2063"/>
      <c r="F26" s="2063"/>
      <c r="G26" s="2063"/>
      <c r="H26" s="2063"/>
      <c r="I26" s="2063"/>
      <c r="J26" s="2063"/>
      <c r="K26" s="2063"/>
      <c r="L26" s="2063"/>
      <c r="M26" s="2063"/>
      <c r="N26" s="2063"/>
      <c r="O26" s="2064"/>
      <c r="P26" s="2064"/>
    </row>
    <row r="27" spans="1:16" x14ac:dyDescent="0.2">
      <c r="A27" s="2463" t="s">
        <v>1483</v>
      </c>
      <c r="B27" s="2687"/>
      <c r="C27" s="2687"/>
      <c r="D27" s="2687"/>
      <c r="E27" s="2064"/>
      <c r="F27" s="2064"/>
      <c r="G27" s="2064"/>
      <c r="H27" s="2064"/>
      <c r="I27" s="2064"/>
      <c r="J27" s="2064"/>
      <c r="K27" s="2064"/>
      <c r="L27" s="2064"/>
      <c r="M27" s="2064"/>
      <c r="N27" s="2064"/>
      <c r="O27" s="2064"/>
      <c r="P27" s="2064"/>
    </row>
    <row r="28" spans="1:16" x14ac:dyDescent="0.2">
      <c r="A28" s="2064"/>
      <c r="B28" s="2064"/>
      <c r="C28" s="2064"/>
      <c r="D28" s="2064"/>
      <c r="E28" s="2064"/>
      <c r="F28" s="2064"/>
      <c r="G28" s="2064"/>
      <c r="H28" s="2064"/>
      <c r="I28" s="2064"/>
      <c r="J28" s="2064"/>
      <c r="K28" s="2064"/>
      <c r="L28" s="2064"/>
      <c r="M28" s="2064"/>
      <c r="N28" s="2064"/>
      <c r="O28" s="2064"/>
      <c r="P28" s="2064"/>
    </row>
    <row r="29" spans="1:16" x14ac:dyDescent="0.2">
      <c r="A29" s="2064"/>
      <c r="B29" s="2064"/>
      <c r="C29" s="2064"/>
      <c r="D29" s="2064"/>
      <c r="E29" s="2064"/>
      <c r="F29" s="2064"/>
      <c r="G29" s="2064"/>
      <c r="H29" s="2064"/>
      <c r="I29" s="2064"/>
      <c r="J29" s="2064"/>
      <c r="K29" s="2064"/>
      <c r="L29" s="2064"/>
      <c r="M29" s="2064"/>
      <c r="N29" s="2064"/>
      <c r="O29" s="2064"/>
      <c r="P29" s="2064"/>
    </row>
    <row r="30" spans="1:16" x14ac:dyDescent="0.2">
      <c r="A30" s="2064"/>
      <c r="B30" s="2064"/>
      <c r="C30" s="2064"/>
      <c r="D30" s="2064"/>
      <c r="E30" s="2064"/>
      <c r="F30" s="2064"/>
      <c r="G30" s="2064"/>
      <c r="H30" s="2064"/>
      <c r="I30" s="2064"/>
      <c r="J30" s="2064"/>
      <c r="K30" s="2064"/>
      <c r="L30" s="2064"/>
      <c r="M30" s="2064"/>
      <c r="N30" s="2064"/>
      <c r="O30" s="2064"/>
      <c r="P30" s="2064"/>
    </row>
    <row r="31" spans="1:16" x14ac:dyDescent="0.2">
      <c r="A31" s="2064"/>
      <c r="B31" s="2064"/>
      <c r="C31" s="2064"/>
      <c r="D31" s="2064"/>
      <c r="E31" s="2064"/>
      <c r="F31" s="2064"/>
      <c r="G31" s="2064"/>
      <c r="H31" s="2064"/>
      <c r="I31" s="2064"/>
      <c r="J31" s="2064"/>
      <c r="K31" s="2064"/>
      <c r="L31" s="2064"/>
      <c r="M31" s="2064"/>
      <c r="N31" s="2064"/>
      <c r="O31" s="2064"/>
      <c r="P31" s="2064"/>
    </row>
    <row r="32" spans="1:16" x14ac:dyDescent="0.2">
      <c r="A32" s="2064"/>
      <c r="B32" s="2064"/>
      <c r="C32" s="2064"/>
      <c r="D32" s="2064"/>
      <c r="E32" s="2064"/>
      <c r="F32" s="2064"/>
      <c r="G32" s="2064"/>
      <c r="H32" s="2064"/>
      <c r="I32" s="2064"/>
      <c r="J32" s="2064"/>
      <c r="K32" s="2064"/>
      <c r="L32" s="2064"/>
      <c r="M32" s="2064"/>
      <c r="N32" s="2064"/>
      <c r="O32" s="2064"/>
      <c r="P32" s="2064"/>
    </row>
    <row r="33" spans="6:16" x14ac:dyDescent="0.2">
      <c r="F33" s="2064"/>
      <c r="G33" s="2064"/>
      <c r="H33" s="2064"/>
      <c r="I33" s="2064"/>
      <c r="J33" s="2064"/>
      <c r="K33" s="2064"/>
      <c r="L33" s="2064"/>
      <c r="M33" s="2064"/>
      <c r="N33" s="2064"/>
      <c r="O33" s="2064"/>
      <c r="P33" s="2064"/>
    </row>
    <row r="34" spans="6:16" x14ac:dyDescent="0.2">
      <c r="F34" s="2064"/>
      <c r="G34" s="2064"/>
      <c r="H34" s="2064"/>
      <c r="I34" s="2064"/>
      <c r="J34" s="2064"/>
      <c r="K34" s="2064"/>
      <c r="L34" s="2064"/>
      <c r="M34" s="2064"/>
      <c r="N34" s="2064"/>
      <c r="O34" s="2064"/>
      <c r="P34" s="2064"/>
    </row>
    <row r="35" spans="6:16" x14ac:dyDescent="0.2">
      <c r="F35" s="2064"/>
      <c r="G35" s="2064"/>
      <c r="H35" s="2064"/>
      <c r="I35" s="2064"/>
      <c r="J35" s="2064"/>
      <c r="K35" s="2064"/>
      <c r="L35" s="2064"/>
      <c r="M35" s="2064"/>
      <c r="N35" s="2064"/>
      <c r="O35" s="2064"/>
      <c r="P35" s="2064"/>
    </row>
    <row r="36" spans="6:16" x14ac:dyDescent="0.2">
      <c r="F36" s="2064"/>
      <c r="G36" s="2064"/>
      <c r="H36" s="2064"/>
      <c r="I36" s="2064"/>
      <c r="J36" s="2064"/>
      <c r="K36" s="2064"/>
      <c r="L36" s="2064"/>
      <c r="M36" s="2064"/>
      <c r="N36" s="2064"/>
      <c r="O36" s="2064"/>
      <c r="P36" s="2064"/>
    </row>
    <row r="37" spans="6:16" x14ac:dyDescent="0.2">
      <c r="F37" s="2064"/>
      <c r="G37" s="2064"/>
      <c r="H37" s="2064"/>
      <c r="I37" s="2064"/>
      <c r="J37" s="2064"/>
      <c r="K37" s="2064"/>
      <c r="L37" s="2064"/>
      <c r="M37" s="2064"/>
      <c r="N37" s="2064"/>
      <c r="O37" s="2064"/>
      <c r="P37" s="2064"/>
    </row>
    <row r="38" spans="6:16" x14ac:dyDescent="0.2">
      <c r="F38" s="2064"/>
      <c r="G38" s="2064"/>
      <c r="H38" s="2064"/>
      <c r="I38" s="2064"/>
      <c r="J38" s="2064"/>
      <c r="K38" s="2064"/>
      <c r="L38" s="2064"/>
      <c r="M38" s="2064"/>
      <c r="N38" s="2064"/>
      <c r="O38" s="2064"/>
      <c r="P38" s="2064"/>
    </row>
    <row r="39" spans="6:16" x14ac:dyDescent="0.2">
      <c r="F39" s="2064"/>
      <c r="G39" s="2064"/>
      <c r="H39" s="2064"/>
      <c r="I39" s="2064"/>
    </row>
    <row r="40" spans="6:16" x14ac:dyDescent="0.2">
      <c r="F40" s="2064"/>
      <c r="G40" s="2064"/>
      <c r="H40" s="2064"/>
      <c r="I40" s="2064"/>
    </row>
    <row r="41" spans="6:16" x14ac:dyDescent="0.2">
      <c r="F41" s="2064"/>
      <c r="G41" s="2064"/>
      <c r="H41" s="2064"/>
      <c r="I41" s="2064"/>
    </row>
    <row r="42" spans="6:16" x14ac:dyDescent="0.2">
      <c r="F42" s="2064"/>
      <c r="G42" s="2064"/>
      <c r="H42" s="2064"/>
      <c r="I42" s="2064"/>
    </row>
    <row r="43" spans="6:16" x14ac:dyDescent="0.2">
      <c r="F43" s="2064"/>
      <c r="G43" s="2064"/>
      <c r="H43" s="2064"/>
      <c r="I43" s="2064"/>
    </row>
  </sheetData>
  <mergeCells count="11">
    <mergeCell ref="A23:D23"/>
    <mergeCell ref="A24:D24"/>
    <mergeCell ref="A25:D25"/>
    <mergeCell ref="A26:D26"/>
    <mergeCell ref="A27:D27"/>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2:F30"/>
  <sheetViews>
    <sheetView workbookViewId="0">
      <selection activeCell="A27" sqref="A27"/>
    </sheetView>
  </sheetViews>
  <sheetFormatPr baseColWidth="10" defaultColWidth="9.140625" defaultRowHeight="12.75" x14ac:dyDescent="0.2"/>
  <cols>
    <col min="1" max="1" width="34.140625" style="111" customWidth="1"/>
    <col min="2" max="4" width="17.85546875" style="111" customWidth="1"/>
    <col min="5" max="5" width="0" style="111" hidden="1" customWidth="1"/>
    <col min="6" max="6" width="146.4257812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1.75" customHeight="1" x14ac:dyDescent="0.2">
      <c r="A2" s="2688" t="s">
        <v>1748</v>
      </c>
      <c r="B2" s="2689"/>
      <c r="C2" s="2689"/>
      <c r="D2" s="2689"/>
    </row>
    <row r="3" spans="1:4" ht="11.25" customHeight="1" x14ac:dyDescent="0.2">
      <c r="A3" s="2347"/>
      <c r="B3" s="2667"/>
      <c r="C3" s="2667"/>
      <c r="D3" s="2667"/>
    </row>
    <row r="4" spans="1:4" x14ac:dyDescent="0.2">
      <c r="A4" s="2379" t="s">
        <v>1</v>
      </c>
      <c r="B4" s="2690" t="s">
        <v>1494</v>
      </c>
      <c r="C4" s="2691"/>
      <c r="D4" s="2692"/>
    </row>
    <row r="5" spans="1:4" x14ac:dyDescent="0.2">
      <c r="A5" s="2460"/>
      <c r="B5" s="2379" t="s">
        <v>1473</v>
      </c>
      <c r="C5" s="2690" t="s">
        <v>1474</v>
      </c>
      <c r="D5" s="2692"/>
    </row>
    <row r="6" spans="1:4" ht="21" x14ac:dyDescent="0.2">
      <c r="A6" s="2360"/>
      <c r="B6" s="2360"/>
      <c r="C6" s="532" t="s">
        <v>1733</v>
      </c>
      <c r="D6" s="532" t="s">
        <v>1734</v>
      </c>
    </row>
    <row r="7" spans="1:4" x14ac:dyDescent="0.2">
      <c r="A7" s="146" t="s">
        <v>141</v>
      </c>
      <c r="B7" s="477">
        <f>SUM(B8:B22)</f>
        <v>1250777</v>
      </c>
      <c r="C7" s="477">
        <f>SUM(C8:C22)</f>
        <v>366793</v>
      </c>
      <c r="D7" s="477">
        <f>SUM(D8:D22)</f>
        <v>883984</v>
      </c>
    </row>
    <row r="8" spans="1:4" x14ac:dyDescent="0.2">
      <c r="A8" s="476" t="s">
        <v>5</v>
      </c>
      <c r="B8" s="477">
        <f>SUM(C8:D8)</f>
        <v>8384</v>
      </c>
      <c r="C8" s="478">
        <v>4024</v>
      </c>
      <c r="D8" s="478">
        <v>4360</v>
      </c>
    </row>
    <row r="9" spans="1:4" x14ac:dyDescent="0.2">
      <c r="A9" s="476" t="s">
        <v>6</v>
      </c>
      <c r="B9" s="477">
        <f t="shared" ref="B9:B22" si="0">SUM(C9:D9)</f>
        <v>3264</v>
      </c>
      <c r="C9" s="478">
        <v>720</v>
      </c>
      <c r="D9" s="478">
        <v>2544</v>
      </c>
    </row>
    <row r="10" spans="1:4" x14ac:dyDescent="0.2">
      <c r="A10" s="476" t="s">
        <v>1485</v>
      </c>
      <c r="B10" s="477">
        <f t="shared" si="0"/>
        <v>33560</v>
      </c>
      <c r="C10" s="478">
        <v>13877</v>
      </c>
      <c r="D10" s="478">
        <v>19683</v>
      </c>
    </row>
    <row r="11" spans="1:4" x14ac:dyDescent="0.2">
      <c r="A11" s="476" t="s">
        <v>1486</v>
      </c>
      <c r="B11" s="477">
        <f t="shared" si="0"/>
        <v>47482</v>
      </c>
      <c r="C11" s="478">
        <v>9600</v>
      </c>
      <c r="D11" s="478">
        <v>37882</v>
      </c>
    </row>
    <row r="12" spans="1:4" x14ac:dyDescent="0.2">
      <c r="A12" s="476" t="s">
        <v>1487</v>
      </c>
      <c r="B12" s="477">
        <f t="shared" si="0"/>
        <v>40098</v>
      </c>
      <c r="C12" s="478">
        <v>24446</v>
      </c>
      <c r="D12" s="478">
        <v>15652</v>
      </c>
    </row>
    <row r="13" spans="1:4" x14ac:dyDescent="0.2">
      <c r="A13" s="476" t="s">
        <v>1488</v>
      </c>
      <c r="B13" s="477">
        <f t="shared" si="0"/>
        <v>115164</v>
      </c>
      <c r="C13" s="478">
        <v>31075</v>
      </c>
      <c r="D13" s="478">
        <v>84089</v>
      </c>
    </row>
    <row r="14" spans="1:4" x14ac:dyDescent="0.2">
      <c r="A14" s="476" t="s">
        <v>11</v>
      </c>
      <c r="B14" s="477">
        <f t="shared" si="0"/>
        <v>383680</v>
      </c>
      <c r="C14" s="478">
        <v>115799</v>
      </c>
      <c r="D14" s="478">
        <v>267881</v>
      </c>
    </row>
    <row r="15" spans="1:4" x14ac:dyDescent="0.2">
      <c r="A15" s="476" t="s">
        <v>12</v>
      </c>
      <c r="B15" s="477">
        <f t="shared" si="0"/>
        <v>51441</v>
      </c>
      <c r="C15" s="478">
        <v>8016</v>
      </c>
      <c r="D15" s="478">
        <v>43425</v>
      </c>
    </row>
    <row r="16" spans="1:4" x14ac:dyDescent="0.2">
      <c r="A16" s="476" t="s">
        <v>13</v>
      </c>
      <c r="B16" s="477">
        <f t="shared" si="0"/>
        <v>95211</v>
      </c>
      <c r="C16" s="478">
        <v>32476</v>
      </c>
      <c r="D16" s="478">
        <v>62735</v>
      </c>
    </row>
    <row r="17" spans="1:6" x14ac:dyDescent="0.2">
      <c r="A17" s="476" t="s">
        <v>14</v>
      </c>
      <c r="B17" s="477">
        <f t="shared" si="0"/>
        <v>140416</v>
      </c>
      <c r="C17" s="478">
        <v>27786</v>
      </c>
      <c r="D17" s="478">
        <v>112630</v>
      </c>
    </row>
    <row r="18" spans="1:6" x14ac:dyDescent="0.2">
      <c r="A18" s="476" t="s">
        <v>15</v>
      </c>
      <c r="B18" s="477">
        <f t="shared" si="0"/>
        <v>74805</v>
      </c>
      <c r="C18" s="478">
        <v>20373</v>
      </c>
      <c r="D18" s="478">
        <v>54432</v>
      </c>
    </row>
    <row r="19" spans="1:6" x14ac:dyDescent="0.2">
      <c r="A19" s="476" t="s">
        <v>16</v>
      </c>
      <c r="B19" s="477">
        <f t="shared" si="0"/>
        <v>105809</v>
      </c>
      <c r="C19" s="478">
        <v>56832</v>
      </c>
      <c r="D19" s="478">
        <v>48977</v>
      </c>
    </row>
    <row r="20" spans="1:6" x14ac:dyDescent="0.2">
      <c r="A20" s="476" t="s">
        <v>17</v>
      </c>
      <c r="B20" s="477">
        <f t="shared" si="0"/>
        <v>126179</v>
      </c>
      <c r="C20" s="478">
        <v>17310</v>
      </c>
      <c r="D20" s="478">
        <v>108869</v>
      </c>
    </row>
    <row r="21" spans="1:6" x14ac:dyDescent="0.2">
      <c r="A21" s="476" t="s">
        <v>18</v>
      </c>
      <c r="B21" s="477">
        <f t="shared" si="0"/>
        <v>15690</v>
      </c>
      <c r="C21" s="478">
        <v>1880</v>
      </c>
      <c r="D21" s="478">
        <v>13810</v>
      </c>
    </row>
    <row r="22" spans="1:6" x14ac:dyDescent="0.2">
      <c r="A22" s="2050" t="s">
        <v>19</v>
      </c>
      <c r="B22" s="477">
        <f t="shared" si="0"/>
        <v>9594</v>
      </c>
      <c r="C22" s="478">
        <v>2579</v>
      </c>
      <c r="D22" s="478">
        <v>7015</v>
      </c>
      <c r="E22" s="2064"/>
      <c r="F22" s="2064"/>
    </row>
    <row r="23" spans="1:6" ht="11.25" customHeight="1" x14ac:dyDescent="0.2">
      <c r="A23" s="2356"/>
      <c r="B23" s="2672"/>
      <c r="C23" s="2672"/>
      <c r="D23" s="2672"/>
      <c r="E23" s="2064"/>
      <c r="F23" s="2064"/>
    </row>
    <row r="24" spans="1:6" ht="35.85" customHeight="1" x14ac:dyDescent="0.2">
      <c r="A24" s="2414" t="s">
        <v>1746</v>
      </c>
      <c r="B24" s="2687"/>
      <c r="C24" s="2687"/>
      <c r="D24" s="2687"/>
      <c r="E24" s="2064"/>
      <c r="F24" s="2064"/>
    </row>
    <row r="25" spans="1:6" x14ac:dyDescent="0.2">
      <c r="A25" s="2463" t="s">
        <v>1749</v>
      </c>
      <c r="B25" s="2801"/>
      <c r="C25" s="2801"/>
      <c r="D25" s="2801"/>
      <c r="E25" s="2064"/>
      <c r="F25" s="2064"/>
    </row>
    <row r="26" spans="1:6" s="702" customFormat="1" x14ac:dyDescent="0.2">
      <c r="A26" s="2463" t="s">
        <v>1483</v>
      </c>
      <c r="B26" s="2687"/>
      <c r="C26" s="2687"/>
      <c r="D26" s="2687"/>
      <c r="E26" s="2164"/>
      <c r="F26" s="2164"/>
    </row>
    <row r="27" spans="1:6" x14ac:dyDescent="0.2">
      <c r="A27" s="2064"/>
      <c r="B27" s="2064"/>
      <c r="C27" s="2064"/>
      <c r="D27" s="2064"/>
      <c r="E27" s="2064"/>
      <c r="F27" s="2064"/>
    </row>
    <row r="28" spans="1:6" x14ac:dyDescent="0.2">
      <c r="A28" s="2064"/>
      <c r="B28" s="2064"/>
      <c r="C28" s="2064"/>
      <c r="D28" s="2064"/>
      <c r="E28" s="2064"/>
      <c r="F28" s="2064"/>
    </row>
    <row r="29" spans="1:6" x14ac:dyDescent="0.2">
      <c r="A29" s="2064"/>
      <c r="B29" s="2064"/>
      <c r="C29" s="2064"/>
      <c r="D29" s="2064"/>
      <c r="E29" s="2064"/>
      <c r="F29" s="2064"/>
    </row>
    <row r="30" spans="1:6" x14ac:dyDescent="0.2">
      <c r="A30" s="2064"/>
      <c r="B30" s="2064"/>
      <c r="C30" s="2064"/>
      <c r="D30" s="2064"/>
      <c r="E30" s="2064"/>
      <c r="F30" s="2064"/>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T38"/>
  <sheetViews>
    <sheetView workbookViewId="0">
      <selection activeCell="F31" sqref="A8:F31"/>
    </sheetView>
  </sheetViews>
  <sheetFormatPr baseColWidth="10" defaultColWidth="9.140625" defaultRowHeight="10.5" x14ac:dyDescent="0.15"/>
  <cols>
    <col min="1" max="1" width="23.28515625" style="12" customWidth="1"/>
    <col min="2" max="2" width="17.5703125" style="12" customWidth="1"/>
    <col min="3" max="4" width="17.85546875" style="12" customWidth="1"/>
    <col min="5" max="5" width="24" style="12" customWidth="1"/>
    <col min="6" max="6" width="19.85546875" style="12" customWidth="1"/>
    <col min="7" max="7" width="19.140625" style="12" customWidth="1"/>
    <col min="8" max="8" width="19.42578125" style="12" customWidth="1"/>
    <col min="9" max="255" width="9.140625" style="12"/>
    <col min="256" max="256" width="23.28515625" style="12" customWidth="1"/>
    <col min="257" max="257" width="17.5703125" style="12" customWidth="1"/>
    <col min="258" max="259" width="17.85546875" style="12" customWidth="1"/>
    <col min="260" max="260" width="7.140625" style="12" customWidth="1"/>
    <col min="261" max="261" width="24" style="12" customWidth="1"/>
    <col min="262" max="262" width="19.85546875" style="12" customWidth="1"/>
    <col min="263" max="263" width="19.140625" style="12" customWidth="1"/>
    <col min="264" max="264" width="19.42578125" style="12" customWidth="1"/>
    <col min="265" max="511" width="9.140625" style="12"/>
    <col min="512" max="512" width="23.28515625" style="12" customWidth="1"/>
    <col min="513" max="513" width="17.5703125" style="12" customWidth="1"/>
    <col min="514" max="515" width="17.85546875" style="12" customWidth="1"/>
    <col min="516" max="516" width="7.140625" style="12" customWidth="1"/>
    <col min="517" max="517" width="24" style="12" customWidth="1"/>
    <col min="518" max="518" width="19.85546875" style="12" customWidth="1"/>
    <col min="519" max="519" width="19.140625" style="12" customWidth="1"/>
    <col min="520" max="520" width="19.42578125" style="12" customWidth="1"/>
    <col min="521" max="767" width="9.140625" style="12"/>
    <col min="768" max="768" width="23.28515625" style="12" customWidth="1"/>
    <col min="769" max="769" width="17.5703125" style="12" customWidth="1"/>
    <col min="770" max="771" width="17.85546875" style="12" customWidth="1"/>
    <col min="772" max="772" width="7.140625" style="12" customWidth="1"/>
    <col min="773" max="773" width="24" style="12" customWidth="1"/>
    <col min="774" max="774" width="19.85546875" style="12" customWidth="1"/>
    <col min="775" max="775" width="19.140625" style="12" customWidth="1"/>
    <col min="776" max="776" width="19.42578125" style="12" customWidth="1"/>
    <col min="777" max="1023" width="9.140625" style="12"/>
    <col min="1024" max="1024" width="23.28515625" style="12" customWidth="1"/>
    <col min="1025" max="1025" width="17.5703125" style="12" customWidth="1"/>
    <col min="1026" max="1027" width="17.85546875" style="12" customWidth="1"/>
    <col min="1028" max="1028" width="7.140625" style="12" customWidth="1"/>
    <col min="1029" max="1029" width="24" style="12" customWidth="1"/>
    <col min="1030" max="1030" width="19.85546875" style="12" customWidth="1"/>
    <col min="1031" max="1031" width="19.140625" style="12" customWidth="1"/>
    <col min="1032" max="1032" width="19.42578125" style="12" customWidth="1"/>
    <col min="1033" max="1279" width="9.140625" style="12"/>
    <col min="1280" max="1280" width="23.28515625" style="12" customWidth="1"/>
    <col min="1281" max="1281" width="17.5703125" style="12" customWidth="1"/>
    <col min="1282" max="1283" width="17.85546875" style="12" customWidth="1"/>
    <col min="1284" max="1284" width="7.140625" style="12" customWidth="1"/>
    <col min="1285" max="1285" width="24" style="12" customWidth="1"/>
    <col min="1286" max="1286" width="19.85546875" style="12" customWidth="1"/>
    <col min="1287" max="1287" width="19.140625" style="12" customWidth="1"/>
    <col min="1288" max="1288" width="19.42578125" style="12" customWidth="1"/>
    <col min="1289" max="1535" width="9.140625" style="12"/>
    <col min="1536" max="1536" width="23.28515625" style="12" customWidth="1"/>
    <col min="1537" max="1537" width="17.5703125" style="12" customWidth="1"/>
    <col min="1538" max="1539" width="17.85546875" style="12" customWidth="1"/>
    <col min="1540" max="1540" width="7.140625" style="12" customWidth="1"/>
    <col min="1541" max="1541" width="24" style="12" customWidth="1"/>
    <col min="1542" max="1542" width="19.85546875" style="12" customWidth="1"/>
    <col min="1543" max="1543" width="19.140625" style="12" customWidth="1"/>
    <col min="1544" max="1544" width="19.42578125" style="12" customWidth="1"/>
    <col min="1545" max="1791" width="9.140625" style="12"/>
    <col min="1792" max="1792" width="23.28515625" style="12" customWidth="1"/>
    <col min="1793" max="1793" width="17.5703125" style="12" customWidth="1"/>
    <col min="1794" max="1795" width="17.85546875" style="12" customWidth="1"/>
    <col min="1796" max="1796" width="7.140625" style="12" customWidth="1"/>
    <col min="1797" max="1797" width="24" style="12" customWidth="1"/>
    <col min="1798" max="1798" width="19.85546875" style="12" customWidth="1"/>
    <col min="1799" max="1799" width="19.140625" style="12" customWidth="1"/>
    <col min="1800" max="1800" width="19.42578125" style="12" customWidth="1"/>
    <col min="1801" max="2047" width="9.140625" style="12"/>
    <col min="2048" max="2048" width="23.28515625" style="12" customWidth="1"/>
    <col min="2049" max="2049" width="17.5703125" style="12" customWidth="1"/>
    <col min="2050" max="2051" width="17.85546875" style="12" customWidth="1"/>
    <col min="2052" max="2052" width="7.140625" style="12" customWidth="1"/>
    <col min="2053" max="2053" width="24" style="12" customWidth="1"/>
    <col min="2054" max="2054" width="19.85546875" style="12" customWidth="1"/>
    <col min="2055" max="2055" width="19.140625" style="12" customWidth="1"/>
    <col min="2056" max="2056" width="19.42578125" style="12" customWidth="1"/>
    <col min="2057" max="2303" width="9.140625" style="12"/>
    <col min="2304" max="2304" width="23.28515625" style="12" customWidth="1"/>
    <col min="2305" max="2305" width="17.5703125" style="12" customWidth="1"/>
    <col min="2306" max="2307" width="17.85546875" style="12" customWidth="1"/>
    <col min="2308" max="2308" width="7.140625" style="12" customWidth="1"/>
    <col min="2309" max="2309" width="24" style="12" customWidth="1"/>
    <col min="2310" max="2310" width="19.85546875" style="12" customWidth="1"/>
    <col min="2311" max="2311" width="19.140625" style="12" customWidth="1"/>
    <col min="2312" max="2312" width="19.42578125" style="12" customWidth="1"/>
    <col min="2313" max="2559" width="9.140625" style="12"/>
    <col min="2560" max="2560" width="23.28515625" style="12" customWidth="1"/>
    <col min="2561" max="2561" width="17.5703125" style="12" customWidth="1"/>
    <col min="2562" max="2563" width="17.85546875" style="12" customWidth="1"/>
    <col min="2564" max="2564" width="7.140625" style="12" customWidth="1"/>
    <col min="2565" max="2565" width="24" style="12" customWidth="1"/>
    <col min="2566" max="2566" width="19.85546875" style="12" customWidth="1"/>
    <col min="2567" max="2567" width="19.140625" style="12" customWidth="1"/>
    <col min="2568" max="2568" width="19.42578125" style="12" customWidth="1"/>
    <col min="2569" max="2815" width="9.140625" style="12"/>
    <col min="2816" max="2816" width="23.28515625" style="12" customWidth="1"/>
    <col min="2817" max="2817" width="17.5703125" style="12" customWidth="1"/>
    <col min="2818" max="2819" width="17.85546875" style="12" customWidth="1"/>
    <col min="2820" max="2820" width="7.140625" style="12" customWidth="1"/>
    <col min="2821" max="2821" width="24" style="12" customWidth="1"/>
    <col min="2822" max="2822" width="19.85546875" style="12" customWidth="1"/>
    <col min="2823" max="2823" width="19.140625" style="12" customWidth="1"/>
    <col min="2824" max="2824" width="19.42578125" style="12" customWidth="1"/>
    <col min="2825" max="3071" width="9.140625" style="12"/>
    <col min="3072" max="3072" width="23.28515625" style="12" customWidth="1"/>
    <col min="3073" max="3073" width="17.5703125" style="12" customWidth="1"/>
    <col min="3074" max="3075" width="17.85546875" style="12" customWidth="1"/>
    <col min="3076" max="3076" width="7.140625" style="12" customWidth="1"/>
    <col min="3077" max="3077" width="24" style="12" customWidth="1"/>
    <col min="3078" max="3078" width="19.85546875" style="12" customWidth="1"/>
    <col min="3079" max="3079" width="19.140625" style="12" customWidth="1"/>
    <col min="3080" max="3080" width="19.42578125" style="12" customWidth="1"/>
    <col min="3081" max="3327" width="9.140625" style="12"/>
    <col min="3328" max="3328" width="23.28515625" style="12" customWidth="1"/>
    <col min="3329" max="3329" width="17.5703125" style="12" customWidth="1"/>
    <col min="3330" max="3331" width="17.85546875" style="12" customWidth="1"/>
    <col min="3332" max="3332" width="7.140625" style="12" customWidth="1"/>
    <col min="3333" max="3333" width="24" style="12" customWidth="1"/>
    <col min="3334" max="3334" width="19.85546875" style="12" customWidth="1"/>
    <col min="3335" max="3335" width="19.140625" style="12" customWidth="1"/>
    <col min="3336" max="3336" width="19.42578125" style="12" customWidth="1"/>
    <col min="3337" max="3583" width="9.140625" style="12"/>
    <col min="3584" max="3584" width="23.28515625" style="12" customWidth="1"/>
    <col min="3585" max="3585" width="17.5703125" style="12" customWidth="1"/>
    <col min="3586" max="3587" width="17.85546875" style="12" customWidth="1"/>
    <col min="3588" max="3588" width="7.140625" style="12" customWidth="1"/>
    <col min="3589" max="3589" width="24" style="12" customWidth="1"/>
    <col min="3590" max="3590" width="19.85546875" style="12" customWidth="1"/>
    <col min="3591" max="3591" width="19.140625" style="12" customWidth="1"/>
    <col min="3592" max="3592" width="19.42578125" style="12" customWidth="1"/>
    <col min="3593" max="3839" width="9.140625" style="12"/>
    <col min="3840" max="3840" width="23.28515625" style="12" customWidth="1"/>
    <col min="3841" max="3841" width="17.5703125" style="12" customWidth="1"/>
    <col min="3842" max="3843" width="17.85546875" style="12" customWidth="1"/>
    <col min="3844" max="3844" width="7.140625" style="12" customWidth="1"/>
    <col min="3845" max="3845" width="24" style="12" customWidth="1"/>
    <col min="3846" max="3846" width="19.85546875" style="12" customWidth="1"/>
    <col min="3847" max="3847" width="19.140625" style="12" customWidth="1"/>
    <col min="3848" max="3848" width="19.42578125" style="12" customWidth="1"/>
    <col min="3849" max="4095" width="9.140625" style="12"/>
    <col min="4096" max="4096" width="23.28515625" style="12" customWidth="1"/>
    <col min="4097" max="4097" width="17.5703125" style="12" customWidth="1"/>
    <col min="4098" max="4099" width="17.85546875" style="12" customWidth="1"/>
    <col min="4100" max="4100" width="7.140625" style="12" customWidth="1"/>
    <col min="4101" max="4101" width="24" style="12" customWidth="1"/>
    <col min="4102" max="4102" width="19.85546875" style="12" customWidth="1"/>
    <col min="4103" max="4103" width="19.140625" style="12" customWidth="1"/>
    <col min="4104" max="4104" width="19.42578125" style="12" customWidth="1"/>
    <col min="4105" max="4351" width="9.140625" style="12"/>
    <col min="4352" max="4352" width="23.28515625" style="12" customWidth="1"/>
    <col min="4353" max="4353" width="17.5703125" style="12" customWidth="1"/>
    <col min="4354" max="4355" width="17.85546875" style="12" customWidth="1"/>
    <col min="4356" max="4356" width="7.140625" style="12" customWidth="1"/>
    <col min="4357" max="4357" width="24" style="12" customWidth="1"/>
    <col min="4358" max="4358" width="19.85546875" style="12" customWidth="1"/>
    <col min="4359" max="4359" width="19.140625" style="12" customWidth="1"/>
    <col min="4360" max="4360" width="19.42578125" style="12" customWidth="1"/>
    <col min="4361" max="4607" width="9.140625" style="12"/>
    <col min="4608" max="4608" width="23.28515625" style="12" customWidth="1"/>
    <col min="4609" max="4609" width="17.5703125" style="12" customWidth="1"/>
    <col min="4610" max="4611" width="17.85546875" style="12" customWidth="1"/>
    <col min="4612" max="4612" width="7.140625" style="12" customWidth="1"/>
    <col min="4613" max="4613" width="24" style="12" customWidth="1"/>
    <col min="4614" max="4614" width="19.85546875" style="12" customWidth="1"/>
    <col min="4615" max="4615" width="19.140625" style="12" customWidth="1"/>
    <col min="4616" max="4616" width="19.42578125" style="12" customWidth="1"/>
    <col min="4617" max="4863" width="9.140625" style="12"/>
    <col min="4864" max="4864" width="23.28515625" style="12" customWidth="1"/>
    <col min="4865" max="4865" width="17.5703125" style="12" customWidth="1"/>
    <col min="4866" max="4867" width="17.85546875" style="12" customWidth="1"/>
    <col min="4868" max="4868" width="7.140625" style="12" customWidth="1"/>
    <col min="4869" max="4869" width="24" style="12" customWidth="1"/>
    <col min="4870" max="4870" width="19.85546875" style="12" customWidth="1"/>
    <col min="4871" max="4871" width="19.140625" style="12" customWidth="1"/>
    <col min="4872" max="4872" width="19.42578125" style="12" customWidth="1"/>
    <col min="4873" max="5119" width="9.140625" style="12"/>
    <col min="5120" max="5120" width="23.28515625" style="12" customWidth="1"/>
    <col min="5121" max="5121" width="17.5703125" style="12" customWidth="1"/>
    <col min="5122" max="5123" width="17.85546875" style="12" customWidth="1"/>
    <col min="5124" max="5124" width="7.140625" style="12" customWidth="1"/>
    <col min="5125" max="5125" width="24" style="12" customWidth="1"/>
    <col min="5126" max="5126" width="19.85546875" style="12" customWidth="1"/>
    <col min="5127" max="5127" width="19.140625" style="12" customWidth="1"/>
    <col min="5128" max="5128" width="19.42578125" style="12" customWidth="1"/>
    <col min="5129" max="5375" width="9.140625" style="12"/>
    <col min="5376" max="5376" width="23.28515625" style="12" customWidth="1"/>
    <col min="5377" max="5377" width="17.5703125" style="12" customWidth="1"/>
    <col min="5378" max="5379" width="17.85546875" style="12" customWidth="1"/>
    <col min="5380" max="5380" width="7.140625" style="12" customWidth="1"/>
    <col min="5381" max="5381" width="24" style="12" customWidth="1"/>
    <col min="5382" max="5382" width="19.85546875" style="12" customWidth="1"/>
    <col min="5383" max="5383" width="19.140625" style="12" customWidth="1"/>
    <col min="5384" max="5384" width="19.42578125" style="12" customWidth="1"/>
    <col min="5385" max="5631" width="9.140625" style="12"/>
    <col min="5632" max="5632" width="23.28515625" style="12" customWidth="1"/>
    <col min="5633" max="5633" width="17.5703125" style="12" customWidth="1"/>
    <col min="5634" max="5635" width="17.85546875" style="12" customWidth="1"/>
    <col min="5636" max="5636" width="7.140625" style="12" customWidth="1"/>
    <col min="5637" max="5637" width="24" style="12" customWidth="1"/>
    <col min="5638" max="5638" width="19.85546875" style="12" customWidth="1"/>
    <col min="5639" max="5639" width="19.140625" style="12" customWidth="1"/>
    <col min="5640" max="5640" width="19.42578125" style="12" customWidth="1"/>
    <col min="5641" max="5887" width="9.140625" style="12"/>
    <col min="5888" max="5888" width="23.28515625" style="12" customWidth="1"/>
    <col min="5889" max="5889" width="17.5703125" style="12" customWidth="1"/>
    <col min="5890" max="5891" width="17.85546875" style="12" customWidth="1"/>
    <col min="5892" max="5892" width="7.140625" style="12" customWidth="1"/>
    <col min="5893" max="5893" width="24" style="12" customWidth="1"/>
    <col min="5894" max="5894" width="19.85546875" style="12" customWidth="1"/>
    <col min="5895" max="5895" width="19.140625" style="12" customWidth="1"/>
    <col min="5896" max="5896" width="19.42578125" style="12" customWidth="1"/>
    <col min="5897" max="6143" width="9.140625" style="12"/>
    <col min="6144" max="6144" width="23.28515625" style="12" customWidth="1"/>
    <col min="6145" max="6145" width="17.5703125" style="12" customWidth="1"/>
    <col min="6146" max="6147" width="17.85546875" style="12" customWidth="1"/>
    <col min="6148" max="6148" width="7.140625" style="12" customWidth="1"/>
    <col min="6149" max="6149" width="24" style="12" customWidth="1"/>
    <col min="6150" max="6150" width="19.85546875" style="12" customWidth="1"/>
    <col min="6151" max="6151" width="19.140625" style="12" customWidth="1"/>
    <col min="6152" max="6152" width="19.42578125" style="12" customWidth="1"/>
    <col min="6153" max="6399" width="9.140625" style="12"/>
    <col min="6400" max="6400" width="23.28515625" style="12" customWidth="1"/>
    <col min="6401" max="6401" width="17.5703125" style="12" customWidth="1"/>
    <col min="6402" max="6403" width="17.85546875" style="12" customWidth="1"/>
    <col min="6404" max="6404" width="7.140625" style="12" customWidth="1"/>
    <col min="6405" max="6405" width="24" style="12" customWidth="1"/>
    <col min="6406" max="6406" width="19.85546875" style="12" customWidth="1"/>
    <col min="6407" max="6407" width="19.140625" style="12" customWidth="1"/>
    <col min="6408" max="6408" width="19.42578125" style="12" customWidth="1"/>
    <col min="6409" max="6655" width="9.140625" style="12"/>
    <col min="6656" max="6656" width="23.28515625" style="12" customWidth="1"/>
    <col min="6657" max="6657" width="17.5703125" style="12" customWidth="1"/>
    <col min="6658" max="6659" width="17.85546875" style="12" customWidth="1"/>
    <col min="6660" max="6660" width="7.140625" style="12" customWidth="1"/>
    <col min="6661" max="6661" width="24" style="12" customWidth="1"/>
    <col min="6662" max="6662" width="19.85546875" style="12" customWidth="1"/>
    <col min="6663" max="6663" width="19.140625" style="12" customWidth="1"/>
    <col min="6664" max="6664" width="19.42578125" style="12" customWidth="1"/>
    <col min="6665" max="6911" width="9.140625" style="12"/>
    <col min="6912" max="6912" width="23.28515625" style="12" customWidth="1"/>
    <col min="6913" max="6913" width="17.5703125" style="12" customWidth="1"/>
    <col min="6914" max="6915" width="17.85546875" style="12" customWidth="1"/>
    <col min="6916" max="6916" width="7.140625" style="12" customWidth="1"/>
    <col min="6917" max="6917" width="24" style="12" customWidth="1"/>
    <col min="6918" max="6918" width="19.85546875" style="12" customWidth="1"/>
    <col min="6919" max="6919" width="19.140625" style="12" customWidth="1"/>
    <col min="6920" max="6920" width="19.42578125" style="12" customWidth="1"/>
    <col min="6921" max="7167" width="9.140625" style="12"/>
    <col min="7168" max="7168" width="23.28515625" style="12" customWidth="1"/>
    <col min="7169" max="7169" width="17.5703125" style="12" customWidth="1"/>
    <col min="7170" max="7171" width="17.85546875" style="12" customWidth="1"/>
    <col min="7172" max="7172" width="7.140625" style="12" customWidth="1"/>
    <col min="7173" max="7173" width="24" style="12" customWidth="1"/>
    <col min="7174" max="7174" width="19.85546875" style="12" customWidth="1"/>
    <col min="7175" max="7175" width="19.140625" style="12" customWidth="1"/>
    <col min="7176" max="7176" width="19.42578125" style="12" customWidth="1"/>
    <col min="7177" max="7423" width="9.140625" style="12"/>
    <col min="7424" max="7424" width="23.28515625" style="12" customWidth="1"/>
    <col min="7425" max="7425" width="17.5703125" style="12" customWidth="1"/>
    <col min="7426" max="7427" width="17.85546875" style="12" customWidth="1"/>
    <col min="7428" max="7428" width="7.140625" style="12" customWidth="1"/>
    <col min="7429" max="7429" width="24" style="12" customWidth="1"/>
    <col min="7430" max="7430" width="19.85546875" style="12" customWidth="1"/>
    <col min="7431" max="7431" width="19.140625" style="12" customWidth="1"/>
    <col min="7432" max="7432" width="19.42578125" style="12" customWidth="1"/>
    <col min="7433" max="7679" width="9.140625" style="12"/>
    <col min="7680" max="7680" width="23.28515625" style="12" customWidth="1"/>
    <col min="7681" max="7681" width="17.5703125" style="12" customWidth="1"/>
    <col min="7682" max="7683" width="17.85546875" style="12" customWidth="1"/>
    <col min="7684" max="7684" width="7.140625" style="12" customWidth="1"/>
    <col min="7685" max="7685" width="24" style="12" customWidth="1"/>
    <col min="7686" max="7686" width="19.85546875" style="12" customWidth="1"/>
    <col min="7687" max="7687" width="19.140625" style="12" customWidth="1"/>
    <col min="7688" max="7688" width="19.42578125" style="12" customWidth="1"/>
    <col min="7689" max="7935" width="9.140625" style="12"/>
    <col min="7936" max="7936" width="23.28515625" style="12" customWidth="1"/>
    <col min="7937" max="7937" width="17.5703125" style="12" customWidth="1"/>
    <col min="7938" max="7939" width="17.85546875" style="12" customWidth="1"/>
    <col min="7940" max="7940" width="7.140625" style="12" customWidth="1"/>
    <col min="7941" max="7941" width="24" style="12" customWidth="1"/>
    <col min="7942" max="7942" width="19.85546875" style="12" customWidth="1"/>
    <col min="7943" max="7943" width="19.140625" style="12" customWidth="1"/>
    <col min="7944" max="7944" width="19.42578125" style="12" customWidth="1"/>
    <col min="7945" max="8191" width="9.140625" style="12"/>
    <col min="8192" max="8192" width="23.28515625" style="12" customWidth="1"/>
    <col min="8193" max="8193" width="17.5703125" style="12" customWidth="1"/>
    <col min="8194" max="8195" width="17.85546875" style="12" customWidth="1"/>
    <col min="8196" max="8196" width="7.140625" style="12" customWidth="1"/>
    <col min="8197" max="8197" width="24" style="12" customWidth="1"/>
    <col min="8198" max="8198" width="19.85546875" style="12" customWidth="1"/>
    <col min="8199" max="8199" width="19.140625" style="12" customWidth="1"/>
    <col min="8200" max="8200" width="19.42578125" style="12" customWidth="1"/>
    <col min="8201" max="8447" width="9.140625" style="12"/>
    <col min="8448" max="8448" width="23.28515625" style="12" customWidth="1"/>
    <col min="8449" max="8449" width="17.5703125" style="12" customWidth="1"/>
    <col min="8450" max="8451" width="17.85546875" style="12" customWidth="1"/>
    <col min="8452" max="8452" width="7.140625" style="12" customWidth="1"/>
    <col min="8453" max="8453" width="24" style="12" customWidth="1"/>
    <col min="8454" max="8454" width="19.85546875" style="12" customWidth="1"/>
    <col min="8455" max="8455" width="19.140625" style="12" customWidth="1"/>
    <col min="8456" max="8456" width="19.42578125" style="12" customWidth="1"/>
    <col min="8457" max="8703" width="9.140625" style="12"/>
    <col min="8704" max="8704" width="23.28515625" style="12" customWidth="1"/>
    <col min="8705" max="8705" width="17.5703125" style="12" customWidth="1"/>
    <col min="8706" max="8707" width="17.85546875" style="12" customWidth="1"/>
    <col min="8708" max="8708" width="7.140625" style="12" customWidth="1"/>
    <col min="8709" max="8709" width="24" style="12" customWidth="1"/>
    <col min="8710" max="8710" width="19.85546875" style="12" customWidth="1"/>
    <col min="8711" max="8711" width="19.140625" style="12" customWidth="1"/>
    <col min="8712" max="8712" width="19.42578125" style="12" customWidth="1"/>
    <col min="8713" max="8959" width="9.140625" style="12"/>
    <col min="8960" max="8960" width="23.28515625" style="12" customWidth="1"/>
    <col min="8961" max="8961" width="17.5703125" style="12" customWidth="1"/>
    <col min="8962" max="8963" width="17.85546875" style="12" customWidth="1"/>
    <col min="8964" max="8964" width="7.140625" style="12" customWidth="1"/>
    <col min="8965" max="8965" width="24" style="12" customWidth="1"/>
    <col min="8966" max="8966" width="19.85546875" style="12" customWidth="1"/>
    <col min="8967" max="8967" width="19.140625" style="12" customWidth="1"/>
    <col min="8968" max="8968" width="19.42578125" style="12" customWidth="1"/>
    <col min="8969" max="9215" width="9.140625" style="12"/>
    <col min="9216" max="9216" width="23.28515625" style="12" customWidth="1"/>
    <col min="9217" max="9217" width="17.5703125" style="12" customWidth="1"/>
    <col min="9218" max="9219" width="17.85546875" style="12" customWidth="1"/>
    <col min="9220" max="9220" width="7.140625" style="12" customWidth="1"/>
    <col min="9221" max="9221" width="24" style="12" customWidth="1"/>
    <col min="9222" max="9222" width="19.85546875" style="12" customWidth="1"/>
    <col min="9223" max="9223" width="19.140625" style="12" customWidth="1"/>
    <col min="9224" max="9224" width="19.42578125" style="12" customWidth="1"/>
    <col min="9225" max="9471" width="9.140625" style="12"/>
    <col min="9472" max="9472" width="23.28515625" style="12" customWidth="1"/>
    <col min="9473" max="9473" width="17.5703125" style="12" customWidth="1"/>
    <col min="9474" max="9475" width="17.85546875" style="12" customWidth="1"/>
    <col min="9476" max="9476" width="7.140625" style="12" customWidth="1"/>
    <col min="9477" max="9477" width="24" style="12" customWidth="1"/>
    <col min="9478" max="9478" width="19.85546875" style="12" customWidth="1"/>
    <col min="9479" max="9479" width="19.140625" style="12" customWidth="1"/>
    <col min="9480" max="9480" width="19.42578125" style="12" customWidth="1"/>
    <col min="9481" max="9727" width="9.140625" style="12"/>
    <col min="9728" max="9728" width="23.28515625" style="12" customWidth="1"/>
    <col min="9729" max="9729" width="17.5703125" style="12" customWidth="1"/>
    <col min="9730" max="9731" width="17.85546875" style="12" customWidth="1"/>
    <col min="9732" max="9732" width="7.140625" style="12" customWidth="1"/>
    <col min="9733" max="9733" width="24" style="12" customWidth="1"/>
    <col min="9734" max="9734" width="19.85546875" style="12" customWidth="1"/>
    <col min="9735" max="9735" width="19.140625" style="12" customWidth="1"/>
    <col min="9736" max="9736" width="19.42578125" style="12" customWidth="1"/>
    <col min="9737" max="9983" width="9.140625" style="12"/>
    <col min="9984" max="9984" width="23.28515625" style="12" customWidth="1"/>
    <col min="9985" max="9985" width="17.5703125" style="12" customWidth="1"/>
    <col min="9986" max="9987" width="17.85546875" style="12" customWidth="1"/>
    <col min="9988" max="9988" width="7.140625" style="12" customWidth="1"/>
    <col min="9989" max="9989" width="24" style="12" customWidth="1"/>
    <col min="9990" max="9990" width="19.85546875" style="12" customWidth="1"/>
    <col min="9991" max="9991" width="19.140625" style="12" customWidth="1"/>
    <col min="9992" max="9992" width="19.42578125" style="12" customWidth="1"/>
    <col min="9993" max="10239" width="9.140625" style="12"/>
    <col min="10240" max="10240" width="23.28515625" style="12" customWidth="1"/>
    <col min="10241" max="10241" width="17.5703125" style="12" customWidth="1"/>
    <col min="10242" max="10243" width="17.85546875" style="12" customWidth="1"/>
    <col min="10244" max="10244" width="7.140625" style="12" customWidth="1"/>
    <col min="10245" max="10245" width="24" style="12" customWidth="1"/>
    <col min="10246" max="10246" width="19.85546875" style="12" customWidth="1"/>
    <col min="10247" max="10247" width="19.140625" style="12" customWidth="1"/>
    <col min="10248" max="10248" width="19.42578125" style="12" customWidth="1"/>
    <col min="10249" max="10495" width="9.140625" style="12"/>
    <col min="10496" max="10496" width="23.28515625" style="12" customWidth="1"/>
    <col min="10497" max="10497" width="17.5703125" style="12" customWidth="1"/>
    <col min="10498" max="10499" width="17.85546875" style="12" customWidth="1"/>
    <col min="10500" max="10500" width="7.140625" style="12" customWidth="1"/>
    <col min="10501" max="10501" width="24" style="12" customWidth="1"/>
    <col min="10502" max="10502" width="19.85546875" style="12" customWidth="1"/>
    <col min="10503" max="10503" width="19.140625" style="12" customWidth="1"/>
    <col min="10504" max="10504" width="19.42578125" style="12" customWidth="1"/>
    <col min="10505" max="10751" width="9.140625" style="12"/>
    <col min="10752" max="10752" width="23.28515625" style="12" customWidth="1"/>
    <col min="10753" max="10753" width="17.5703125" style="12" customWidth="1"/>
    <col min="10754" max="10755" width="17.85546875" style="12" customWidth="1"/>
    <col min="10756" max="10756" width="7.140625" style="12" customWidth="1"/>
    <col min="10757" max="10757" width="24" style="12" customWidth="1"/>
    <col min="10758" max="10758" width="19.85546875" style="12" customWidth="1"/>
    <col min="10759" max="10759" width="19.140625" style="12" customWidth="1"/>
    <col min="10760" max="10760" width="19.42578125" style="12" customWidth="1"/>
    <col min="10761" max="11007" width="9.140625" style="12"/>
    <col min="11008" max="11008" width="23.28515625" style="12" customWidth="1"/>
    <col min="11009" max="11009" width="17.5703125" style="12" customWidth="1"/>
    <col min="11010" max="11011" width="17.85546875" style="12" customWidth="1"/>
    <col min="11012" max="11012" width="7.140625" style="12" customWidth="1"/>
    <col min="11013" max="11013" width="24" style="12" customWidth="1"/>
    <col min="11014" max="11014" width="19.85546875" style="12" customWidth="1"/>
    <col min="11015" max="11015" width="19.140625" style="12" customWidth="1"/>
    <col min="11016" max="11016" width="19.42578125" style="12" customWidth="1"/>
    <col min="11017" max="11263" width="9.140625" style="12"/>
    <col min="11264" max="11264" width="23.28515625" style="12" customWidth="1"/>
    <col min="11265" max="11265" width="17.5703125" style="12" customWidth="1"/>
    <col min="11266" max="11267" width="17.85546875" style="12" customWidth="1"/>
    <col min="11268" max="11268" width="7.140625" style="12" customWidth="1"/>
    <col min="11269" max="11269" width="24" style="12" customWidth="1"/>
    <col min="11270" max="11270" width="19.85546875" style="12" customWidth="1"/>
    <col min="11271" max="11271" width="19.140625" style="12" customWidth="1"/>
    <col min="11272" max="11272" width="19.42578125" style="12" customWidth="1"/>
    <col min="11273" max="11519" width="9.140625" style="12"/>
    <col min="11520" max="11520" width="23.28515625" style="12" customWidth="1"/>
    <col min="11521" max="11521" width="17.5703125" style="12" customWidth="1"/>
    <col min="11522" max="11523" width="17.85546875" style="12" customWidth="1"/>
    <col min="11524" max="11524" width="7.140625" style="12" customWidth="1"/>
    <col min="11525" max="11525" width="24" style="12" customWidth="1"/>
    <col min="11526" max="11526" width="19.85546875" style="12" customWidth="1"/>
    <col min="11527" max="11527" width="19.140625" style="12" customWidth="1"/>
    <col min="11528" max="11528" width="19.42578125" style="12" customWidth="1"/>
    <col min="11529" max="11775" width="9.140625" style="12"/>
    <col min="11776" max="11776" width="23.28515625" style="12" customWidth="1"/>
    <col min="11777" max="11777" width="17.5703125" style="12" customWidth="1"/>
    <col min="11778" max="11779" width="17.85546875" style="12" customWidth="1"/>
    <col min="11780" max="11780" width="7.140625" style="12" customWidth="1"/>
    <col min="11781" max="11781" width="24" style="12" customWidth="1"/>
    <col min="11782" max="11782" width="19.85546875" style="12" customWidth="1"/>
    <col min="11783" max="11783" width="19.140625" style="12" customWidth="1"/>
    <col min="11784" max="11784" width="19.42578125" style="12" customWidth="1"/>
    <col min="11785" max="12031" width="9.140625" style="12"/>
    <col min="12032" max="12032" width="23.28515625" style="12" customWidth="1"/>
    <col min="12033" max="12033" width="17.5703125" style="12" customWidth="1"/>
    <col min="12034" max="12035" width="17.85546875" style="12" customWidth="1"/>
    <col min="12036" max="12036" width="7.140625" style="12" customWidth="1"/>
    <col min="12037" max="12037" width="24" style="12" customWidth="1"/>
    <col min="12038" max="12038" width="19.85546875" style="12" customWidth="1"/>
    <col min="12039" max="12039" width="19.140625" style="12" customWidth="1"/>
    <col min="12040" max="12040" width="19.42578125" style="12" customWidth="1"/>
    <col min="12041" max="12287" width="9.140625" style="12"/>
    <col min="12288" max="12288" width="23.28515625" style="12" customWidth="1"/>
    <col min="12289" max="12289" width="17.5703125" style="12" customWidth="1"/>
    <col min="12290" max="12291" width="17.85546875" style="12" customWidth="1"/>
    <col min="12292" max="12292" width="7.140625" style="12" customWidth="1"/>
    <col min="12293" max="12293" width="24" style="12" customWidth="1"/>
    <col min="12294" max="12294" width="19.85546875" style="12" customWidth="1"/>
    <col min="12295" max="12295" width="19.140625" style="12" customWidth="1"/>
    <col min="12296" max="12296" width="19.42578125" style="12" customWidth="1"/>
    <col min="12297" max="12543" width="9.140625" style="12"/>
    <col min="12544" max="12544" width="23.28515625" style="12" customWidth="1"/>
    <col min="12545" max="12545" width="17.5703125" style="12" customWidth="1"/>
    <col min="12546" max="12547" width="17.85546875" style="12" customWidth="1"/>
    <col min="12548" max="12548" width="7.140625" style="12" customWidth="1"/>
    <col min="12549" max="12549" width="24" style="12" customWidth="1"/>
    <col min="12550" max="12550" width="19.85546875" style="12" customWidth="1"/>
    <col min="12551" max="12551" width="19.140625" style="12" customWidth="1"/>
    <col min="12552" max="12552" width="19.42578125" style="12" customWidth="1"/>
    <col min="12553" max="12799" width="9.140625" style="12"/>
    <col min="12800" max="12800" width="23.28515625" style="12" customWidth="1"/>
    <col min="12801" max="12801" width="17.5703125" style="12" customWidth="1"/>
    <col min="12802" max="12803" width="17.85546875" style="12" customWidth="1"/>
    <col min="12804" max="12804" width="7.140625" style="12" customWidth="1"/>
    <col min="12805" max="12805" width="24" style="12" customWidth="1"/>
    <col min="12806" max="12806" width="19.85546875" style="12" customWidth="1"/>
    <col min="12807" max="12807" width="19.140625" style="12" customWidth="1"/>
    <col min="12808" max="12808" width="19.42578125" style="12" customWidth="1"/>
    <col min="12809" max="13055" width="9.140625" style="12"/>
    <col min="13056" max="13056" width="23.28515625" style="12" customWidth="1"/>
    <col min="13057" max="13057" width="17.5703125" style="12" customWidth="1"/>
    <col min="13058" max="13059" width="17.85546875" style="12" customWidth="1"/>
    <col min="13060" max="13060" width="7.140625" style="12" customWidth="1"/>
    <col min="13061" max="13061" width="24" style="12" customWidth="1"/>
    <col min="13062" max="13062" width="19.85546875" style="12" customWidth="1"/>
    <col min="13063" max="13063" width="19.140625" style="12" customWidth="1"/>
    <col min="13064" max="13064" width="19.42578125" style="12" customWidth="1"/>
    <col min="13065" max="13311" width="9.140625" style="12"/>
    <col min="13312" max="13312" width="23.28515625" style="12" customWidth="1"/>
    <col min="13313" max="13313" width="17.5703125" style="12" customWidth="1"/>
    <col min="13314" max="13315" width="17.85546875" style="12" customWidth="1"/>
    <col min="13316" max="13316" width="7.140625" style="12" customWidth="1"/>
    <col min="13317" max="13317" width="24" style="12" customWidth="1"/>
    <col min="13318" max="13318" width="19.85546875" style="12" customWidth="1"/>
    <col min="13319" max="13319" width="19.140625" style="12" customWidth="1"/>
    <col min="13320" max="13320" width="19.42578125" style="12" customWidth="1"/>
    <col min="13321" max="13567" width="9.140625" style="12"/>
    <col min="13568" max="13568" width="23.28515625" style="12" customWidth="1"/>
    <col min="13569" max="13569" width="17.5703125" style="12" customWidth="1"/>
    <col min="13570" max="13571" width="17.85546875" style="12" customWidth="1"/>
    <col min="13572" max="13572" width="7.140625" style="12" customWidth="1"/>
    <col min="13573" max="13573" width="24" style="12" customWidth="1"/>
    <col min="13574" max="13574" width="19.85546875" style="12" customWidth="1"/>
    <col min="13575" max="13575" width="19.140625" style="12" customWidth="1"/>
    <col min="13576" max="13576" width="19.42578125" style="12" customWidth="1"/>
    <col min="13577" max="13823" width="9.140625" style="12"/>
    <col min="13824" max="13824" width="23.28515625" style="12" customWidth="1"/>
    <col min="13825" max="13825" width="17.5703125" style="12" customWidth="1"/>
    <col min="13826" max="13827" width="17.85546875" style="12" customWidth="1"/>
    <col min="13828" max="13828" width="7.140625" style="12" customWidth="1"/>
    <col min="13829" max="13829" width="24" style="12" customWidth="1"/>
    <col min="13830" max="13830" width="19.85546875" style="12" customWidth="1"/>
    <col min="13831" max="13831" width="19.140625" style="12" customWidth="1"/>
    <col min="13832" max="13832" width="19.42578125" style="12" customWidth="1"/>
    <col min="13833" max="14079" width="9.140625" style="12"/>
    <col min="14080" max="14080" width="23.28515625" style="12" customWidth="1"/>
    <col min="14081" max="14081" width="17.5703125" style="12" customWidth="1"/>
    <col min="14082" max="14083" width="17.85546875" style="12" customWidth="1"/>
    <col min="14084" max="14084" width="7.140625" style="12" customWidth="1"/>
    <col min="14085" max="14085" width="24" style="12" customWidth="1"/>
    <col min="14086" max="14086" width="19.85546875" style="12" customWidth="1"/>
    <col min="14087" max="14087" width="19.140625" style="12" customWidth="1"/>
    <col min="14088" max="14088" width="19.42578125" style="12" customWidth="1"/>
    <col min="14089" max="14335" width="9.140625" style="12"/>
    <col min="14336" max="14336" width="23.28515625" style="12" customWidth="1"/>
    <col min="14337" max="14337" width="17.5703125" style="12" customWidth="1"/>
    <col min="14338" max="14339" width="17.85546875" style="12" customWidth="1"/>
    <col min="14340" max="14340" width="7.140625" style="12" customWidth="1"/>
    <col min="14341" max="14341" width="24" style="12" customWidth="1"/>
    <col min="14342" max="14342" width="19.85546875" style="12" customWidth="1"/>
    <col min="14343" max="14343" width="19.140625" style="12" customWidth="1"/>
    <col min="14344" max="14344" width="19.42578125" style="12" customWidth="1"/>
    <col min="14345" max="14591" width="9.140625" style="12"/>
    <col min="14592" max="14592" width="23.28515625" style="12" customWidth="1"/>
    <col min="14593" max="14593" width="17.5703125" style="12" customWidth="1"/>
    <col min="14594" max="14595" width="17.85546875" style="12" customWidth="1"/>
    <col min="14596" max="14596" width="7.140625" style="12" customWidth="1"/>
    <col min="14597" max="14597" width="24" style="12" customWidth="1"/>
    <col min="14598" max="14598" width="19.85546875" style="12" customWidth="1"/>
    <col min="14599" max="14599" width="19.140625" style="12" customWidth="1"/>
    <col min="14600" max="14600" width="19.42578125" style="12" customWidth="1"/>
    <col min="14601" max="14847" width="9.140625" style="12"/>
    <col min="14848" max="14848" width="23.28515625" style="12" customWidth="1"/>
    <col min="14849" max="14849" width="17.5703125" style="12" customWidth="1"/>
    <col min="14850" max="14851" width="17.85546875" style="12" customWidth="1"/>
    <col min="14852" max="14852" width="7.140625" style="12" customWidth="1"/>
    <col min="14853" max="14853" width="24" style="12" customWidth="1"/>
    <col min="14854" max="14854" width="19.85546875" style="12" customWidth="1"/>
    <col min="14855" max="14855" width="19.140625" style="12" customWidth="1"/>
    <col min="14856" max="14856" width="19.42578125" style="12" customWidth="1"/>
    <col min="14857" max="15103" width="9.140625" style="12"/>
    <col min="15104" max="15104" width="23.28515625" style="12" customWidth="1"/>
    <col min="15105" max="15105" width="17.5703125" style="12" customWidth="1"/>
    <col min="15106" max="15107" width="17.85546875" style="12" customWidth="1"/>
    <col min="15108" max="15108" width="7.140625" style="12" customWidth="1"/>
    <col min="15109" max="15109" width="24" style="12" customWidth="1"/>
    <col min="15110" max="15110" width="19.85546875" style="12" customWidth="1"/>
    <col min="15111" max="15111" width="19.140625" style="12" customWidth="1"/>
    <col min="15112" max="15112" width="19.42578125" style="12" customWidth="1"/>
    <col min="15113" max="15359" width="9.140625" style="12"/>
    <col min="15360" max="15360" width="23.28515625" style="12" customWidth="1"/>
    <col min="15361" max="15361" width="17.5703125" style="12" customWidth="1"/>
    <col min="15362" max="15363" width="17.85546875" style="12" customWidth="1"/>
    <col min="15364" max="15364" width="7.140625" style="12" customWidth="1"/>
    <col min="15365" max="15365" width="24" style="12" customWidth="1"/>
    <col min="15366" max="15366" width="19.85546875" style="12" customWidth="1"/>
    <col min="15367" max="15367" width="19.140625" style="12" customWidth="1"/>
    <col min="15368" max="15368" width="19.42578125" style="12" customWidth="1"/>
    <col min="15369" max="15615" width="9.140625" style="12"/>
    <col min="15616" max="15616" width="23.28515625" style="12" customWidth="1"/>
    <col min="15617" max="15617" width="17.5703125" style="12" customWidth="1"/>
    <col min="15618" max="15619" width="17.85546875" style="12" customWidth="1"/>
    <col min="15620" max="15620" width="7.140625" style="12" customWidth="1"/>
    <col min="15621" max="15621" width="24" style="12" customWidth="1"/>
    <col min="15622" max="15622" width="19.85546875" style="12" customWidth="1"/>
    <col min="15623" max="15623" width="19.140625" style="12" customWidth="1"/>
    <col min="15624" max="15624" width="19.42578125" style="12" customWidth="1"/>
    <col min="15625" max="15871" width="9.140625" style="12"/>
    <col min="15872" max="15872" width="23.28515625" style="12" customWidth="1"/>
    <col min="15873" max="15873" width="17.5703125" style="12" customWidth="1"/>
    <col min="15874" max="15875" width="17.85546875" style="12" customWidth="1"/>
    <col min="15876" max="15876" width="7.140625" style="12" customWidth="1"/>
    <col min="15877" max="15877" width="24" style="12" customWidth="1"/>
    <col min="15878" max="15878" width="19.85546875" style="12" customWidth="1"/>
    <col min="15879" max="15879" width="19.140625" style="12" customWidth="1"/>
    <col min="15880" max="15880" width="19.42578125" style="12" customWidth="1"/>
    <col min="15881" max="16127" width="9.140625" style="12"/>
    <col min="16128" max="16128" width="23.28515625" style="12" customWidth="1"/>
    <col min="16129" max="16129" width="17.5703125" style="12" customWidth="1"/>
    <col min="16130" max="16131" width="17.85546875" style="12" customWidth="1"/>
    <col min="16132" max="16132" width="7.140625" style="12" customWidth="1"/>
    <col min="16133" max="16133" width="24" style="12" customWidth="1"/>
    <col min="16134" max="16134" width="19.85546875" style="12" customWidth="1"/>
    <col min="16135" max="16135" width="19.140625" style="12" customWidth="1"/>
    <col min="16136" max="16136" width="19.42578125" style="12" customWidth="1"/>
    <col min="16137" max="16384" width="9.140625" style="12"/>
  </cols>
  <sheetData>
    <row r="2" spans="1:20" ht="36" customHeight="1" x14ac:dyDescent="0.15">
      <c r="A2" s="2802" t="s">
        <v>1750</v>
      </c>
      <c r="B2" s="2803"/>
      <c r="C2" s="2803"/>
      <c r="D2" s="2803"/>
    </row>
    <row r="3" spans="1:20" ht="11.25" customHeight="1" x14ac:dyDescent="0.15">
      <c r="A3" s="2804"/>
      <c r="B3" s="2805"/>
      <c r="C3" s="2805"/>
      <c r="D3" s="2805"/>
    </row>
    <row r="4" spans="1:20" x14ac:dyDescent="0.15">
      <c r="A4" s="2806" t="s">
        <v>1</v>
      </c>
      <c r="B4" s="2809" t="s">
        <v>1498</v>
      </c>
      <c r="C4" s="2810"/>
      <c r="D4" s="2811"/>
      <c r="E4" s="703"/>
      <c r="F4" s="704"/>
      <c r="G4" s="705"/>
      <c r="H4" s="705"/>
    </row>
    <row r="5" spans="1:20" x14ac:dyDescent="0.15">
      <c r="A5" s="2807"/>
      <c r="B5" s="2806" t="s">
        <v>1473</v>
      </c>
      <c r="C5" s="2809" t="s">
        <v>1474</v>
      </c>
      <c r="D5" s="2811"/>
      <c r="E5" s="703"/>
      <c r="F5" s="703"/>
      <c r="G5" s="704"/>
      <c r="H5" s="705"/>
    </row>
    <row r="6" spans="1:20" ht="27" customHeight="1" x14ac:dyDescent="0.15">
      <c r="A6" s="2808"/>
      <c r="B6" s="2808"/>
      <c r="C6" s="706" t="s">
        <v>1733</v>
      </c>
      <c r="D6" s="706" t="s">
        <v>1734</v>
      </c>
      <c r="E6" s="703"/>
      <c r="F6" s="703"/>
      <c r="G6" s="707"/>
      <c r="H6" s="707"/>
    </row>
    <row r="7" spans="1:20" x14ac:dyDescent="0.15">
      <c r="A7" s="708" t="s">
        <v>141</v>
      </c>
      <c r="B7" s="709">
        <f>SUM(B8:B22)</f>
        <v>3008468</v>
      </c>
      <c r="C7" s="709">
        <f>SUM(C8:C22)</f>
        <v>573717</v>
      </c>
      <c r="D7" s="709">
        <f>SUM(D8:D22)</f>
        <v>2434751</v>
      </c>
      <c r="E7" s="708"/>
      <c r="F7" s="709"/>
      <c r="G7" s="709"/>
      <c r="H7" s="709"/>
    </row>
    <row r="8" spans="1:20" x14ac:dyDescent="0.15">
      <c r="A8" s="710" t="s">
        <v>5</v>
      </c>
      <c r="B8" s="709">
        <f>SUM(C8:D8)</f>
        <v>9534</v>
      </c>
      <c r="C8" s="711">
        <v>4024</v>
      </c>
      <c r="D8" s="711">
        <v>5510</v>
      </c>
      <c r="E8" s="710"/>
      <c r="F8" s="709"/>
      <c r="G8" s="711"/>
      <c r="H8" s="711"/>
    </row>
    <row r="9" spans="1:20" x14ac:dyDescent="0.15">
      <c r="A9" s="710" t="s">
        <v>6</v>
      </c>
      <c r="B9" s="709">
        <f t="shared" ref="B9:B22" si="0">SUM(C9:D9)</f>
        <v>18514</v>
      </c>
      <c r="C9" s="711">
        <v>14470</v>
      </c>
      <c r="D9" s="711">
        <v>4044</v>
      </c>
      <c r="E9" s="710"/>
      <c r="F9" s="709"/>
      <c r="G9" s="711"/>
      <c r="H9" s="711"/>
    </row>
    <row r="10" spans="1:20" x14ac:dyDescent="0.15">
      <c r="A10" s="710" t="s">
        <v>1501</v>
      </c>
      <c r="B10" s="709">
        <f t="shared" si="0"/>
        <v>67227</v>
      </c>
      <c r="C10" s="711">
        <v>14677</v>
      </c>
      <c r="D10" s="711">
        <v>52550</v>
      </c>
      <c r="E10" s="710"/>
      <c r="F10" s="709"/>
      <c r="G10" s="711"/>
      <c r="H10" s="711"/>
    </row>
    <row r="11" spans="1:20" x14ac:dyDescent="0.15">
      <c r="A11" s="710" t="s">
        <v>1502</v>
      </c>
      <c r="B11" s="709">
        <f t="shared" si="0"/>
        <v>48482</v>
      </c>
      <c r="C11" s="711">
        <v>9600</v>
      </c>
      <c r="D11" s="711">
        <v>38882</v>
      </c>
      <c r="E11" s="710"/>
      <c r="F11" s="709"/>
      <c r="G11" s="711"/>
      <c r="H11" s="711"/>
    </row>
    <row r="12" spans="1:20" x14ac:dyDescent="0.15">
      <c r="A12" s="710" t="s">
        <v>1503</v>
      </c>
      <c r="B12" s="709">
        <f t="shared" si="0"/>
        <v>69078</v>
      </c>
      <c r="C12" s="711">
        <v>27446</v>
      </c>
      <c r="D12" s="711">
        <v>41632</v>
      </c>
      <c r="E12" s="710"/>
      <c r="F12" s="709"/>
      <c r="G12" s="711"/>
      <c r="H12" s="711"/>
    </row>
    <row r="13" spans="1:20" x14ac:dyDescent="0.15">
      <c r="A13" s="710" t="s">
        <v>1504</v>
      </c>
      <c r="B13" s="709">
        <f t="shared" si="0"/>
        <v>273691</v>
      </c>
      <c r="C13" s="711">
        <v>57660</v>
      </c>
      <c r="D13" s="711">
        <v>216031</v>
      </c>
      <c r="E13" s="710"/>
      <c r="F13" s="709"/>
      <c r="G13" s="711"/>
      <c r="H13" s="711"/>
    </row>
    <row r="14" spans="1:20" x14ac:dyDescent="0.15">
      <c r="A14" s="710" t="s">
        <v>11</v>
      </c>
      <c r="B14" s="709">
        <f t="shared" si="0"/>
        <v>1726309</v>
      </c>
      <c r="C14" s="711">
        <v>240976</v>
      </c>
      <c r="D14" s="711">
        <v>1485333</v>
      </c>
      <c r="E14" s="710"/>
      <c r="F14" s="709"/>
      <c r="G14" s="711"/>
      <c r="H14" s="711"/>
      <c r="I14" s="244"/>
      <c r="J14" s="244"/>
      <c r="K14" s="244"/>
      <c r="L14" s="244"/>
      <c r="M14" s="244"/>
      <c r="N14" s="244"/>
      <c r="O14" s="244"/>
      <c r="P14" s="244"/>
      <c r="Q14" s="244"/>
      <c r="R14" s="244"/>
      <c r="S14" s="244"/>
      <c r="T14" s="244"/>
    </row>
    <row r="15" spans="1:20" x14ac:dyDescent="0.15">
      <c r="A15" s="710" t="s">
        <v>12</v>
      </c>
      <c r="B15" s="709">
        <f t="shared" si="0"/>
        <v>79173</v>
      </c>
      <c r="C15" s="711">
        <v>9316</v>
      </c>
      <c r="D15" s="711">
        <v>69857</v>
      </c>
      <c r="E15" s="710"/>
      <c r="F15" s="709"/>
      <c r="G15" s="711"/>
      <c r="H15" s="711"/>
      <c r="I15" s="244"/>
      <c r="J15" s="244"/>
      <c r="K15" s="244"/>
      <c r="L15" s="244"/>
      <c r="M15" s="244"/>
      <c r="N15" s="244"/>
      <c r="O15" s="244"/>
      <c r="P15" s="244"/>
      <c r="Q15" s="244"/>
      <c r="R15" s="244"/>
      <c r="S15" s="244"/>
      <c r="T15" s="244"/>
    </row>
    <row r="16" spans="1:20" x14ac:dyDescent="0.15">
      <c r="A16" s="710" t="s">
        <v>13</v>
      </c>
      <c r="B16" s="709">
        <f t="shared" si="0"/>
        <v>113975</v>
      </c>
      <c r="C16" s="711">
        <v>34272</v>
      </c>
      <c r="D16" s="711">
        <v>79703</v>
      </c>
      <c r="E16" s="710"/>
      <c r="F16" s="709"/>
      <c r="G16" s="711"/>
      <c r="H16" s="711"/>
      <c r="I16" s="244"/>
      <c r="J16" s="244"/>
      <c r="K16" s="244"/>
      <c r="L16" s="244"/>
      <c r="M16" s="244"/>
      <c r="N16" s="244"/>
      <c r="O16" s="244"/>
      <c r="P16" s="244"/>
      <c r="Q16" s="244"/>
      <c r="R16" s="244"/>
      <c r="S16" s="244"/>
      <c r="T16" s="244"/>
    </row>
    <row r="17" spans="1:20" x14ac:dyDescent="0.15">
      <c r="A17" s="710" t="s">
        <v>14</v>
      </c>
      <c r="B17" s="709">
        <f t="shared" si="0"/>
        <v>198843</v>
      </c>
      <c r="C17" s="711">
        <v>46068</v>
      </c>
      <c r="D17" s="711">
        <v>152775</v>
      </c>
      <c r="E17" s="710"/>
      <c r="F17" s="709"/>
      <c r="G17" s="711"/>
      <c r="H17" s="711"/>
      <c r="I17" s="244"/>
      <c r="J17" s="244"/>
      <c r="K17" s="244"/>
      <c r="L17" s="244"/>
      <c r="M17" s="244"/>
      <c r="N17" s="244"/>
      <c r="O17" s="244"/>
      <c r="P17" s="244"/>
      <c r="Q17" s="244"/>
      <c r="R17" s="244"/>
      <c r="S17" s="244"/>
      <c r="T17" s="244"/>
    </row>
    <row r="18" spans="1:20" x14ac:dyDescent="0.15">
      <c r="A18" s="710" t="s">
        <v>15</v>
      </c>
      <c r="B18" s="709">
        <f t="shared" si="0"/>
        <v>91860</v>
      </c>
      <c r="C18" s="711">
        <v>26982</v>
      </c>
      <c r="D18" s="711">
        <v>64878</v>
      </c>
      <c r="E18" s="710"/>
      <c r="F18" s="709"/>
      <c r="G18" s="711"/>
      <c r="H18" s="711"/>
      <c r="I18" s="244"/>
      <c r="J18" s="244"/>
      <c r="K18" s="244"/>
      <c r="L18" s="244"/>
      <c r="M18" s="244"/>
      <c r="N18" s="244"/>
      <c r="O18" s="244"/>
      <c r="P18" s="244"/>
      <c r="Q18" s="244"/>
      <c r="R18" s="244"/>
      <c r="S18" s="244"/>
      <c r="T18" s="244"/>
    </row>
    <row r="19" spans="1:20" x14ac:dyDescent="0.15">
      <c r="A19" s="710" t="s">
        <v>16</v>
      </c>
      <c r="B19" s="709">
        <f t="shared" si="0"/>
        <v>119543</v>
      </c>
      <c r="C19" s="711">
        <v>60664</v>
      </c>
      <c r="D19" s="711">
        <v>58879</v>
      </c>
      <c r="E19" s="710"/>
      <c r="F19" s="709"/>
      <c r="G19" s="711"/>
      <c r="H19" s="711"/>
      <c r="I19" s="244"/>
      <c r="J19" s="244"/>
      <c r="K19" s="244"/>
      <c r="L19" s="244"/>
      <c r="M19" s="244"/>
      <c r="N19" s="244"/>
      <c r="O19" s="244"/>
      <c r="P19" s="244"/>
      <c r="Q19" s="244"/>
      <c r="R19" s="244"/>
      <c r="S19" s="244"/>
      <c r="T19" s="244"/>
    </row>
    <row r="20" spans="1:20" x14ac:dyDescent="0.15">
      <c r="A20" s="710" t="s">
        <v>17</v>
      </c>
      <c r="B20" s="709">
        <f t="shared" si="0"/>
        <v>158255</v>
      </c>
      <c r="C20" s="711">
        <v>23103</v>
      </c>
      <c r="D20" s="711">
        <v>135152</v>
      </c>
      <c r="E20" s="710"/>
      <c r="F20" s="709"/>
      <c r="G20" s="711"/>
      <c r="H20" s="711"/>
      <c r="I20" s="244"/>
      <c r="J20" s="244"/>
      <c r="K20" s="244"/>
      <c r="L20" s="244"/>
      <c r="M20" s="244"/>
      <c r="N20" s="244"/>
      <c r="O20" s="244"/>
      <c r="P20" s="244"/>
      <c r="Q20" s="244"/>
      <c r="R20" s="244"/>
      <c r="S20" s="244"/>
      <c r="T20" s="244"/>
    </row>
    <row r="21" spans="1:20" x14ac:dyDescent="0.15">
      <c r="A21" s="710" t="s">
        <v>18</v>
      </c>
      <c r="B21" s="709">
        <f t="shared" si="0"/>
        <v>17490</v>
      </c>
      <c r="C21" s="711">
        <v>1880</v>
      </c>
      <c r="D21" s="711">
        <v>15610</v>
      </c>
      <c r="E21" s="710"/>
      <c r="F21" s="709"/>
      <c r="G21" s="711"/>
      <c r="H21" s="711"/>
      <c r="I21" s="244"/>
      <c r="J21" s="244"/>
      <c r="K21" s="244"/>
      <c r="L21" s="244"/>
      <c r="M21" s="244"/>
      <c r="N21" s="244"/>
      <c r="O21" s="244"/>
      <c r="P21" s="244"/>
      <c r="Q21" s="244"/>
      <c r="R21" s="244"/>
      <c r="S21" s="244"/>
      <c r="T21" s="244"/>
    </row>
    <row r="22" spans="1:20" x14ac:dyDescent="0.15">
      <c r="A22" s="710" t="s">
        <v>19</v>
      </c>
      <c r="B22" s="709">
        <f t="shared" si="0"/>
        <v>16494</v>
      </c>
      <c r="C22" s="711">
        <v>2579</v>
      </c>
      <c r="D22" s="711">
        <v>13915</v>
      </c>
      <c r="E22" s="710"/>
      <c r="F22" s="709"/>
      <c r="G22" s="711"/>
      <c r="H22" s="711"/>
      <c r="I22" s="244"/>
      <c r="J22" s="244"/>
      <c r="K22" s="244"/>
      <c r="L22" s="244"/>
      <c r="M22" s="244"/>
      <c r="N22" s="244"/>
      <c r="O22" s="244"/>
      <c r="P22" s="244"/>
      <c r="Q22" s="244"/>
      <c r="R22" s="244"/>
      <c r="S22" s="244"/>
      <c r="T22" s="244"/>
    </row>
    <row r="23" spans="1:20" ht="11.25" customHeight="1" x14ac:dyDescent="0.15">
      <c r="A23" s="2812"/>
      <c r="B23" s="2813"/>
      <c r="C23" s="2813"/>
      <c r="D23" s="2813"/>
      <c r="E23" s="244"/>
      <c r="F23" s="244"/>
      <c r="G23" s="244"/>
      <c r="H23" s="244"/>
      <c r="I23" s="244"/>
      <c r="J23" s="244"/>
      <c r="K23" s="244"/>
      <c r="L23" s="244"/>
      <c r="M23" s="244"/>
      <c r="N23" s="244"/>
      <c r="O23" s="244"/>
      <c r="P23" s="244"/>
      <c r="Q23" s="244"/>
      <c r="R23" s="244"/>
      <c r="S23" s="244"/>
      <c r="T23" s="244"/>
    </row>
    <row r="24" spans="1:20" ht="35.85" customHeight="1" x14ac:dyDescent="0.15">
      <c r="A24" s="2814" t="s">
        <v>1751</v>
      </c>
      <c r="B24" s="2815"/>
      <c r="C24" s="2815"/>
      <c r="D24" s="2815"/>
      <c r="E24" s="244"/>
      <c r="F24" s="244"/>
      <c r="G24" s="244"/>
      <c r="H24" s="244"/>
      <c r="I24" s="244"/>
      <c r="J24" s="244"/>
      <c r="K24" s="244"/>
      <c r="L24" s="244"/>
      <c r="M24" s="244"/>
      <c r="N24" s="244"/>
      <c r="O24" s="244"/>
      <c r="P24" s="244"/>
      <c r="Q24" s="244"/>
      <c r="R24" s="244"/>
      <c r="S24" s="244"/>
      <c r="T24" s="244"/>
    </row>
    <row r="25" spans="1:20" x14ac:dyDescent="0.15">
      <c r="A25" s="2816" t="s">
        <v>1752</v>
      </c>
      <c r="B25" s="2816"/>
      <c r="C25" s="2816"/>
      <c r="D25" s="2816"/>
      <c r="E25" s="244"/>
      <c r="F25" s="244"/>
      <c r="G25" s="244"/>
      <c r="H25" s="244"/>
      <c r="I25" s="244"/>
      <c r="J25" s="244"/>
      <c r="K25" s="244"/>
      <c r="L25" s="244"/>
      <c r="M25" s="244"/>
      <c r="N25" s="244"/>
      <c r="O25" s="244"/>
      <c r="P25" s="244"/>
      <c r="Q25" s="244"/>
      <c r="R25" s="244"/>
      <c r="S25" s="244"/>
      <c r="T25" s="244"/>
    </row>
    <row r="26" spans="1:20" x14ac:dyDescent="0.15">
      <c r="A26" s="2816" t="s">
        <v>1747</v>
      </c>
      <c r="B26" s="2816"/>
      <c r="C26" s="2816"/>
      <c r="D26" s="2816"/>
      <c r="E26" s="2165"/>
      <c r="F26" s="2165"/>
      <c r="G26" s="2165"/>
      <c r="H26" s="2165"/>
      <c r="I26" s="2165"/>
      <c r="J26" s="2165"/>
      <c r="K26" s="2165"/>
      <c r="L26" s="2165"/>
      <c r="M26" s="244"/>
      <c r="N26" s="244"/>
      <c r="O26" s="244"/>
      <c r="P26" s="244"/>
      <c r="Q26" s="244"/>
      <c r="R26" s="244"/>
      <c r="S26" s="244"/>
      <c r="T26" s="244"/>
    </row>
    <row r="27" spans="1:20" x14ac:dyDescent="0.15">
      <c r="A27" s="2816" t="s">
        <v>1483</v>
      </c>
      <c r="B27" s="2815"/>
      <c r="C27" s="2815"/>
      <c r="D27" s="2815"/>
      <c r="E27" s="244"/>
      <c r="F27" s="244"/>
      <c r="G27" s="244"/>
      <c r="H27" s="244"/>
      <c r="I27" s="244"/>
      <c r="J27" s="244"/>
      <c r="K27" s="244"/>
      <c r="L27" s="244"/>
      <c r="M27" s="244"/>
      <c r="N27" s="244"/>
      <c r="O27" s="244"/>
      <c r="P27" s="244"/>
      <c r="Q27" s="244"/>
      <c r="R27" s="244"/>
      <c r="S27" s="244"/>
      <c r="T27" s="244"/>
    </row>
    <row r="28" spans="1:20" x14ac:dyDescent="0.15">
      <c r="A28" s="244"/>
      <c r="B28" s="244"/>
      <c r="C28" s="244"/>
      <c r="D28" s="244"/>
      <c r="E28" s="244"/>
      <c r="F28" s="244"/>
      <c r="G28" s="244"/>
      <c r="H28" s="244"/>
      <c r="I28" s="244"/>
      <c r="J28" s="244"/>
      <c r="K28" s="244"/>
      <c r="L28" s="244"/>
      <c r="M28" s="244"/>
      <c r="N28" s="244"/>
      <c r="O28" s="244"/>
      <c r="P28" s="244"/>
      <c r="Q28" s="244"/>
      <c r="R28" s="244"/>
      <c r="S28" s="244"/>
      <c r="T28" s="244"/>
    </row>
    <row r="29" spans="1:20" x14ac:dyDescent="0.15">
      <c r="A29" s="244"/>
      <c r="B29" s="244"/>
      <c r="C29" s="244"/>
      <c r="D29" s="244"/>
      <c r="E29" s="244"/>
      <c r="F29" s="244"/>
      <c r="G29" s="244"/>
      <c r="H29" s="244"/>
      <c r="I29" s="244"/>
      <c r="J29" s="244"/>
      <c r="K29" s="244"/>
      <c r="L29" s="244"/>
      <c r="M29" s="244"/>
      <c r="N29" s="244"/>
      <c r="O29" s="244"/>
      <c r="P29" s="244"/>
      <c r="Q29" s="244"/>
      <c r="R29" s="244"/>
      <c r="S29" s="244"/>
      <c r="T29" s="244"/>
    </row>
    <row r="30" spans="1:20" x14ac:dyDescent="0.15">
      <c r="A30" s="244"/>
      <c r="B30" s="244"/>
      <c r="C30" s="244"/>
      <c r="D30" s="244"/>
      <c r="E30" s="244"/>
      <c r="F30" s="244"/>
      <c r="G30" s="244"/>
      <c r="H30" s="244"/>
      <c r="I30" s="244"/>
      <c r="J30" s="244"/>
      <c r="K30" s="244"/>
      <c r="L30" s="244"/>
      <c r="M30" s="244"/>
      <c r="N30" s="244"/>
      <c r="O30" s="244"/>
      <c r="P30" s="244"/>
      <c r="Q30" s="244"/>
      <c r="R30" s="244"/>
      <c r="S30" s="244"/>
      <c r="T30" s="244"/>
    </row>
    <row r="31" spans="1:20" x14ac:dyDescent="0.15">
      <c r="A31" s="244"/>
      <c r="B31" s="244"/>
      <c r="C31" s="244"/>
      <c r="D31" s="244"/>
      <c r="E31" s="244"/>
      <c r="F31" s="244"/>
      <c r="G31" s="244"/>
      <c r="H31" s="244"/>
      <c r="I31" s="244"/>
      <c r="J31" s="244"/>
      <c r="K31" s="244"/>
      <c r="L31" s="244"/>
      <c r="M31" s="244"/>
      <c r="N31" s="244"/>
      <c r="O31" s="244"/>
      <c r="P31" s="244"/>
      <c r="Q31" s="244"/>
      <c r="R31" s="244"/>
      <c r="S31" s="244"/>
      <c r="T31" s="244"/>
    </row>
    <row r="32" spans="1:20" x14ac:dyDescent="0.15">
      <c r="A32" s="244"/>
      <c r="B32" s="244"/>
      <c r="C32" s="244"/>
      <c r="D32" s="244"/>
      <c r="E32" s="244"/>
      <c r="F32" s="244"/>
      <c r="G32" s="244"/>
      <c r="H32" s="244"/>
      <c r="I32" s="244"/>
      <c r="J32" s="244"/>
      <c r="K32" s="244"/>
      <c r="L32" s="244"/>
      <c r="M32" s="244"/>
      <c r="N32" s="244"/>
      <c r="O32" s="244"/>
      <c r="P32" s="244"/>
      <c r="Q32" s="244"/>
      <c r="R32" s="244"/>
      <c r="S32" s="244"/>
      <c r="T32" s="244"/>
    </row>
    <row r="33" spans="1:6" x14ac:dyDescent="0.15">
      <c r="A33" s="244"/>
      <c r="B33" s="244"/>
      <c r="C33" s="244"/>
      <c r="D33" s="244"/>
      <c r="E33" s="244"/>
      <c r="F33" s="244"/>
    </row>
    <row r="34" spans="1:6" x14ac:dyDescent="0.15">
      <c r="A34" s="244"/>
      <c r="B34" s="244"/>
      <c r="C34" s="244"/>
      <c r="D34" s="244"/>
      <c r="E34" s="244"/>
      <c r="F34" s="244"/>
    </row>
    <row r="35" spans="1:6" x14ac:dyDescent="0.15">
      <c r="A35" s="244"/>
      <c r="B35" s="244"/>
      <c r="C35" s="244"/>
      <c r="D35" s="244"/>
      <c r="E35" s="244"/>
      <c r="F35" s="244"/>
    </row>
    <row r="36" spans="1:6" x14ac:dyDescent="0.15">
      <c r="A36" s="244"/>
      <c r="B36" s="244"/>
      <c r="C36" s="244"/>
      <c r="D36" s="244"/>
      <c r="E36" s="244"/>
      <c r="F36" s="244"/>
    </row>
    <row r="37" spans="1:6" x14ac:dyDescent="0.15">
      <c r="A37" s="244"/>
      <c r="B37" s="244"/>
      <c r="C37" s="244"/>
      <c r="D37" s="244"/>
      <c r="E37" s="244"/>
      <c r="F37" s="244"/>
    </row>
    <row r="38" spans="1:6" x14ac:dyDescent="0.15">
      <c r="A38" s="244"/>
      <c r="B38" s="244"/>
      <c r="C38" s="244"/>
      <c r="D38" s="244"/>
      <c r="E38" s="244"/>
      <c r="F38" s="244"/>
    </row>
  </sheetData>
  <mergeCells count="11">
    <mergeCell ref="A23:D23"/>
    <mergeCell ref="A24:D24"/>
    <mergeCell ref="A25:D25"/>
    <mergeCell ref="A26:D26"/>
    <mergeCell ref="A27:D27"/>
    <mergeCell ref="A2:D2"/>
    <mergeCell ref="A3:D3"/>
    <mergeCell ref="A4:A6"/>
    <mergeCell ref="B4:D4"/>
    <mergeCell ref="B5:B6"/>
    <mergeCell ref="C5:D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I25"/>
  <sheetViews>
    <sheetView workbookViewId="0">
      <selection activeCell="A17" sqref="A17"/>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9" ht="24" customHeight="1" x14ac:dyDescent="0.2">
      <c r="A2" s="2688" t="s">
        <v>1753</v>
      </c>
      <c r="B2" s="2689"/>
      <c r="C2" s="2689"/>
      <c r="D2" s="2689"/>
    </row>
    <row r="3" spans="1:9" x14ac:dyDescent="0.2">
      <c r="A3" s="2347"/>
      <c r="B3" s="2667"/>
      <c r="C3" s="2667"/>
      <c r="D3" s="2667"/>
    </row>
    <row r="4" spans="1:9" x14ac:dyDescent="0.2">
      <c r="A4" s="2379" t="s">
        <v>2</v>
      </c>
      <c r="B4" s="2798" t="s">
        <v>1492</v>
      </c>
      <c r="C4" s="2799"/>
      <c r="D4" s="2800"/>
    </row>
    <row r="5" spans="1:9" x14ac:dyDescent="0.2">
      <c r="A5" s="2460"/>
      <c r="B5" s="2817" t="s">
        <v>1473</v>
      </c>
      <c r="C5" s="2690" t="s">
        <v>1474</v>
      </c>
      <c r="D5" s="2692"/>
    </row>
    <row r="6" spans="1:9" ht="21" x14ac:dyDescent="0.2">
      <c r="A6" s="2360"/>
      <c r="B6" s="2818"/>
      <c r="C6" s="532" t="s">
        <v>1733</v>
      </c>
      <c r="D6" s="532" t="s">
        <v>1734</v>
      </c>
    </row>
    <row r="7" spans="1:9" x14ac:dyDescent="0.2">
      <c r="A7" s="172">
        <v>2011</v>
      </c>
      <c r="B7" s="712">
        <f>SUM(C7:D7)</f>
        <v>1864446</v>
      </c>
      <c r="C7" s="552">
        <v>139555</v>
      </c>
      <c r="D7" s="552">
        <v>1724891</v>
      </c>
    </row>
    <row r="8" spans="1:9" x14ac:dyDescent="0.2">
      <c r="A8" s="172">
        <v>2012</v>
      </c>
      <c r="B8" s="712">
        <f>SUM(C8:D8)</f>
        <v>2044451</v>
      </c>
      <c r="C8" s="552">
        <v>149065</v>
      </c>
      <c r="D8" s="552">
        <v>1895386</v>
      </c>
    </row>
    <row r="9" spans="1:9" x14ac:dyDescent="0.2">
      <c r="A9" s="2059">
        <v>2013</v>
      </c>
      <c r="B9" s="712">
        <f>SUM(C9:D9)</f>
        <v>1755001</v>
      </c>
      <c r="C9" s="552">
        <v>256898</v>
      </c>
      <c r="D9" s="552">
        <v>1498103</v>
      </c>
      <c r="E9" s="2064"/>
      <c r="F9" s="2064"/>
      <c r="G9" s="2064"/>
      <c r="H9" s="2064"/>
      <c r="I9" s="2064"/>
    </row>
    <row r="10" spans="1:9" x14ac:dyDescent="0.2">
      <c r="A10" s="2059">
        <v>2014</v>
      </c>
      <c r="B10" s="712">
        <f>SUM(C10:D10)</f>
        <v>1809448</v>
      </c>
      <c r="C10" s="552">
        <v>193914</v>
      </c>
      <c r="D10" s="552">
        <v>1615534</v>
      </c>
      <c r="E10" s="2064"/>
      <c r="F10" s="2064"/>
      <c r="G10" s="2064"/>
      <c r="H10" s="2064"/>
      <c r="I10" s="2064"/>
    </row>
    <row r="11" spans="1:9" x14ac:dyDescent="0.2">
      <c r="A11" s="2059">
        <v>2015</v>
      </c>
      <c r="B11" s="712">
        <f>SUM(C11:D11)</f>
        <v>1757691</v>
      </c>
      <c r="C11" s="713">
        <v>206924</v>
      </c>
      <c r="D11" s="713">
        <v>1550767</v>
      </c>
      <c r="E11" s="2064"/>
      <c r="F11" s="2064"/>
      <c r="G11" s="2064"/>
      <c r="H11" s="2064"/>
      <c r="I11" s="2064"/>
    </row>
    <row r="12" spans="1:9" ht="11.25" customHeight="1" x14ac:dyDescent="0.2">
      <c r="A12" s="2356"/>
      <c r="B12" s="2672"/>
      <c r="C12" s="2672"/>
      <c r="D12" s="2672"/>
      <c r="E12" s="2064"/>
      <c r="F12" s="2064"/>
      <c r="G12" s="2064"/>
      <c r="H12" s="2064"/>
      <c r="I12" s="2064"/>
    </row>
    <row r="13" spans="1:9" ht="35.85" customHeight="1" x14ac:dyDescent="0.2">
      <c r="A13" s="2414" t="s">
        <v>1746</v>
      </c>
      <c r="B13" s="2687"/>
      <c r="C13" s="2687"/>
      <c r="D13" s="2687"/>
      <c r="E13" s="2064"/>
      <c r="F13" s="2064"/>
      <c r="G13" s="2064"/>
      <c r="H13" s="2064"/>
      <c r="I13" s="2064"/>
    </row>
    <row r="14" spans="1:9" ht="16.350000000000001" customHeight="1" x14ac:dyDescent="0.2">
      <c r="A14" s="2356" t="s">
        <v>1483</v>
      </c>
      <c r="B14" s="2665"/>
      <c r="C14" s="2665"/>
      <c r="D14" s="2665"/>
      <c r="E14" s="2064"/>
      <c r="F14" s="2064"/>
      <c r="G14" s="2064"/>
      <c r="H14" s="2064"/>
      <c r="I14" s="2064"/>
    </row>
    <row r="15" spans="1:9" x14ac:dyDescent="0.2">
      <c r="A15" s="2064"/>
      <c r="B15" s="2064"/>
      <c r="C15" s="2064"/>
      <c r="D15" s="2064"/>
      <c r="E15" s="2064"/>
      <c r="F15" s="2064"/>
      <c r="G15" s="2064"/>
      <c r="H15" s="2064"/>
      <c r="I15" s="2064"/>
    </row>
    <row r="16" spans="1:9" x14ac:dyDescent="0.2">
      <c r="A16" s="2064"/>
      <c r="B16" s="2064"/>
      <c r="C16" s="2064"/>
      <c r="D16" s="2064"/>
      <c r="E16" s="2064"/>
      <c r="F16" s="2064"/>
      <c r="G16" s="2064"/>
      <c r="H16" s="2064"/>
      <c r="I16" s="2064"/>
    </row>
    <row r="17" spans="1:9" x14ac:dyDescent="0.2">
      <c r="A17" s="2064"/>
      <c r="B17" s="2064"/>
      <c r="C17" s="2064"/>
      <c r="D17" s="2064"/>
      <c r="E17" s="2064"/>
      <c r="F17" s="2064"/>
      <c r="G17" s="2064"/>
      <c r="H17" s="2064"/>
      <c r="I17" s="2064"/>
    </row>
    <row r="18" spans="1:9" x14ac:dyDescent="0.2">
      <c r="A18" s="2064"/>
      <c r="B18" s="2064"/>
      <c r="C18" s="2064"/>
      <c r="D18" s="2064"/>
      <c r="E18" s="2064"/>
      <c r="F18" s="2064"/>
      <c r="G18" s="2064"/>
      <c r="H18" s="2064"/>
      <c r="I18" s="2064"/>
    </row>
    <row r="19" spans="1:9" x14ac:dyDescent="0.2">
      <c r="A19" s="2064"/>
      <c r="B19" s="2064"/>
      <c r="C19" s="2064"/>
      <c r="D19" s="2064"/>
      <c r="E19" s="2064"/>
      <c r="F19" s="2064"/>
      <c r="G19" s="2064"/>
      <c r="H19" s="2064"/>
      <c r="I19" s="2064"/>
    </row>
    <row r="20" spans="1:9" x14ac:dyDescent="0.2">
      <c r="A20" s="2064"/>
      <c r="B20" s="2064"/>
      <c r="C20" s="2064"/>
      <c r="D20" s="2064"/>
      <c r="E20" s="2064"/>
      <c r="F20" s="2064"/>
      <c r="G20" s="2064"/>
      <c r="H20" s="2064"/>
      <c r="I20" s="2064"/>
    </row>
    <row r="21" spans="1:9" x14ac:dyDescent="0.2">
      <c r="A21" s="2064"/>
      <c r="B21" s="2064"/>
      <c r="C21" s="2064"/>
      <c r="D21" s="2064"/>
      <c r="E21" s="2064"/>
      <c r="F21" s="2064"/>
      <c r="G21" s="2064"/>
      <c r="H21" s="2064"/>
      <c r="I21" s="2064"/>
    </row>
    <row r="22" spans="1:9" x14ac:dyDescent="0.2">
      <c r="A22" s="2064"/>
      <c r="B22" s="2064"/>
      <c r="C22" s="2064"/>
      <c r="D22" s="2064"/>
      <c r="E22" s="2064"/>
      <c r="F22" s="2064"/>
      <c r="G22" s="2064"/>
      <c r="H22" s="2064"/>
      <c r="I22" s="2064"/>
    </row>
    <row r="23" spans="1:9" x14ac:dyDescent="0.2">
      <c r="A23" s="2064"/>
      <c r="B23" s="2064"/>
      <c r="C23" s="2064"/>
      <c r="D23" s="2064"/>
      <c r="E23" s="2064"/>
      <c r="F23" s="2064"/>
      <c r="G23" s="2064"/>
      <c r="H23" s="2064"/>
      <c r="I23" s="2064"/>
    </row>
    <row r="24" spans="1:9" x14ac:dyDescent="0.2">
      <c r="A24" s="2064"/>
      <c r="B24" s="2064"/>
      <c r="C24" s="2064"/>
      <c r="D24" s="2064"/>
      <c r="E24" s="2064"/>
      <c r="F24" s="2064"/>
      <c r="G24" s="2064"/>
      <c r="H24" s="2064"/>
      <c r="I24" s="2064"/>
    </row>
    <row r="25" spans="1:9" x14ac:dyDescent="0.2">
      <c r="A25" s="2064"/>
      <c r="B25" s="2064"/>
      <c r="C25" s="2064"/>
      <c r="D25" s="2064"/>
      <c r="E25" s="2064"/>
      <c r="F25" s="2064"/>
      <c r="G25" s="2064"/>
      <c r="H25" s="2064"/>
      <c r="I25" s="2064"/>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F16"/>
  <sheetViews>
    <sheetView workbookViewId="0">
      <selection activeCell="B27" sqref="B27"/>
    </sheetView>
  </sheetViews>
  <sheetFormatPr baseColWidth="10" defaultColWidth="11.42578125" defaultRowHeight="10.5" x14ac:dyDescent="0.15"/>
  <cols>
    <col min="1" max="1" width="32.7109375" style="1" customWidth="1"/>
    <col min="2" max="2" width="11.85546875" style="1" customWidth="1"/>
    <col min="3" max="5" width="11.42578125" style="1"/>
    <col min="6" max="6" width="13.7109375" style="1" customWidth="1"/>
    <col min="7" max="16384" width="11.42578125" style="1"/>
  </cols>
  <sheetData>
    <row r="2" spans="1:6" s="29" customFormat="1" ht="27.75" customHeight="1" x14ac:dyDescent="0.15">
      <c r="A2" s="2313" t="s">
        <v>120</v>
      </c>
      <c r="B2" s="2313"/>
      <c r="C2" s="2313"/>
      <c r="D2" s="2313"/>
      <c r="E2" s="2313"/>
      <c r="F2" s="2313"/>
    </row>
    <row r="3" spans="1:6" ht="11.25" customHeight="1" x14ac:dyDescent="0.15">
      <c r="A3" s="2305"/>
      <c r="B3" s="2305"/>
      <c r="C3" s="2305"/>
      <c r="D3" s="2305"/>
      <c r="E3" s="2305"/>
      <c r="F3" s="2305"/>
    </row>
    <row r="4" spans="1:6" ht="42" x14ac:dyDescent="0.15">
      <c r="A4" s="37" t="s">
        <v>121</v>
      </c>
      <c r="B4" s="37" t="s">
        <v>69</v>
      </c>
      <c r="C4" s="37" t="s">
        <v>122</v>
      </c>
      <c r="D4" s="37" t="s">
        <v>123</v>
      </c>
      <c r="E4" s="37" t="s">
        <v>124</v>
      </c>
      <c r="F4" s="37" t="s">
        <v>125</v>
      </c>
    </row>
    <row r="5" spans="1:6" x14ac:dyDescent="0.15">
      <c r="A5" s="30" t="s">
        <v>126</v>
      </c>
      <c r="B5" s="72">
        <f>SUM(B6:B8)</f>
        <v>263</v>
      </c>
      <c r="C5" s="72">
        <f t="shared" ref="C5:F5" si="0">SUM(C6:C8)</f>
        <v>10</v>
      </c>
      <c r="D5" s="72">
        <f t="shared" si="0"/>
        <v>18</v>
      </c>
      <c r="E5" s="72">
        <f t="shared" si="0"/>
        <v>22</v>
      </c>
      <c r="F5" s="72">
        <f t="shared" si="0"/>
        <v>213</v>
      </c>
    </row>
    <row r="6" spans="1:6" x14ac:dyDescent="0.15">
      <c r="A6" s="1" t="s">
        <v>127</v>
      </c>
      <c r="B6" s="73">
        <v>194</v>
      </c>
      <c r="C6" s="10">
        <v>7</v>
      </c>
      <c r="D6" s="10">
        <v>5</v>
      </c>
      <c r="E6" s="10">
        <v>18</v>
      </c>
      <c r="F6" s="10">
        <v>164</v>
      </c>
    </row>
    <row r="7" spans="1:6" x14ac:dyDescent="0.15">
      <c r="A7" s="1" t="s">
        <v>128</v>
      </c>
      <c r="B7" s="73">
        <v>45</v>
      </c>
      <c r="C7" s="10">
        <v>2</v>
      </c>
      <c r="D7" s="10">
        <v>12</v>
      </c>
      <c r="E7" s="10">
        <v>4</v>
      </c>
      <c r="F7" s="10">
        <v>27</v>
      </c>
    </row>
    <row r="8" spans="1:6" x14ac:dyDescent="0.15">
      <c r="A8" s="1" t="s">
        <v>129</v>
      </c>
      <c r="B8" s="73">
        <v>24</v>
      </c>
      <c r="C8" s="10">
        <v>1</v>
      </c>
      <c r="D8" s="10">
        <v>1</v>
      </c>
      <c r="E8" s="10">
        <v>0</v>
      </c>
      <c r="F8" s="10">
        <v>22</v>
      </c>
    </row>
    <row r="9" spans="1:6" x14ac:dyDescent="0.15">
      <c r="A9" s="30" t="s">
        <v>130</v>
      </c>
      <c r="B9" s="72">
        <f>SUM(B10:B11)</f>
        <v>263</v>
      </c>
      <c r="C9" s="72">
        <f t="shared" ref="C9:F9" si="1">SUM(C10:C11)</f>
        <v>10</v>
      </c>
      <c r="D9" s="72">
        <f t="shared" si="1"/>
        <v>18</v>
      </c>
      <c r="E9" s="72">
        <f t="shared" si="1"/>
        <v>22</v>
      </c>
      <c r="F9" s="72">
        <f t="shared" si="1"/>
        <v>213</v>
      </c>
    </row>
    <row r="10" spans="1:6" x14ac:dyDescent="0.15">
      <c r="A10" s="1" t="s">
        <v>131</v>
      </c>
      <c r="B10" s="73">
        <v>251</v>
      </c>
      <c r="C10" s="10">
        <v>9</v>
      </c>
      <c r="D10" s="10">
        <v>18</v>
      </c>
      <c r="E10" s="10">
        <v>15</v>
      </c>
      <c r="F10" s="10">
        <v>209</v>
      </c>
    </row>
    <row r="11" spans="1:6" x14ac:dyDescent="0.15">
      <c r="A11" s="1" t="s">
        <v>132</v>
      </c>
      <c r="B11" s="73">
        <v>12</v>
      </c>
      <c r="C11" s="10">
        <v>1</v>
      </c>
      <c r="D11" s="10">
        <v>0</v>
      </c>
      <c r="E11" s="10">
        <v>7</v>
      </c>
      <c r="F11" s="10">
        <v>4</v>
      </c>
    </row>
    <row r="12" spans="1:6" x14ac:dyDescent="0.15">
      <c r="A12" s="2307"/>
      <c r="B12" s="2307"/>
      <c r="C12" s="2307"/>
      <c r="D12" s="2307"/>
      <c r="E12" s="2307"/>
      <c r="F12" s="2307"/>
    </row>
    <row r="13" spans="1:6" x14ac:dyDescent="0.15">
      <c r="A13" s="2326" t="s">
        <v>133</v>
      </c>
      <c r="B13" s="2326"/>
      <c r="C13" s="2326"/>
      <c r="D13" s="2326"/>
      <c r="E13" s="2326"/>
      <c r="F13" s="2326"/>
    </row>
    <row r="14" spans="1:6" ht="21.75" customHeight="1" x14ac:dyDescent="0.15">
      <c r="A14" s="2327" t="s">
        <v>134</v>
      </c>
      <c r="B14" s="2327"/>
      <c r="C14" s="2327"/>
      <c r="D14" s="2327"/>
      <c r="E14" s="2327"/>
      <c r="F14" s="2327"/>
    </row>
    <row r="15" spans="1:6" x14ac:dyDescent="0.15">
      <c r="A15" s="2303" t="s">
        <v>20</v>
      </c>
      <c r="B15" s="2303"/>
      <c r="C15" s="2303"/>
      <c r="D15" s="2303"/>
      <c r="E15" s="2303"/>
      <c r="F15" s="2303"/>
    </row>
    <row r="16" spans="1:6" x14ac:dyDescent="0.15">
      <c r="A16" s="2303" t="s">
        <v>21</v>
      </c>
      <c r="B16" s="2303"/>
      <c r="C16" s="2303"/>
      <c r="D16" s="2303"/>
      <c r="E16" s="2303"/>
      <c r="F16" s="2303"/>
    </row>
  </sheetData>
  <mergeCells count="7">
    <mergeCell ref="A16:F16"/>
    <mergeCell ref="A2:F2"/>
    <mergeCell ref="A3:F3"/>
    <mergeCell ref="A12:F12"/>
    <mergeCell ref="A13:F13"/>
    <mergeCell ref="A14:F14"/>
    <mergeCell ref="A15:F15"/>
  </mergeCells>
  <pageMargins left="0.7" right="0.7" top="0.75" bottom="0.75" header="0.3" footer="0.3"/>
  <pageSetup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D14"/>
  <sheetViews>
    <sheetView workbookViewId="0">
      <selection activeCell="E34" sqref="E34"/>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2.5" customHeight="1" x14ac:dyDescent="0.2">
      <c r="A2" s="2688" t="s">
        <v>1754</v>
      </c>
      <c r="B2" s="2689"/>
      <c r="C2" s="2689"/>
      <c r="D2" s="2689"/>
    </row>
    <row r="3" spans="1:4" ht="11.25" customHeight="1" x14ac:dyDescent="0.2">
      <c r="A3" s="2347"/>
      <c r="B3" s="2667"/>
      <c r="C3" s="2667"/>
      <c r="D3" s="2667"/>
    </row>
    <row r="4" spans="1:4" x14ac:dyDescent="0.2">
      <c r="A4" s="2379" t="s">
        <v>1442</v>
      </c>
      <c r="B4" s="2690" t="s">
        <v>1494</v>
      </c>
      <c r="C4" s="2691"/>
      <c r="D4" s="2692"/>
    </row>
    <row r="5" spans="1:4" x14ac:dyDescent="0.2">
      <c r="A5" s="2460"/>
      <c r="B5" s="2379" t="s">
        <v>1473</v>
      </c>
      <c r="C5" s="2690" t="s">
        <v>1474</v>
      </c>
      <c r="D5" s="2692"/>
    </row>
    <row r="6" spans="1:4" ht="21" x14ac:dyDescent="0.2">
      <c r="A6" s="2360"/>
      <c r="B6" s="2360"/>
      <c r="C6" s="532" t="s">
        <v>1733</v>
      </c>
      <c r="D6" s="532" t="s">
        <v>1734</v>
      </c>
    </row>
    <row r="7" spans="1:4" x14ac:dyDescent="0.2">
      <c r="A7" s="172">
        <v>2011</v>
      </c>
      <c r="B7" s="543">
        <f>SUM(C7:D7)</f>
        <v>1144744</v>
      </c>
      <c r="C7" s="552">
        <v>324026</v>
      </c>
      <c r="D7" s="552">
        <v>820718</v>
      </c>
    </row>
    <row r="8" spans="1:4" x14ac:dyDescent="0.2">
      <c r="A8" s="172">
        <v>2012</v>
      </c>
      <c r="B8" s="543">
        <f>SUM(C8:D8)</f>
        <v>1353780</v>
      </c>
      <c r="C8" s="552">
        <v>345747</v>
      </c>
      <c r="D8" s="552">
        <v>1008033</v>
      </c>
    </row>
    <row r="9" spans="1:4" x14ac:dyDescent="0.2">
      <c r="A9" s="172">
        <v>2013</v>
      </c>
      <c r="B9" s="543">
        <f>SUM(C9:D9)</f>
        <v>1258398</v>
      </c>
      <c r="C9" s="552">
        <v>368567</v>
      </c>
      <c r="D9" s="552">
        <v>889831</v>
      </c>
    </row>
    <row r="10" spans="1:4" x14ac:dyDescent="0.2">
      <c r="A10" s="172">
        <v>2014</v>
      </c>
      <c r="B10" s="543">
        <f>SUM(C10:D10)</f>
        <v>1522223</v>
      </c>
      <c r="C10" s="552">
        <v>425746</v>
      </c>
      <c r="D10" s="552">
        <v>1096477</v>
      </c>
    </row>
    <row r="11" spans="1:4" x14ac:dyDescent="0.2">
      <c r="A11" s="172">
        <v>2015</v>
      </c>
      <c r="B11" s="543">
        <f>SUM(C11:D11)</f>
        <v>1250777</v>
      </c>
      <c r="C11" s="713">
        <v>366793</v>
      </c>
      <c r="D11" s="713">
        <v>883984</v>
      </c>
    </row>
    <row r="12" spans="1:4" ht="11.25" customHeight="1" x14ac:dyDescent="0.2">
      <c r="A12" s="2347"/>
      <c r="B12" s="2667"/>
      <c r="C12" s="2667"/>
      <c r="D12" s="2667"/>
    </row>
    <row r="13" spans="1:4" ht="35.85" customHeight="1" x14ac:dyDescent="0.2">
      <c r="A13" s="2819" t="s">
        <v>1755</v>
      </c>
      <c r="B13" s="2820"/>
      <c r="C13" s="2820"/>
      <c r="D13" s="2821"/>
    </row>
    <row r="14" spans="1:4" ht="16.350000000000001" customHeight="1" x14ac:dyDescent="0.2">
      <c r="A14" s="2822" t="s">
        <v>1483</v>
      </c>
      <c r="B14" s="2820"/>
      <c r="C14" s="2820"/>
      <c r="D14" s="2821"/>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2:L31"/>
  <sheetViews>
    <sheetView workbookViewId="0">
      <selection activeCell="D22" sqref="D22"/>
    </sheetView>
  </sheetViews>
  <sheetFormatPr baseColWidth="10" defaultColWidth="9.140625" defaultRowHeight="10.5" x14ac:dyDescent="0.15"/>
  <cols>
    <col min="1" max="1" width="23" style="12" customWidth="1"/>
    <col min="2" max="4" width="17.85546875" style="12" customWidth="1"/>
    <col min="5" max="5" width="10.7109375" style="12" customWidth="1"/>
    <col min="6" max="6" width="15.7109375" style="12" customWidth="1"/>
    <col min="7" max="7" width="11.28515625" style="12" bestFit="1" customWidth="1"/>
    <col min="8" max="8" width="11.42578125" style="12" customWidth="1"/>
    <col min="9" max="9" width="13" style="12" customWidth="1"/>
    <col min="10" max="11" width="9.140625" style="12"/>
    <col min="12" max="12" width="10.28515625" style="12" bestFit="1" customWidth="1"/>
    <col min="13" max="256" width="9.140625" style="12"/>
    <col min="257" max="257" width="23" style="12" customWidth="1"/>
    <col min="258" max="260" width="17.85546875" style="12" customWidth="1"/>
    <col min="261" max="261" width="10.7109375" style="12" customWidth="1"/>
    <col min="262" max="262" width="15.7109375" style="12" customWidth="1"/>
    <col min="263" max="263" width="11.28515625" style="12" bestFit="1" customWidth="1"/>
    <col min="264" max="264" width="11.42578125" style="12" customWidth="1"/>
    <col min="265" max="265" width="13" style="12" customWidth="1"/>
    <col min="266" max="267" width="9.140625" style="12"/>
    <col min="268" max="268" width="10.28515625" style="12" bestFit="1" customWidth="1"/>
    <col min="269" max="512" width="9.140625" style="12"/>
    <col min="513" max="513" width="23" style="12" customWidth="1"/>
    <col min="514" max="516" width="17.85546875" style="12" customWidth="1"/>
    <col min="517" max="517" width="10.7109375" style="12" customWidth="1"/>
    <col min="518" max="518" width="15.7109375" style="12" customWidth="1"/>
    <col min="519" max="519" width="11.28515625" style="12" bestFit="1" customWidth="1"/>
    <col min="520" max="520" width="11.42578125" style="12" customWidth="1"/>
    <col min="521" max="521" width="13" style="12" customWidth="1"/>
    <col min="522" max="523" width="9.140625" style="12"/>
    <col min="524" max="524" width="10.28515625" style="12" bestFit="1" customWidth="1"/>
    <col min="525" max="768" width="9.140625" style="12"/>
    <col min="769" max="769" width="23" style="12" customWidth="1"/>
    <col min="770" max="772" width="17.85546875" style="12" customWidth="1"/>
    <col min="773" max="773" width="10.7109375" style="12" customWidth="1"/>
    <col min="774" max="774" width="15.7109375" style="12" customWidth="1"/>
    <col min="775" max="775" width="11.28515625" style="12" bestFit="1" customWidth="1"/>
    <col min="776" max="776" width="11.42578125" style="12" customWidth="1"/>
    <col min="777" max="777" width="13" style="12" customWidth="1"/>
    <col min="778" max="779" width="9.140625" style="12"/>
    <col min="780" max="780" width="10.28515625" style="12" bestFit="1" customWidth="1"/>
    <col min="781" max="1024" width="9.140625" style="12"/>
    <col min="1025" max="1025" width="23" style="12" customWidth="1"/>
    <col min="1026" max="1028" width="17.85546875" style="12" customWidth="1"/>
    <col min="1029" max="1029" width="10.7109375" style="12" customWidth="1"/>
    <col min="1030" max="1030" width="15.7109375" style="12" customWidth="1"/>
    <col min="1031" max="1031" width="11.28515625" style="12" bestFit="1" customWidth="1"/>
    <col min="1032" max="1032" width="11.42578125" style="12" customWidth="1"/>
    <col min="1033" max="1033" width="13" style="12" customWidth="1"/>
    <col min="1034" max="1035" width="9.140625" style="12"/>
    <col min="1036" max="1036" width="10.28515625" style="12" bestFit="1" customWidth="1"/>
    <col min="1037" max="1280" width="9.140625" style="12"/>
    <col min="1281" max="1281" width="23" style="12" customWidth="1"/>
    <col min="1282" max="1284" width="17.85546875" style="12" customWidth="1"/>
    <col min="1285" max="1285" width="10.7109375" style="12" customWidth="1"/>
    <col min="1286" max="1286" width="15.7109375" style="12" customWidth="1"/>
    <col min="1287" max="1287" width="11.28515625" style="12" bestFit="1" customWidth="1"/>
    <col min="1288" max="1288" width="11.42578125" style="12" customWidth="1"/>
    <col min="1289" max="1289" width="13" style="12" customWidth="1"/>
    <col min="1290" max="1291" width="9.140625" style="12"/>
    <col min="1292" max="1292" width="10.28515625" style="12" bestFit="1" customWidth="1"/>
    <col min="1293" max="1536" width="9.140625" style="12"/>
    <col min="1537" max="1537" width="23" style="12" customWidth="1"/>
    <col min="1538" max="1540" width="17.85546875" style="12" customWidth="1"/>
    <col min="1541" max="1541" width="10.7109375" style="12" customWidth="1"/>
    <col min="1542" max="1542" width="15.7109375" style="12" customWidth="1"/>
    <col min="1543" max="1543" width="11.28515625" style="12" bestFit="1" customWidth="1"/>
    <col min="1544" max="1544" width="11.42578125" style="12" customWidth="1"/>
    <col min="1545" max="1545" width="13" style="12" customWidth="1"/>
    <col min="1546" max="1547" width="9.140625" style="12"/>
    <col min="1548" max="1548" width="10.28515625" style="12" bestFit="1" customWidth="1"/>
    <col min="1549" max="1792" width="9.140625" style="12"/>
    <col min="1793" max="1793" width="23" style="12" customWidth="1"/>
    <col min="1794" max="1796" width="17.85546875" style="12" customWidth="1"/>
    <col min="1797" max="1797" width="10.7109375" style="12" customWidth="1"/>
    <col min="1798" max="1798" width="15.7109375" style="12" customWidth="1"/>
    <col min="1799" max="1799" width="11.28515625" style="12" bestFit="1" customWidth="1"/>
    <col min="1800" max="1800" width="11.42578125" style="12" customWidth="1"/>
    <col min="1801" max="1801" width="13" style="12" customWidth="1"/>
    <col min="1802" max="1803" width="9.140625" style="12"/>
    <col min="1804" max="1804" width="10.28515625" style="12" bestFit="1" customWidth="1"/>
    <col min="1805" max="2048" width="9.140625" style="12"/>
    <col min="2049" max="2049" width="23" style="12" customWidth="1"/>
    <col min="2050" max="2052" width="17.85546875" style="12" customWidth="1"/>
    <col min="2053" max="2053" width="10.7109375" style="12" customWidth="1"/>
    <col min="2054" max="2054" width="15.7109375" style="12" customWidth="1"/>
    <col min="2055" max="2055" width="11.28515625" style="12" bestFit="1" customWidth="1"/>
    <col min="2056" max="2056" width="11.42578125" style="12" customWidth="1"/>
    <col min="2057" max="2057" width="13" style="12" customWidth="1"/>
    <col min="2058" max="2059" width="9.140625" style="12"/>
    <col min="2060" max="2060" width="10.28515625" style="12" bestFit="1" customWidth="1"/>
    <col min="2061" max="2304" width="9.140625" style="12"/>
    <col min="2305" max="2305" width="23" style="12" customWidth="1"/>
    <col min="2306" max="2308" width="17.85546875" style="12" customWidth="1"/>
    <col min="2309" max="2309" width="10.7109375" style="12" customWidth="1"/>
    <col min="2310" max="2310" width="15.7109375" style="12" customWidth="1"/>
    <col min="2311" max="2311" width="11.28515625" style="12" bestFit="1" customWidth="1"/>
    <col min="2312" max="2312" width="11.42578125" style="12" customWidth="1"/>
    <col min="2313" max="2313" width="13" style="12" customWidth="1"/>
    <col min="2314" max="2315" width="9.140625" style="12"/>
    <col min="2316" max="2316" width="10.28515625" style="12" bestFit="1" customWidth="1"/>
    <col min="2317" max="2560" width="9.140625" style="12"/>
    <col min="2561" max="2561" width="23" style="12" customWidth="1"/>
    <col min="2562" max="2564" width="17.85546875" style="12" customWidth="1"/>
    <col min="2565" max="2565" width="10.7109375" style="12" customWidth="1"/>
    <col min="2566" max="2566" width="15.7109375" style="12" customWidth="1"/>
    <col min="2567" max="2567" width="11.28515625" style="12" bestFit="1" customWidth="1"/>
    <col min="2568" max="2568" width="11.42578125" style="12" customWidth="1"/>
    <col min="2569" max="2569" width="13" style="12" customWidth="1"/>
    <col min="2570" max="2571" width="9.140625" style="12"/>
    <col min="2572" max="2572" width="10.28515625" style="12" bestFit="1" customWidth="1"/>
    <col min="2573" max="2816" width="9.140625" style="12"/>
    <col min="2817" max="2817" width="23" style="12" customWidth="1"/>
    <col min="2818" max="2820" width="17.85546875" style="12" customWidth="1"/>
    <col min="2821" max="2821" width="10.7109375" style="12" customWidth="1"/>
    <col min="2822" max="2822" width="15.7109375" style="12" customWidth="1"/>
    <col min="2823" max="2823" width="11.28515625" style="12" bestFit="1" customWidth="1"/>
    <col min="2824" max="2824" width="11.42578125" style="12" customWidth="1"/>
    <col min="2825" max="2825" width="13" style="12" customWidth="1"/>
    <col min="2826" max="2827" width="9.140625" style="12"/>
    <col min="2828" max="2828" width="10.28515625" style="12" bestFit="1" customWidth="1"/>
    <col min="2829" max="3072" width="9.140625" style="12"/>
    <col min="3073" max="3073" width="23" style="12" customWidth="1"/>
    <col min="3074" max="3076" width="17.85546875" style="12" customWidth="1"/>
    <col min="3077" max="3077" width="10.7109375" style="12" customWidth="1"/>
    <col min="3078" max="3078" width="15.7109375" style="12" customWidth="1"/>
    <col min="3079" max="3079" width="11.28515625" style="12" bestFit="1" customWidth="1"/>
    <col min="3080" max="3080" width="11.42578125" style="12" customWidth="1"/>
    <col min="3081" max="3081" width="13" style="12" customWidth="1"/>
    <col min="3082" max="3083" width="9.140625" style="12"/>
    <col min="3084" max="3084" width="10.28515625" style="12" bestFit="1" customWidth="1"/>
    <col min="3085" max="3328" width="9.140625" style="12"/>
    <col min="3329" max="3329" width="23" style="12" customWidth="1"/>
    <col min="3330" max="3332" width="17.85546875" style="12" customWidth="1"/>
    <col min="3333" max="3333" width="10.7109375" style="12" customWidth="1"/>
    <col min="3334" max="3334" width="15.7109375" style="12" customWidth="1"/>
    <col min="3335" max="3335" width="11.28515625" style="12" bestFit="1" customWidth="1"/>
    <col min="3336" max="3336" width="11.42578125" style="12" customWidth="1"/>
    <col min="3337" max="3337" width="13" style="12" customWidth="1"/>
    <col min="3338" max="3339" width="9.140625" style="12"/>
    <col min="3340" max="3340" width="10.28515625" style="12" bestFit="1" customWidth="1"/>
    <col min="3341" max="3584" width="9.140625" style="12"/>
    <col min="3585" max="3585" width="23" style="12" customWidth="1"/>
    <col min="3586" max="3588" width="17.85546875" style="12" customWidth="1"/>
    <col min="3589" max="3589" width="10.7109375" style="12" customWidth="1"/>
    <col min="3590" max="3590" width="15.7109375" style="12" customWidth="1"/>
    <col min="3591" max="3591" width="11.28515625" style="12" bestFit="1" customWidth="1"/>
    <col min="3592" max="3592" width="11.42578125" style="12" customWidth="1"/>
    <col min="3593" max="3593" width="13" style="12" customWidth="1"/>
    <col min="3594" max="3595" width="9.140625" style="12"/>
    <col min="3596" max="3596" width="10.28515625" style="12" bestFit="1" customWidth="1"/>
    <col min="3597" max="3840" width="9.140625" style="12"/>
    <col min="3841" max="3841" width="23" style="12" customWidth="1"/>
    <col min="3842" max="3844" width="17.85546875" style="12" customWidth="1"/>
    <col min="3845" max="3845" width="10.7109375" style="12" customWidth="1"/>
    <col min="3846" max="3846" width="15.7109375" style="12" customWidth="1"/>
    <col min="3847" max="3847" width="11.28515625" style="12" bestFit="1" customWidth="1"/>
    <col min="3848" max="3848" width="11.42578125" style="12" customWidth="1"/>
    <col min="3849" max="3849" width="13" style="12" customWidth="1"/>
    <col min="3850" max="3851" width="9.140625" style="12"/>
    <col min="3852" max="3852" width="10.28515625" style="12" bestFit="1" customWidth="1"/>
    <col min="3853" max="4096" width="9.140625" style="12"/>
    <col min="4097" max="4097" width="23" style="12" customWidth="1"/>
    <col min="4098" max="4100" width="17.85546875" style="12" customWidth="1"/>
    <col min="4101" max="4101" width="10.7109375" style="12" customWidth="1"/>
    <col min="4102" max="4102" width="15.7109375" style="12" customWidth="1"/>
    <col min="4103" max="4103" width="11.28515625" style="12" bestFit="1" customWidth="1"/>
    <col min="4104" max="4104" width="11.42578125" style="12" customWidth="1"/>
    <col min="4105" max="4105" width="13" style="12" customWidth="1"/>
    <col min="4106" max="4107" width="9.140625" style="12"/>
    <col min="4108" max="4108" width="10.28515625" style="12" bestFit="1" customWidth="1"/>
    <col min="4109" max="4352" width="9.140625" style="12"/>
    <col min="4353" max="4353" width="23" style="12" customWidth="1"/>
    <col min="4354" max="4356" width="17.85546875" style="12" customWidth="1"/>
    <col min="4357" max="4357" width="10.7109375" style="12" customWidth="1"/>
    <col min="4358" max="4358" width="15.7109375" style="12" customWidth="1"/>
    <col min="4359" max="4359" width="11.28515625" style="12" bestFit="1" customWidth="1"/>
    <col min="4360" max="4360" width="11.42578125" style="12" customWidth="1"/>
    <col min="4361" max="4361" width="13" style="12" customWidth="1"/>
    <col min="4362" max="4363" width="9.140625" style="12"/>
    <col min="4364" max="4364" width="10.28515625" style="12" bestFit="1" customWidth="1"/>
    <col min="4365" max="4608" width="9.140625" style="12"/>
    <col min="4609" max="4609" width="23" style="12" customWidth="1"/>
    <col min="4610" max="4612" width="17.85546875" style="12" customWidth="1"/>
    <col min="4613" max="4613" width="10.7109375" style="12" customWidth="1"/>
    <col min="4614" max="4614" width="15.7109375" style="12" customWidth="1"/>
    <col min="4615" max="4615" width="11.28515625" style="12" bestFit="1" customWidth="1"/>
    <col min="4616" max="4616" width="11.42578125" style="12" customWidth="1"/>
    <col min="4617" max="4617" width="13" style="12" customWidth="1"/>
    <col min="4618" max="4619" width="9.140625" style="12"/>
    <col min="4620" max="4620" width="10.28515625" style="12" bestFit="1" customWidth="1"/>
    <col min="4621" max="4864" width="9.140625" style="12"/>
    <col min="4865" max="4865" width="23" style="12" customWidth="1"/>
    <col min="4866" max="4868" width="17.85546875" style="12" customWidth="1"/>
    <col min="4869" max="4869" width="10.7109375" style="12" customWidth="1"/>
    <col min="4870" max="4870" width="15.7109375" style="12" customWidth="1"/>
    <col min="4871" max="4871" width="11.28515625" style="12" bestFit="1" customWidth="1"/>
    <col min="4872" max="4872" width="11.42578125" style="12" customWidth="1"/>
    <col min="4873" max="4873" width="13" style="12" customWidth="1"/>
    <col min="4874" max="4875" width="9.140625" style="12"/>
    <col min="4876" max="4876" width="10.28515625" style="12" bestFit="1" customWidth="1"/>
    <col min="4877" max="5120" width="9.140625" style="12"/>
    <col min="5121" max="5121" width="23" style="12" customWidth="1"/>
    <col min="5122" max="5124" width="17.85546875" style="12" customWidth="1"/>
    <col min="5125" max="5125" width="10.7109375" style="12" customWidth="1"/>
    <col min="5126" max="5126" width="15.7109375" style="12" customWidth="1"/>
    <col min="5127" max="5127" width="11.28515625" style="12" bestFit="1" customWidth="1"/>
    <col min="5128" max="5128" width="11.42578125" style="12" customWidth="1"/>
    <col min="5129" max="5129" width="13" style="12" customWidth="1"/>
    <col min="5130" max="5131" width="9.140625" style="12"/>
    <col min="5132" max="5132" width="10.28515625" style="12" bestFit="1" customWidth="1"/>
    <col min="5133" max="5376" width="9.140625" style="12"/>
    <col min="5377" max="5377" width="23" style="12" customWidth="1"/>
    <col min="5378" max="5380" width="17.85546875" style="12" customWidth="1"/>
    <col min="5381" max="5381" width="10.7109375" style="12" customWidth="1"/>
    <col min="5382" max="5382" width="15.7109375" style="12" customWidth="1"/>
    <col min="5383" max="5383" width="11.28515625" style="12" bestFit="1" customWidth="1"/>
    <col min="5384" max="5384" width="11.42578125" style="12" customWidth="1"/>
    <col min="5385" max="5385" width="13" style="12" customWidth="1"/>
    <col min="5386" max="5387" width="9.140625" style="12"/>
    <col min="5388" max="5388" width="10.28515625" style="12" bestFit="1" customWidth="1"/>
    <col min="5389" max="5632" width="9.140625" style="12"/>
    <col min="5633" max="5633" width="23" style="12" customWidth="1"/>
    <col min="5634" max="5636" width="17.85546875" style="12" customWidth="1"/>
    <col min="5637" max="5637" width="10.7109375" style="12" customWidth="1"/>
    <col min="5638" max="5638" width="15.7109375" style="12" customWidth="1"/>
    <col min="5639" max="5639" width="11.28515625" style="12" bestFit="1" customWidth="1"/>
    <col min="5640" max="5640" width="11.42578125" style="12" customWidth="1"/>
    <col min="5641" max="5641" width="13" style="12" customWidth="1"/>
    <col min="5642" max="5643" width="9.140625" style="12"/>
    <col min="5644" max="5644" width="10.28515625" style="12" bestFit="1" customWidth="1"/>
    <col min="5645" max="5888" width="9.140625" style="12"/>
    <col min="5889" max="5889" width="23" style="12" customWidth="1"/>
    <col min="5890" max="5892" width="17.85546875" style="12" customWidth="1"/>
    <col min="5893" max="5893" width="10.7109375" style="12" customWidth="1"/>
    <col min="5894" max="5894" width="15.7109375" style="12" customWidth="1"/>
    <col min="5895" max="5895" width="11.28515625" style="12" bestFit="1" customWidth="1"/>
    <col min="5896" max="5896" width="11.42578125" style="12" customWidth="1"/>
    <col min="5897" max="5897" width="13" style="12" customWidth="1"/>
    <col min="5898" max="5899" width="9.140625" style="12"/>
    <col min="5900" max="5900" width="10.28515625" style="12" bestFit="1" customWidth="1"/>
    <col min="5901" max="6144" width="9.140625" style="12"/>
    <col min="6145" max="6145" width="23" style="12" customWidth="1"/>
    <col min="6146" max="6148" width="17.85546875" style="12" customWidth="1"/>
    <col min="6149" max="6149" width="10.7109375" style="12" customWidth="1"/>
    <col min="6150" max="6150" width="15.7109375" style="12" customWidth="1"/>
    <col min="6151" max="6151" width="11.28515625" style="12" bestFit="1" customWidth="1"/>
    <col min="6152" max="6152" width="11.42578125" style="12" customWidth="1"/>
    <col min="6153" max="6153" width="13" style="12" customWidth="1"/>
    <col min="6154" max="6155" width="9.140625" style="12"/>
    <col min="6156" max="6156" width="10.28515625" style="12" bestFit="1" customWidth="1"/>
    <col min="6157" max="6400" width="9.140625" style="12"/>
    <col min="6401" max="6401" width="23" style="12" customWidth="1"/>
    <col min="6402" max="6404" width="17.85546875" style="12" customWidth="1"/>
    <col min="6405" max="6405" width="10.7109375" style="12" customWidth="1"/>
    <col min="6406" max="6406" width="15.7109375" style="12" customWidth="1"/>
    <col min="6407" max="6407" width="11.28515625" style="12" bestFit="1" customWidth="1"/>
    <col min="6408" max="6408" width="11.42578125" style="12" customWidth="1"/>
    <col min="6409" max="6409" width="13" style="12" customWidth="1"/>
    <col min="6410" max="6411" width="9.140625" style="12"/>
    <col min="6412" max="6412" width="10.28515625" style="12" bestFit="1" customWidth="1"/>
    <col min="6413" max="6656" width="9.140625" style="12"/>
    <col min="6657" max="6657" width="23" style="12" customWidth="1"/>
    <col min="6658" max="6660" width="17.85546875" style="12" customWidth="1"/>
    <col min="6661" max="6661" width="10.7109375" style="12" customWidth="1"/>
    <col min="6662" max="6662" width="15.7109375" style="12" customWidth="1"/>
    <col min="6663" max="6663" width="11.28515625" style="12" bestFit="1" customWidth="1"/>
    <col min="6664" max="6664" width="11.42578125" style="12" customWidth="1"/>
    <col min="6665" max="6665" width="13" style="12" customWidth="1"/>
    <col min="6666" max="6667" width="9.140625" style="12"/>
    <col min="6668" max="6668" width="10.28515625" style="12" bestFit="1" customWidth="1"/>
    <col min="6669" max="6912" width="9.140625" style="12"/>
    <col min="6913" max="6913" width="23" style="12" customWidth="1"/>
    <col min="6914" max="6916" width="17.85546875" style="12" customWidth="1"/>
    <col min="6917" max="6917" width="10.7109375" style="12" customWidth="1"/>
    <col min="6918" max="6918" width="15.7109375" style="12" customWidth="1"/>
    <col min="6919" max="6919" width="11.28515625" style="12" bestFit="1" customWidth="1"/>
    <col min="6920" max="6920" width="11.42578125" style="12" customWidth="1"/>
    <col min="6921" max="6921" width="13" style="12" customWidth="1"/>
    <col min="6922" max="6923" width="9.140625" style="12"/>
    <col min="6924" max="6924" width="10.28515625" style="12" bestFit="1" customWidth="1"/>
    <col min="6925" max="7168" width="9.140625" style="12"/>
    <col min="7169" max="7169" width="23" style="12" customWidth="1"/>
    <col min="7170" max="7172" width="17.85546875" style="12" customWidth="1"/>
    <col min="7173" max="7173" width="10.7109375" style="12" customWidth="1"/>
    <col min="7174" max="7174" width="15.7109375" style="12" customWidth="1"/>
    <col min="7175" max="7175" width="11.28515625" style="12" bestFit="1" customWidth="1"/>
    <col min="7176" max="7176" width="11.42578125" style="12" customWidth="1"/>
    <col min="7177" max="7177" width="13" style="12" customWidth="1"/>
    <col min="7178" max="7179" width="9.140625" style="12"/>
    <col min="7180" max="7180" width="10.28515625" style="12" bestFit="1" customWidth="1"/>
    <col min="7181" max="7424" width="9.140625" style="12"/>
    <col min="7425" max="7425" width="23" style="12" customWidth="1"/>
    <col min="7426" max="7428" width="17.85546875" style="12" customWidth="1"/>
    <col min="7429" max="7429" width="10.7109375" style="12" customWidth="1"/>
    <col min="7430" max="7430" width="15.7109375" style="12" customWidth="1"/>
    <col min="7431" max="7431" width="11.28515625" style="12" bestFit="1" customWidth="1"/>
    <col min="7432" max="7432" width="11.42578125" style="12" customWidth="1"/>
    <col min="7433" max="7433" width="13" style="12" customWidth="1"/>
    <col min="7434" max="7435" width="9.140625" style="12"/>
    <col min="7436" max="7436" width="10.28515625" style="12" bestFit="1" customWidth="1"/>
    <col min="7437" max="7680" width="9.140625" style="12"/>
    <col min="7681" max="7681" width="23" style="12" customWidth="1"/>
    <col min="7682" max="7684" width="17.85546875" style="12" customWidth="1"/>
    <col min="7685" max="7685" width="10.7109375" style="12" customWidth="1"/>
    <col min="7686" max="7686" width="15.7109375" style="12" customWidth="1"/>
    <col min="7687" max="7687" width="11.28515625" style="12" bestFit="1" customWidth="1"/>
    <col min="7688" max="7688" width="11.42578125" style="12" customWidth="1"/>
    <col min="7689" max="7689" width="13" style="12" customWidth="1"/>
    <col min="7690" max="7691" width="9.140625" style="12"/>
    <col min="7692" max="7692" width="10.28515625" style="12" bestFit="1" customWidth="1"/>
    <col min="7693" max="7936" width="9.140625" style="12"/>
    <col min="7937" max="7937" width="23" style="12" customWidth="1"/>
    <col min="7938" max="7940" width="17.85546875" style="12" customWidth="1"/>
    <col min="7941" max="7941" width="10.7109375" style="12" customWidth="1"/>
    <col min="7942" max="7942" width="15.7109375" style="12" customWidth="1"/>
    <col min="7943" max="7943" width="11.28515625" style="12" bestFit="1" customWidth="1"/>
    <col min="7944" max="7944" width="11.42578125" style="12" customWidth="1"/>
    <col min="7945" max="7945" width="13" style="12" customWidth="1"/>
    <col min="7946" max="7947" width="9.140625" style="12"/>
    <col min="7948" max="7948" width="10.28515625" style="12" bestFit="1" customWidth="1"/>
    <col min="7949" max="8192" width="9.140625" style="12"/>
    <col min="8193" max="8193" width="23" style="12" customWidth="1"/>
    <col min="8194" max="8196" width="17.85546875" style="12" customWidth="1"/>
    <col min="8197" max="8197" width="10.7109375" style="12" customWidth="1"/>
    <col min="8198" max="8198" width="15.7109375" style="12" customWidth="1"/>
    <col min="8199" max="8199" width="11.28515625" style="12" bestFit="1" customWidth="1"/>
    <col min="8200" max="8200" width="11.42578125" style="12" customWidth="1"/>
    <col min="8201" max="8201" width="13" style="12" customWidth="1"/>
    <col min="8202" max="8203" width="9.140625" style="12"/>
    <col min="8204" max="8204" width="10.28515625" style="12" bestFit="1" customWidth="1"/>
    <col min="8205" max="8448" width="9.140625" style="12"/>
    <col min="8449" max="8449" width="23" style="12" customWidth="1"/>
    <col min="8450" max="8452" width="17.85546875" style="12" customWidth="1"/>
    <col min="8453" max="8453" width="10.7109375" style="12" customWidth="1"/>
    <col min="8454" max="8454" width="15.7109375" style="12" customWidth="1"/>
    <col min="8455" max="8455" width="11.28515625" style="12" bestFit="1" customWidth="1"/>
    <col min="8456" max="8456" width="11.42578125" style="12" customWidth="1"/>
    <col min="8457" max="8457" width="13" style="12" customWidth="1"/>
    <col min="8458" max="8459" width="9.140625" style="12"/>
    <col min="8460" max="8460" width="10.28515625" style="12" bestFit="1" customWidth="1"/>
    <col min="8461" max="8704" width="9.140625" style="12"/>
    <col min="8705" max="8705" width="23" style="12" customWidth="1"/>
    <col min="8706" max="8708" width="17.85546875" style="12" customWidth="1"/>
    <col min="8709" max="8709" width="10.7109375" style="12" customWidth="1"/>
    <col min="8710" max="8710" width="15.7109375" style="12" customWidth="1"/>
    <col min="8711" max="8711" width="11.28515625" style="12" bestFit="1" customWidth="1"/>
    <col min="8712" max="8712" width="11.42578125" style="12" customWidth="1"/>
    <col min="8713" max="8713" width="13" style="12" customWidth="1"/>
    <col min="8714" max="8715" width="9.140625" style="12"/>
    <col min="8716" max="8716" width="10.28515625" style="12" bestFit="1" customWidth="1"/>
    <col min="8717" max="8960" width="9.140625" style="12"/>
    <col min="8961" max="8961" width="23" style="12" customWidth="1"/>
    <col min="8962" max="8964" width="17.85546875" style="12" customWidth="1"/>
    <col min="8965" max="8965" width="10.7109375" style="12" customWidth="1"/>
    <col min="8966" max="8966" width="15.7109375" style="12" customWidth="1"/>
    <col min="8967" max="8967" width="11.28515625" style="12" bestFit="1" customWidth="1"/>
    <col min="8968" max="8968" width="11.42578125" style="12" customWidth="1"/>
    <col min="8969" max="8969" width="13" style="12" customWidth="1"/>
    <col min="8970" max="8971" width="9.140625" style="12"/>
    <col min="8972" max="8972" width="10.28515625" style="12" bestFit="1" customWidth="1"/>
    <col min="8973" max="9216" width="9.140625" style="12"/>
    <col min="9217" max="9217" width="23" style="12" customWidth="1"/>
    <col min="9218" max="9220" width="17.85546875" style="12" customWidth="1"/>
    <col min="9221" max="9221" width="10.7109375" style="12" customWidth="1"/>
    <col min="9222" max="9222" width="15.7109375" style="12" customWidth="1"/>
    <col min="9223" max="9223" width="11.28515625" style="12" bestFit="1" customWidth="1"/>
    <col min="9224" max="9224" width="11.42578125" style="12" customWidth="1"/>
    <col min="9225" max="9225" width="13" style="12" customWidth="1"/>
    <col min="9226" max="9227" width="9.140625" style="12"/>
    <col min="9228" max="9228" width="10.28515625" style="12" bestFit="1" customWidth="1"/>
    <col min="9229" max="9472" width="9.140625" style="12"/>
    <col min="9473" max="9473" width="23" style="12" customWidth="1"/>
    <col min="9474" max="9476" width="17.85546875" style="12" customWidth="1"/>
    <col min="9477" max="9477" width="10.7109375" style="12" customWidth="1"/>
    <col min="9478" max="9478" width="15.7109375" style="12" customWidth="1"/>
    <col min="9479" max="9479" width="11.28515625" style="12" bestFit="1" customWidth="1"/>
    <col min="9480" max="9480" width="11.42578125" style="12" customWidth="1"/>
    <col min="9481" max="9481" width="13" style="12" customWidth="1"/>
    <col min="9482" max="9483" width="9.140625" style="12"/>
    <col min="9484" max="9484" width="10.28515625" style="12" bestFit="1" customWidth="1"/>
    <col min="9485" max="9728" width="9.140625" style="12"/>
    <col min="9729" max="9729" width="23" style="12" customWidth="1"/>
    <col min="9730" max="9732" width="17.85546875" style="12" customWidth="1"/>
    <col min="9733" max="9733" width="10.7109375" style="12" customWidth="1"/>
    <col min="9734" max="9734" width="15.7109375" style="12" customWidth="1"/>
    <col min="9735" max="9735" width="11.28515625" style="12" bestFit="1" customWidth="1"/>
    <col min="9736" max="9736" width="11.42578125" style="12" customWidth="1"/>
    <col min="9737" max="9737" width="13" style="12" customWidth="1"/>
    <col min="9738" max="9739" width="9.140625" style="12"/>
    <col min="9740" max="9740" width="10.28515625" style="12" bestFit="1" customWidth="1"/>
    <col min="9741" max="9984" width="9.140625" style="12"/>
    <col min="9985" max="9985" width="23" style="12" customWidth="1"/>
    <col min="9986" max="9988" width="17.85546875" style="12" customWidth="1"/>
    <col min="9989" max="9989" width="10.7109375" style="12" customWidth="1"/>
    <col min="9990" max="9990" width="15.7109375" style="12" customWidth="1"/>
    <col min="9991" max="9991" width="11.28515625" style="12" bestFit="1" customWidth="1"/>
    <col min="9992" max="9992" width="11.42578125" style="12" customWidth="1"/>
    <col min="9993" max="9993" width="13" style="12" customWidth="1"/>
    <col min="9994" max="9995" width="9.140625" style="12"/>
    <col min="9996" max="9996" width="10.28515625" style="12" bestFit="1" customWidth="1"/>
    <col min="9997" max="10240" width="9.140625" style="12"/>
    <col min="10241" max="10241" width="23" style="12" customWidth="1"/>
    <col min="10242" max="10244" width="17.85546875" style="12" customWidth="1"/>
    <col min="10245" max="10245" width="10.7109375" style="12" customWidth="1"/>
    <col min="10246" max="10246" width="15.7109375" style="12" customWidth="1"/>
    <col min="10247" max="10247" width="11.28515625" style="12" bestFit="1" customWidth="1"/>
    <col min="10248" max="10248" width="11.42578125" style="12" customWidth="1"/>
    <col min="10249" max="10249" width="13" style="12" customWidth="1"/>
    <col min="10250" max="10251" width="9.140625" style="12"/>
    <col min="10252" max="10252" width="10.28515625" style="12" bestFit="1" customWidth="1"/>
    <col min="10253" max="10496" width="9.140625" style="12"/>
    <col min="10497" max="10497" width="23" style="12" customWidth="1"/>
    <col min="10498" max="10500" width="17.85546875" style="12" customWidth="1"/>
    <col min="10501" max="10501" width="10.7109375" style="12" customWidth="1"/>
    <col min="10502" max="10502" width="15.7109375" style="12" customWidth="1"/>
    <col min="10503" max="10503" width="11.28515625" style="12" bestFit="1" customWidth="1"/>
    <col min="10504" max="10504" width="11.42578125" style="12" customWidth="1"/>
    <col min="10505" max="10505" width="13" style="12" customWidth="1"/>
    <col min="10506" max="10507" width="9.140625" style="12"/>
    <col min="10508" max="10508" width="10.28515625" style="12" bestFit="1" customWidth="1"/>
    <col min="10509" max="10752" width="9.140625" style="12"/>
    <col min="10753" max="10753" width="23" style="12" customWidth="1"/>
    <col min="10754" max="10756" width="17.85546875" style="12" customWidth="1"/>
    <col min="10757" max="10757" width="10.7109375" style="12" customWidth="1"/>
    <col min="10758" max="10758" width="15.7109375" style="12" customWidth="1"/>
    <col min="10759" max="10759" width="11.28515625" style="12" bestFit="1" customWidth="1"/>
    <col min="10760" max="10760" width="11.42578125" style="12" customWidth="1"/>
    <col min="10761" max="10761" width="13" style="12" customWidth="1"/>
    <col min="10762" max="10763" width="9.140625" style="12"/>
    <col min="10764" max="10764" width="10.28515625" style="12" bestFit="1" customWidth="1"/>
    <col min="10765" max="11008" width="9.140625" style="12"/>
    <col min="11009" max="11009" width="23" style="12" customWidth="1"/>
    <col min="11010" max="11012" width="17.85546875" style="12" customWidth="1"/>
    <col min="11013" max="11013" width="10.7109375" style="12" customWidth="1"/>
    <col min="11014" max="11014" width="15.7109375" style="12" customWidth="1"/>
    <col min="11015" max="11015" width="11.28515625" style="12" bestFit="1" customWidth="1"/>
    <col min="11016" max="11016" width="11.42578125" style="12" customWidth="1"/>
    <col min="11017" max="11017" width="13" style="12" customWidth="1"/>
    <col min="11018" max="11019" width="9.140625" style="12"/>
    <col min="11020" max="11020" width="10.28515625" style="12" bestFit="1" customWidth="1"/>
    <col min="11021" max="11264" width="9.140625" style="12"/>
    <col min="11265" max="11265" width="23" style="12" customWidth="1"/>
    <col min="11266" max="11268" width="17.85546875" style="12" customWidth="1"/>
    <col min="11269" max="11269" width="10.7109375" style="12" customWidth="1"/>
    <col min="11270" max="11270" width="15.7109375" style="12" customWidth="1"/>
    <col min="11271" max="11271" width="11.28515625" style="12" bestFit="1" customWidth="1"/>
    <col min="11272" max="11272" width="11.42578125" style="12" customWidth="1"/>
    <col min="11273" max="11273" width="13" style="12" customWidth="1"/>
    <col min="11274" max="11275" width="9.140625" style="12"/>
    <col min="11276" max="11276" width="10.28515625" style="12" bestFit="1" customWidth="1"/>
    <col min="11277" max="11520" width="9.140625" style="12"/>
    <col min="11521" max="11521" width="23" style="12" customWidth="1"/>
    <col min="11522" max="11524" width="17.85546875" style="12" customWidth="1"/>
    <col min="11525" max="11525" width="10.7109375" style="12" customWidth="1"/>
    <col min="11526" max="11526" width="15.7109375" style="12" customWidth="1"/>
    <col min="11527" max="11527" width="11.28515625" style="12" bestFit="1" customWidth="1"/>
    <col min="11528" max="11528" width="11.42578125" style="12" customWidth="1"/>
    <col min="11529" max="11529" width="13" style="12" customWidth="1"/>
    <col min="11530" max="11531" width="9.140625" style="12"/>
    <col min="11532" max="11532" width="10.28515625" style="12" bestFit="1" customWidth="1"/>
    <col min="11533" max="11776" width="9.140625" style="12"/>
    <col min="11777" max="11777" width="23" style="12" customWidth="1"/>
    <col min="11778" max="11780" width="17.85546875" style="12" customWidth="1"/>
    <col min="11781" max="11781" width="10.7109375" style="12" customWidth="1"/>
    <col min="11782" max="11782" width="15.7109375" style="12" customWidth="1"/>
    <col min="11783" max="11783" width="11.28515625" style="12" bestFit="1" customWidth="1"/>
    <col min="11784" max="11784" width="11.42578125" style="12" customWidth="1"/>
    <col min="11785" max="11785" width="13" style="12" customWidth="1"/>
    <col min="11786" max="11787" width="9.140625" style="12"/>
    <col min="11788" max="11788" width="10.28515625" style="12" bestFit="1" customWidth="1"/>
    <col min="11789" max="12032" width="9.140625" style="12"/>
    <col min="12033" max="12033" width="23" style="12" customWidth="1"/>
    <col min="12034" max="12036" width="17.85546875" style="12" customWidth="1"/>
    <col min="12037" max="12037" width="10.7109375" style="12" customWidth="1"/>
    <col min="12038" max="12038" width="15.7109375" style="12" customWidth="1"/>
    <col min="12039" max="12039" width="11.28515625" style="12" bestFit="1" customWidth="1"/>
    <col min="12040" max="12040" width="11.42578125" style="12" customWidth="1"/>
    <col min="12041" max="12041" width="13" style="12" customWidth="1"/>
    <col min="12042" max="12043" width="9.140625" style="12"/>
    <col min="12044" max="12044" width="10.28515625" style="12" bestFit="1" customWidth="1"/>
    <col min="12045" max="12288" width="9.140625" style="12"/>
    <col min="12289" max="12289" width="23" style="12" customWidth="1"/>
    <col min="12290" max="12292" width="17.85546875" style="12" customWidth="1"/>
    <col min="12293" max="12293" width="10.7109375" style="12" customWidth="1"/>
    <col min="12294" max="12294" width="15.7109375" style="12" customWidth="1"/>
    <col min="12295" max="12295" width="11.28515625" style="12" bestFit="1" customWidth="1"/>
    <col min="12296" max="12296" width="11.42578125" style="12" customWidth="1"/>
    <col min="12297" max="12297" width="13" style="12" customWidth="1"/>
    <col min="12298" max="12299" width="9.140625" style="12"/>
    <col min="12300" max="12300" width="10.28515625" style="12" bestFit="1" customWidth="1"/>
    <col min="12301" max="12544" width="9.140625" style="12"/>
    <col min="12545" max="12545" width="23" style="12" customWidth="1"/>
    <col min="12546" max="12548" width="17.85546875" style="12" customWidth="1"/>
    <col min="12549" max="12549" width="10.7109375" style="12" customWidth="1"/>
    <col min="12550" max="12550" width="15.7109375" style="12" customWidth="1"/>
    <col min="12551" max="12551" width="11.28515625" style="12" bestFit="1" customWidth="1"/>
    <col min="12552" max="12552" width="11.42578125" style="12" customWidth="1"/>
    <col min="12553" max="12553" width="13" style="12" customWidth="1"/>
    <col min="12554" max="12555" width="9.140625" style="12"/>
    <col min="12556" max="12556" width="10.28515625" style="12" bestFit="1" customWidth="1"/>
    <col min="12557" max="12800" width="9.140625" style="12"/>
    <col min="12801" max="12801" width="23" style="12" customWidth="1"/>
    <col min="12802" max="12804" width="17.85546875" style="12" customWidth="1"/>
    <col min="12805" max="12805" width="10.7109375" style="12" customWidth="1"/>
    <col min="12806" max="12806" width="15.7109375" style="12" customWidth="1"/>
    <col min="12807" max="12807" width="11.28515625" style="12" bestFit="1" customWidth="1"/>
    <col min="12808" max="12808" width="11.42578125" style="12" customWidth="1"/>
    <col min="12809" max="12809" width="13" style="12" customWidth="1"/>
    <col min="12810" max="12811" width="9.140625" style="12"/>
    <col min="12812" max="12812" width="10.28515625" style="12" bestFit="1" customWidth="1"/>
    <col min="12813" max="13056" width="9.140625" style="12"/>
    <col min="13057" max="13057" width="23" style="12" customWidth="1"/>
    <col min="13058" max="13060" width="17.85546875" style="12" customWidth="1"/>
    <col min="13061" max="13061" width="10.7109375" style="12" customWidth="1"/>
    <col min="13062" max="13062" width="15.7109375" style="12" customWidth="1"/>
    <col min="13063" max="13063" width="11.28515625" style="12" bestFit="1" customWidth="1"/>
    <col min="13064" max="13064" width="11.42578125" style="12" customWidth="1"/>
    <col min="13065" max="13065" width="13" style="12" customWidth="1"/>
    <col min="13066" max="13067" width="9.140625" style="12"/>
    <col min="13068" max="13068" width="10.28515625" style="12" bestFit="1" customWidth="1"/>
    <col min="13069" max="13312" width="9.140625" style="12"/>
    <col min="13313" max="13313" width="23" style="12" customWidth="1"/>
    <col min="13314" max="13316" width="17.85546875" style="12" customWidth="1"/>
    <col min="13317" max="13317" width="10.7109375" style="12" customWidth="1"/>
    <col min="13318" max="13318" width="15.7109375" style="12" customWidth="1"/>
    <col min="13319" max="13319" width="11.28515625" style="12" bestFit="1" customWidth="1"/>
    <col min="13320" max="13320" width="11.42578125" style="12" customWidth="1"/>
    <col min="13321" max="13321" width="13" style="12" customWidth="1"/>
    <col min="13322" max="13323" width="9.140625" style="12"/>
    <col min="13324" max="13324" width="10.28515625" style="12" bestFit="1" customWidth="1"/>
    <col min="13325" max="13568" width="9.140625" style="12"/>
    <col min="13569" max="13569" width="23" style="12" customWidth="1"/>
    <col min="13570" max="13572" width="17.85546875" style="12" customWidth="1"/>
    <col min="13573" max="13573" width="10.7109375" style="12" customWidth="1"/>
    <col min="13574" max="13574" width="15.7109375" style="12" customWidth="1"/>
    <col min="13575" max="13575" width="11.28515625" style="12" bestFit="1" customWidth="1"/>
    <col min="13576" max="13576" width="11.42578125" style="12" customWidth="1"/>
    <col min="13577" max="13577" width="13" style="12" customWidth="1"/>
    <col min="13578" max="13579" width="9.140625" style="12"/>
    <col min="13580" max="13580" width="10.28515625" style="12" bestFit="1" customWidth="1"/>
    <col min="13581" max="13824" width="9.140625" style="12"/>
    <col min="13825" max="13825" width="23" style="12" customWidth="1"/>
    <col min="13826" max="13828" width="17.85546875" style="12" customWidth="1"/>
    <col min="13829" max="13829" width="10.7109375" style="12" customWidth="1"/>
    <col min="13830" max="13830" width="15.7109375" style="12" customWidth="1"/>
    <col min="13831" max="13831" width="11.28515625" style="12" bestFit="1" customWidth="1"/>
    <col min="13832" max="13832" width="11.42578125" style="12" customWidth="1"/>
    <col min="13833" max="13833" width="13" style="12" customWidth="1"/>
    <col min="13834" max="13835" width="9.140625" style="12"/>
    <col min="13836" max="13836" width="10.28515625" style="12" bestFit="1" customWidth="1"/>
    <col min="13837" max="14080" width="9.140625" style="12"/>
    <col min="14081" max="14081" width="23" style="12" customWidth="1"/>
    <col min="14082" max="14084" width="17.85546875" style="12" customWidth="1"/>
    <col min="14085" max="14085" width="10.7109375" style="12" customWidth="1"/>
    <col min="14086" max="14086" width="15.7109375" style="12" customWidth="1"/>
    <col min="14087" max="14087" width="11.28515625" style="12" bestFit="1" customWidth="1"/>
    <col min="14088" max="14088" width="11.42578125" style="12" customWidth="1"/>
    <col min="14089" max="14089" width="13" style="12" customWidth="1"/>
    <col min="14090" max="14091" width="9.140625" style="12"/>
    <col min="14092" max="14092" width="10.28515625" style="12" bestFit="1" customWidth="1"/>
    <col min="14093" max="14336" width="9.140625" style="12"/>
    <col min="14337" max="14337" width="23" style="12" customWidth="1"/>
    <col min="14338" max="14340" width="17.85546875" style="12" customWidth="1"/>
    <col min="14341" max="14341" width="10.7109375" style="12" customWidth="1"/>
    <col min="14342" max="14342" width="15.7109375" style="12" customWidth="1"/>
    <col min="14343" max="14343" width="11.28515625" style="12" bestFit="1" customWidth="1"/>
    <col min="14344" max="14344" width="11.42578125" style="12" customWidth="1"/>
    <col min="14345" max="14345" width="13" style="12" customWidth="1"/>
    <col min="14346" max="14347" width="9.140625" style="12"/>
    <col min="14348" max="14348" width="10.28515625" style="12" bestFit="1" customWidth="1"/>
    <col min="14349" max="14592" width="9.140625" style="12"/>
    <col min="14593" max="14593" width="23" style="12" customWidth="1"/>
    <col min="14594" max="14596" width="17.85546875" style="12" customWidth="1"/>
    <col min="14597" max="14597" width="10.7109375" style="12" customWidth="1"/>
    <col min="14598" max="14598" width="15.7109375" style="12" customWidth="1"/>
    <col min="14599" max="14599" width="11.28515625" style="12" bestFit="1" customWidth="1"/>
    <col min="14600" max="14600" width="11.42578125" style="12" customWidth="1"/>
    <col min="14601" max="14601" width="13" style="12" customWidth="1"/>
    <col min="14602" max="14603" width="9.140625" style="12"/>
    <col min="14604" max="14604" width="10.28515625" style="12" bestFit="1" customWidth="1"/>
    <col min="14605" max="14848" width="9.140625" style="12"/>
    <col min="14849" max="14849" width="23" style="12" customWidth="1"/>
    <col min="14850" max="14852" width="17.85546875" style="12" customWidth="1"/>
    <col min="14853" max="14853" width="10.7109375" style="12" customWidth="1"/>
    <col min="14854" max="14854" width="15.7109375" style="12" customWidth="1"/>
    <col min="14855" max="14855" width="11.28515625" style="12" bestFit="1" customWidth="1"/>
    <col min="14856" max="14856" width="11.42578125" style="12" customWidth="1"/>
    <col min="14857" max="14857" width="13" style="12" customWidth="1"/>
    <col min="14858" max="14859" width="9.140625" style="12"/>
    <col min="14860" max="14860" width="10.28515625" style="12" bestFit="1" customWidth="1"/>
    <col min="14861" max="15104" width="9.140625" style="12"/>
    <col min="15105" max="15105" width="23" style="12" customWidth="1"/>
    <col min="15106" max="15108" width="17.85546875" style="12" customWidth="1"/>
    <col min="15109" max="15109" width="10.7109375" style="12" customWidth="1"/>
    <col min="15110" max="15110" width="15.7109375" style="12" customWidth="1"/>
    <col min="15111" max="15111" width="11.28515625" style="12" bestFit="1" customWidth="1"/>
    <col min="15112" max="15112" width="11.42578125" style="12" customWidth="1"/>
    <col min="15113" max="15113" width="13" style="12" customWidth="1"/>
    <col min="15114" max="15115" width="9.140625" style="12"/>
    <col min="15116" max="15116" width="10.28515625" style="12" bestFit="1" customWidth="1"/>
    <col min="15117" max="15360" width="9.140625" style="12"/>
    <col min="15361" max="15361" width="23" style="12" customWidth="1"/>
    <col min="15362" max="15364" width="17.85546875" style="12" customWidth="1"/>
    <col min="15365" max="15365" width="10.7109375" style="12" customWidth="1"/>
    <col min="15366" max="15366" width="15.7109375" style="12" customWidth="1"/>
    <col min="15367" max="15367" width="11.28515625" style="12" bestFit="1" customWidth="1"/>
    <col min="15368" max="15368" width="11.42578125" style="12" customWidth="1"/>
    <col min="15369" max="15369" width="13" style="12" customWidth="1"/>
    <col min="15370" max="15371" width="9.140625" style="12"/>
    <col min="15372" max="15372" width="10.28515625" style="12" bestFit="1" customWidth="1"/>
    <col min="15373" max="15616" width="9.140625" style="12"/>
    <col min="15617" max="15617" width="23" style="12" customWidth="1"/>
    <col min="15618" max="15620" width="17.85546875" style="12" customWidth="1"/>
    <col min="15621" max="15621" width="10.7109375" style="12" customWidth="1"/>
    <col min="15622" max="15622" width="15.7109375" style="12" customWidth="1"/>
    <col min="15623" max="15623" width="11.28515625" style="12" bestFit="1" customWidth="1"/>
    <col min="15624" max="15624" width="11.42578125" style="12" customWidth="1"/>
    <col min="15625" max="15625" width="13" style="12" customWidth="1"/>
    <col min="15626" max="15627" width="9.140625" style="12"/>
    <col min="15628" max="15628" width="10.28515625" style="12" bestFit="1" customWidth="1"/>
    <col min="15629" max="15872" width="9.140625" style="12"/>
    <col min="15873" max="15873" width="23" style="12" customWidth="1"/>
    <col min="15874" max="15876" width="17.85546875" style="12" customWidth="1"/>
    <col min="15877" max="15877" width="10.7109375" style="12" customWidth="1"/>
    <col min="15878" max="15878" width="15.7109375" style="12" customWidth="1"/>
    <col min="15879" max="15879" width="11.28515625" style="12" bestFit="1" customWidth="1"/>
    <col min="15880" max="15880" width="11.42578125" style="12" customWidth="1"/>
    <col min="15881" max="15881" width="13" style="12" customWidth="1"/>
    <col min="15882" max="15883" width="9.140625" style="12"/>
    <col min="15884" max="15884" width="10.28515625" style="12" bestFit="1" customWidth="1"/>
    <col min="15885" max="16128" width="9.140625" style="12"/>
    <col min="16129" max="16129" width="23" style="12" customWidth="1"/>
    <col min="16130" max="16132" width="17.85546875" style="12" customWidth="1"/>
    <col min="16133" max="16133" width="10.7109375" style="12" customWidth="1"/>
    <col min="16134" max="16134" width="15.7109375" style="12" customWidth="1"/>
    <col min="16135" max="16135" width="11.28515625" style="12" bestFit="1" customWidth="1"/>
    <col min="16136" max="16136" width="11.42578125" style="12" customWidth="1"/>
    <col min="16137" max="16137" width="13" style="12" customWidth="1"/>
    <col min="16138" max="16139" width="9.140625" style="12"/>
    <col min="16140" max="16140" width="10.28515625" style="12" bestFit="1" customWidth="1"/>
    <col min="16141" max="16384" width="9.140625" style="12"/>
  </cols>
  <sheetData>
    <row r="2" spans="1:12" ht="24" customHeight="1" x14ac:dyDescent="0.15">
      <c r="A2" s="2802" t="s">
        <v>1756</v>
      </c>
      <c r="B2" s="2803"/>
      <c r="C2" s="2803"/>
      <c r="D2" s="2803"/>
    </row>
    <row r="3" spans="1:12" x14ac:dyDescent="0.15">
      <c r="A3" s="2804"/>
      <c r="B3" s="2805"/>
      <c r="C3" s="2805"/>
      <c r="D3" s="2805"/>
    </row>
    <row r="4" spans="1:12" x14ac:dyDescent="0.15">
      <c r="A4" s="2806" t="s">
        <v>2</v>
      </c>
      <c r="B4" s="2809" t="s">
        <v>1498</v>
      </c>
      <c r="C4" s="2810"/>
      <c r="D4" s="2811"/>
    </row>
    <row r="5" spans="1:12" x14ac:dyDescent="0.15">
      <c r="A5" s="2807"/>
      <c r="B5" s="2824" t="s">
        <v>1473</v>
      </c>
      <c r="C5" s="2809" t="s">
        <v>1474</v>
      </c>
      <c r="D5" s="2811"/>
    </row>
    <row r="6" spans="1:12" ht="21" x14ac:dyDescent="0.15">
      <c r="A6" s="2808"/>
      <c r="B6" s="2825"/>
      <c r="C6" s="714" t="s">
        <v>1733</v>
      </c>
      <c r="D6" s="714" t="s">
        <v>1734</v>
      </c>
    </row>
    <row r="7" spans="1:12" x14ac:dyDescent="0.15">
      <c r="A7" s="715">
        <v>2011</v>
      </c>
      <c r="B7" s="709">
        <f>SUM(C7:D7)</f>
        <v>3009190</v>
      </c>
      <c r="C7" s="552">
        <v>463581</v>
      </c>
      <c r="D7" s="552">
        <v>2545609</v>
      </c>
    </row>
    <row r="8" spans="1:12" x14ac:dyDescent="0.15">
      <c r="A8" s="715">
        <v>2012</v>
      </c>
      <c r="B8" s="709">
        <f>SUM(C8:D8)</f>
        <v>3398231</v>
      </c>
      <c r="C8" s="552">
        <v>494812</v>
      </c>
      <c r="D8" s="552">
        <v>2903419</v>
      </c>
      <c r="F8" s="58"/>
    </row>
    <row r="9" spans="1:12" x14ac:dyDescent="0.15">
      <c r="A9" s="715">
        <v>2013</v>
      </c>
      <c r="B9" s="709">
        <f>SUM(C9:D9)</f>
        <v>3013399</v>
      </c>
      <c r="C9" s="552">
        <v>625465</v>
      </c>
      <c r="D9" s="552">
        <v>2387934</v>
      </c>
      <c r="E9" s="244"/>
      <c r="F9" s="244"/>
      <c r="G9" s="244"/>
      <c r="H9" s="244"/>
      <c r="I9" s="244"/>
      <c r="J9" s="244"/>
      <c r="K9" s="244"/>
      <c r="L9" s="244"/>
    </row>
    <row r="10" spans="1:12" x14ac:dyDescent="0.15">
      <c r="A10" s="715">
        <v>2014</v>
      </c>
      <c r="B10" s="709">
        <f>SUM(C10:D10)</f>
        <v>3331671</v>
      </c>
      <c r="C10" s="552">
        <v>619660</v>
      </c>
      <c r="D10" s="552">
        <v>2712011</v>
      </c>
      <c r="E10" s="244"/>
      <c r="F10" s="244"/>
      <c r="G10" s="244"/>
      <c r="H10" s="244"/>
      <c r="I10" s="244"/>
      <c r="J10" s="244"/>
      <c r="K10" s="244"/>
      <c r="L10" s="244"/>
    </row>
    <row r="11" spans="1:12" x14ac:dyDescent="0.15">
      <c r="A11" s="715">
        <v>2015</v>
      </c>
      <c r="B11" s="709">
        <f>SUM(C11:D11)</f>
        <v>3008468</v>
      </c>
      <c r="C11" s="552">
        <v>573717</v>
      </c>
      <c r="D11" s="552">
        <v>2434751</v>
      </c>
      <c r="E11" s="244"/>
      <c r="F11" s="244"/>
      <c r="G11" s="244"/>
      <c r="H11" s="244"/>
      <c r="I11" s="244"/>
      <c r="J11" s="244"/>
      <c r="K11" s="244"/>
      <c r="L11" s="244"/>
    </row>
    <row r="12" spans="1:12" ht="11.25" customHeight="1" x14ac:dyDescent="0.15">
      <c r="A12" s="2812"/>
      <c r="B12" s="2813"/>
      <c r="C12" s="2813"/>
      <c r="D12" s="2813"/>
      <c r="E12" s="244"/>
      <c r="F12" s="244"/>
      <c r="G12" s="244"/>
      <c r="H12" s="244"/>
      <c r="I12" s="244"/>
      <c r="J12" s="244"/>
      <c r="K12" s="244"/>
      <c r="L12" s="244"/>
    </row>
    <row r="13" spans="1:12" ht="35.85" customHeight="1" x14ac:dyDescent="0.15">
      <c r="A13" s="2814" t="s">
        <v>1751</v>
      </c>
      <c r="B13" s="2815"/>
      <c r="C13" s="2815"/>
      <c r="D13" s="2815"/>
      <c r="E13" s="244"/>
      <c r="F13" s="244"/>
      <c r="G13" s="244"/>
      <c r="H13" s="244"/>
      <c r="I13" s="244"/>
      <c r="J13" s="244"/>
      <c r="K13" s="244"/>
      <c r="L13" s="244"/>
    </row>
    <row r="14" spans="1:12" ht="16.350000000000001" customHeight="1" x14ac:dyDescent="0.15">
      <c r="A14" s="2812" t="s">
        <v>1483</v>
      </c>
      <c r="B14" s="2823"/>
      <c r="C14" s="2823"/>
      <c r="D14" s="2823"/>
      <c r="E14" s="244"/>
      <c r="F14" s="244"/>
      <c r="G14" s="244"/>
      <c r="H14" s="244"/>
      <c r="I14" s="244"/>
      <c r="J14" s="244"/>
      <c r="K14" s="244"/>
      <c r="L14" s="244"/>
    </row>
    <row r="15" spans="1:12" x14ac:dyDescent="0.15">
      <c r="A15" s="244"/>
      <c r="B15" s="244"/>
      <c r="C15" s="244"/>
      <c r="D15" s="244"/>
      <c r="E15" s="244"/>
      <c r="F15" s="244"/>
      <c r="G15" s="244"/>
      <c r="H15" s="244"/>
      <c r="I15" s="244"/>
      <c r="J15" s="244"/>
      <c r="K15" s="244"/>
      <c r="L15" s="244"/>
    </row>
    <row r="16" spans="1:12" x14ac:dyDescent="0.15">
      <c r="A16" s="244"/>
      <c r="B16" s="244"/>
      <c r="C16" s="244"/>
      <c r="D16" s="244"/>
      <c r="E16" s="244"/>
      <c r="F16" s="244"/>
      <c r="G16" s="244"/>
      <c r="H16" s="244"/>
      <c r="I16" s="244"/>
      <c r="J16" s="244"/>
      <c r="K16" s="244"/>
      <c r="L16" s="244"/>
    </row>
    <row r="17" spans="1:12" x14ac:dyDescent="0.15">
      <c r="A17" s="244"/>
      <c r="B17" s="244"/>
      <c r="C17" s="244"/>
      <c r="D17" s="244"/>
      <c r="E17" s="244"/>
      <c r="F17" s="244"/>
      <c r="G17" s="244"/>
      <c r="H17" s="244"/>
      <c r="I17" s="244"/>
      <c r="J17" s="244"/>
      <c r="K17" s="244"/>
      <c r="L17" s="244"/>
    </row>
    <row r="18" spans="1:12" x14ac:dyDescent="0.15">
      <c r="A18" s="244"/>
      <c r="B18" s="244"/>
      <c r="C18" s="244"/>
      <c r="D18" s="244"/>
      <c r="E18" s="244"/>
      <c r="F18" s="244"/>
      <c r="G18" s="244"/>
      <c r="H18" s="244"/>
      <c r="I18" s="244"/>
      <c r="J18" s="244"/>
      <c r="K18" s="244"/>
      <c r="L18" s="244"/>
    </row>
    <row r="19" spans="1:12" x14ac:dyDescent="0.15">
      <c r="A19" s="244"/>
      <c r="B19" s="244"/>
      <c r="C19" s="244"/>
      <c r="D19" s="244"/>
      <c r="E19" s="244"/>
      <c r="F19" s="244"/>
      <c r="G19" s="244"/>
      <c r="H19" s="244"/>
      <c r="I19" s="244"/>
      <c r="J19" s="244"/>
      <c r="K19" s="244"/>
      <c r="L19" s="244"/>
    </row>
    <row r="20" spans="1:12" x14ac:dyDescent="0.15">
      <c r="A20" s="244"/>
      <c r="B20" s="244"/>
      <c r="C20" s="244"/>
      <c r="D20" s="244"/>
      <c r="E20" s="244"/>
      <c r="F20" s="244"/>
      <c r="G20" s="244"/>
      <c r="H20" s="244"/>
      <c r="I20" s="244"/>
      <c r="J20" s="244"/>
      <c r="K20" s="244"/>
      <c r="L20" s="244"/>
    </row>
    <row r="21" spans="1:12" x14ac:dyDescent="0.15">
      <c r="A21" s="244"/>
      <c r="B21" s="244"/>
      <c r="C21" s="244"/>
      <c r="D21" s="244"/>
      <c r="E21" s="244"/>
      <c r="F21" s="244"/>
      <c r="G21" s="244"/>
      <c r="H21" s="244"/>
      <c r="I21" s="244"/>
      <c r="J21" s="244"/>
      <c r="K21" s="244"/>
      <c r="L21" s="244"/>
    </row>
    <row r="22" spans="1:12" x14ac:dyDescent="0.15">
      <c r="A22" s="244"/>
      <c r="B22" s="244"/>
      <c r="C22" s="244"/>
      <c r="D22" s="244"/>
      <c r="E22" s="244"/>
      <c r="F22" s="244"/>
      <c r="G22" s="244"/>
      <c r="H22" s="244"/>
      <c r="I22" s="244"/>
      <c r="J22" s="244"/>
      <c r="K22" s="244"/>
      <c r="L22" s="244"/>
    </row>
    <row r="23" spans="1:12" x14ac:dyDescent="0.15">
      <c r="A23" s="244"/>
      <c r="B23" s="244"/>
      <c r="C23" s="244"/>
      <c r="D23" s="244"/>
      <c r="E23" s="244"/>
      <c r="F23" s="244"/>
      <c r="G23" s="244"/>
      <c r="H23" s="244"/>
      <c r="I23" s="244"/>
      <c r="J23" s="244"/>
      <c r="K23" s="244"/>
      <c r="L23" s="244"/>
    </row>
    <row r="24" spans="1:12" x14ac:dyDescent="0.15">
      <c r="A24" s="244"/>
      <c r="B24" s="244"/>
      <c r="C24" s="244"/>
      <c r="D24" s="244"/>
      <c r="E24" s="244"/>
      <c r="F24" s="244"/>
      <c r="G24" s="244"/>
      <c r="H24" s="244"/>
      <c r="I24" s="244"/>
      <c r="J24" s="244"/>
      <c r="K24" s="244"/>
      <c r="L24" s="244"/>
    </row>
    <row r="25" spans="1:12" x14ac:dyDescent="0.15">
      <c r="A25" s="244"/>
      <c r="B25" s="244"/>
      <c r="C25" s="244"/>
      <c r="D25" s="244"/>
      <c r="E25" s="244"/>
      <c r="F25" s="244"/>
      <c r="G25" s="244"/>
      <c r="H25" s="244"/>
      <c r="I25" s="244"/>
      <c r="J25" s="244"/>
      <c r="K25" s="244"/>
      <c r="L25" s="244"/>
    </row>
    <row r="26" spans="1:12" x14ac:dyDescent="0.15">
      <c r="A26" s="244"/>
      <c r="B26" s="244"/>
      <c r="C26" s="244"/>
      <c r="D26" s="244"/>
      <c r="E26" s="244"/>
      <c r="F26" s="244"/>
      <c r="G26" s="244"/>
      <c r="H26" s="244"/>
      <c r="I26" s="244"/>
      <c r="J26" s="244"/>
      <c r="K26" s="244"/>
      <c r="L26" s="244"/>
    </row>
    <row r="27" spans="1:12" x14ac:dyDescent="0.15">
      <c r="A27" s="244"/>
      <c r="B27" s="244"/>
      <c r="C27" s="244"/>
      <c r="D27" s="244"/>
      <c r="E27" s="244"/>
      <c r="F27" s="244"/>
      <c r="G27" s="244"/>
      <c r="H27" s="244"/>
      <c r="I27" s="244"/>
      <c r="J27" s="244"/>
      <c r="K27" s="244"/>
      <c r="L27" s="244"/>
    </row>
    <row r="28" spans="1:12" x14ac:dyDescent="0.15">
      <c r="A28" s="244"/>
      <c r="B28" s="244"/>
      <c r="C28" s="244"/>
      <c r="D28" s="244"/>
      <c r="E28" s="244"/>
      <c r="F28" s="244"/>
      <c r="G28" s="244"/>
      <c r="H28" s="244"/>
      <c r="I28" s="244"/>
      <c r="J28" s="244"/>
      <c r="K28" s="244"/>
      <c r="L28" s="244"/>
    </row>
    <row r="29" spans="1:12" x14ac:dyDescent="0.15">
      <c r="A29" s="244"/>
      <c r="B29" s="244"/>
      <c r="C29" s="244"/>
      <c r="D29" s="244"/>
      <c r="E29" s="244"/>
      <c r="F29" s="244"/>
      <c r="G29" s="244"/>
      <c r="H29" s="244"/>
      <c r="I29" s="244"/>
      <c r="J29" s="244"/>
      <c r="K29" s="244"/>
      <c r="L29" s="244"/>
    </row>
    <row r="30" spans="1:12" x14ac:dyDescent="0.15">
      <c r="A30" s="244"/>
      <c r="B30" s="244"/>
      <c r="C30" s="244"/>
      <c r="D30" s="244"/>
      <c r="E30" s="244"/>
      <c r="F30" s="244"/>
      <c r="G30" s="244"/>
      <c r="H30" s="244"/>
      <c r="I30" s="244"/>
      <c r="J30" s="244"/>
      <c r="K30" s="244"/>
      <c r="L30" s="244"/>
    </row>
    <row r="31" spans="1:12" x14ac:dyDescent="0.15">
      <c r="A31" s="244"/>
      <c r="B31" s="244"/>
      <c r="C31" s="244"/>
      <c r="D31" s="244"/>
      <c r="E31" s="244"/>
      <c r="F31" s="244"/>
      <c r="G31" s="244"/>
      <c r="H31" s="244"/>
      <c r="I31" s="244"/>
      <c r="J31" s="244"/>
      <c r="K31" s="244"/>
      <c r="L31" s="244"/>
    </row>
  </sheetData>
  <mergeCells count="9">
    <mergeCell ref="A12:D12"/>
    <mergeCell ref="A13:D13"/>
    <mergeCell ref="A14:D14"/>
    <mergeCell ref="A2:D2"/>
    <mergeCell ref="A3:D3"/>
    <mergeCell ref="A4:A6"/>
    <mergeCell ref="B4:D4"/>
    <mergeCell ref="B5:B6"/>
    <mergeCell ref="C5:D5"/>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O31"/>
  <sheetViews>
    <sheetView workbookViewId="0"/>
  </sheetViews>
  <sheetFormatPr baseColWidth="10" defaultColWidth="9.140625" defaultRowHeight="12.75" x14ac:dyDescent="0.2"/>
  <cols>
    <col min="1" max="1" width="16.42578125" style="111" customWidth="1"/>
    <col min="2" max="2" width="12" style="111" customWidth="1"/>
    <col min="3" max="3" width="11.85546875" style="111" customWidth="1"/>
    <col min="4" max="4" width="11.5703125" style="111" customWidth="1"/>
    <col min="5" max="5" width="12" style="111" customWidth="1"/>
    <col min="6" max="6" width="11.140625" style="111" customWidth="1"/>
    <col min="7" max="7" width="10.7109375" style="111" customWidth="1"/>
    <col min="8" max="8" width="9.85546875" style="111" customWidth="1"/>
    <col min="9" max="9" width="9.7109375" style="111" customWidth="1"/>
    <col min="10" max="10" width="10.42578125" style="111" customWidth="1"/>
    <col min="11" max="11" width="12.5703125" style="111" customWidth="1"/>
    <col min="12" max="12" width="11" style="111" customWidth="1"/>
    <col min="13" max="13" width="11.42578125" style="111" customWidth="1"/>
    <col min="14" max="14" width="11.85546875" style="111" customWidth="1"/>
    <col min="15" max="15" width="15" style="111" customWidth="1"/>
    <col min="16" max="256" width="9.140625" style="111"/>
    <col min="257" max="257" width="16.42578125" style="111" customWidth="1"/>
    <col min="258" max="258" width="12" style="111" customWidth="1"/>
    <col min="259" max="259" width="11.85546875" style="111" customWidth="1"/>
    <col min="260" max="260" width="11.5703125" style="111" customWidth="1"/>
    <col min="261" max="261" width="12" style="111" customWidth="1"/>
    <col min="262" max="262" width="11.140625" style="111" customWidth="1"/>
    <col min="263" max="263" width="10.7109375" style="111" customWidth="1"/>
    <col min="264" max="264" width="9.85546875" style="111" customWidth="1"/>
    <col min="265" max="265" width="9.7109375" style="111" customWidth="1"/>
    <col min="266" max="266" width="10.42578125" style="111" customWidth="1"/>
    <col min="267" max="267" width="12.5703125" style="111" customWidth="1"/>
    <col min="268" max="268" width="11" style="111" customWidth="1"/>
    <col min="269" max="269" width="11.42578125" style="111" customWidth="1"/>
    <col min="270" max="270" width="11.85546875" style="111" customWidth="1"/>
    <col min="271" max="271" width="15" style="111" customWidth="1"/>
    <col min="272" max="512" width="9.140625" style="111"/>
    <col min="513" max="513" width="16.42578125" style="111" customWidth="1"/>
    <col min="514" max="514" width="12" style="111" customWidth="1"/>
    <col min="515" max="515" width="11.85546875" style="111" customWidth="1"/>
    <col min="516" max="516" width="11.5703125" style="111" customWidth="1"/>
    <col min="517" max="517" width="12" style="111" customWidth="1"/>
    <col min="518" max="518" width="11.140625" style="111" customWidth="1"/>
    <col min="519" max="519" width="10.7109375" style="111" customWidth="1"/>
    <col min="520" max="520" width="9.85546875" style="111" customWidth="1"/>
    <col min="521" max="521" width="9.7109375" style="111" customWidth="1"/>
    <col min="522" max="522" width="10.42578125" style="111" customWidth="1"/>
    <col min="523" max="523" width="12.5703125" style="111" customWidth="1"/>
    <col min="524" max="524" width="11" style="111" customWidth="1"/>
    <col min="525" max="525" width="11.42578125" style="111" customWidth="1"/>
    <col min="526" max="526" width="11.85546875" style="111" customWidth="1"/>
    <col min="527" max="527" width="15" style="111" customWidth="1"/>
    <col min="528" max="768" width="9.140625" style="111"/>
    <col min="769" max="769" width="16.42578125" style="111" customWidth="1"/>
    <col min="770" max="770" width="12" style="111" customWidth="1"/>
    <col min="771" max="771" width="11.85546875" style="111" customWidth="1"/>
    <col min="772" max="772" width="11.5703125" style="111" customWidth="1"/>
    <col min="773" max="773" width="12" style="111" customWidth="1"/>
    <col min="774" max="774" width="11.140625" style="111" customWidth="1"/>
    <col min="775" max="775" width="10.7109375" style="111" customWidth="1"/>
    <col min="776" max="776" width="9.85546875" style="111" customWidth="1"/>
    <col min="777" max="777" width="9.7109375" style="111" customWidth="1"/>
    <col min="778" max="778" width="10.42578125" style="111" customWidth="1"/>
    <col min="779" max="779" width="12.5703125" style="111" customWidth="1"/>
    <col min="780" max="780" width="11" style="111" customWidth="1"/>
    <col min="781" max="781" width="11.42578125" style="111" customWidth="1"/>
    <col min="782" max="782" width="11.85546875" style="111" customWidth="1"/>
    <col min="783" max="783" width="15" style="111" customWidth="1"/>
    <col min="784" max="1024" width="9.140625" style="111"/>
    <col min="1025" max="1025" width="16.42578125" style="111" customWidth="1"/>
    <col min="1026" max="1026" width="12" style="111" customWidth="1"/>
    <col min="1027" max="1027" width="11.85546875" style="111" customWidth="1"/>
    <col min="1028" max="1028" width="11.5703125" style="111" customWidth="1"/>
    <col min="1029" max="1029" width="12" style="111" customWidth="1"/>
    <col min="1030" max="1030" width="11.140625" style="111" customWidth="1"/>
    <col min="1031" max="1031" width="10.7109375" style="111" customWidth="1"/>
    <col min="1032" max="1032" width="9.85546875" style="111" customWidth="1"/>
    <col min="1033" max="1033" width="9.7109375" style="111" customWidth="1"/>
    <col min="1034" max="1034" width="10.42578125" style="111" customWidth="1"/>
    <col min="1035" max="1035" width="12.5703125" style="111" customWidth="1"/>
    <col min="1036" max="1036" width="11" style="111" customWidth="1"/>
    <col min="1037" max="1037" width="11.42578125" style="111" customWidth="1"/>
    <col min="1038" max="1038" width="11.85546875" style="111" customWidth="1"/>
    <col min="1039" max="1039" width="15" style="111" customWidth="1"/>
    <col min="1040" max="1280" width="9.140625" style="111"/>
    <col min="1281" max="1281" width="16.42578125" style="111" customWidth="1"/>
    <col min="1282" max="1282" width="12" style="111" customWidth="1"/>
    <col min="1283" max="1283" width="11.85546875" style="111" customWidth="1"/>
    <col min="1284" max="1284" width="11.5703125" style="111" customWidth="1"/>
    <col min="1285" max="1285" width="12" style="111" customWidth="1"/>
    <col min="1286" max="1286" width="11.140625" style="111" customWidth="1"/>
    <col min="1287" max="1287" width="10.7109375" style="111" customWidth="1"/>
    <col min="1288" max="1288" width="9.85546875" style="111" customWidth="1"/>
    <col min="1289" max="1289" width="9.7109375" style="111" customWidth="1"/>
    <col min="1290" max="1290" width="10.42578125" style="111" customWidth="1"/>
    <col min="1291" max="1291" width="12.5703125" style="111" customWidth="1"/>
    <col min="1292" max="1292" width="11" style="111" customWidth="1"/>
    <col min="1293" max="1293" width="11.42578125" style="111" customWidth="1"/>
    <col min="1294" max="1294" width="11.85546875" style="111" customWidth="1"/>
    <col min="1295" max="1295" width="15" style="111" customWidth="1"/>
    <col min="1296" max="1536" width="9.140625" style="111"/>
    <col min="1537" max="1537" width="16.42578125" style="111" customWidth="1"/>
    <col min="1538" max="1538" width="12" style="111" customWidth="1"/>
    <col min="1539" max="1539" width="11.85546875" style="111" customWidth="1"/>
    <col min="1540" max="1540" width="11.5703125" style="111" customWidth="1"/>
    <col min="1541" max="1541" width="12" style="111" customWidth="1"/>
    <col min="1542" max="1542" width="11.140625" style="111" customWidth="1"/>
    <col min="1543" max="1543" width="10.7109375" style="111" customWidth="1"/>
    <col min="1544" max="1544" width="9.85546875" style="111" customWidth="1"/>
    <col min="1545" max="1545" width="9.7109375" style="111" customWidth="1"/>
    <col min="1546" max="1546" width="10.42578125" style="111" customWidth="1"/>
    <col min="1547" max="1547" width="12.5703125" style="111" customWidth="1"/>
    <col min="1548" max="1548" width="11" style="111" customWidth="1"/>
    <col min="1549" max="1549" width="11.42578125" style="111" customWidth="1"/>
    <col min="1550" max="1550" width="11.85546875" style="111" customWidth="1"/>
    <col min="1551" max="1551" width="15" style="111" customWidth="1"/>
    <col min="1552" max="1792" width="9.140625" style="111"/>
    <col min="1793" max="1793" width="16.42578125" style="111" customWidth="1"/>
    <col min="1794" max="1794" width="12" style="111" customWidth="1"/>
    <col min="1795" max="1795" width="11.85546875" style="111" customWidth="1"/>
    <col min="1796" max="1796" width="11.5703125" style="111" customWidth="1"/>
    <col min="1797" max="1797" width="12" style="111" customWidth="1"/>
    <col min="1798" max="1798" width="11.140625" style="111" customWidth="1"/>
    <col min="1799" max="1799" width="10.7109375" style="111" customWidth="1"/>
    <col min="1800" max="1800" width="9.85546875" style="111" customWidth="1"/>
    <col min="1801" max="1801" width="9.7109375" style="111" customWidth="1"/>
    <col min="1802" max="1802" width="10.42578125" style="111" customWidth="1"/>
    <col min="1803" max="1803" width="12.5703125" style="111" customWidth="1"/>
    <col min="1804" max="1804" width="11" style="111" customWidth="1"/>
    <col min="1805" max="1805" width="11.42578125" style="111" customWidth="1"/>
    <col min="1806" max="1806" width="11.85546875" style="111" customWidth="1"/>
    <col min="1807" max="1807" width="15" style="111" customWidth="1"/>
    <col min="1808" max="2048" width="9.140625" style="111"/>
    <col min="2049" max="2049" width="16.42578125" style="111" customWidth="1"/>
    <col min="2050" max="2050" width="12" style="111" customWidth="1"/>
    <col min="2051" max="2051" width="11.85546875" style="111" customWidth="1"/>
    <col min="2052" max="2052" width="11.5703125" style="111" customWidth="1"/>
    <col min="2053" max="2053" width="12" style="111" customWidth="1"/>
    <col min="2054" max="2054" width="11.140625" style="111" customWidth="1"/>
    <col min="2055" max="2055" width="10.7109375" style="111" customWidth="1"/>
    <col min="2056" max="2056" width="9.85546875" style="111" customWidth="1"/>
    <col min="2057" max="2057" width="9.7109375" style="111" customWidth="1"/>
    <col min="2058" max="2058" width="10.42578125" style="111" customWidth="1"/>
    <col min="2059" max="2059" width="12.5703125" style="111" customWidth="1"/>
    <col min="2060" max="2060" width="11" style="111" customWidth="1"/>
    <col min="2061" max="2061" width="11.42578125" style="111" customWidth="1"/>
    <col min="2062" max="2062" width="11.85546875" style="111" customWidth="1"/>
    <col min="2063" max="2063" width="15" style="111" customWidth="1"/>
    <col min="2064" max="2304" width="9.140625" style="111"/>
    <col min="2305" max="2305" width="16.42578125" style="111" customWidth="1"/>
    <col min="2306" max="2306" width="12" style="111" customWidth="1"/>
    <col min="2307" max="2307" width="11.85546875" style="111" customWidth="1"/>
    <col min="2308" max="2308" width="11.5703125" style="111" customWidth="1"/>
    <col min="2309" max="2309" width="12" style="111" customWidth="1"/>
    <col min="2310" max="2310" width="11.140625" style="111" customWidth="1"/>
    <col min="2311" max="2311" width="10.7109375" style="111" customWidth="1"/>
    <col min="2312" max="2312" width="9.85546875" style="111" customWidth="1"/>
    <col min="2313" max="2313" width="9.7109375" style="111" customWidth="1"/>
    <col min="2314" max="2314" width="10.42578125" style="111" customWidth="1"/>
    <col min="2315" max="2315" width="12.5703125" style="111" customWidth="1"/>
    <col min="2316" max="2316" width="11" style="111" customWidth="1"/>
    <col min="2317" max="2317" width="11.42578125" style="111" customWidth="1"/>
    <col min="2318" max="2318" width="11.85546875" style="111" customWidth="1"/>
    <col min="2319" max="2319" width="15" style="111" customWidth="1"/>
    <col min="2320" max="2560" width="9.140625" style="111"/>
    <col min="2561" max="2561" width="16.42578125" style="111" customWidth="1"/>
    <col min="2562" max="2562" width="12" style="111" customWidth="1"/>
    <col min="2563" max="2563" width="11.85546875" style="111" customWidth="1"/>
    <col min="2564" max="2564" width="11.5703125" style="111" customWidth="1"/>
    <col min="2565" max="2565" width="12" style="111" customWidth="1"/>
    <col min="2566" max="2566" width="11.140625" style="111" customWidth="1"/>
    <col min="2567" max="2567" width="10.7109375" style="111" customWidth="1"/>
    <col min="2568" max="2568" width="9.85546875" style="111" customWidth="1"/>
    <col min="2569" max="2569" width="9.7109375" style="111" customWidth="1"/>
    <col min="2570" max="2570" width="10.42578125" style="111" customWidth="1"/>
    <col min="2571" max="2571" width="12.5703125" style="111" customWidth="1"/>
    <col min="2572" max="2572" width="11" style="111" customWidth="1"/>
    <col min="2573" max="2573" width="11.42578125" style="111" customWidth="1"/>
    <col min="2574" max="2574" width="11.85546875" style="111" customWidth="1"/>
    <col min="2575" max="2575" width="15" style="111" customWidth="1"/>
    <col min="2576" max="2816" width="9.140625" style="111"/>
    <col min="2817" max="2817" width="16.42578125" style="111" customWidth="1"/>
    <col min="2818" max="2818" width="12" style="111" customWidth="1"/>
    <col min="2819" max="2819" width="11.85546875" style="111" customWidth="1"/>
    <col min="2820" max="2820" width="11.5703125" style="111" customWidth="1"/>
    <col min="2821" max="2821" width="12" style="111" customWidth="1"/>
    <col min="2822" max="2822" width="11.140625" style="111" customWidth="1"/>
    <col min="2823" max="2823" width="10.7109375" style="111" customWidth="1"/>
    <col min="2824" max="2824" width="9.85546875" style="111" customWidth="1"/>
    <col min="2825" max="2825" width="9.7109375" style="111" customWidth="1"/>
    <col min="2826" max="2826" width="10.42578125" style="111" customWidth="1"/>
    <col min="2827" max="2827" width="12.5703125" style="111" customWidth="1"/>
    <col min="2828" max="2828" width="11" style="111" customWidth="1"/>
    <col min="2829" max="2829" width="11.42578125" style="111" customWidth="1"/>
    <col min="2830" max="2830" width="11.85546875" style="111" customWidth="1"/>
    <col min="2831" max="2831" width="15" style="111" customWidth="1"/>
    <col min="2832" max="3072" width="9.140625" style="111"/>
    <col min="3073" max="3073" width="16.42578125" style="111" customWidth="1"/>
    <col min="3074" max="3074" width="12" style="111" customWidth="1"/>
    <col min="3075" max="3075" width="11.85546875" style="111" customWidth="1"/>
    <col min="3076" max="3076" width="11.5703125" style="111" customWidth="1"/>
    <col min="3077" max="3077" width="12" style="111" customWidth="1"/>
    <col min="3078" max="3078" width="11.140625" style="111" customWidth="1"/>
    <col min="3079" max="3079" width="10.7109375" style="111" customWidth="1"/>
    <col min="3080" max="3080" width="9.85546875" style="111" customWidth="1"/>
    <col min="3081" max="3081" width="9.7109375" style="111" customWidth="1"/>
    <col min="3082" max="3082" width="10.42578125" style="111" customWidth="1"/>
    <col min="3083" max="3083" width="12.5703125" style="111" customWidth="1"/>
    <col min="3084" max="3084" width="11" style="111" customWidth="1"/>
    <col min="3085" max="3085" width="11.42578125" style="111" customWidth="1"/>
    <col min="3086" max="3086" width="11.85546875" style="111" customWidth="1"/>
    <col min="3087" max="3087" width="15" style="111" customWidth="1"/>
    <col min="3088" max="3328" width="9.140625" style="111"/>
    <col min="3329" max="3329" width="16.42578125" style="111" customWidth="1"/>
    <col min="3330" max="3330" width="12" style="111" customWidth="1"/>
    <col min="3331" max="3331" width="11.85546875" style="111" customWidth="1"/>
    <col min="3332" max="3332" width="11.5703125" style="111" customWidth="1"/>
    <col min="3333" max="3333" width="12" style="111" customWidth="1"/>
    <col min="3334" max="3334" width="11.140625" style="111" customWidth="1"/>
    <col min="3335" max="3335" width="10.7109375" style="111" customWidth="1"/>
    <col min="3336" max="3336" width="9.85546875" style="111" customWidth="1"/>
    <col min="3337" max="3337" width="9.7109375" style="111" customWidth="1"/>
    <col min="3338" max="3338" width="10.42578125" style="111" customWidth="1"/>
    <col min="3339" max="3339" width="12.5703125" style="111" customWidth="1"/>
    <col min="3340" max="3340" width="11" style="111" customWidth="1"/>
    <col min="3341" max="3341" width="11.42578125" style="111" customWidth="1"/>
    <col min="3342" max="3342" width="11.85546875" style="111" customWidth="1"/>
    <col min="3343" max="3343" width="15" style="111" customWidth="1"/>
    <col min="3344" max="3584" width="9.140625" style="111"/>
    <col min="3585" max="3585" width="16.42578125" style="111" customWidth="1"/>
    <col min="3586" max="3586" width="12" style="111" customWidth="1"/>
    <col min="3587" max="3587" width="11.85546875" style="111" customWidth="1"/>
    <col min="3588" max="3588" width="11.5703125" style="111" customWidth="1"/>
    <col min="3589" max="3589" width="12" style="111" customWidth="1"/>
    <col min="3590" max="3590" width="11.140625" style="111" customWidth="1"/>
    <col min="3591" max="3591" width="10.7109375" style="111" customWidth="1"/>
    <col min="3592" max="3592" width="9.85546875" style="111" customWidth="1"/>
    <col min="3593" max="3593" width="9.7109375" style="111" customWidth="1"/>
    <col min="3594" max="3594" width="10.42578125" style="111" customWidth="1"/>
    <col min="3595" max="3595" width="12.5703125" style="111" customWidth="1"/>
    <col min="3596" max="3596" width="11" style="111" customWidth="1"/>
    <col min="3597" max="3597" width="11.42578125" style="111" customWidth="1"/>
    <col min="3598" max="3598" width="11.85546875" style="111" customWidth="1"/>
    <col min="3599" max="3599" width="15" style="111" customWidth="1"/>
    <col min="3600" max="3840" width="9.140625" style="111"/>
    <col min="3841" max="3841" width="16.42578125" style="111" customWidth="1"/>
    <col min="3842" max="3842" width="12" style="111" customWidth="1"/>
    <col min="3843" max="3843" width="11.85546875" style="111" customWidth="1"/>
    <col min="3844" max="3844" width="11.5703125" style="111" customWidth="1"/>
    <col min="3845" max="3845" width="12" style="111" customWidth="1"/>
    <col min="3846" max="3846" width="11.140625" style="111" customWidth="1"/>
    <col min="3847" max="3847" width="10.7109375" style="111" customWidth="1"/>
    <col min="3848" max="3848" width="9.85546875" style="111" customWidth="1"/>
    <col min="3849" max="3849" width="9.7109375" style="111" customWidth="1"/>
    <col min="3850" max="3850" width="10.42578125" style="111" customWidth="1"/>
    <col min="3851" max="3851" width="12.5703125" style="111" customWidth="1"/>
    <col min="3852" max="3852" width="11" style="111" customWidth="1"/>
    <col min="3853" max="3853" width="11.42578125" style="111" customWidth="1"/>
    <col min="3854" max="3854" width="11.85546875" style="111" customWidth="1"/>
    <col min="3855" max="3855" width="15" style="111" customWidth="1"/>
    <col min="3856" max="4096" width="9.140625" style="111"/>
    <col min="4097" max="4097" width="16.42578125" style="111" customWidth="1"/>
    <col min="4098" max="4098" width="12" style="111" customWidth="1"/>
    <col min="4099" max="4099" width="11.85546875" style="111" customWidth="1"/>
    <col min="4100" max="4100" width="11.5703125" style="111" customWidth="1"/>
    <col min="4101" max="4101" width="12" style="111" customWidth="1"/>
    <col min="4102" max="4102" width="11.140625" style="111" customWidth="1"/>
    <col min="4103" max="4103" width="10.7109375" style="111" customWidth="1"/>
    <col min="4104" max="4104" width="9.85546875" style="111" customWidth="1"/>
    <col min="4105" max="4105" width="9.7109375" style="111" customWidth="1"/>
    <col min="4106" max="4106" width="10.42578125" style="111" customWidth="1"/>
    <col min="4107" max="4107" width="12.5703125" style="111" customWidth="1"/>
    <col min="4108" max="4108" width="11" style="111" customWidth="1"/>
    <col min="4109" max="4109" width="11.42578125" style="111" customWidth="1"/>
    <col min="4110" max="4110" width="11.85546875" style="111" customWidth="1"/>
    <col min="4111" max="4111" width="15" style="111" customWidth="1"/>
    <col min="4112" max="4352" width="9.140625" style="111"/>
    <col min="4353" max="4353" width="16.42578125" style="111" customWidth="1"/>
    <col min="4354" max="4354" width="12" style="111" customWidth="1"/>
    <col min="4355" max="4355" width="11.85546875" style="111" customWidth="1"/>
    <col min="4356" max="4356" width="11.5703125" style="111" customWidth="1"/>
    <col min="4357" max="4357" width="12" style="111" customWidth="1"/>
    <col min="4358" max="4358" width="11.140625" style="111" customWidth="1"/>
    <col min="4359" max="4359" width="10.7109375" style="111" customWidth="1"/>
    <col min="4360" max="4360" width="9.85546875" style="111" customWidth="1"/>
    <col min="4361" max="4361" width="9.7109375" style="111" customWidth="1"/>
    <col min="4362" max="4362" width="10.42578125" style="111" customWidth="1"/>
    <col min="4363" max="4363" width="12.5703125" style="111" customWidth="1"/>
    <col min="4364" max="4364" width="11" style="111" customWidth="1"/>
    <col min="4365" max="4365" width="11.42578125" style="111" customWidth="1"/>
    <col min="4366" max="4366" width="11.85546875" style="111" customWidth="1"/>
    <col min="4367" max="4367" width="15" style="111" customWidth="1"/>
    <col min="4368" max="4608" width="9.140625" style="111"/>
    <col min="4609" max="4609" width="16.42578125" style="111" customWidth="1"/>
    <col min="4610" max="4610" width="12" style="111" customWidth="1"/>
    <col min="4611" max="4611" width="11.85546875" style="111" customWidth="1"/>
    <col min="4612" max="4612" width="11.5703125" style="111" customWidth="1"/>
    <col min="4613" max="4613" width="12" style="111" customWidth="1"/>
    <col min="4614" max="4614" width="11.140625" style="111" customWidth="1"/>
    <col min="4615" max="4615" width="10.7109375" style="111" customWidth="1"/>
    <col min="4616" max="4616" width="9.85546875" style="111" customWidth="1"/>
    <col min="4617" max="4617" width="9.7109375" style="111" customWidth="1"/>
    <col min="4618" max="4618" width="10.42578125" style="111" customWidth="1"/>
    <col min="4619" max="4619" width="12.5703125" style="111" customWidth="1"/>
    <col min="4620" max="4620" width="11" style="111" customWidth="1"/>
    <col min="4621" max="4621" width="11.42578125" style="111" customWidth="1"/>
    <col min="4622" max="4622" width="11.85546875" style="111" customWidth="1"/>
    <col min="4623" max="4623" width="15" style="111" customWidth="1"/>
    <col min="4624" max="4864" width="9.140625" style="111"/>
    <col min="4865" max="4865" width="16.42578125" style="111" customWidth="1"/>
    <col min="4866" max="4866" width="12" style="111" customWidth="1"/>
    <col min="4867" max="4867" width="11.85546875" style="111" customWidth="1"/>
    <col min="4868" max="4868" width="11.5703125" style="111" customWidth="1"/>
    <col min="4869" max="4869" width="12" style="111" customWidth="1"/>
    <col min="4870" max="4870" width="11.140625" style="111" customWidth="1"/>
    <col min="4871" max="4871" width="10.7109375" style="111" customWidth="1"/>
    <col min="4872" max="4872" width="9.85546875" style="111" customWidth="1"/>
    <col min="4873" max="4873" width="9.7109375" style="111" customWidth="1"/>
    <col min="4874" max="4874" width="10.42578125" style="111" customWidth="1"/>
    <col min="4875" max="4875" width="12.5703125" style="111" customWidth="1"/>
    <col min="4876" max="4876" width="11" style="111" customWidth="1"/>
    <col min="4877" max="4877" width="11.42578125" style="111" customWidth="1"/>
    <col min="4878" max="4878" width="11.85546875" style="111" customWidth="1"/>
    <col min="4879" max="4879" width="15" style="111" customWidth="1"/>
    <col min="4880" max="5120" width="9.140625" style="111"/>
    <col min="5121" max="5121" width="16.42578125" style="111" customWidth="1"/>
    <col min="5122" max="5122" width="12" style="111" customWidth="1"/>
    <col min="5123" max="5123" width="11.85546875" style="111" customWidth="1"/>
    <col min="5124" max="5124" width="11.5703125" style="111" customWidth="1"/>
    <col min="5125" max="5125" width="12" style="111" customWidth="1"/>
    <col min="5126" max="5126" width="11.140625" style="111" customWidth="1"/>
    <col min="5127" max="5127" width="10.7109375" style="111" customWidth="1"/>
    <col min="5128" max="5128" width="9.85546875" style="111" customWidth="1"/>
    <col min="5129" max="5129" width="9.7109375" style="111" customWidth="1"/>
    <col min="5130" max="5130" width="10.42578125" style="111" customWidth="1"/>
    <col min="5131" max="5131" width="12.5703125" style="111" customWidth="1"/>
    <col min="5132" max="5132" width="11" style="111" customWidth="1"/>
    <col min="5133" max="5133" width="11.42578125" style="111" customWidth="1"/>
    <col min="5134" max="5134" width="11.85546875" style="111" customWidth="1"/>
    <col min="5135" max="5135" width="15" style="111" customWidth="1"/>
    <col min="5136" max="5376" width="9.140625" style="111"/>
    <col min="5377" max="5377" width="16.42578125" style="111" customWidth="1"/>
    <col min="5378" max="5378" width="12" style="111" customWidth="1"/>
    <col min="5379" max="5379" width="11.85546875" style="111" customWidth="1"/>
    <col min="5380" max="5380" width="11.5703125" style="111" customWidth="1"/>
    <col min="5381" max="5381" width="12" style="111" customWidth="1"/>
    <col min="5382" max="5382" width="11.140625" style="111" customWidth="1"/>
    <col min="5383" max="5383" width="10.7109375" style="111" customWidth="1"/>
    <col min="5384" max="5384" width="9.85546875" style="111" customWidth="1"/>
    <col min="5385" max="5385" width="9.7109375" style="111" customWidth="1"/>
    <col min="5386" max="5386" width="10.42578125" style="111" customWidth="1"/>
    <col min="5387" max="5387" width="12.5703125" style="111" customWidth="1"/>
    <col min="5388" max="5388" width="11" style="111" customWidth="1"/>
    <col min="5389" max="5389" width="11.42578125" style="111" customWidth="1"/>
    <col min="5390" max="5390" width="11.85546875" style="111" customWidth="1"/>
    <col min="5391" max="5391" width="15" style="111" customWidth="1"/>
    <col min="5392" max="5632" width="9.140625" style="111"/>
    <col min="5633" max="5633" width="16.42578125" style="111" customWidth="1"/>
    <col min="5634" max="5634" width="12" style="111" customWidth="1"/>
    <col min="5635" max="5635" width="11.85546875" style="111" customWidth="1"/>
    <col min="5636" max="5636" width="11.5703125" style="111" customWidth="1"/>
    <col min="5637" max="5637" width="12" style="111" customWidth="1"/>
    <col min="5638" max="5638" width="11.140625" style="111" customWidth="1"/>
    <col min="5639" max="5639" width="10.7109375" style="111" customWidth="1"/>
    <col min="5640" max="5640" width="9.85546875" style="111" customWidth="1"/>
    <col min="5641" max="5641" width="9.7109375" style="111" customWidth="1"/>
    <col min="5642" max="5642" width="10.42578125" style="111" customWidth="1"/>
    <col min="5643" max="5643" width="12.5703125" style="111" customWidth="1"/>
    <col min="5644" max="5644" width="11" style="111" customWidth="1"/>
    <col min="5645" max="5645" width="11.42578125" style="111" customWidth="1"/>
    <col min="5646" max="5646" width="11.85546875" style="111" customWidth="1"/>
    <col min="5647" max="5647" width="15" style="111" customWidth="1"/>
    <col min="5648" max="5888" width="9.140625" style="111"/>
    <col min="5889" max="5889" width="16.42578125" style="111" customWidth="1"/>
    <col min="5890" max="5890" width="12" style="111" customWidth="1"/>
    <col min="5891" max="5891" width="11.85546875" style="111" customWidth="1"/>
    <col min="5892" max="5892" width="11.5703125" style="111" customWidth="1"/>
    <col min="5893" max="5893" width="12" style="111" customWidth="1"/>
    <col min="5894" max="5894" width="11.140625" style="111" customWidth="1"/>
    <col min="5895" max="5895" width="10.7109375" style="111" customWidth="1"/>
    <col min="5896" max="5896" width="9.85546875" style="111" customWidth="1"/>
    <col min="5897" max="5897" width="9.7109375" style="111" customWidth="1"/>
    <col min="5898" max="5898" width="10.42578125" style="111" customWidth="1"/>
    <col min="5899" max="5899" width="12.5703125" style="111" customWidth="1"/>
    <col min="5900" max="5900" width="11" style="111" customWidth="1"/>
    <col min="5901" max="5901" width="11.42578125" style="111" customWidth="1"/>
    <col min="5902" max="5902" width="11.85546875" style="111" customWidth="1"/>
    <col min="5903" max="5903" width="15" style="111" customWidth="1"/>
    <col min="5904" max="6144" width="9.140625" style="111"/>
    <col min="6145" max="6145" width="16.42578125" style="111" customWidth="1"/>
    <col min="6146" max="6146" width="12" style="111" customWidth="1"/>
    <col min="6147" max="6147" width="11.85546875" style="111" customWidth="1"/>
    <col min="6148" max="6148" width="11.5703125" style="111" customWidth="1"/>
    <col min="6149" max="6149" width="12" style="111" customWidth="1"/>
    <col min="6150" max="6150" width="11.140625" style="111" customWidth="1"/>
    <col min="6151" max="6151" width="10.7109375" style="111" customWidth="1"/>
    <col min="6152" max="6152" width="9.85546875" style="111" customWidth="1"/>
    <col min="6153" max="6153" width="9.7109375" style="111" customWidth="1"/>
    <col min="6154" max="6154" width="10.42578125" style="111" customWidth="1"/>
    <col min="6155" max="6155" width="12.5703125" style="111" customWidth="1"/>
    <col min="6156" max="6156" width="11" style="111" customWidth="1"/>
    <col min="6157" max="6157" width="11.42578125" style="111" customWidth="1"/>
    <col min="6158" max="6158" width="11.85546875" style="111" customWidth="1"/>
    <col min="6159" max="6159" width="15" style="111" customWidth="1"/>
    <col min="6160" max="6400" width="9.140625" style="111"/>
    <col min="6401" max="6401" width="16.42578125" style="111" customWidth="1"/>
    <col min="6402" max="6402" width="12" style="111" customWidth="1"/>
    <col min="6403" max="6403" width="11.85546875" style="111" customWidth="1"/>
    <col min="6404" max="6404" width="11.5703125" style="111" customWidth="1"/>
    <col min="6405" max="6405" width="12" style="111" customWidth="1"/>
    <col min="6406" max="6406" width="11.140625" style="111" customWidth="1"/>
    <col min="6407" max="6407" width="10.7109375" style="111" customWidth="1"/>
    <col min="6408" max="6408" width="9.85546875" style="111" customWidth="1"/>
    <col min="6409" max="6409" width="9.7109375" style="111" customWidth="1"/>
    <col min="6410" max="6410" width="10.42578125" style="111" customWidth="1"/>
    <col min="6411" max="6411" width="12.5703125" style="111" customWidth="1"/>
    <col min="6412" max="6412" width="11" style="111" customWidth="1"/>
    <col min="6413" max="6413" width="11.42578125" style="111" customWidth="1"/>
    <col min="6414" max="6414" width="11.85546875" style="111" customWidth="1"/>
    <col min="6415" max="6415" width="15" style="111" customWidth="1"/>
    <col min="6416" max="6656" width="9.140625" style="111"/>
    <col min="6657" max="6657" width="16.42578125" style="111" customWidth="1"/>
    <col min="6658" max="6658" width="12" style="111" customWidth="1"/>
    <col min="6659" max="6659" width="11.85546875" style="111" customWidth="1"/>
    <col min="6660" max="6660" width="11.5703125" style="111" customWidth="1"/>
    <col min="6661" max="6661" width="12" style="111" customWidth="1"/>
    <col min="6662" max="6662" width="11.140625" style="111" customWidth="1"/>
    <col min="6663" max="6663" width="10.7109375" style="111" customWidth="1"/>
    <col min="6664" max="6664" width="9.85546875" style="111" customWidth="1"/>
    <col min="6665" max="6665" width="9.7109375" style="111" customWidth="1"/>
    <col min="6666" max="6666" width="10.42578125" style="111" customWidth="1"/>
    <col min="6667" max="6667" width="12.5703125" style="111" customWidth="1"/>
    <col min="6668" max="6668" width="11" style="111" customWidth="1"/>
    <col min="6669" max="6669" width="11.42578125" style="111" customWidth="1"/>
    <col min="6670" max="6670" width="11.85546875" style="111" customWidth="1"/>
    <col min="6671" max="6671" width="15" style="111" customWidth="1"/>
    <col min="6672" max="6912" width="9.140625" style="111"/>
    <col min="6913" max="6913" width="16.42578125" style="111" customWidth="1"/>
    <col min="6914" max="6914" width="12" style="111" customWidth="1"/>
    <col min="6915" max="6915" width="11.85546875" style="111" customWidth="1"/>
    <col min="6916" max="6916" width="11.5703125" style="111" customWidth="1"/>
    <col min="6917" max="6917" width="12" style="111" customWidth="1"/>
    <col min="6918" max="6918" width="11.140625" style="111" customWidth="1"/>
    <col min="6919" max="6919" width="10.7109375" style="111" customWidth="1"/>
    <col min="6920" max="6920" width="9.85546875" style="111" customWidth="1"/>
    <col min="6921" max="6921" width="9.7109375" style="111" customWidth="1"/>
    <col min="6922" max="6922" width="10.42578125" style="111" customWidth="1"/>
    <col min="6923" max="6923" width="12.5703125" style="111" customWidth="1"/>
    <col min="6924" max="6924" width="11" style="111" customWidth="1"/>
    <col min="6925" max="6925" width="11.42578125" style="111" customWidth="1"/>
    <col min="6926" max="6926" width="11.85546875" style="111" customWidth="1"/>
    <col min="6927" max="6927" width="15" style="111" customWidth="1"/>
    <col min="6928" max="7168" width="9.140625" style="111"/>
    <col min="7169" max="7169" width="16.42578125" style="111" customWidth="1"/>
    <col min="7170" max="7170" width="12" style="111" customWidth="1"/>
    <col min="7171" max="7171" width="11.85546875" style="111" customWidth="1"/>
    <col min="7172" max="7172" width="11.5703125" style="111" customWidth="1"/>
    <col min="7173" max="7173" width="12" style="111" customWidth="1"/>
    <col min="7174" max="7174" width="11.140625" style="111" customWidth="1"/>
    <col min="7175" max="7175" width="10.7109375" style="111" customWidth="1"/>
    <col min="7176" max="7176" width="9.85546875" style="111" customWidth="1"/>
    <col min="7177" max="7177" width="9.7109375" style="111" customWidth="1"/>
    <col min="7178" max="7178" width="10.42578125" style="111" customWidth="1"/>
    <col min="7179" max="7179" width="12.5703125" style="111" customWidth="1"/>
    <col min="7180" max="7180" width="11" style="111" customWidth="1"/>
    <col min="7181" max="7181" width="11.42578125" style="111" customWidth="1"/>
    <col min="7182" max="7182" width="11.85546875" style="111" customWidth="1"/>
    <col min="7183" max="7183" width="15" style="111" customWidth="1"/>
    <col min="7184" max="7424" width="9.140625" style="111"/>
    <col min="7425" max="7425" width="16.42578125" style="111" customWidth="1"/>
    <col min="7426" max="7426" width="12" style="111" customWidth="1"/>
    <col min="7427" max="7427" width="11.85546875" style="111" customWidth="1"/>
    <col min="7428" max="7428" width="11.5703125" style="111" customWidth="1"/>
    <col min="7429" max="7429" width="12" style="111" customWidth="1"/>
    <col min="7430" max="7430" width="11.140625" style="111" customWidth="1"/>
    <col min="7431" max="7431" width="10.7109375" style="111" customWidth="1"/>
    <col min="7432" max="7432" width="9.85546875" style="111" customWidth="1"/>
    <col min="7433" max="7433" width="9.7109375" style="111" customWidth="1"/>
    <col min="7434" max="7434" width="10.42578125" style="111" customWidth="1"/>
    <col min="7435" max="7435" width="12.5703125" style="111" customWidth="1"/>
    <col min="7436" max="7436" width="11" style="111" customWidth="1"/>
    <col min="7437" max="7437" width="11.42578125" style="111" customWidth="1"/>
    <col min="7438" max="7438" width="11.85546875" style="111" customWidth="1"/>
    <col min="7439" max="7439" width="15" style="111" customWidth="1"/>
    <col min="7440" max="7680" width="9.140625" style="111"/>
    <col min="7681" max="7681" width="16.42578125" style="111" customWidth="1"/>
    <col min="7682" max="7682" width="12" style="111" customWidth="1"/>
    <col min="7683" max="7683" width="11.85546875" style="111" customWidth="1"/>
    <col min="7684" max="7684" width="11.5703125" style="111" customWidth="1"/>
    <col min="7685" max="7685" width="12" style="111" customWidth="1"/>
    <col min="7686" max="7686" width="11.140625" style="111" customWidth="1"/>
    <col min="7687" max="7687" width="10.7109375" style="111" customWidth="1"/>
    <col min="7688" max="7688" width="9.85546875" style="111" customWidth="1"/>
    <col min="7689" max="7689" width="9.7109375" style="111" customWidth="1"/>
    <col min="7690" max="7690" width="10.42578125" style="111" customWidth="1"/>
    <col min="7691" max="7691" width="12.5703125" style="111" customWidth="1"/>
    <col min="7692" max="7692" width="11" style="111" customWidth="1"/>
    <col min="7693" max="7693" width="11.42578125" style="111" customWidth="1"/>
    <col min="7694" max="7694" width="11.85546875" style="111" customWidth="1"/>
    <col min="7695" max="7695" width="15" style="111" customWidth="1"/>
    <col min="7696" max="7936" width="9.140625" style="111"/>
    <col min="7937" max="7937" width="16.42578125" style="111" customWidth="1"/>
    <col min="7938" max="7938" width="12" style="111" customWidth="1"/>
    <col min="7939" max="7939" width="11.85546875" style="111" customWidth="1"/>
    <col min="7940" max="7940" width="11.5703125" style="111" customWidth="1"/>
    <col min="7941" max="7941" width="12" style="111" customWidth="1"/>
    <col min="7942" max="7942" width="11.140625" style="111" customWidth="1"/>
    <col min="7943" max="7943" width="10.7109375" style="111" customWidth="1"/>
    <col min="7944" max="7944" width="9.85546875" style="111" customWidth="1"/>
    <col min="7945" max="7945" width="9.7109375" style="111" customWidth="1"/>
    <col min="7946" max="7946" width="10.42578125" style="111" customWidth="1"/>
    <col min="7947" max="7947" width="12.5703125" style="111" customWidth="1"/>
    <col min="7948" max="7948" width="11" style="111" customWidth="1"/>
    <col min="7949" max="7949" width="11.42578125" style="111" customWidth="1"/>
    <col min="7950" max="7950" width="11.85546875" style="111" customWidth="1"/>
    <col min="7951" max="7951" width="15" style="111" customWidth="1"/>
    <col min="7952" max="8192" width="9.140625" style="111"/>
    <col min="8193" max="8193" width="16.42578125" style="111" customWidth="1"/>
    <col min="8194" max="8194" width="12" style="111" customWidth="1"/>
    <col min="8195" max="8195" width="11.85546875" style="111" customWidth="1"/>
    <col min="8196" max="8196" width="11.5703125" style="111" customWidth="1"/>
    <col min="8197" max="8197" width="12" style="111" customWidth="1"/>
    <col min="8198" max="8198" width="11.140625" style="111" customWidth="1"/>
    <col min="8199" max="8199" width="10.7109375" style="111" customWidth="1"/>
    <col min="8200" max="8200" width="9.85546875" style="111" customWidth="1"/>
    <col min="8201" max="8201" width="9.7109375" style="111" customWidth="1"/>
    <col min="8202" max="8202" width="10.42578125" style="111" customWidth="1"/>
    <col min="8203" max="8203" width="12.5703125" style="111" customWidth="1"/>
    <col min="8204" max="8204" width="11" style="111" customWidth="1"/>
    <col min="8205" max="8205" width="11.42578125" style="111" customWidth="1"/>
    <col min="8206" max="8206" width="11.85546875" style="111" customWidth="1"/>
    <col min="8207" max="8207" width="15" style="111" customWidth="1"/>
    <col min="8208" max="8448" width="9.140625" style="111"/>
    <col min="8449" max="8449" width="16.42578125" style="111" customWidth="1"/>
    <col min="8450" max="8450" width="12" style="111" customWidth="1"/>
    <col min="8451" max="8451" width="11.85546875" style="111" customWidth="1"/>
    <col min="8452" max="8452" width="11.5703125" style="111" customWidth="1"/>
    <col min="8453" max="8453" width="12" style="111" customWidth="1"/>
    <col min="8454" max="8454" width="11.140625" style="111" customWidth="1"/>
    <col min="8455" max="8455" width="10.7109375" style="111" customWidth="1"/>
    <col min="8456" max="8456" width="9.85546875" style="111" customWidth="1"/>
    <col min="8457" max="8457" width="9.7109375" style="111" customWidth="1"/>
    <col min="8458" max="8458" width="10.42578125" style="111" customWidth="1"/>
    <col min="8459" max="8459" width="12.5703125" style="111" customWidth="1"/>
    <col min="8460" max="8460" width="11" style="111" customWidth="1"/>
    <col min="8461" max="8461" width="11.42578125" style="111" customWidth="1"/>
    <col min="8462" max="8462" width="11.85546875" style="111" customWidth="1"/>
    <col min="8463" max="8463" width="15" style="111" customWidth="1"/>
    <col min="8464" max="8704" width="9.140625" style="111"/>
    <col min="8705" max="8705" width="16.42578125" style="111" customWidth="1"/>
    <col min="8706" max="8706" width="12" style="111" customWidth="1"/>
    <col min="8707" max="8707" width="11.85546875" style="111" customWidth="1"/>
    <col min="8708" max="8708" width="11.5703125" style="111" customWidth="1"/>
    <col min="8709" max="8709" width="12" style="111" customWidth="1"/>
    <col min="8710" max="8710" width="11.140625" style="111" customWidth="1"/>
    <col min="8711" max="8711" width="10.7109375" style="111" customWidth="1"/>
    <col min="8712" max="8712" width="9.85546875" style="111" customWidth="1"/>
    <col min="8713" max="8713" width="9.7109375" style="111" customWidth="1"/>
    <col min="8714" max="8714" width="10.42578125" style="111" customWidth="1"/>
    <col min="8715" max="8715" width="12.5703125" style="111" customWidth="1"/>
    <col min="8716" max="8716" width="11" style="111" customWidth="1"/>
    <col min="8717" max="8717" width="11.42578125" style="111" customWidth="1"/>
    <col min="8718" max="8718" width="11.85546875" style="111" customWidth="1"/>
    <col min="8719" max="8719" width="15" style="111" customWidth="1"/>
    <col min="8720" max="8960" width="9.140625" style="111"/>
    <col min="8961" max="8961" width="16.42578125" style="111" customWidth="1"/>
    <col min="8962" max="8962" width="12" style="111" customWidth="1"/>
    <col min="8963" max="8963" width="11.85546875" style="111" customWidth="1"/>
    <col min="8964" max="8964" width="11.5703125" style="111" customWidth="1"/>
    <col min="8965" max="8965" width="12" style="111" customWidth="1"/>
    <col min="8966" max="8966" width="11.140625" style="111" customWidth="1"/>
    <col min="8967" max="8967" width="10.7109375" style="111" customWidth="1"/>
    <col min="8968" max="8968" width="9.85546875" style="111" customWidth="1"/>
    <col min="8969" max="8969" width="9.7109375" style="111" customWidth="1"/>
    <col min="8970" max="8970" width="10.42578125" style="111" customWidth="1"/>
    <col min="8971" max="8971" width="12.5703125" style="111" customWidth="1"/>
    <col min="8972" max="8972" width="11" style="111" customWidth="1"/>
    <col min="8973" max="8973" width="11.42578125" style="111" customWidth="1"/>
    <col min="8974" max="8974" width="11.85546875" style="111" customWidth="1"/>
    <col min="8975" max="8975" width="15" style="111" customWidth="1"/>
    <col min="8976" max="9216" width="9.140625" style="111"/>
    <col min="9217" max="9217" width="16.42578125" style="111" customWidth="1"/>
    <col min="9218" max="9218" width="12" style="111" customWidth="1"/>
    <col min="9219" max="9219" width="11.85546875" style="111" customWidth="1"/>
    <col min="9220" max="9220" width="11.5703125" style="111" customWidth="1"/>
    <col min="9221" max="9221" width="12" style="111" customWidth="1"/>
    <col min="9222" max="9222" width="11.140625" style="111" customWidth="1"/>
    <col min="9223" max="9223" width="10.7109375" style="111" customWidth="1"/>
    <col min="9224" max="9224" width="9.85546875" style="111" customWidth="1"/>
    <col min="9225" max="9225" width="9.7109375" style="111" customWidth="1"/>
    <col min="9226" max="9226" width="10.42578125" style="111" customWidth="1"/>
    <col min="9227" max="9227" width="12.5703125" style="111" customWidth="1"/>
    <col min="9228" max="9228" width="11" style="111" customWidth="1"/>
    <col min="9229" max="9229" width="11.42578125" style="111" customWidth="1"/>
    <col min="9230" max="9230" width="11.85546875" style="111" customWidth="1"/>
    <col min="9231" max="9231" width="15" style="111" customWidth="1"/>
    <col min="9232" max="9472" width="9.140625" style="111"/>
    <col min="9473" max="9473" width="16.42578125" style="111" customWidth="1"/>
    <col min="9474" max="9474" width="12" style="111" customWidth="1"/>
    <col min="9475" max="9475" width="11.85546875" style="111" customWidth="1"/>
    <col min="9476" max="9476" width="11.5703125" style="111" customWidth="1"/>
    <col min="9477" max="9477" width="12" style="111" customWidth="1"/>
    <col min="9478" max="9478" width="11.140625" style="111" customWidth="1"/>
    <col min="9479" max="9479" width="10.7109375" style="111" customWidth="1"/>
    <col min="9480" max="9480" width="9.85546875" style="111" customWidth="1"/>
    <col min="9481" max="9481" width="9.7109375" style="111" customWidth="1"/>
    <col min="9482" max="9482" width="10.42578125" style="111" customWidth="1"/>
    <col min="9483" max="9483" width="12.5703125" style="111" customWidth="1"/>
    <col min="9484" max="9484" width="11" style="111" customWidth="1"/>
    <col min="9485" max="9485" width="11.42578125" style="111" customWidth="1"/>
    <col min="9486" max="9486" width="11.85546875" style="111" customWidth="1"/>
    <col min="9487" max="9487" width="15" style="111" customWidth="1"/>
    <col min="9488" max="9728" width="9.140625" style="111"/>
    <col min="9729" max="9729" width="16.42578125" style="111" customWidth="1"/>
    <col min="9730" max="9730" width="12" style="111" customWidth="1"/>
    <col min="9731" max="9731" width="11.85546875" style="111" customWidth="1"/>
    <col min="9732" max="9732" width="11.5703125" style="111" customWidth="1"/>
    <col min="9733" max="9733" width="12" style="111" customWidth="1"/>
    <col min="9734" max="9734" width="11.140625" style="111" customWidth="1"/>
    <col min="9735" max="9735" width="10.7109375" style="111" customWidth="1"/>
    <col min="9736" max="9736" width="9.85546875" style="111" customWidth="1"/>
    <col min="9737" max="9737" width="9.7109375" style="111" customWidth="1"/>
    <col min="9738" max="9738" width="10.42578125" style="111" customWidth="1"/>
    <col min="9739" max="9739" width="12.5703125" style="111" customWidth="1"/>
    <col min="9740" max="9740" width="11" style="111" customWidth="1"/>
    <col min="9741" max="9741" width="11.42578125" style="111" customWidth="1"/>
    <col min="9742" max="9742" width="11.85546875" style="111" customWidth="1"/>
    <col min="9743" max="9743" width="15" style="111" customWidth="1"/>
    <col min="9744" max="9984" width="9.140625" style="111"/>
    <col min="9985" max="9985" width="16.42578125" style="111" customWidth="1"/>
    <col min="9986" max="9986" width="12" style="111" customWidth="1"/>
    <col min="9987" max="9987" width="11.85546875" style="111" customWidth="1"/>
    <col min="9988" max="9988" width="11.5703125" style="111" customWidth="1"/>
    <col min="9989" max="9989" width="12" style="111" customWidth="1"/>
    <col min="9990" max="9990" width="11.140625" style="111" customWidth="1"/>
    <col min="9991" max="9991" width="10.7109375" style="111" customWidth="1"/>
    <col min="9992" max="9992" width="9.85546875" style="111" customWidth="1"/>
    <col min="9993" max="9993" width="9.7109375" style="111" customWidth="1"/>
    <col min="9994" max="9994" width="10.42578125" style="111" customWidth="1"/>
    <col min="9995" max="9995" width="12.5703125" style="111" customWidth="1"/>
    <col min="9996" max="9996" width="11" style="111" customWidth="1"/>
    <col min="9997" max="9997" width="11.42578125" style="111" customWidth="1"/>
    <col min="9998" max="9998" width="11.85546875" style="111" customWidth="1"/>
    <col min="9999" max="9999" width="15" style="111" customWidth="1"/>
    <col min="10000" max="10240" width="9.140625" style="111"/>
    <col min="10241" max="10241" width="16.42578125" style="111" customWidth="1"/>
    <col min="10242" max="10242" width="12" style="111" customWidth="1"/>
    <col min="10243" max="10243" width="11.85546875" style="111" customWidth="1"/>
    <col min="10244" max="10244" width="11.5703125" style="111" customWidth="1"/>
    <col min="10245" max="10245" width="12" style="111" customWidth="1"/>
    <col min="10246" max="10246" width="11.140625" style="111" customWidth="1"/>
    <col min="10247" max="10247" width="10.7109375" style="111" customWidth="1"/>
    <col min="10248" max="10248" width="9.85546875" style="111" customWidth="1"/>
    <col min="10249" max="10249" width="9.7109375" style="111" customWidth="1"/>
    <col min="10250" max="10250" width="10.42578125" style="111" customWidth="1"/>
    <col min="10251" max="10251" width="12.5703125" style="111" customWidth="1"/>
    <col min="10252" max="10252" width="11" style="111" customWidth="1"/>
    <col min="10253" max="10253" width="11.42578125" style="111" customWidth="1"/>
    <col min="10254" max="10254" width="11.85546875" style="111" customWidth="1"/>
    <col min="10255" max="10255" width="15" style="111" customWidth="1"/>
    <col min="10256" max="10496" width="9.140625" style="111"/>
    <col min="10497" max="10497" width="16.42578125" style="111" customWidth="1"/>
    <col min="10498" max="10498" width="12" style="111" customWidth="1"/>
    <col min="10499" max="10499" width="11.85546875" style="111" customWidth="1"/>
    <col min="10500" max="10500" width="11.5703125" style="111" customWidth="1"/>
    <col min="10501" max="10501" width="12" style="111" customWidth="1"/>
    <col min="10502" max="10502" width="11.140625" style="111" customWidth="1"/>
    <col min="10503" max="10503" width="10.7109375" style="111" customWidth="1"/>
    <col min="10504" max="10504" width="9.85546875" style="111" customWidth="1"/>
    <col min="10505" max="10505" width="9.7109375" style="111" customWidth="1"/>
    <col min="10506" max="10506" width="10.42578125" style="111" customWidth="1"/>
    <col min="10507" max="10507" width="12.5703125" style="111" customWidth="1"/>
    <col min="10508" max="10508" width="11" style="111" customWidth="1"/>
    <col min="10509" max="10509" width="11.42578125" style="111" customWidth="1"/>
    <col min="10510" max="10510" width="11.85546875" style="111" customWidth="1"/>
    <col min="10511" max="10511" width="15" style="111" customWidth="1"/>
    <col min="10512" max="10752" width="9.140625" style="111"/>
    <col min="10753" max="10753" width="16.42578125" style="111" customWidth="1"/>
    <col min="10754" max="10754" width="12" style="111" customWidth="1"/>
    <col min="10755" max="10755" width="11.85546875" style="111" customWidth="1"/>
    <col min="10756" max="10756" width="11.5703125" style="111" customWidth="1"/>
    <col min="10757" max="10757" width="12" style="111" customWidth="1"/>
    <col min="10758" max="10758" width="11.140625" style="111" customWidth="1"/>
    <col min="10759" max="10759" width="10.7109375" style="111" customWidth="1"/>
    <col min="10760" max="10760" width="9.85546875" style="111" customWidth="1"/>
    <col min="10761" max="10761" width="9.7109375" style="111" customWidth="1"/>
    <col min="10762" max="10762" width="10.42578125" style="111" customWidth="1"/>
    <col min="10763" max="10763" width="12.5703125" style="111" customWidth="1"/>
    <col min="10764" max="10764" width="11" style="111" customWidth="1"/>
    <col min="10765" max="10765" width="11.42578125" style="111" customWidth="1"/>
    <col min="10766" max="10766" width="11.85546875" style="111" customWidth="1"/>
    <col min="10767" max="10767" width="15" style="111" customWidth="1"/>
    <col min="10768" max="11008" width="9.140625" style="111"/>
    <col min="11009" max="11009" width="16.42578125" style="111" customWidth="1"/>
    <col min="11010" max="11010" width="12" style="111" customWidth="1"/>
    <col min="11011" max="11011" width="11.85546875" style="111" customWidth="1"/>
    <col min="11012" max="11012" width="11.5703125" style="111" customWidth="1"/>
    <col min="11013" max="11013" width="12" style="111" customWidth="1"/>
    <col min="11014" max="11014" width="11.140625" style="111" customWidth="1"/>
    <col min="11015" max="11015" width="10.7109375" style="111" customWidth="1"/>
    <col min="11016" max="11016" width="9.85546875" style="111" customWidth="1"/>
    <col min="11017" max="11017" width="9.7109375" style="111" customWidth="1"/>
    <col min="11018" max="11018" width="10.42578125" style="111" customWidth="1"/>
    <col min="11019" max="11019" width="12.5703125" style="111" customWidth="1"/>
    <col min="11020" max="11020" width="11" style="111" customWidth="1"/>
    <col min="11021" max="11021" width="11.42578125" style="111" customWidth="1"/>
    <col min="11022" max="11022" width="11.85546875" style="111" customWidth="1"/>
    <col min="11023" max="11023" width="15" style="111" customWidth="1"/>
    <col min="11024" max="11264" width="9.140625" style="111"/>
    <col min="11265" max="11265" width="16.42578125" style="111" customWidth="1"/>
    <col min="11266" max="11266" width="12" style="111" customWidth="1"/>
    <col min="11267" max="11267" width="11.85546875" style="111" customWidth="1"/>
    <col min="11268" max="11268" width="11.5703125" style="111" customWidth="1"/>
    <col min="11269" max="11269" width="12" style="111" customWidth="1"/>
    <col min="11270" max="11270" width="11.140625" style="111" customWidth="1"/>
    <col min="11271" max="11271" width="10.7109375" style="111" customWidth="1"/>
    <col min="11272" max="11272" width="9.85546875" style="111" customWidth="1"/>
    <col min="11273" max="11273" width="9.7109375" style="111" customWidth="1"/>
    <col min="11274" max="11274" width="10.42578125" style="111" customWidth="1"/>
    <col min="11275" max="11275" width="12.5703125" style="111" customWidth="1"/>
    <col min="11276" max="11276" width="11" style="111" customWidth="1"/>
    <col min="11277" max="11277" width="11.42578125" style="111" customWidth="1"/>
    <col min="11278" max="11278" width="11.85546875" style="111" customWidth="1"/>
    <col min="11279" max="11279" width="15" style="111" customWidth="1"/>
    <col min="11280" max="11520" width="9.140625" style="111"/>
    <col min="11521" max="11521" width="16.42578125" style="111" customWidth="1"/>
    <col min="11522" max="11522" width="12" style="111" customWidth="1"/>
    <col min="11523" max="11523" width="11.85546875" style="111" customWidth="1"/>
    <col min="11524" max="11524" width="11.5703125" style="111" customWidth="1"/>
    <col min="11525" max="11525" width="12" style="111" customWidth="1"/>
    <col min="11526" max="11526" width="11.140625" style="111" customWidth="1"/>
    <col min="11527" max="11527" width="10.7109375" style="111" customWidth="1"/>
    <col min="11528" max="11528" width="9.85546875" style="111" customWidth="1"/>
    <col min="11529" max="11529" width="9.7109375" style="111" customWidth="1"/>
    <col min="11530" max="11530" width="10.42578125" style="111" customWidth="1"/>
    <col min="11531" max="11531" width="12.5703125" style="111" customWidth="1"/>
    <col min="11532" max="11532" width="11" style="111" customWidth="1"/>
    <col min="11533" max="11533" width="11.42578125" style="111" customWidth="1"/>
    <col min="11534" max="11534" width="11.85546875" style="111" customWidth="1"/>
    <col min="11535" max="11535" width="15" style="111" customWidth="1"/>
    <col min="11536" max="11776" width="9.140625" style="111"/>
    <col min="11777" max="11777" width="16.42578125" style="111" customWidth="1"/>
    <col min="11778" max="11778" width="12" style="111" customWidth="1"/>
    <col min="11779" max="11779" width="11.85546875" style="111" customWidth="1"/>
    <col min="11780" max="11780" width="11.5703125" style="111" customWidth="1"/>
    <col min="11781" max="11781" width="12" style="111" customWidth="1"/>
    <col min="11782" max="11782" width="11.140625" style="111" customWidth="1"/>
    <col min="11783" max="11783" width="10.7109375" style="111" customWidth="1"/>
    <col min="11784" max="11784" width="9.85546875" style="111" customWidth="1"/>
    <col min="11785" max="11785" width="9.7109375" style="111" customWidth="1"/>
    <col min="11786" max="11786" width="10.42578125" style="111" customWidth="1"/>
    <col min="11787" max="11787" width="12.5703125" style="111" customWidth="1"/>
    <col min="11788" max="11788" width="11" style="111" customWidth="1"/>
    <col min="11789" max="11789" width="11.42578125" style="111" customWidth="1"/>
    <col min="11790" max="11790" width="11.85546875" style="111" customWidth="1"/>
    <col min="11791" max="11791" width="15" style="111" customWidth="1"/>
    <col min="11792" max="12032" width="9.140625" style="111"/>
    <col min="12033" max="12033" width="16.42578125" style="111" customWidth="1"/>
    <col min="12034" max="12034" width="12" style="111" customWidth="1"/>
    <col min="12035" max="12035" width="11.85546875" style="111" customWidth="1"/>
    <col min="12036" max="12036" width="11.5703125" style="111" customWidth="1"/>
    <col min="12037" max="12037" width="12" style="111" customWidth="1"/>
    <col min="12038" max="12038" width="11.140625" style="111" customWidth="1"/>
    <col min="12039" max="12039" width="10.7109375" style="111" customWidth="1"/>
    <col min="12040" max="12040" width="9.85546875" style="111" customWidth="1"/>
    <col min="12041" max="12041" width="9.7109375" style="111" customWidth="1"/>
    <col min="12042" max="12042" width="10.42578125" style="111" customWidth="1"/>
    <col min="12043" max="12043" width="12.5703125" style="111" customWidth="1"/>
    <col min="12044" max="12044" width="11" style="111" customWidth="1"/>
    <col min="12045" max="12045" width="11.42578125" style="111" customWidth="1"/>
    <col min="12046" max="12046" width="11.85546875" style="111" customWidth="1"/>
    <col min="12047" max="12047" width="15" style="111" customWidth="1"/>
    <col min="12048" max="12288" width="9.140625" style="111"/>
    <col min="12289" max="12289" width="16.42578125" style="111" customWidth="1"/>
    <col min="12290" max="12290" width="12" style="111" customWidth="1"/>
    <col min="12291" max="12291" width="11.85546875" style="111" customWidth="1"/>
    <col min="12292" max="12292" width="11.5703125" style="111" customWidth="1"/>
    <col min="12293" max="12293" width="12" style="111" customWidth="1"/>
    <col min="12294" max="12294" width="11.140625" style="111" customWidth="1"/>
    <col min="12295" max="12295" width="10.7109375" style="111" customWidth="1"/>
    <col min="12296" max="12296" width="9.85546875" style="111" customWidth="1"/>
    <col min="12297" max="12297" width="9.7109375" style="111" customWidth="1"/>
    <col min="12298" max="12298" width="10.42578125" style="111" customWidth="1"/>
    <col min="12299" max="12299" width="12.5703125" style="111" customWidth="1"/>
    <col min="12300" max="12300" width="11" style="111" customWidth="1"/>
    <col min="12301" max="12301" width="11.42578125" style="111" customWidth="1"/>
    <col min="12302" max="12302" width="11.85546875" style="111" customWidth="1"/>
    <col min="12303" max="12303" width="15" style="111" customWidth="1"/>
    <col min="12304" max="12544" width="9.140625" style="111"/>
    <col min="12545" max="12545" width="16.42578125" style="111" customWidth="1"/>
    <col min="12546" max="12546" width="12" style="111" customWidth="1"/>
    <col min="12547" max="12547" width="11.85546875" style="111" customWidth="1"/>
    <col min="12548" max="12548" width="11.5703125" style="111" customWidth="1"/>
    <col min="12549" max="12549" width="12" style="111" customWidth="1"/>
    <col min="12550" max="12550" width="11.140625" style="111" customWidth="1"/>
    <col min="12551" max="12551" width="10.7109375" style="111" customWidth="1"/>
    <col min="12552" max="12552" width="9.85546875" style="111" customWidth="1"/>
    <col min="12553" max="12553" width="9.7109375" style="111" customWidth="1"/>
    <col min="12554" max="12554" width="10.42578125" style="111" customWidth="1"/>
    <col min="12555" max="12555" width="12.5703125" style="111" customWidth="1"/>
    <col min="12556" max="12556" width="11" style="111" customWidth="1"/>
    <col min="12557" max="12557" width="11.42578125" style="111" customWidth="1"/>
    <col min="12558" max="12558" width="11.85546875" style="111" customWidth="1"/>
    <col min="12559" max="12559" width="15" style="111" customWidth="1"/>
    <col min="12560" max="12800" width="9.140625" style="111"/>
    <col min="12801" max="12801" width="16.42578125" style="111" customWidth="1"/>
    <col min="12802" max="12802" width="12" style="111" customWidth="1"/>
    <col min="12803" max="12803" width="11.85546875" style="111" customWidth="1"/>
    <col min="12804" max="12804" width="11.5703125" style="111" customWidth="1"/>
    <col min="12805" max="12805" width="12" style="111" customWidth="1"/>
    <col min="12806" max="12806" width="11.140625" style="111" customWidth="1"/>
    <col min="12807" max="12807" width="10.7109375" style="111" customWidth="1"/>
    <col min="12808" max="12808" width="9.85546875" style="111" customWidth="1"/>
    <col min="12809" max="12809" width="9.7109375" style="111" customWidth="1"/>
    <col min="12810" max="12810" width="10.42578125" style="111" customWidth="1"/>
    <col min="12811" max="12811" width="12.5703125" style="111" customWidth="1"/>
    <col min="12812" max="12812" width="11" style="111" customWidth="1"/>
    <col min="12813" max="12813" width="11.42578125" style="111" customWidth="1"/>
    <col min="12814" max="12814" width="11.85546875" style="111" customWidth="1"/>
    <col min="12815" max="12815" width="15" style="111" customWidth="1"/>
    <col min="12816" max="13056" width="9.140625" style="111"/>
    <col min="13057" max="13057" width="16.42578125" style="111" customWidth="1"/>
    <col min="13058" max="13058" width="12" style="111" customWidth="1"/>
    <col min="13059" max="13059" width="11.85546875" style="111" customWidth="1"/>
    <col min="13060" max="13060" width="11.5703125" style="111" customWidth="1"/>
    <col min="13061" max="13061" width="12" style="111" customWidth="1"/>
    <col min="13062" max="13062" width="11.140625" style="111" customWidth="1"/>
    <col min="13063" max="13063" width="10.7109375" style="111" customWidth="1"/>
    <col min="13064" max="13064" width="9.85546875" style="111" customWidth="1"/>
    <col min="13065" max="13065" width="9.7109375" style="111" customWidth="1"/>
    <col min="13066" max="13066" width="10.42578125" style="111" customWidth="1"/>
    <col min="13067" max="13067" width="12.5703125" style="111" customWidth="1"/>
    <col min="13068" max="13068" width="11" style="111" customWidth="1"/>
    <col min="13069" max="13069" width="11.42578125" style="111" customWidth="1"/>
    <col min="13070" max="13070" width="11.85546875" style="111" customWidth="1"/>
    <col min="13071" max="13071" width="15" style="111" customWidth="1"/>
    <col min="13072" max="13312" width="9.140625" style="111"/>
    <col min="13313" max="13313" width="16.42578125" style="111" customWidth="1"/>
    <col min="13314" max="13314" width="12" style="111" customWidth="1"/>
    <col min="13315" max="13315" width="11.85546875" style="111" customWidth="1"/>
    <col min="13316" max="13316" width="11.5703125" style="111" customWidth="1"/>
    <col min="13317" max="13317" width="12" style="111" customWidth="1"/>
    <col min="13318" max="13318" width="11.140625" style="111" customWidth="1"/>
    <col min="13319" max="13319" width="10.7109375" style="111" customWidth="1"/>
    <col min="13320" max="13320" width="9.85546875" style="111" customWidth="1"/>
    <col min="13321" max="13321" width="9.7109375" style="111" customWidth="1"/>
    <col min="13322" max="13322" width="10.42578125" style="111" customWidth="1"/>
    <col min="13323" max="13323" width="12.5703125" style="111" customWidth="1"/>
    <col min="13324" max="13324" width="11" style="111" customWidth="1"/>
    <col min="13325" max="13325" width="11.42578125" style="111" customWidth="1"/>
    <col min="13326" max="13326" width="11.85546875" style="111" customWidth="1"/>
    <col min="13327" max="13327" width="15" style="111" customWidth="1"/>
    <col min="13328" max="13568" width="9.140625" style="111"/>
    <col min="13569" max="13569" width="16.42578125" style="111" customWidth="1"/>
    <col min="13570" max="13570" width="12" style="111" customWidth="1"/>
    <col min="13571" max="13571" width="11.85546875" style="111" customWidth="1"/>
    <col min="13572" max="13572" width="11.5703125" style="111" customWidth="1"/>
    <col min="13573" max="13573" width="12" style="111" customWidth="1"/>
    <col min="13574" max="13574" width="11.140625" style="111" customWidth="1"/>
    <col min="13575" max="13575" width="10.7109375" style="111" customWidth="1"/>
    <col min="13576" max="13576" width="9.85546875" style="111" customWidth="1"/>
    <col min="13577" max="13577" width="9.7109375" style="111" customWidth="1"/>
    <col min="13578" max="13578" width="10.42578125" style="111" customWidth="1"/>
    <col min="13579" max="13579" width="12.5703125" style="111" customWidth="1"/>
    <col min="13580" max="13580" width="11" style="111" customWidth="1"/>
    <col min="13581" max="13581" width="11.42578125" style="111" customWidth="1"/>
    <col min="13582" max="13582" width="11.85546875" style="111" customWidth="1"/>
    <col min="13583" max="13583" width="15" style="111" customWidth="1"/>
    <col min="13584" max="13824" width="9.140625" style="111"/>
    <col min="13825" max="13825" width="16.42578125" style="111" customWidth="1"/>
    <col min="13826" max="13826" width="12" style="111" customWidth="1"/>
    <col min="13827" max="13827" width="11.85546875" style="111" customWidth="1"/>
    <col min="13828" max="13828" width="11.5703125" style="111" customWidth="1"/>
    <col min="13829" max="13829" width="12" style="111" customWidth="1"/>
    <col min="13830" max="13830" width="11.140625" style="111" customWidth="1"/>
    <col min="13831" max="13831" width="10.7109375" style="111" customWidth="1"/>
    <col min="13832" max="13832" width="9.85546875" style="111" customWidth="1"/>
    <col min="13833" max="13833" width="9.7109375" style="111" customWidth="1"/>
    <col min="13834" max="13834" width="10.42578125" style="111" customWidth="1"/>
    <col min="13835" max="13835" width="12.5703125" style="111" customWidth="1"/>
    <col min="13836" max="13836" width="11" style="111" customWidth="1"/>
    <col min="13837" max="13837" width="11.42578125" style="111" customWidth="1"/>
    <col min="13838" max="13838" width="11.85546875" style="111" customWidth="1"/>
    <col min="13839" max="13839" width="15" style="111" customWidth="1"/>
    <col min="13840" max="14080" width="9.140625" style="111"/>
    <col min="14081" max="14081" width="16.42578125" style="111" customWidth="1"/>
    <col min="14082" max="14082" width="12" style="111" customWidth="1"/>
    <col min="14083" max="14083" width="11.85546875" style="111" customWidth="1"/>
    <col min="14084" max="14084" width="11.5703125" style="111" customWidth="1"/>
    <col min="14085" max="14085" width="12" style="111" customWidth="1"/>
    <col min="14086" max="14086" width="11.140625" style="111" customWidth="1"/>
    <col min="14087" max="14087" width="10.7109375" style="111" customWidth="1"/>
    <col min="14088" max="14088" width="9.85546875" style="111" customWidth="1"/>
    <col min="14089" max="14089" width="9.7109375" style="111" customWidth="1"/>
    <col min="14090" max="14090" width="10.42578125" style="111" customWidth="1"/>
    <col min="14091" max="14091" width="12.5703125" style="111" customWidth="1"/>
    <col min="14092" max="14092" width="11" style="111" customWidth="1"/>
    <col min="14093" max="14093" width="11.42578125" style="111" customWidth="1"/>
    <col min="14094" max="14094" width="11.85546875" style="111" customWidth="1"/>
    <col min="14095" max="14095" width="15" style="111" customWidth="1"/>
    <col min="14096" max="14336" width="9.140625" style="111"/>
    <col min="14337" max="14337" width="16.42578125" style="111" customWidth="1"/>
    <col min="14338" max="14338" width="12" style="111" customWidth="1"/>
    <col min="14339" max="14339" width="11.85546875" style="111" customWidth="1"/>
    <col min="14340" max="14340" width="11.5703125" style="111" customWidth="1"/>
    <col min="14341" max="14341" width="12" style="111" customWidth="1"/>
    <col min="14342" max="14342" width="11.140625" style="111" customWidth="1"/>
    <col min="14343" max="14343" width="10.7109375" style="111" customWidth="1"/>
    <col min="14344" max="14344" width="9.85546875" style="111" customWidth="1"/>
    <col min="14345" max="14345" width="9.7109375" style="111" customWidth="1"/>
    <col min="14346" max="14346" width="10.42578125" style="111" customWidth="1"/>
    <col min="14347" max="14347" width="12.5703125" style="111" customWidth="1"/>
    <col min="14348" max="14348" width="11" style="111" customWidth="1"/>
    <col min="14349" max="14349" width="11.42578125" style="111" customWidth="1"/>
    <col min="14350" max="14350" width="11.85546875" style="111" customWidth="1"/>
    <col min="14351" max="14351" width="15" style="111" customWidth="1"/>
    <col min="14352" max="14592" width="9.140625" style="111"/>
    <col min="14593" max="14593" width="16.42578125" style="111" customWidth="1"/>
    <col min="14594" max="14594" width="12" style="111" customWidth="1"/>
    <col min="14595" max="14595" width="11.85546875" style="111" customWidth="1"/>
    <col min="14596" max="14596" width="11.5703125" style="111" customWidth="1"/>
    <col min="14597" max="14597" width="12" style="111" customWidth="1"/>
    <col min="14598" max="14598" width="11.140625" style="111" customWidth="1"/>
    <col min="14599" max="14599" width="10.7109375" style="111" customWidth="1"/>
    <col min="14600" max="14600" width="9.85546875" style="111" customWidth="1"/>
    <col min="14601" max="14601" width="9.7109375" style="111" customWidth="1"/>
    <col min="14602" max="14602" width="10.42578125" style="111" customWidth="1"/>
    <col min="14603" max="14603" width="12.5703125" style="111" customWidth="1"/>
    <col min="14604" max="14604" width="11" style="111" customWidth="1"/>
    <col min="14605" max="14605" width="11.42578125" style="111" customWidth="1"/>
    <col min="14606" max="14606" width="11.85546875" style="111" customWidth="1"/>
    <col min="14607" max="14607" width="15" style="111" customWidth="1"/>
    <col min="14608" max="14848" width="9.140625" style="111"/>
    <col min="14849" max="14849" width="16.42578125" style="111" customWidth="1"/>
    <col min="14850" max="14850" width="12" style="111" customWidth="1"/>
    <col min="14851" max="14851" width="11.85546875" style="111" customWidth="1"/>
    <col min="14852" max="14852" width="11.5703125" style="111" customWidth="1"/>
    <col min="14853" max="14853" width="12" style="111" customWidth="1"/>
    <col min="14854" max="14854" width="11.140625" style="111" customWidth="1"/>
    <col min="14855" max="14855" width="10.7109375" style="111" customWidth="1"/>
    <col min="14856" max="14856" width="9.85546875" style="111" customWidth="1"/>
    <col min="14857" max="14857" width="9.7109375" style="111" customWidth="1"/>
    <col min="14858" max="14858" width="10.42578125" style="111" customWidth="1"/>
    <col min="14859" max="14859" width="12.5703125" style="111" customWidth="1"/>
    <col min="14860" max="14860" width="11" style="111" customWidth="1"/>
    <col min="14861" max="14861" width="11.42578125" style="111" customWidth="1"/>
    <col min="14862" max="14862" width="11.85546875" style="111" customWidth="1"/>
    <col min="14863" max="14863" width="15" style="111" customWidth="1"/>
    <col min="14864" max="15104" width="9.140625" style="111"/>
    <col min="15105" max="15105" width="16.42578125" style="111" customWidth="1"/>
    <col min="15106" max="15106" width="12" style="111" customWidth="1"/>
    <col min="15107" max="15107" width="11.85546875" style="111" customWidth="1"/>
    <col min="15108" max="15108" width="11.5703125" style="111" customWidth="1"/>
    <col min="15109" max="15109" width="12" style="111" customWidth="1"/>
    <col min="15110" max="15110" width="11.140625" style="111" customWidth="1"/>
    <col min="15111" max="15111" width="10.7109375" style="111" customWidth="1"/>
    <col min="15112" max="15112" width="9.85546875" style="111" customWidth="1"/>
    <col min="15113" max="15113" width="9.7109375" style="111" customWidth="1"/>
    <col min="15114" max="15114" width="10.42578125" style="111" customWidth="1"/>
    <col min="15115" max="15115" width="12.5703125" style="111" customWidth="1"/>
    <col min="15116" max="15116" width="11" style="111" customWidth="1"/>
    <col min="15117" max="15117" width="11.42578125" style="111" customWidth="1"/>
    <col min="15118" max="15118" width="11.85546875" style="111" customWidth="1"/>
    <col min="15119" max="15119" width="15" style="111" customWidth="1"/>
    <col min="15120" max="15360" width="9.140625" style="111"/>
    <col min="15361" max="15361" width="16.42578125" style="111" customWidth="1"/>
    <col min="15362" max="15362" width="12" style="111" customWidth="1"/>
    <col min="15363" max="15363" width="11.85546875" style="111" customWidth="1"/>
    <col min="15364" max="15364" width="11.5703125" style="111" customWidth="1"/>
    <col min="15365" max="15365" width="12" style="111" customWidth="1"/>
    <col min="15366" max="15366" width="11.140625" style="111" customWidth="1"/>
    <col min="15367" max="15367" width="10.7109375" style="111" customWidth="1"/>
    <col min="15368" max="15368" width="9.85546875" style="111" customWidth="1"/>
    <col min="15369" max="15369" width="9.7109375" style="111" customWidth="1"/>
    <col min="15370" max="15370" width="10.42578125" style="111" customWidth="1"/>
    <col min="15371" max="15371" width="12.5703125" style="111" customWidth="1"/>
    <col min="15372" max="15372" width="11" style="111" customWidth="1"/>
    <col min="15373" max="15373" width="11.42578125" style="111" customWidth="1"/>
    <col min="15374" max="15374" width="11.85546875" style="111" customWidth="1"/>
    <col min="15375" max="15375" width="15" style="111" customWidth="1"/>
    <col min="15376" max="15616" width="9.140625" style="111"/>
    <col min="15617" max="15617" width="16.42578125" style="111" customWidth="1"/>
    <col min="15618" max="15618" width="12" style="111" customWidth="1"/>
    <col min="15619" max="15619" width="11.85546875" style="111" customWidth="1"/>
    <col min="15620" max="15620" width="11.5703125" style="111" customWidth="1"/>
    <col min="15621" max="15621" width="12" style="111" customWidth="1"/>
    <col min="15622" max="15622" width="11.140625" style="111" customWidth="1"/>
    <col min="15623" max="15623" width="10.7109375" style="111" customWidth="1"/>
    <col min="15624" max="15624" width="9.85546875" style="111" customWidth="1"/>
    <col min="15625" max="15625" width="9.7109375" style="111" customWidth="1"/>
    <col min="15626" max="15626" width="10.42578125" style="111" customWidth="1"/>
    <col min="15627" max="15627" width="12.5703125" style="111" customWidth="1"/>
    <col min="15628" max="15628" width="11" style="111" customWidth="1"/>
    <col min="15629" max="15629" width="11.42578125" style="111" customWidth="1"/>
    <col min="15630" max="15630" width="11.85546875" style="111" customWidth="1"/>
    <col min="15631" max="15631" width="15" style="111" customWidth="1"/>
    <col min="15632" max="15872" width="9.140625" style="111"/>
    <col min="15873" max="15873" width="16.42578125" style="111" customWidth="1"/>
    <col min="15874" max="15874" width="12" style="111" customWidth="1"/>
    <col min="15875" max="15875" width="11.85546875" style="111" customWidth="1"/>
    <col min="15876" max="15876" width="11.5703125" style="111" customWidth="1"/>
    <col min="15877" max="15877" width="12" style="111" customWidth="1"/>
    <col min="15878" max="15878" width="11.140625" style="111" customWidth="1"/>
    <col min="15879" max="15879" width="10.7109375" style="111" customWidth="1"/>
    <col min="15880" max="15880" width="9.85546875" style="111" customWidth="1"/>
    <col min="15881" max="15881" width="9.7109375" style="111" customWidth="1"/>
    <col min="15882" max="15882" width="10.42578125" style="111" customWidth="1"/>
    <col min="15883" max="15883" width="12.5703125" style="111" customWidth="1"/>
    <col min="15884" max="15884" width="11" style="111" customWidth="1"/>
    <col min="15885" max="15885" width="11.42578125" style="111" customWidth="1"/>
    <col min="15886" max="15886" width="11.85546875" style="111" customWidth="1"/>
    <col min="15887" max="15887" width="15" style="111" customWidth="1"/>
    <col min="15888" max="16128" width="9.140625" style="111"/>
    <col min="16129" max="16129" width="16.42578125" style="111" customWidth="1"/>
    <col min="16130" max="16130" width="12" style="111" customWidth="1"/>
    <col min="16131" max="16131" width="11.85546875" style="111" customWidth="1"/>
    <col min="16132" max="16132" width="11.5703125" style="111" customWidth="1"/>
    <col min="16133" max="16133" width="12" style="111" customWidth="1"/>
    <col min="16134" max="16134" width="11.140625" style="111" customWidth="1"/>
    <col min="16135" max="16135" width="10.7109375" style="111" customWidth="1"/>
    <col min="16136" max="16136" width="9.85546875" style="111" customWidth="1"/>
    <col min="16137" max="16137" width="9.7109375" style="111" customWidth="1"/>
    <col min="16138" max="16138" width="10.42578125" style="111" customWidth="1"/>
    <col min="16139" max="16139" width="12.5703125" style="111" customWidth="1"/>
    <col min="16140" max="16140" width="11" style="111" customWidth="1"/>
    <col min="16141" max="16141" width="11.42578125" style="111" customWidth="1"/>
    <col min="16142" max="16142" width="11.85546875" style="111" customWidth="1"/>
    <col min="16143" max="16143" width="15" style="111" customWidth="1"/>
    <col min="16144" max="16384" width="9.140625" style="111"/>
  </cols>
  <sheetData>
    <row r="2" spans="1:15" x14ac:dyDescent="0.2">
      <c r="A2" s="2688" t="s">
        <v>1757</v>
      </c>
      <c r="B2" s="2689"/>
      <c r="C2" s="2689"/>
      <c r="D2" s="2689"/>
      <c r="E2" s="2689"/>
      <c r="F2" s="2689"/>
      <c r="G2" s="2689"/>
      <c r="H2" s="2689"/>
      <c r="I2" s="2689"/>
      <c r="J2" s="2689"/>
      <c r="K2" s="2689"/>
      <c r="L2" s="2689"/>
      <c r="M2" s="2689"/>
      <c r="N2" s="2689"/>
    </row>
    <row r="3" spans="1:15" x14ac:dyDescent="0.2">
      <c r="A3" s="2347"/>
      <c r="B3" s="2667"/>
      <c r="C3" s="2667"/>
      <c r="D3" s="2667"/>
      <c r="E3" s="2667"/>
      <c r="F3" s="2667"/>
      <c r="G3" s="2667"/>
      <c r="H3" s="2667"/>
      <c r="I3" s="2667"/>
      <c r="J3" s="2667"/>
      <c r="K3" s="2667"/>
      <c r="L3" s="2667"/>
      <c r="M3" s="2667"/>
      <c r="N3" s="2667"/>
    </row>
    <row r="4" spans="1:15" x14ac:dyDescent="0.2">
      <c r="A4" s="2379" t="s">
        <v>1</v>
      </c>
      <c r="B4" s="2690" t="s">
        <v>1758</v>
      </c>
      <c r="C4" s="2691"/>
      <c r="D4" s="2691"/>
      <c r="E4" s="2691"/>
      <c r="F4" s="2691"/>
      <c r="G4" s="2691"/>
      <c r="H4" s="2691"/>
      <c r="I4" s="2691"/>
      <c r="J4" s="2691"/>
      <c r="K4" s="2691"/>
      <c r="L4" s="2691"/>
      <c r="M4" s="2691"/>
      <c r="N4" s="2692"/>
    </row>
    <row r="5" spans="1:15" ht="21.75" x14ac:dyDescent="0.2">
      <c r="A5" s="2360"/>
      <c r="B5" s="716" t="s">
        <v>1473</v>
      </c>
      <c r="C5" s="717" t="s">
        <v>1512</v>
      </c>
      <c r="D5" s="717" t="s">
        <v>1513</v>
      </c>
      <c r="E5" s="717" t="s">
        <v>1514</v>
      </c>
      <c r="F5" s="717" t="s">
        <v>1515</v>
      </c>
      <c r="G5" s="717" t="s">
        <v>1516</v>
      </c>
      <c r="H5" s="717" t="s">
        <v>1517</v>
      </c>
      <c r="I5" s="717" t="s">
        <v>1518</v>
      </c>
      <c r="J5" s="717" t="s">
        <v>1519</v>
      </c>
      <c r="K5" s="717" t="s">
        <v>1520</v>
      </c>
      <c r="L5" s="717" t="s">
        <v>1521</v>
      </c>
      <c r="M5" s="717" t="s">
        <v>1522</v>
      </c>
      <c r="N5" s="717" t="s">
        <v>1523</v>
      </c>
    </row>
    <row r="6" spans="1:15" x14ac:dyDescent="0.2">
      <c r="A6" s="146" t="s">
        <v>141</v>
      </c>
      <c r="B6" s="718">
        <f>SUM(B7:B21)</f>
        <v>3008468</v>
      </c>
      <c r="C6" s="718">
        <f>SUM(C7:C21)</f>
        <v>234245</v>
      </c>
      <c r="D6" s="718">
        <f t="shared" ref="D6:N6" si="0">SUM(D7:D21)</f>
        <v>345095</v>
      </c>
      <c r="E6" s="718">
        <f t="shared" si="0"/>
        <v>137155</v>
      </c>
      <c r="F6" s="718">
        <f t="shared" si="0"/>
        <v>173224</v>
      </c>
      <c r="G6" s="718">
        <f t="shared" si="0"/>
        <v>254881</v>
      </c>
      <c r="H6" s="718">
        <f t="shared" si="0"/>
        <v>178331</v>
      </c>
      <c r="I6" s="718">
        <f t="shared" si="0"/>
        <v>135765</v>
      </c>
      <c r="J6" s="718">
        <f t="shared" si="0"/>
        <v>246261</v>
      </c>
      <c r="K6" s="718">
        <f t="shared" si="0"/>
        <v>259233</v>
      </c>
      <c r="L6" s="718">
        <f t="shared" si="0"/>
        <v>393687</v>
      </c>
      <c r="M6" s="718">
        <f t="shared" si="0"/>
        <v>315304</v>
      </c>
      <c r="N6" s="718">
        <f t="shared" si="0"/>
        <v>335287</v>
      </c>
    </row>
    <row r="7" spans="1:15" x14ac:dyDescent="0.2">
      <c r="A7" s="476" t="s">
        <v>5</v>
      </c>
      <c r="B7" s="718">
        <f>SUM(C7:N7)</f>
        <v>9534</v>
      </c>
      <c r="C7" s="545">
        <v>0</v>
      </c>
      <c r="D7" s="545">
        <v>700</v>
      </c>
      <c r="E7" s="545">
        <v>100</v>
      </c>
      <c r="F7" s="545">
        <v>350</v>
      </c>
      <c r="G7" s="545">
        <v>1000</v>
      </c>
      <c r="H7" s="545">
        <v>200</v>
      </c>
      <c r="I7" s="545">
        <v>1150</v>
      </c>
      <c r="J7" s="545">
        <v>2400</v>
      </c>
      <c r="K7" s="545">
        <v>450</v>
      </c>
      <c r="L7" s="545">
        <v>500</v>
      </c>
      <c r="M7" s="545">
        <v>2424</v>
      </c>
      <c r="N7" s="545">
        <v>260</v>
      </c>
    </row>
    <row r="8" spans="1:15" x14ac:dyDescent="0.2">
      <c r="A8" s="476" t="s">
        <v>6</v>
      </c>
      <c r="B8" s="718">
        <f t="shared" ref="B8:B21" si="1">SUM(C8:N8)</f>
        <v>18514</v>
      </c>
      <c r="C8" s="545">
        <v>0</v>
      </c>
      <c r="D8" s="545">
        <v>250</v>
      </c>
      <c r="E8" s="545">
        <v>0</v>
      </c>
      <c r="F8" s="545">
        <v>200</v>
      </c>
      <c r="G8" s="545">
        <v>100</v>
      </c>
      <c r="H8" s="545">
        <v>200</v>
      </c>
      <c r="I8" s="545">
        <v>1870</v>
      </c>
      <c r="J8" s="545">
        <v>3584</v>
      </c>
      <c r="K8" s="545">
        <v>80</v>
      </c>
      <c r="L8" s="545">
        <v>3725</v>
      </c>
      <c r="M8" s="545">
        <v>8185</v>
      </c>
      <c r="N8" s="545">
        <v>320</v>
      </c>
    </row>
    <row r="9" spans="1:15" x14ac:dyDescent="0.2">
      <c r="A9" s="476" t="s">
        <v>1485</v>
      </c>
      <c r="B9" s="718">
        <f t="shared" si="1"/>
        <v>67227</v>
      </c>
      <c r="C9" s="545">
        <v>3000</v>
      </c>
      <c r="D9" s="545">
        <v>2877</v>
      </c>
      <c r="E9" s="545">
        <v>4029</v>
      </c>
      <c r="F9" s="545">
        <v>2335</v>
      </c>
      <c r="G9" s="545">
        <v>7134</v>
      </c>
      <c r="H9" s="545">
        <v>2626</v>
      </c>
      <c r="I9" s="545">
        <v>2562</v>
      </c>
      <c r="J9" s="545">
        <v>4746</v>
      </c>
      <c r="K9" s="545">
        <v>7916</v>
      </c>
      <c r="L9" s="545">
        <v>6291</v>
      </c>
      <c r="M9" s="545">
        <v>20071</v>
      </c>
      <c r="N9" s="545">
        <v>3640</v>
      </c>
    </row>
    <row r="10" spans="1:15" x14ac:dyDescent="0.2">
      <c r="A10" s="476" t="s">
        <v>1486</v>
      </c>
      <c r="B10" s="718">
        <f t="shared" si="1"/>
        <v>48482</v>
      </c>
      <c r="C10" s="545">
        <v>7722</v>
      </c>
      <c r="D10" s="545">
        <v>5400</v>
      </c>
      <c r="E10" s="545">
        <v>1000</v>
      </c>
      <c r="F10" s="545">
        <v>2000</v>
      </c>
      <c r="G10" s="545">
        <v>3000</v>
      </c>
      <c r="H10" s="545">
        <v>1930</v>
      </c>
      <c r="I10" s="545">
        <v>3100</v>
      </c>
      <c r="J10" s="545">
        <v>2950</v>
      </c>
      <c r="K10" s="545">
        <v>6150</v>
      </c>
      <c r="L10" s="545">
        <v>6800</v>
      </c>
      <c r="M10" s="545">
        <v>5570</v>
      </c>
      <c r="N10" s="545">
        <v>2860</v>
      </c>
    </row>
    <row r="11" spans="1:15" x14ac:dyDescent="0.2">
      <c r="A11" s="476" t="s">
        <v>1487</v>
      </c>
      <c r="B11" s="718">
        <f t="shared" si="1"/>
        <v>69078</v>
      </c>
      <c r="C11" s="545">
        <v>6706</v>
      </c>
      <c r="D11" s="545">
        <v>7500</v>
      </c>
      <c r="E11" s="545">
        <v>1560</v>
      </c>
      <c r="F11" s="545">
        <v>3620</v>
      </c>
      <c r="G11" s="545">
        <v>3740</v>
      </c>
      <c r="H11" s="545">
        <v>2440</v>
      </c>
      <c r="I11" s="545">
        <v>1300</v>
      </c>
      <c r="J11" s="545">
        <v>12160</v>
      </c>
      <c r="K11" s="545">
        <v>6040</v>
      </c>
      <c r="L11" s="545">
        <v>3762</v>
      </c>
      <c r="M11" s="545">
        <v>16810</v>
      </c>
      <c r="N11" s="545">
        <v>3440</v>
      </c>
    </row>
    <row r="12" spans="1:15" x14ac:dyDescent="0.2">
      <c r="A12" s="476" t="s">
        <v>1488</v>
      </c>
      <c r="B12" s="718">
        <f t="shared" si="1"/>
        <v>273691</v>
      </c>
      <c r="C12" s="545">
        <v>29365</v>
      </c>
      <c r="D12" s="545">
        <v>96851</v>
      </c>
      <c r="E12" s="545">
        <v>8380</v>
      </c>
      <c r="F12" s="545">
        <v>5493</v>
      </c>
      <c r="G12" s="545">
        <v>8994</v>
      </c>
      <c r="H12" s="545">
        <v>10700</v>
      </c>
      <c r="I12" s="545">
        <v>8794</v>
      </c>
      <c r="J12" s="545">
        <v>24717</v>
      </c>
      <c r="K12" s="545">
        <v>11634</v>
      </c>
      <c r="L12" s="545">
        <v>19663</v>
      </c>
      <c r="M12" s="545">
        <v>9812</v>
      </c>
      <c r="N12" s="545">
        <v>39288</v>
      </c>
    </row>
    <row r="13" spans="1:15" x14ac:dyDescent="0.2">
      <c r="A13" s="476" t="s">
        <v>11</v>
      </c>
      <c r="B13" s="718">
        <f t="shared" si="1"/>
        <v>1726309</v>
      </c>
      <c r="C13" s="545">
        <v>95041</v>
      </c>
      <c r="D13" s="545">
        <v>47665</v>
      </c>
      <c r="E13" s="545">
        <v>92149</v>
      </c>
      <c r="F13" s="545">
        <v>117670</v>
      </c>
      <c r="G13" s="545">
        <v>179130</v>
      </c>
      <c r="H13" s="545">
        <v>126294</v>
      </c>
      <c r="I13" s="545">
        <v>70687</v>
      </c>
      <c r="J13" s="545">
        <v>143126</v>
      </c>
      <c r="K13" s="545">
        <v>173697</v>
      </c>
      <c r="L13" s="545">
        <v>277355</v>
      </c>
      <c r="M13" s="545">
        <v>197927</v>
      </c>
      <c r="N13" s="545">
        <v>205568</v>
      </c>
    </row>
    <row r="14" spans="1:15" x14ac:dyDescent="0.2">
      <c r="A14" s="2050" t="s">
        <v>12</v>
      </c>
      <c r="B14" s="718">
        <f t="shared" si="1"/>
        <v>79173</v>
      </c>
      <c r="C14" s="545">
        <v>4956</v>
      </c>
      <c r="D14" s="545">
        <v>21588</v>
      </c>
      <c r="E14" s="545">
        <v>3404</v>
      </c>
      <c r="F14" s="545">
        <v>10774</v>
      </c>
      <c r="G14" s="545">
        <v>3643</v>
      </c>
      <c r="H14" s="545">
        <v>2400</v>
      </c>
      <c r="I14" s="545">
        <v>3709</v>
      </c>
      <c r="J14" s="545">
        <v>5994</v>
      </c>
      <c r="K14" s="545">
        <v>3570</v>
      </c>
      <c r="L14" s="545">
        <v>8810</v>
      </c>
      <c r="M14" s="545">
        <v>7098</v>
      </c>
      <c r="N14" s="545">
        <v>3227</v>
      </c>
      <c r="O14" s="2064"/>
    </row>
    <row r="15" spans="1:15" x14ac:dyDescent="0.2">
      <c r="A15" s="2050" t="s">
        <v>13</v>
      </c>
      <c r="B15" s="718">
        <f t="shared" si="1"/>
        <v>113975</v>
      </c>
      <c r="C15" s="545">
        <v>12461</v>
      </c>
      <c r="D15" s="545">
        <v>22500</v>
      </c>
      <c r="E15" s="545">
        <v>3444</v>
      </c>
      <c r="F15" s="545">
        <v>5000</v>
      </c>
      <c r="G15" s="545">
        <v>9460</v>
      </c>
      <c r="H15" s="545">
        <v>7569</v>
      </c>
      <c r="I15" s="545">
        <v>8269</v>
      </c>
      <c r="J15" s="545">
        <v>9361</v>
      </c>
      <c r="K15" s="545">
        <v>9322</v>
      </c>
      <c r="L15" s="545">
        <v>9825</v>
      </c>
      <c r="M15" s="545">
        <v>5893</v>
      </c>
      <c r="N15" s="545">
        <v>10871</v>
      </c>
      <c r="O15" s="2064"/>
    </row>
    <row r="16" spans="1:15" x14ac:dyDescent="0.2">
      <c r="A16" s="2050" t="s">
        <v>14</v>
      </c>
      <c r="B16" s="718">
        <f t="shared" si="1"/>
        <v>198843</v>
      </c>
      <c r="C16" s="545">
        <v>20246</v>
      </c>
      <c r="D16" s="545">
        <v>45000</v>
      </c>
      <c r="E16" s="545">
        <v>13898</v>
      </c>
      <c r="F16" s="545">
        <v>12660</v>
      </c>
      <c r="G16" s="545">
        <v>12770</v>
      </c>
      <c r="H16" s="545">
        <v>8634</v>
      </c>
      <c r="I16" s="545">
        <v>11528</v>
      </c>
      <c r="J16" s="545">
        <v>12167</v>
      </c>
      <c r="K16" s="545">
        <v>18451</v>
      </c>
      <c r="L16" s="545">
        <v>20460</v>
      </c>
      <c r="M16" s="545">
        <v>14096</v>
      </c>
      <c r="N16" s="545">
        <v>8933</v>
      </c>
      <c r="O16" s="2064"/>
    </row>
    <row r="17" spans="1:15" x14ac:dyDescent="0.2">
      <c r="A17" s="2050" t="s">
        <v>15</v>
      </c>
      <c r="B17" s="718">
        <f t="shared" si="1"/>
        <v>91860</v>
      </c>
      <c r="C17" s="545">
        <v>1290</v>
      </c>
      <c r="D17" s="545">
        <v>18765</v>
      </c>
      <c r="E17" s="545">
        <v>3075</v>
      </c>
      <c r="F17" s="545">
        <v>3520</v>
      </c>
      <c r="G17" s="545">
        <v>6065</v>
      </c>
      <c r="H17" s="545">
        <v>4276</v>
      </c>
      <c r="I17" s="545">
        <v>4272</v>
      </c>
      <c r="J17" s="545">
        <v>8197</v>
      </c>
      <c r="K17" s="545">
        <v>9604</v>
      </c>
      <c r="L17" s="545">
        <v>12307</v>
      </c>
      <c r="M17" s="545">
        <v>4030</v>
      </c>
      <c r="N17" s="545">
        <v>16459</v>
      </c>
      <c r="O17" s="2064"/>
    </row>
    <row r="18" spans="1:15" x14ac:dyDescent="0.2">
      <c r="A18" s="2050" t="s">
        <v>16</v>
      </c>
      <c r="B18" s="718">
        <f t="shared" si="1"/>
        <v>119543</v>
      </c>
      <c r="C18" s="545">
        <v>10121</v>
      </c>
      <c r="D18" s="545">
        <v>12023</v>
      </c>
      <c r="E18" s="545">
        <v>3046</v>
      </c>
      <c r="F18" s="545">
        <v>4799</v>
      </c>
      <c r="G18" s="545">
        <v>8045</v>
      </c>
      <c r="H18" s="545">
        <v>5998</v>
      </c>
      <c r="I18" s="545">
        <v>10308</v>
      </c>
      <c r="J18" s="545">
        <v>8884</v>
      </c>
      <c r="K18" s="545">
        <v>6215</v>
      </c>
      <c r="L18" s="545">
        <v>6907</v>
      </c>
      <c r="M18" s="545">
        <v>7230</v>
      </c>
      <c r="N18" s="545">
        <v>35967</v>
      </c>
      <c r="O18" s="2064"/>
    </row>
    <row r="19" spans="1:15" x14ac:dyDescent="0.2">
      <c r="A19" s="2050" t="s">
        <v>17</v>
      </c>
      <c r="B19" s="718">
        <f t="shared" si="1"/>
        <v>158255</v>
      </c>
      <c r="C19" s="545">
        <v>41117</v>
      </c>
      <c r="D19" s="545">
        <v>62926</v>
      </c>
      <c r="E19" s="545">
        <v>1530</v>
      </c>
      <c r="F19" s="545">
        <v>3173</v>
      </c>
      <c r="G19" s="545">
        <v>4865</v>
      </c>
      <c r="H19" s="545">
        <v>3454</v>
      </c>
      <c r="I19" s="545">
        <v>6726</v>
      </c>
      <c r="J19" s="545">
        <v>4147</v>
      </c>
      <c r="K19" s="545">
        <v>5068</v>
      </c>
      <c r="L19" s="545">
        <v>9622</v>
      </c>
      <c r="M19" s="545">
        <v>11820</v>
      </c>
      <c r="N19" s="545">
        <v>3807</v>
      </c>
      <c r="O19" s="2064"/>
    </row>
    <row r="20" spans="1:15" x14ac:dyDescent="0.2">
      <c r="A20" s="2050" t="s">
        <v>18</v>
      </c>
      <c r="B20" s="718">
        <f t="shared" si="1"/>
        <v>17490</v>
      </c>
      <c r="C20" s="545">
        <v>1620</v>
      </c>
      <c r="D20" s="545">
        <v>1050</v>
      </c>
      <c r="E20" s="545">
        <v>1140</v>
      </c>
      <c r="F20" s="545">
        <v>950</v>
      </c>
      <c r="G20" s="545">
        <v>1160</v>
      </c>
      <c r="H20" s="545">
        <v>530</v>
      </c>
      <c r="I20" s="545">
        <v>1150</v>
      </c>
      <c r="J20" s="545">
        <v>470</v>
      </c>
      <c r="K20" s="545">
        <v>900</v>
      </c>
      <c r="L20" s="545">
        <v>7660</v>
      </c>
      <c r="M20" s="545">
        <v>510</v>
      </c>
      <c r="N20" s="545">
        <v>350</v>
      </c>
      <c r="O20" s="2064"/>
    </row>
    <row r="21" spans="1:15" x14ac:dyDescent="0.2">
      <c r="A21" s="2050" t="s">
        <v>19</v>
      </c>
      <c r="B21" s="718">
        <f t="shared" si="1"/>
        <v>16494</v>
      </c>
      <c r="C21" s="545">
        <v>600</v>
      </c>
      <c r="D21" s="545">
        <v>0</v>
      </c>
      <c r="E21" s="545">
        <v>400</v>
      </c>
      <c r="F21" s="545">
        <v>680</v>
      </c>
      <c r="G21" s="545">
        <v>5775</v>
      </c>
      <c r="H21" s="545">
        <v>1080</v>
      </c>
      <c r="I21" s="545">
        <v>340</v>
      </c>
      <c r="J21" s="545">
        <v>3358</v>
      </c>
      <c r="K21" s="545">
        <v>136</v>
      </c>
      <c r="L21" s="545">
        <v>0</v>
      </c>
      <c r="M21" s="545">
        <v>3828</v>
      </c>
      <c r="N21" s="545">
        <v>297</v>
      </c>
      <c r="O21" s="2064"/>
    </row>
    <row r="22" spans="1:15" ht="12" customHeight="1" x14ac:dyDescent="0.2">
      <c r="A22" s="2356"/>
      <c r="B22" s="2672"/>
      <c r="C22" s="2672"/>
      <c r="D22" s="2672"/>
      <c r="E22" s="2672"/>
      <c r="F22" s="2672"/>
      <c r="G22" s="2672"/>
      <c r="H22" s="2672"/>
      <c r="I22" s="2672"/>
      <c r="J22" s="2672"/>
      <c r="K22" s="2672"/>
      <c r="L22" s="2672"/>
      <c r="M22" s="2672"/>
      <c r="N22" s="2672"/>
      <c r="O22" s="2064"/>
    </row>
    <row r="23" spans="1:15" ht="22.5" customHeight="1" x14ac:dyDescent="0.2">
      <c r="A23" s="2414" t="s">
        <v>1759</v>
      </c>
      <c r="B23" s="2687"/>
      <c r="C23" s="2687"/>
      <c r="D23" s="2687"/>
      <c r="E23" s="2687"/>
      <c r="F23" s="2687"/>
      <c r="G23" s="2687"/>
      <c r="H23" s="2687"/>
      <c r="I23" s="2687"/>
      <c r="J23" s="2687"/>
      <c r="K23" s="2687"/>
      <c r="L23" s="2687"/>
      <c r="M23" s="2687"/>
      <c r="N23" s="2687"/>
      <c r="O23" s="2064"/>
    </row>
    <row r="24" spans="1:15" x14ac:dyDescent="0.2">
      <c r="A24" s="2699" t="s">
        <v>1489</v>
      </c>
      <c r="B24" s="2699"/>
      <c r="C24" s="2699"/>
      <c r="D24" s="2699"/>
      <c r="E24" s="2699"/>
      <c r="F24" s="2699"/>
      <c r="G24" s="2699"/>
      <c r="H24" s="2699"/>
      <c r="I24" s="2699"/>
      <c r="J24" s="2699"/>
      <c r="K24" s="2699"/>
      <c r="L24" s="2699"/>
      <c r="M24" s="2699"/>
      <c r="N24" s="2699"/>
      <c r="O24" s="2064"/>
    </row>
    <row r="25" spans="1:15" x14ac:dyDescent="0.2">
      <c r="A25" s="2463" t="s">
        <v>1747</v>
      </c>
      <c r="B25" s="2687"/>
      <c r="C25" s="2687"/>
      <c r="D25" s="2687"/>
      <c r="E25" s="2687"/>
      <c r="F25" s="2687"/>
      <c r="G25" s="2687"/>
      <c r="H25" s="2687"/>
      <c r="I25" s="2687"/>
      <c r="J25" s="2687"/>
      <c r="K25" s="2687"/>
      <c r="L25" s="2687"/>
      <c r="M25" s="2687"/>
      <c r="N25" s="2687"/>
      <c r="O25" s="2064"/>
    </row>
    <row r="26" spans="1:15" x14ac:dyDescent="0.2">
      <c r="A26" s="2463" t="s">
        <v>1483</v>
      </c>
      <c r="B26" s="2687"/>
      <c r="C26" s="2687"/>
      <c r="D26" s="2687"/>
      <c r="E26" s="2687"/>
      <c r="F26" s="2687"/>
      <c r="G26" s="2687"/>
      <c r="H26" s="2687"/>
      <c r="I26" s="2687"/>
      <c r="J26" s="2687"/>
      <c r="K26" s="2687"/>
      <c r="L26" s="2687"/>
      <c r="M26" s="2687"/>
      <c r="N26" s="2687"/>
      <c r="O26" s="2064"/>
    </row>
    <row r="27" spans="1:15" x14ac:dyDescent="0.2">
      <c r="A27" s="2064"/>
      <c r="B27" s="2064"/>
      <c r="C27" s="2064"/>
      <c r="D27" s="2064"/>
      <c r="E27" s="2064"/>
      <c r="F27" s="2064"/>
      <c r="G27" s="2064"/>
      <c r="H27" s="2064"/>
      <c r="I27" s="2064"/>
      <c r="J27" s="2064"/>
      <c r="K27" s="2064"/>
      <c r="L27" s="2064"/>
      <c r="M27" s="2064"/>
      <c r="N27" s="2064"/>
      <c r="O27" s="2064"/>
    </row>
    <row r="28" spans="1:15" x14ac:dyDescent="0.2">
      <c r="A28" s="2064"/>
      <c r="B28" s="2064"/>
      <c r="C28" s="2064"/>
      <c r="D28" s="2064"/>
      <c r="E28" s="2064"/>
      <c r="F28" s="2064"/>
      <c r="G28" s="2064"/>
      <c r="H28" s="2064"/>
      <c r="I28" s="2064"/>
      <c r="J28" s="2064"/>
      <c r="K28" s="2064"/>
      <c r="L28" s="2064"/>
      <c r="M28" s="2064"/>
      <c r="N28" s="2064"/>
      <c r="O28" s="2064"/>
    </row>
    <row r="29" spans="1:15" x14ac:dyDescent="0.2">
      <c r="A29" s="2064"/>
      <c r="B29" s="2064"/>
      <c r="C29" s="2064"/>
      <c r="D29" s="2064"/>
      <c r="E29" s="2064"/>
      <c r="F29" s="2064"/>
      <c r="G29" s="2064"/>
      <c r="H29" s="2064"/>
      <c r="I29" s="2064"/>
      <c r="J29" s="2064"/>
      <c r="K29" s="2064"/>
      <c r="L29" s="2064"/>
      <c r="M29" s="2064"/>
      <c r="N29" s="2064"/>
      <c r="O29" s="2064"/>
    </row>
    <row r="30" spans="1:15" x14ac:dyDescent="0.2">
      <c r="A30" s="2064"/>
      <c r="B30" s="2064"/>
      <c r="C30" s="2064"/>
      <c r="D30" s="2064"/>
      <c r="E30" s="2064"/>
      <c r="F30" s="2064"/>
      <c r="G30" s="2064"/>
      <c r="H30" s="2064"/>
      <c r="I30" s="2064"/>
      <c r="J30" s="2064"/>
      <c r="K30" s="2064"/>
      <c r="L30" s="2064"/>
      <c r="M30" s="2064"/>
      <c r="N30" s="2064"/>
      <c r="O30" s="2064"/>
    </row>
    <row r="31" spans="1:15" x14ac:dyDescent="0.2">
      <c r="A31" s="2064"/>
      <c r="B31" s="2064"/>
      <c r="C31" s="2064"/>
      <c r="D31" s="2064"/>
      <c r="E31" s="2064"/>
      <c r="F31" s="2064"/>
      <c r="G31" s="2064"/>
      <c r="H31" s="2064"/>
      <c r="I31" s="2064"/>
      <c r="J31" s="2064"/>
      <c r="K31" s="2064"/>
      <c r="L31" s="2064"/>
      <c r="M31" s="2064"/>
      <c r="N31" s="2064"/>
      <c r="O31" s="2064"/>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V34"/>
  <sheetViews>
    <sheetView zoomScaleNormal="100" workbookViewId="0">
      <selection activeCell="G34" sqref="G34"/>
    </sheetView>
  </sheetViews>
  <sheetFormatPr baseColWidth="10" defaultRowHeight="10.5" x14ac:dyDescent="0.15"/>
  <cols>
    <col min="1" max="1" width="3.28515625" style="1" bestFit="1" customWidth="1"/>
    <col min="2" max="2" width="15.42578125" style="1" customWidth="1"/>
    <col min="3" max="3" width="24.85546875" style="1" customWidth="1"/>
    <col min="4" max="4" width="13.140625" style="1" customWidth="1"/>
    <col min="5" max="5" width="11.140625" style="1" bestFit="1" customWidth="1"/>
    <col min="6" max="6" width="3.28515625" style="1" bestFit="1" customWidth="1"/>
    <col min="7" max="7" width="17.7109375" style="1" customWidth="1"/>
    <col min="8" max="8" width="22.140625" style="1" customWidth="1"/>
    <col min="9" max="9" width="12.85546875" style="1" customWidth="1"/>
    <col min="10" max="10" width="12.5703125" style="1" customWidth="1"/>
    <col min="11" max="16384" width="11.42578125" style="1"/>
  </cols>
  <sheetData>
    <row r="1" spans="1:22" x14ac:dyDescent="0.15">
      <c r="A1" s="696"/>
    </row>
    <row r="2" spans="1:22" ht="30" customHeight="1" x14ac:dyDescent="0.15">
      <c r="A2" s="2312" t="s">
        <v>1760</v>
      </c>
      <c r="B2" s="2312"/>
      <c r="C2" s="2312"/>
      <c r="D2" s="2312"/>
      <c r="E2" s="2312"/>
      <c r="F2" s="2312"/>
      <c r="G2" s="2312"/>
      <c r="H2" s="2312"/>
      <c r="I2" s="2312"/>
      <c r="J2" s="2312"/>
    </row>
    <row r="4" spans="1:22" ht="12.75" customHeight="1" x14ac:dyDescent="0.15">
      <c r="A4" s="2826" t="s">
        <v>1761</v>
      </c>
      <c r="B4" s="2826"/>
      <c r="C4" s="2826"/>
      <c r="D4" s="2826"/>
      <c r="E4" s="2826"/>
      <c r="F4" s="2826" t="s">
        <v>1762</v>
      </c>
      <c r="G4" s="2826"/>
      <c r="H4" s="2826"/>
      <c r="I4" s="2826"/>
      <c r="J4" s="2826"/>
      <c r="L4" s="249"/>
      <c r="M4" s="249"/>
      <c r="N4" s="249"/>
      <c r="O4" s="249"/>
      <c r="P4" s="249"/>
      <c r="Q4" s="719"/>
      <c r="R4" s="719"/>
      <c r="S4" s="719"/>
      <c r="T4" s="719"/>
      <c r="U4" s="719"/>
      <c r="V4" s="6"/>
    </row>
    <row r="5" spans="1:22" ht="21" x14ac:dyDescent="0.15">
      <c r="A5" s="2168" t="s">
        <v>1763</v>
      </c>
      <c r="B5" s="2168" t="s">
        <v>1764</v>
      </c>
      <c r="C5" s="2168" t="s">
        <v>1765</v>
      </c>
      <c r="D5" s="2168" t="s">
        <v>1766</v>
      </c>
      <c r="E5" s="2168" t="s">
        <v>1767</v>
      </c>
      <c r="F5" s="2168" t="s">
        <v>1763</v>
      </c>
      <c r="G5" s="2168" t="s">
        <v>1764</v>
      </c>
      <c r="H5" s="2168" t="s">
        <v>1765</v>
      </c>
      <c r="I5" s="2168" t="s">
        <v>1766</v>
      </c>
      <c r="J5" s="2168" t="s">
        <v>1767</v>
      </c>
      <c r="L5" s="720"/>
      <c r="M5" s="720"/>
      <c r="N5" s="720"/>
      <c r="O5" s="720"/>
      <c r="P5" s="720"/>
      <c r="Q5" s="720"/>
      <c r="R5" s="720"/>
      <c r="S5" s="720"/>
      <c r="T5" s="720"/>
      <c r="U5" s="720"/>
      <c r="V5" s="6"/>
    </row>
    <row r="6" spans="1:22" s="721" customFormat="1" ht="31.5" x14ac:dyDescent="0.15">
      <c r="A6" s="1231" t="s">
        <v>459</v>
      </c>
      <c r="B6" s="2166" t="s">
        <v>1768</v>
      </c>
      <c r="C6" s="2166" t="s">
        <v>1769</v>
      </c>
      <c r="D6" s="2166" t="s">
        <v>1770</v>
      </c>
      <c r="E6" s="2166" t="s">
        <v>1771</v>
      </c>
      <c r="F6" s="2167">
        <v>1</v>
      </c>
      <c r="G6" s="2166" t="s">
        <v>1772</v>
      </c>
      <c r="H6" s="2166" t="s">
        <v>1773</v>
      </c>
      <c r="I6" s="2166" t="s">
        <v>1774</v>
      </c>
      <c r="J6" s="2166" t="s">
        <v>1775</v>
      </c>
      <c r="K6" s="722"/>
      <c r="L6" s="2077"/>
      <c r="M6" s="719"/>
      <c r="N6" s="719"/>
      <c r="O6" s="719"/>
      <c r="P6" s="719"/>
      <c r="Q6" s="6"/>
      <c r="R6" s="719"/>
      <c r="S6" s="719"/>
      <c r="T6" s="719"/>
      <c r="U6" s="6"/>
      <c r="V6" s="722"/>
    </row>
    <row r="7" spans="1:22" s="721" customFormat="1" ht="31.5" x14ac:dyDescent="0.15">
      <c r="A7" s="1231" t="s">
        <v>458</v>
      </c>
      <c r="B7" s="2166" t="s">
        <v>1776</v>
      </c>
      <c r="C7" s="2166" t="s">
        <v>1769</v>
      </c>
      <c r="D7" s="2166" t="s">
        <v>1770</v>
      </c>
      <c r="E7" s="2166" t="s">
        <v>1771</v>
      </c>
      <c r="F7" s="2167">
        <v>2</v>
      </c>
      <c r="G7" s="2166" t="s">
        <v>1777</v>
      </c>
      <c r="H7" s="2166" t="s">
        <v>1778</v>
      </c>
      <c r="I7" s="2166" t="s">
        <v>1779</v>
      </c>
      <c r="J7" s="2166" t="s">
        <v>1780</v>
      </c>
      <c r="K7" s="722"/>
      <c r="L7" s="2077"/>
      <c r="M7" s="719"/>
      <c r="N7" s="719"/>
      <c r="O7" s="719"/>
      <c r="P7" s="719"/>
      <c r="Q7" s="6"/>
      <c r="R7" s="719"/>
      <c r="S7" s="719"/>
      <c r="T7" s="719"/>
      <c r="U7" s="6"/>
      <c r="V7" s="722"/>
    </row>
    <row r="8" spans="1:22" s="721" customFormat="1" ht="31.5" x14ac:dyDescent="0.15">
      <c r="A8" s="1231" t="s">
        <v>1781</v>
      </c>
      <c r="B8" s="2166" t="s">
        <v>1777</v>
      </c>
      <c r="C8" s="2166" t="s">
        <v>1778</v>
      </c>
      <c r="D8" s="2166" t="s">
        <v>1779</v>
      </c>
      <c r="E8" s="2166" t="s">
        <v>1780</v>
      </c>
      <c r="F8" s="2167">
        <v>3</v>
      </c>
      <c r="G8" s="2166" t="s">
        <v>1782</v>
      </c>
      <c r="H8" s="2166" t="s">
        <v>1783</v>
      </c>
      <c r="I8" s="2166" t="s">
        <v>1784</v>
      </c>
      <c r="J8" s="2166" t="s">
        <v>1771</v>
      </c>
      <c r="K8" s="722"/>
      <c r="L8" s="2077"/>
      <c r="M8" s="719"/>
      <c r="N8" s="719"/>
      <c r="O8" s="719"/>
      <c r="P8" s="719"/>
      <c r="Q8" s="6"/>
      <c r="R8" s="719"/>
      <c r="S8" s="719"/>
      <c r="T8" s="719"/>
      <c r="U8" s="6"/>
      <c r="V8" s="722"/>
    </row>
    <row r="9" spans="1:22" s="721" customFormat="1" ht="52.5" x14ac:dyDescent="0.15">
      <c r="A9" s="1231" t="s">
        <v>1785</v>
      </c>
      <c r="B9" s="2166" t="s">
        <v>1786</v>
      </c>
      <c r="C9" s="2166" t="s">
        <v>1787</v>
      </c>
      <c r="D9" s="2166" t="s">
        <v>1774</v>
      </c>
      <c r="E9" s="2166" t="s">
        <v>1788</v>
      </c>
      <c r="F9" s="2167">
        <v>4</v>
      </c>
      <c r="G9" s="2166" t="s">
        <v>1789</v>
      </c>
      <c r="H9" s="2166" t="s">
        <v>1790</v>
      </c>
      <c r="I9" s="2166" t="s">
        <v>1774</v>
      </c>
      <c r="J9" s="2166" t="s">
        <v>1791</v>
      </c>
      <c r="K9" s="722"/>
      <c r="L9" s="2077"/>
      <c r="M9" s="719"/>
      <c r="N9" s="719"/>
      <c r="O9" s="719"/>
      <c r="P9" s="719"/>
      <c r="Q9" s="6"/>
      <c r="R9" s="719"/>
      <c r="S9" s="719"/>
      <c r="T9" s="719"/>
      <c r="U9" s="6"/>
      <c r="V9" s="722"/>
    </row>
    <row r="10" spans="1:22" s="721" customFormat="1" ht="31.5" x14ac:dyDescent="0.15">
      <c r="A10" s="1231" t="s">
        <v>1792</v>
      </c>
      <c r="B10" s="2166" t="s">
        <v>1793</v>
      </c>
      <c r="C10" s="2166" t="s">
        <v>1769</v>
      </c>
      <c r="D10" s="2166" t="s">
        <v>1774</v>
      </c>
      <c r="E10" s="2166" t="s">
        <v>1771</v>
      </c>
      <c r="F10" s="2167">
        <v>5</v>
      </c>
      <c r="G10" s="2166" t="s">
        <v>1794</v>
      </c>
      <c r="H10" s="2166" t="s">
        <v>1795</v>
      </c>
      <c r="I10" s="2166" t="s">
        <v>1770</v>
      </c>
      <c r="J10" s="2166" t="s">
        <v>1796</v>
      </c>
      <c r="K10" s="722"/>
      <c r="L10" s="2077"/>
      <c r="M10" s="719"/>
      <c r="N10" s="719"/>
      <c r="O10" s="719"/>
      <c r="P10" s="719"/>
      <c r="Q10" s="6"/>
      <c r="R10" s="719"/>
      <c r="S10" s="719"/>
      <c r="T10" s="719"/>
      <c r="U10" s="6"/>
      <c r="V10" s="722"/>
    </row>
    <row r="11" spans="1:22" s="721" customFormat="1" ht="31.5" x14ac:dyDescent="0.15">
      <c r="A11" s="1231" t="s">
        <v>1797</v>
      </c>
      <c r="B11" s="2166" t="s">
        <v>1789</v>
      </c>
      <c r="C11" s="2166" t="s">
        <v>1790</v>
      </c>
      <c r="D11" s="2166" t="s">
        <v>1774</v>
      </c>
      <c r="E11" s="2166" t="s">
        <v>1791</v>
      </c>
      <c r="F11" s="2167">
        <v>6</v>
      </c>
      <c r="G11" s="2166" t="s">
        <v>1798</v>
      </c>
      <c r="H11" s="2166" t="s">
        <v>1799</v>
      </c>
      <c r="I11" s="2166" t="s">
        <v>1779</v>
      </c>
      <c r="J11" s="2166" t="s">
        <v>1800</v>
      </c>
      <c r="K11" s="722"/>
      <c r="L11" s="2077"/>
      <c r="M11" s="719"/>
      <c r="N11" s="719"/>
      <c r="O11" s="719"/>
      <c r="P11" s="719"/>
      <c r="Q11" s="6"/>
      <c r="R11" s="719"/>
      <c r="S11" s="719"/>
      <c r="T11" s="719"/>
      <c r="U11" s="6"/>
      <c r="V11" s="722"/>
    </row>
    <row r="12" spans="1:22" s="721" customFormat="1" ht="63" x14ac:dyDescent="0.15">
      <c r="A12" s="1231" t="s">
        <v>1801</v>
      </c>
      <c r="B12" s="2166" t="s">
        <v>1802</v>
      </c>
      <c r="C12" s="2166" t="s">
        <v>1803</v>
      </c>
      <c r="D12" s="2166" t="s">
        <v>1804</v>
      </c>
      <c r="E12" s="2166" t="s">
        <v>1805</v>
      </c>
      <c r="F12" s="2167">
        <v>7</v>
      </c>
      <c r="G12" s="2166" t="s">
        <v>1793</v>
      </c>
      <c r="H12" s="2166" t="s">
        <v>1769</v>
      </c>
      <c r="I12" s="2166" t="s">
        <v>1774</v>
      </c>
      <c r="J12" s="2166" t="s">
        <v>1771</v>
      </c>
      <c r="K12" s="722"/>
      <c r="L12" s="2077"/>
      <c r="M12" s="719"/>
      <c r="N12" s="719"/>
      <c r="O12" s="719"/>
      <c r="P12" s="719"/>
      <c r="Q12" s="6"/>
      <c r="R12" s="719"/>
      <c r="S12" s="719"/>
      <c r="T12" s="719"/>
      <c r="U12" s="6"/>
      <c r="V12" s="722"/>
    </row>
    <row r="13" spans="1:22" s="721" customFormat="1" ht="31.5" x14ac:dyDescent="0.15">
      <c r="A13" s="1231" t="s">
        <v>1567</v>
      </c>
      <c r="B13" s="2166" t="s">
        <v>1806</v>
      </c>
      <c r="C13" s="2166" t="s">
        <v>1769</v>
      </c>
      <c r="D13" s="2166" t="s">
        <v>1770</v>
      </c>
      <c r="E13" s="2166" t="s">
        <v>1771</v>
      </c>
      <c r="F13" s="2167">
        <v>8</v>
      </c>
      <c r="G13" s="2166" t="s">
        <v>1786</v>
      </c>
      <c r="H13" s="2166" t="s">
        <v>1807</v>
      </c>
      <c r="I13" s="2166" t="s">
        <v>1774</v>
      </c>
      <c r="J13" s="2166" t="s">
        <v>1788</v>
      </c>
      <c r="K13" s="722"/>
      <c r="L13" s="2077"/>
      <c r="M13" s="719"/>
      <c r="N13" s="719"/>
      <c r="O13" s="719"/>
      <c r="P13" s="719"/>
      <c r="Q13" s="6"/>
      <c r="R13" s="719"/>
      <c r="S13" s="719"/>
      <c r="T13" s="719"/>
      <c r="U13" s="6"/>
      <c r="V13" s="722"/>
    </row>
    <row r="14" spans="1:22" s="721" customFormat="1" ht="63" x14ac:dyDescent="0.15">
      <c r="A14" s="1231" t="s">
        <v>1808</v>
      </c>
      <c r="B14" s="2166" t="s">
        <v>1809</v>
      </c>
      <c r="C14" s="2166" t="s">
        <v>1810</v>
      </c>
      <c r="D14" s="2166" t="s">
        <v>1804</v>
      </c>
      <c r="E14" s="2166" t="s">
        <v>1805</v>
      </c>
      <c r="F14" s="2167">
        <v>9</v>
      </c>
      <c r="G14" s="2166" t="s">
        <v>1811</v>
      </c>
      <c r="H14" s="2166" t="s">
        <v>1769</v>
      </c>
      <c r="I14" s="2166" t="s">
        <v>1774</v>
      </c>
      <c r="J14" s="2166" t="s">
        <v>1771</v>
      </c>
      <c r="K14" s="722"/>
      <c r="L14" s="2077"/>
      <c r="M14" s="719"/>
      <c r="N14" s="719"/>
      <c r="O14" s="719"/>
      <c r="P14" s="719"/>
      <c r="Q14" s="6"/>
      <c r="R14" s="719"/>
      <c r="S14" s="719"/>
      <c r="T14" s="719"/>
      <c r="U14" s="6"/>
      <c r="V14" s="722"/>
    </row>
    <row r="15" spans="1:22" s="721" customFormat="1" ht="21" x14ac:dyDescent="0.15">
      <c r="A15" s="1231" t="s">
        <v>1812</v>
      </c>
      <c r="B15" s="2166" t="s">
        <v>1798</v>
      </c>
      <c r="C15" s="2166" t="s">
        <v>1799</v>
      </c>
      <c r="D15" s="2166" t="s">
        <v>1779</v>
      </c>
      <c r="E15" s="2166" t="s">
        <v>1800</v>
      </c>
      <c r="F15" s="2167">
        <v>10</v>
      </c>
      <c r="G15" s="2166" t="s">
        <v>1813</v>
      </c>
      <c r="H15" s="2166" t="s">
        <v>1778</v>
      </c>
      <c r="I15" s="2166" t="s">
        <v>1779</v>
      </c>
      <c r="J15" s="2166" t="s">
        <v>1780</v>
      </c>
      <c r="K15" s="722"/>
      <c r="L15" s="2077"/>
      <c r="M15" s="719"/>
      <c r="N15" s="719"/>
      <c r="O15" s="719"/>
      <c r="P15" s="719"/>
      <c r="Q15" s="6"/>
      <c r="R15" s="719"/>
      <c r="S15" s="719"/>
      <c r="T15" s="719"/>
      <c r="U15" s="6"/>
      <c r="V15" s="722"/>
    </row>
    <row r="16" spans="1:22" s="721" customFormat="1" ht="31.5" x14ac:dyDescent="0.15">
      <c r="A16" s="1231" t="s">
        <v>1814</v>
      </c>
      <c r="B16" s="2166" t="s">
        <v>1815</v>
      </c>
      <c r="C16" s="2166" t="s">
        <v>1790</v>
      </c>
      <c r="D16" s="2166" t="s">
        <v>1774</v>
      </c>
      <c r="E16" s="2166" t="s">
        <v>1791</v>
      </c>
      <c r="F16" s="2167">
        <v>11</v>
      </c>
      <c r="G16" s="2166" t="s">
        <v>1816</v>
      </c>
      <c r="H16" s="2166" t="s">
        <v>1817</v>
      </c>
      <c r="I16" s="2166" t="s">
        <v>1779</v>
      </c>
      <c r="J16" s="2166" t="s">
        <v>1818</v>
      </c>
      <c r="K16" s="722"/>
      <c r="L16" s="2077"/>
      <c r="M16" s="719"/>
      <c r="N16" s="719"/>
      <c r="O16" s="719"/>
      <c r="P16" s="719"/>
      <c r="Q16" s="6"/>
      <c r="R16" s="719"/>
      <c r="S16" s="719"/>
      <c r="T16" s="719"/>
      <c r="U16" s="6"/>
      <c r="V16" s="722"/>
    </row>
    <row r="17" spans="1:22" s="721" customFormat="1" ht="52.5" x14ac:dyDescent="0.15">
      <c r="A17" s="1231" t="s">
        <v>1819</v>
      </c>
      <c r="B17" s="2166" t="s">
        <v>1820</v>
      </c>
      <c r="C17" s="2166" t="s">
        <v>1821</v>
      </c>
      <c r="D17" s="2166" t="s">
        <v>1770</v>
      </c>
      <c r="E17" s="2166" t="s">
        <v>1822</v>
      </c>
      <c r="F17" s="2167">
        <v>12</v>
      </c>
      <c r="G17" s="2166" t="s">
        <v>1815</v>
      </c>
      <c r="H17" s="2166" t="s">
        <v>1790</v>
      </c>
      <c r="I17" s="2166" t="s">
        <v>1774</v>
      </c>
      <c r="J17" s="2166" t="s">
        <v>1791</v>
      </c>
      <c r="K17" s="722"/>
      <c r="L17" s="2077"/>
      <c r="M17" s="719"/>
      <c r="N17" s="719"/>
      <c r="O17" s="719"/>
      <c r="P17" s="719"/>
      <c r="Q17" s="6"/>
      <c r="R17" s="719"/>
      <c r="S17" s="719"/>
      <c r="T17" s="719"/>
      <c r="U17" s="6"/>
      <c r="V17" s="722"/>
    </row>
    <row r="18" spans="1:22" s="721" customFormat="1" ht="31.5" x14ac:dyDescent="0.15">
      <c r="A18" s="1231" t="s">
        <v>1823</v>
      </c>
      <c r="B18" s="2166" t="s">
        <v>1824</v>
      </c>
      <c r="C18" s="2166" t="s">
        <v>1825</v>
      </c>
      <c r="D18" s="2166" t="s">
        <v>1774</v>
      </c>
      <c r="E18" s="2166" t="s">
        <v>1826</v>
      </c>
      <c r="F18" s="2167">
        <v>13</v>
      </c>
      <c r="G18" s="2166" t="s">
        <v>1776</v>
      </c>
      <c r="H18" s="2166" t="s">
        <v>1769</v>
      </c>
      <c r="I18" s="2166" t="s">
        <v>1770</v>
      </c>
      <c r="J18" s="2166" t="s">
        <v>1771</v>
      </c>
      <c r="K18" s="722"/>
      <c r="L18" s="2077"/>
      <c r="M18" s="719"/>
      <c r="N18" s="719"/>
      <c r="O18" s="719"/>
      <c r="P18" s="719"/>
      <c r="Q18" s="6"/>
      <c r="R18" s="719"/>
      <c r="S18" s="719"/>
      <c r="T18" s="719"/>
      <c r="U18" s="6"/>
      <c r="V18" s="722"/>
    </row>
    <row r="19" spans="1:22" s="721" customFormat="1" ht="31.5" x14ac:dyDescent="0.15">
      <c r="A19" s="1231" t="s">
        <v>1827</v>
      </c>
      <c r="B19" s="2166" t="s">
        <v>1811</v>
      </c>
      <c r="C19" s="2166" t="s">
        <v>1769</v>
      </c>
      <c r="D19" s="2166" t="s">
        <v>1774</v>
      </c>
      <c r="E19" s="2166" t="s">
        <v>1771</v>
      </c>
      <c r="F19" s="2167">
        <v>14</v>
      </c>
      <c r="G19" s="2166" t="s">
        <v>1828</v>
      </c>
      <c r="H19" s="2166" t="s">
        <v>1795</v>
      </c>
      <c r="I19" s="2166" t="s">
        <v>1770</v>
      </c>
      <c r="J19" s="2166" t="s">
        <v>1829</v>
      </c>
      <c r="K19" s="722"/>
      <c r="L19" s="2077"/>
      <c r="M19" s="719"/>
      <c r="N19" s="719"/>
      <c r="O19" s="719"/>
      <c r="P19" s="719"/>
      <c r="Q19" s="6"/>
      <c r="R19" s="719"/>
      <c r="S19" s="719"/>
      <c r="T19" s="719"/>
      <c r="U19" s="6"/>
      <c r="V19" s="722"/>
    </row>
    <row r="20" spans="1:22" s="721" customFormat="1" ht="73.5" x14ac:dyDescent="0.15">
      <c r="A20" s="1231" t="s">
        <v>1830</v>
      </c>
      <c r="B20" s="2166" t="s">
        <v>1831</v>
      </c>
      <c r="C20" s="2166" t="s">
        <v>1832</v>
      </c>
      <c r="D20" s="2166" t="s">
        <v>1833</v>
      </c>
      <c r="E20" s="2166" t="s">
        <v>1834</v>
      </c>
      <c r="F20" s="2167">
        <v>15</v>
      </c>
      <c r="G20" s="2166" t="s">
        <v>1835</v>
      </c>
      <c r="H20" s="2166" t="s">
        <v>1836</v>
      </c>
      <c r="I20" s="2166" t="s">
        <v>1774</v>
      </c>
      <c r="J20" s="2166" t="s">
        <v>1837</v>
      </c>
      <c r="K20" s="722"/>
      <c r="L20" s="2077"/>
      <c r="M20" s="719"/>
      <c r="N20" s="719"/>
      <c r="O20" s="719"/>
      <c r="P20" s="719"/>
      <c r="Q20" s="6"/>
      <c r="R20" s="719"/>
      <c r="S20" s="719"/>
      <c r="T20" s="719"/>
      <c r="U20" s="6"/>
      <c r="V20" s="722"/>
    </row>
    <row r="21" spans="1:22" s="721" customFormat="1" ht="52.5" x14ac:dyDescent="0.15">
      <c r="A21" s="1231" t="s">
        <v>1838</v>
      </c>
      <c r="B21" s="2166" t="s">
        <v>1839</v>
      </c>
      <c r="C21" s="2166" t="s">
        <v>1840</v>
      </c>
      <c r="D21" s="2166" t="s">
        <v>1774</v>
      </c>
      <c r="E21" s="2166" t="s">
        <v>1841</v>
      </c>
      <c r="F21" s="2167">
        <v>16</v>
      </c>
      <c r="G21" s="2166" t="s">
        <v>1842</v>
      </c>
      <c r="H21" s="2166" t="s">
        <v>1843</v>
      </c>
      <c r="I21" s="2166" t="s">
        <v>1779</v>
      </c>
      <c r="J21" s="2166" t="s">
        <v>1844</v>
      </c>
      <c r="K21" s="722"/>
      <c r="L21" s="2077"/>
      <c r="M21" s="719"/>
      <c r="N21" s="719"/>
      <c r="O21" s="719"/>
      <c r="P21" s="719"/>
      <c r="Q21" s="6"/>
      <c r="R21" s="719"/>
      <c r="S21" s="719"/>
      <c r="T21" s="719"/>
      <c r="U21" s="6"/>
      <c r="V21" s="722"/>
    </row>
    <row r="22" spans="1:22" s="721" customFormat="1" ht="52.5" x14ac:dyDescent="0.15">
      <c r="A22" s="1231" t="s">
        <v>1845</v>
      </c>
      <c r="B22" s="2166" t="s">
        <v>1846</v>
      </c>
      <c r="C22" s="2166" t="s">
        <v>1847</v>
      </c>
      <c r="D22" s="2166" t="s">
        <v>1774</v>
      </c>
      <c r="E22" s="2166" t="s">
        <v>1791</v>
      </c>
      <c r="F22" s="2167">
        <v>17</v>
      </c>
      <c r="G22" s="2166" t="s">
        <v>1848</v>
      </c>
      <c r="H22" s="2166" t="s">
        <v>1849</v>
      </c>
      <c r="I22" s="2166" t="s">
        <v>1850</v>
      </c>
      <c r="J22" s="2166" t="s">
        <v>1851</v>
      </c>
      <c r="K22" s="722"/>
      <c r="L22" s="2077"/>
      <c r="M22" s="719"/>
      <c r="N22" s="719"/>
      <c r="O22" s="719"/>
      <c r="P22" s="719"/>
      <c r="Q22" s="6"/>
      <c r="R22" s="719"/>
      <c r="S22" s="719"/>
      <c r="T22" s="719"/>
      <c r="U22" s="6"/>
      <c r="V22" s="722"/>
    </row>
    <row r="23" spans="1:22" s="721" customFormat="1" ht="52.5" x14ac:dyDescent="0.15">
      <c r="A23" s="1231" t="s">
        <v>1852</v>
      </c>
      <c r="B23" s="2166" t="s">
        <v>1853</v>
      </c>
      <c r="C23" s="2166" t="s">
        <v>1854</v>
      </c>
      <c r="D23" s="2166" t="s">
        <v>1804</v>
      </c>
      <c r="E23" s="2166" t="s">
        <v>1855</v>
      </c>
      <c r="F23" s="2167">
        <v>18</v>
      </c>
      <c r="G23" s="2166" t="s">
        <v>1856</v>
      </c>
      <c r="H23" s="2166" t="s">
        <v>1857</v>
      </c>
      <c r="I23" s="2166" t="s">
        <v>1770</v>
      </c>
      <c r="J23" s="2166" t="s">
        <v>1829</v>
      </c>
      <c r="K23" s="722"/>
      <c r="L23" s="2077"/>
      <c r="M23" s="719"/>
      <c r="N23" s="719"/>
      <c r="O23" s="719"/>
      <c r="P23" s="719"/>
      <c r="Q23" s="6"/>
      <c r="R23" s="719"/>
      <c r="S23" s="719"/>
      <c r="T23" s="719"/>
      <c r="U23" s="6"/>
      <c r="V23" s="722"/>
    </row>
    <row r="24" spans="1:22" s="721" customFormat="1" ht="42" x14ac:dyDescent="0.15">
      <c r="A24" s="1231" t="s">
        <v>1858</v>
      </c>
      <c r="B24" s="2166" t="s">
        <v>1859</v>
      </c>
      <c r="C24" s="2166" t="s">
        <v>1860</v>
      </c>
      <c r="D24" s="2166" t="s">
        <v>1861</v>
      </c>
      <c r="E24" s="2166" t="s">
        <v>1862</v>
      </c>
      <c r="F24" s="2167">
        <v>19</v>
      </c>
      <c r="G24" s="2166" t="s">
        <v>1863</v>
      </c>
      <c r="H24" s="2166" t="s">
        <v>1783</v>
      </c>
      <c r="I24" s="2166" t="s">
        <v>1770</v>
      </c>
      <c r="J24" s="2166" t="s">
        <v>1771</v>
      </c>
      <c r="K24" s="722"/>
      <c r="L24" s="2077"/>
      <c r="M24" s="719"/>
      <c r="N24" s="719"/>
      <c r="O24" s="719"/>
      <c r="P24" s="719"/>
      <c r="Q24" s="6"/>
      <c r="R24" s="719"/>
      <c r="S24" s="719"/>
      <c r="T24" s="719"/>
      <c r="U24" s="6"/>
      <c r="V24" s="722"/>
    </row>
    <row r="25" spans="1:22" s="721" customFormat="1" ht="31.5" x14ac:dyDescent="0.15">
      <c r="A25" s="1231" t="s">
        <v>1864</v>
      </c>
      <c r="B25" s="2166" t="s">
        <v>1813</v>
      </c>
      <c r="C25" s="2166" t="s">
        <v>1778</v>
      </c>
      <c r="D25" s="2166" t="s">
        <v>1779</v>
      </c>
      <c r="E25" s="2166" t="s">
        <v>1780</v>
      </c>
      <c r="F25" s="2167">
        <v>20</v>
      </c>
      <c r="G25" s="2166" t="s">
        <v>1865</v>
      </c>
      <c r="H25" s="2166" t="s">
        <v>1783</v>
      </c>
      <c r="I25" s="2166" t="s">
        <v>1866</v>
      </c>
      <c r="J25" s="2166" t="s">
        <v>1771</v>
      </c>
      <c r="K25" s="722"/>
      <c r="L25" s="2077"/>
      <c r="M25" s="719"/>
      <c r="N25" s="719"/>
      <c r="O25" s="719"/>
      <c r="P25" s="719"/>
      <c r="Q25" s="6"/>
      <c r="R25" s="719"/>
      <c r="S25" s="719"/>
      <c r="T25" s="719"/>
      <c r="U25" s="6"/>
      <c r="V25" s="722"/>
    </row>
    <row r="26" spans="1:22" s="721" customFormat="1" ht="21" x14ac:dyDescent="0.15">
      <c r="A26" s="1231" t="s">
        <v>1867</v>
      </c>
      <c r="B26" s="2166" t="s">
        <v>1868</v>
      </c>
      <c r="C26" s="2166" t="s">
        <v>1869</v>
      </c>
      <c r="D26" s="2166" t="s">
        <v>1779</v>
      </c>
      <c r="E26" s="2166" t="s">
        <v>1870</v>
      </c>
      <c r="F26" s="2167">
        <v>21</v>
      </c>
      <c r="G26" s="2166" t="s">
        <v>1871</v>
      </c>
      <c r="H26" s="2166" t="s">
        <v>1872</v>
      </c>
      <c r="I26" s="2166" t="s">
        <v>1774</v>
      </c>
      <c r="J26" s="2166" t="s">
        <v>1873</v>
      </c>
      <c r="K26" s="722"/>
      <c r="L26" s="2077"/>
      <c r="M26" s="719"/>
      <c r="N26" s="719"/>
      <c r="O26" s="719"/>
      <c r="P26" s="719"/>
      <c r="Q26" s="6"/>
      <c r="R26" s="719"/>
      <c r="S26" s="719"/>
      <c r="T26" s="719"/>
      <c r="U26" s="6"/>
      <c r="V26" s="722"/>
    </row>
    <row r="27" spans="1:22" s="721" customFormat="1" ht="52.5" x14ac:dyDescent="0.15">
      <c r="A27" s="1231" t="s">
        <v>1874</v>
      </c>
      <c r="B27" s="2166" t="s">
        <v>1875</v>
      </c>
      <c r="C27" s="2166" t="s">
        <v>1876</v>
      </c>
      <c r="D27" s="2166" t="s">
        <v>1774</v>
      </c>
      <c r="E27" s="2166" t="s">
        <v>1826</v>
      </c>
      <c r="F27" s="2167">
        <v>22</v>
      </c>
      <c r="G27" s="2166" t="s">
        <v>1839</v>
      </c>
      <c r="H27" s="2166" t="s">
        <v>1840</v>
      </c>
      <c r="I27" s="2166" t="s">
        <v>1774</v>
      </c>
      <c r="J27" s="2166" t="s">
        <v>1841</v>
      </c>
      <c r="K27" s="722"/>
      <c r="L27" s="2077"/>
      <c r="M27" s="719"/>
      <c r="N27" s="719"/>
      <c r="O27" s="719"/>
      <c r="P27" s="719"/>
      <c r="Q27" s="6"/>
      <c r="R27" s="719"/>
      <c r="S27" s="719"/>
      <c r="T27" s="719"/>
      <c r="U27" s="6"/>
      <c r="V27" s="722"/>
    </row>
    <row r="28" spans="1:22" s="721" customFormat="1" ht="31.5" x14ac:dyDescent="0.15">
      <c r="A28" s="1231" t="s">
        <v>1877</v>
      </c>
      <c r="B28" s="2166" t="s">
        <v>1856</v>
      </c>
      <c r="C28" s="2166" t="s">
        <v>1857</v>
      </c>
      <c r="D28" s="2166" t="s">
        <v>1770</v>
      </c>
      <c r="E28" s="2166" t="s">
        <v>1829</v>
      </c>
      <c r="F28" s="2167">
        <v>23</v>
      </c>
      <c r="G28" s="2166" t="s">
        <v>1878</v>
      </c>
      <c r="H28" s="2166" t="s">
        <v>1778</v>
      </c>
      <c r="I28" s="2166" t="s">
        <v>1779</v>
      </c>
      <c r="J28" s="2166" t="s">
        <v>1780</v>
      </c>
      <c r="K28" s="722"/>
      <c r="L28" s="2077"/>
      <c r="M28" s="719"/>
      <c r="N28" s="719"/>
      <c r="O28" s="719"/>
      <c r="P28" s="719"/>
      <c r="Q28" s="6"/>
      <c r="R28" s="719"/>
      <c r="S28" s="719"/>
      <c r="T28" s="719"/>
      <c r="U28" s="6"/>
      <c r="V28" s="722"/>
    </row>
    <row r="29" spans="1:22" s="721" customFormat="1" ht="31.5" x14ac:dyDescent="0.15">
      <c r="A29" s="1231" t="s">
        <v>1879</v>
      </c>
      <c r="B29" s="2166" t="s">
        <v>1880</v>
      </c>
      <c r="C29" s="2166" t="s">
        <v>1881</v>
      </c>
      <c r="D29" s="2166" t="s">
        <v>1779</v>
      </c>
      <c r="E29" s="2166" t="s">
        <v>1882</v>
      </c>
      <c r="F29" s="2167">
        <v>24</v>
      </c>
      <c r="G29" s="2166" t="s">
        <v>1883</v>
      </c>
      <c r="H29" s="2166" t="s">
        <v>1884</v>
      </c>
      <c r="I29" s="2166" t="s">
        <v>1779</v>
      </c>
      <c r="J29" s="2166" t="s">
        <v>1885</v>
      </c>
      <c r="K29" s="722"/>
      <c r="L29" s="2077"/>
      <c r="M29" s="719"/>
      <c r="N29" s="719"/>
      <c r="O29" s="719"/>
      <c r="P29" s="719"/>
      <c r="Q29" s="6"/>
      <c r="R29" s="719"/>
      <c r="S29" s="719"/>
      <c r="T29" s="719"/>
      <c r="U29" s="6"/>
      <c r="V29" s="722"/>
    </row>
    <row r="30" spans="1:22" s="721" customFormat="1" ht="52.5" x14ac:dyDescent="0.15">
      <c r="A30" s="1231"/>
      <c r="B30" s="1231"/>
      <c r="C30" s="1231"/>
      <c r="D30" s="1231"/>
      <c r="E30" s="1231"/>
      <c r="F30" s="2167">
        <v>25</v>
      </c>
      <c r="G30" s="2166" t="s">
        <v>1886</v>
      </c>
      <c r="H30" s="2166" t="s">
        <v>1887</v>
      </c>
      <c r="I30" s="2166" t="s">
        <v>1774</v>
      </c>
      <c r="J30" s="2166" t="s">
        <v>1841</v>
      </c>
      <c r="K30" s="722"/>
      <c r="L30" s="2077"/>
      <c r="M30" s="719"/>
      <c r="N30" s="719"/>
      <c r="O30" s="719"/>
      <c r="P30" s="719"/>
      <c r="Q30" s="6"/>
      <c r="R30" s="719"/>
      <c r="S30" s="719"/>
      <c r="T30" s="719"/>
      <c r="U30" s="6"/>
      <c r="V30" s="722"/>
    </row>
    <row r="31" spans="1:22" x14ac:dyDescent="0.15">
      <c r="A31" s="2077"/>
      <c r="B31" s="2077"/>
      <c r="C31" s="2077"/>
      <c r="D31" s="2077"/>
      <c r="E31" s="2077"/>
      <c r="F31" s="2077"/>
      <c r="G31" s="2077"/>
      <c r="H31" s="2077"/>
      <c r="I31" s="2077"/>
      <c r="J31" s="2077"/>
      <c r="K31" s="2077"/>
      <c r="L31" s="2077"/>
      <c r="M31" s="6"/>
      <c r="N31" s="6"/>
      <c r="O31" s="6"/>
      <c r="P31" s="6"/>
      <c r="Q31" s="6"/>
      <c r="R31" s="6"/>
      <c r="S31" s="6"/>
      <c r="T31" s="6"/>
      <c r="U31" s="6"/>
      <c r="V31" s="6"/>
    </row>
    <row r="32" spans="1:22" x14ac:dyDescent="0.15">
      <c r="A32" s="2827" t="s">
        <v>1537</v>
      </c>
      <c r="B32" s="2827"/>
      <c r="C32" s="2827"/>
      <c r="D32" s="2827"/>
      <c r="E32" s="2827"/>
      <c r="F32" s="2827"/>
      <c r="G32" s="2827"/>
      <c r="H32" s="2827"/>
      <c r="I32" s="2827"/>
      <c r="J32" s="2827"/>
      <c r="K32" s="2077"/>
      <c r="L32" s="2077"/>
      <c r="M32" s="6"/>
      <c r="N32" s="6"/>
      <c r="O32" s="6"/>
      <c r="P32" s="6"/>
      <c r="Q32" s="6"/>
      <c r="R32" s="6"/>
      <c r="S32" s="6"/>
      <c r="T32" s="6"/>
      <c r="U32" s="6"/>
      <c r="V32" s="6"/>
    </row>
    <row r="33" spans="1:12" x14ac:dyDescent="0.15">
      <c r="A33" s="2077"/>
      <c r="B33" s="2077"/>
      <c r="C33" s="2077"/>
      <c r="D33" s="2077"/>
      <c r="E33" s="2077"/>
      <c r="F33" s="2077"/>
      <c r="G33" s="2077"/>
      <c r="H33" s="2077"/>
      <c r="I33" s="2077"/>
      <c r="J33" s="2077"/>
      <c r="K33" s="2077"/>
      <c r="L33" s="2077"/>
    </row>
    <row r="34" spans="1:12" x14ac:dyDescent="0.15">
      <c r="A34" s="2077"/>
      <c r="B34" s="2077"/>
      <c r="C34" s="2077"/>
      <c r="D34" s="2077"/>
      <c r="E34" s="2077"/>
      <c r="F34" s="2077"/>
      <c r="G34" s="2077"/>
      <c r="H34" s="2077"/>
      <c r="I34" s="2077"/>
      <c r="J34" s="2077"/>
      <c r="K34" s="2077"/>
      <c r="L34" s="2077"/>
    </row>
  </sheetData>
  <mergeCells count="4">
    <mergeCell ref="A2:J2"/>
    <mergeCell ref="A4:E4"/>
    <mergeCell ref="F4:J4"/>
    <mergeCell ref="A32:J32"/>
  </mergeCells>
  <pageMargins left="0.7" right="0.7" top="0.75" bottom="0.75" header="0.3" footer="0.3"/>
  <pageSetup paperSize="14" scale="7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I21"/>
  <sheetViews>
    <sheetView zoomScaleNormal="100" workbookViewId="0">
      <selection activeCell="E34" sqref="E34"/>
    </sheetView>
  </sheetViews>
  <sheetFormatPr baseColWidth="10" defaultRowHeight="10.5" x14ac:dyDescent="0.15"/>
  <cols>
    <col min="1" max="1" width="19.85546875" style="25" customWidth="1"/>
    <col min="2" max="6" width="10.7109375" style="25" customWidth="1"/>
    <col min="7" max="7" width="11.42578125" style="25"/>
    <col min="8" max="8" width="5.85546875" style="25" customWidth="1"/>
    <col min="9" max="16384" width="11.42578125" style="25"/>
  </cols>
  <sheetData>
    <row r="1" spans="1:9" x14ac:dyDescent="0.15">
      <c r="G1" s="296"/>
      <c r="H1" s="296"/>
      <c r="I1" s="296"/>
    </row>
    <row r="2" spans="1:9" ht="22.5" customHeight="1" x14ac:dyDescent="0.15">
      <c r="A2" s="2828" t="s">
        <v>1888</v>
      </c>
      <c r="B2" s="2828"/>
      <c r="C2" s="2828"/>
      <c r="D2" s="2828"/>
      <c r="E2" s="2828"/>
      <c r="F2" s="2828"/>
      <c r="G2" s="296"/>
      <c r="H2" s="296"/>
      <c r="I2" s="296"/>
    </row>
    <row r="3" spans="1:9" x14ac:dyDescent="0.15">
      <c r="A3" s="723"/>
      <c r="B3" s="723"/>
      <c r="C3" s="723"/>
      <c r="D3" s="723"/>
      <c r="E3" s="723"/>
      <c r="F3" s="723"/>
      <c r="G3" s="296"/>
      <c r="H3" s="296"/>
    </row>
    <row r="4" spans="1:9" x14ac:dyDescent="0.15">
      <c r="A4" s="2829" t="s">
        <v>1889</v>
      </c>
      <c r="B4" s="2831" t="s">
        <v>2</v>
      </c>
      <c r="C4" s="2832"/>
      <c r="D4" s="2832"/>
      <c r="E4" s="2832"/>
      <c r="F4" s="2833"/>
      <c r="G4" s="296"/>
      <c r="H4" s="296"/>
    </row>
    <row r="5" spans="1:9" x14ac:dyDescent="0.15">
      <c r="A5" s="2830"/>
      <c r="B5" s="724">
        <v>2011</v>
      </c>
      <c r="C5" s="724">
        <v>2012</v>
      </c>
      <c r="D5" s="724">
        <v>2013</v>
      </c>
      <c r="E5" s="724">
        <v>2014</v>
      </c>
      <c r="F5" s="724">
        <v>2015</v>
      </c>
      <c r="G5" s="296"/>
      <c r="H5" s="296"/>
    </row>
    <row r="6" spans="1:9" x14ac:dyDescent="0.15">
      <c r="A6" s="725" t="s">
        <v>141</v>
      </c>
      <c r="B6" s="726">
        <f t="shared" ref="B6:F6" si="0">SUM(B7:B8)</f>
        <v>9756</v>
      </c>
      <c r="C6" s="726">
        <f t="shared" si="0"/>
        <v>16388</v>
      </c>
      <c r="D6" s="726">
        <f t="shared" si="0"/>
        <v>19563</v>
      </c>
      <c r="E6" s="726">
        <f t="shared" si="0"/>
        <v>25081</v>
      </c>
      <c r="F6" s="726">
        <f t="shared" si="0"/>
        <v>19621</v>
      </c>
      <c r="G6" s="296"/>
      <c r="H6" s="296"/>
    </row>
    <row r="7" spans="1:9" x14ac:dyDescent="0.15">
      <c r="A7" s="25" t="s">
        <v>1890</v>
      </c>
      <c r="B7" s="727">
        <v>8389</v>
      </c>
      <c r="C7" s="727">
        <v>15019</v>
      </c>
      <c r="D7" s="727">
        <v>17667</v>
      </c>
      <c r="E7" s="727">
        <v>23167</v>
      </c>
      <c r="F7" s="727">
        <v>17976</v>
      </c>
      <c r="G7" s="296"/>
      <c r="H7" s="296"/>
    </row>
    <row r="8" spans="1:9" x14ac:dyDescent="0.15">
      <c r="A8" s="25" t="s">
        <v>1425</v>
      </c>
      <c r="B8" s="727">
        <v>1367</v>
      </c>
      <c r="C8" s="727">
        <v>1369</v>
      </c>
      <c r="D8" s="727">
        <v>1896</v>
      </c>
      <c r="E8" s="727">
        <v>1914</v>
      </c>
      <c r="F8" s="727">
        <v>1645</v>
      </c>
      <c r="G8" s="296"/>
      <c r="H8" s="296"/>
    </row>
    <row r="9" spans="1:9" x14ac:dyDescent="0.15">
      <c r="G9" s="296"/>
      <c r="H9" s="296"/>
    </row>
    <row r="10" spans="1:9" x14ac:dyDescent="0.15">
      <c r="A10" s="728" t="s">
        <v>1891</v>
      </c>
      <c r="G10" s="296"/>
      <c r="H10" s="296"/>
    </row>
    <row r="11" spans="1:9" x14ac:dyDescent="0.15">
      <c r="G11" s="296"/>
      <c r="H11" s="296"/>
    </row>
    <row r="12" spans="1:9" x14ac:dyDescent="0.15">
      <c r="G12" s="296"/>
      <c r="H12" s="296"/>
    </row>
    <row r="13" spans="1:9" x14ac:dyDescent="0.15">
      <c r="G13" s="296"/>
      <c r="H13" s="296"/>
    </row>
    <row r="14" spans="1:9" x14ac:dyDescent="0.15">
      <c r="G14" s="296"/>
      <c r="H14" s="296"/>
    </row>
    <row r="15" spans="1:9" x14ac:dyDescent="0.15">
      <c r="G15" s="296"/>
      <c r="H15" s="296"/>
    </row>
    <row r="16" spans="1:9" x14ac:dyDescent="0.15">
      <c r="G16" s="296"/>
      <c r="H16" s="296"/>
    </row>
    <row r="17" spans="7:8" x14ac:dyDescent="0.15">
      <c r="G17" s="296"/>
      <c r="H17" s="296"/>
    </row>
    <row r="18" spans="7:8" x14ac:dyDescent="0.15">
      <c r="G18" s="296"/>
      <c r="H18" s="296"/>
    </row>
    <row r="19" spans="7:8" x14ac:dyDescent="0.15">
      <c r="G19" s="296"/>
      <c r="H19" s="296"/>
    </row>
    <row r="20" spans="7:8" x14ac:dyDescent="0.15">
      <c r="G20" s="296"/>
      <c r="H20" s="296"/>
    </row>
    <row r="21" spans="7:8" x14ac:dyDescent="0.15">
      <c r="G21" s="296"/>
      <c r="H21" s="296"/>
    </row>
  </sheetData>
  <mergeCells count="3">
    <mergeCell ref="A2:F2"/>
    <mergeCell ref="A4:A5"/>
    <mergeCell ref="B4:F4"/>
  </mergeCell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I25"/>
  <sheetViews>
    <sheetView zoomScaleNormal="100" workbookViewId="0">
      <selection activeCell="E34" sqref="E34"/>
    </sheetView>
  </sheetViews>
  <sheetFormatPr baseColWidth="10" defaultRowHeight="10.5" x14ac:dyDescent="0.15"/>
  <cols>
    <col min="1" max="1" width="21.7109375" style="25" customWidth="1"/>
    <col min="2" max="6" width="10" style="25" customWidth="1"/>
    <col min="7" max="7" width="3.7109375" style="25" customWidth="1"/>
    <col min="8" max="16384" width="11.42578125" style="25"/>
  </cols>
  <sheetData>
    <row r="1" spans="1:9" x14ac:dyDescent="0.15">
      <c r="H1" s="296"/>
    </row>
    <row r="2" spans="1:9" ht="27" customHeight="1" x14ac:dyDescent="0.15">
      <c r="A2" s="2828" t="s">
        <v>1892</v>
      </c>
      <c r="B2" s="2828"/>
      <c r="C2" s="2828"/>
      <c r="D2" s="2828"/>
      <c r="E2" s="2828"/>
      <c r="F2" s="2828"/>
    </row>
    <row r="4" spans="1:9" s="730" customFormat="1" ht="20.25" customHeight="1" x14ac:dyDescent="0.25">
      <c r="A4" s="729" t="s">
        <v>1</v>
      </c>
      <c r="B4" s="729">
        <v>2011</v>
      </c>
      <c r="C4" s="729">
        <v>2012</v>
      </c>
      <c r="D4" s="729">
        <v>2013</v>
      </c>
      <c r="E4" s="729">
        <v>2014</v>
      </c>
      <c r="F4" s="729">
        <v>2015</v>
      </c>
      <c r="H4" s="731"/>
      <c r="I4" s="731"/>
    </row>
    <row r="5" spans="1:9" x14ac:dyDescent="0.15">
      <c r="A5" s="732" t="s">
        <v>141</v>
      </c>
      <c r="B5" s="733">
        <f t="shared" ref="B5:F5" si="0">SUM(B6:B21)</f>
        <v>8389</v>
      </c>
      <c r="C5" s="733">
        <f t="shared" si="0"/>
        <v>15019</v>
      </c>
      <c r="D5" s="733">
        <f t="shared" si="0"/>
        <v>17667</v>
      </c>
      <c r="E5" s="733">
        <f t="shared" si="0"/>
        <v>23167</v>
      </c>
      <c r="F5" s="733">
        <f t="shared" si="0"/>
        <v>17976</v>
      </c>
      <c r="H5" s="734"/>
      <c r="I5" s="296"/>
    </row>
    <row r="6" spans="1:9" s="737" customFormat="1" x14ac:dyDescent="0.15">
      <c r="A6" s="735" t="s">
        <v>5</v>
      </c>
      <c r="B6" s="736">
        <v>11</v>
      </c>
      <c r="C6" s="736">
        <v>41</v>
      </c>
      <c r="D6" s="736">
        <v>68</v>
      </c>
      <c r="E6" s="736">
        <v>118</v>
      </c>
      <c r="F6" s="736">
        <v>150</v>
      </c>
      <c r="H6" s="738"/>
      <c r="I6" s="738"/>
    </row>
    <row r="7" spans="1:9" s="737" customFormat="1" x14ac:dyDescent="0.15">
      <c r="A7" s="735" t="s">
        <v>6</v>
      </c>
      <c r="B7" s="736">
        <v>79</v>
      </c>
      <c r="C7" s="736">
        <v>172</v>
      </c>
      <c r="D7" s="736">
        <v>177</v>
      </c>
      <c r="E7" s="736">
        <v>305</v>
      </c>
      <c r="F7" s="736">
        <v>239</v>
      </c>
      <c r="H7" s="738"/>
      <c r="I7" s="738"/>
    </row>
    <row r="8" spans="1:9" s="737" customFormat="1" x14ac:dyDescent="0.15">
      <c r="A8" s="735" t="s">
        <v>7</v>
      </c>
      <c r="B8" s="736">
        <v>287</v>
      </c>
      <c r="C8" s="736">
        <v>572</v>
      </c>
      <c r="D8" s="736">
        <v>763</v>
      </c>
      <c r="E8" s="736">
        <v>962</v>
      </c>
      <c r="F8" s="736">
        <v>916</v>
      </c>
      <c r="H8" s="738"/>
      <c r="I8" s="738"/>
    </row>
    <row r="9" spans="1:9" s="737" customFormat="1" x14ac:dyDescent="0.15">
      <c r="A9" s="735" t="s">
        <v>8</v>
      </c>
      <c r="B9" s="736">
        <v>70</v>
      </c>
      <c r="C9" s="736">
        <v>69</v>
      </c>
      <c r="D9" s="736">
        <v>38</v>
      </c>
      <c r="E9" s="736">
        <v>59</v>
      </c>
      <c r="F9" s="736">
        <v>349</v>
      </c>
      <c r="H9" s="738"/>
      <c r="I9" s="738"/>
    </row>
    <row r="10" spans="1:9" s="737" customFormat="1" x14ac:dyDescent="0.15">
      <c r="A10" s="735" t="s">
        <v>9</v>
      </c>
      <c r="B10" s="736">
        <v>268</v>
      </c>
      <c r="C10" s="736">
        <v>432</v>
      </c>
      <c r="D10" s="736">
        <v>712</v>
      </c>
      <c r="E10" s="736">
        <v>1033</v>
      </c>
      <c r="F10" s="736">
        <v>592</v>
      </c>
      <c r="H10" s="738"/>
      <c r="I10" s="738"/>
    </row>
    <row r="11" spans="1:9" s="737" customFormat="1" x14ac:dyDescent="0.15">
      <c r="A11" s="735" t="s">
        <v>10</v>
      </c>
      <c r="B11" s="736">
        <v>547</v>
      </c>
      <c r="C11" s="736">
        <v>1011</v>
      </c>
      <c r="D11" s="736">
        <v>1036</v>
      </c>
      <c r="E11" s="736">
        <v>1632</v>
      </c>
      <c r="F11" s="736">
        <v>1357</v>
      </c>
      <c r="H11" s="738"/>
      <c r="I11" s="738"/>
    </row>
    <row r="12" spans="1:9" s="737" customFormat="1" x14ac:dyDescent="0.15">
      <c r="A12" s="735" t="s">
        <v>11</v>
      </c>
      <c r="B12" s="736">
        <v>5757</v>
      </c>
      <c r="C12" s="736">
        <v>10637</v>
      </c>
      <c r="D12" s="736">
        <v>12080</v>
      </c>
      <c r="E12" s="736">
        <v>14719</v>
      </c>
      <c r="F12" s="736">
        <v>10679</v>
      </c>
      <c r="H12" s="738"/>
      <c r="I12" s="738"/>
    </row>
    <row r="13" spans="1:9" s="737" customFormat="1" x14ac:dyDescent="0.15">
      <c r="A13" s="735" t="s">
        <v>12</v>
      </c>
      <c r="B13" s="736">
        <v>175</v>
      </c>
      <c r="C13" s="736">
        <v>207</v>
      </c>
      <c r="D13" s="736">
        <v>393</v>
      </c>
      <c r="E13" s="736">
        <v>594</v>
      </c>
      <c r="F13" s="736">
        <v>625</v>
      </c>
      <c r="H13" s="738"/>
      <c r="I13" s="738"/>
    </row>
    <row r="14" spans="1:9" s="737" customFormat="1" x14ac:dyDescent="0.15">
      <c r="A14" s="735" t="s">
        <v>13</v>
      </c>
      <c r="B14" s="736">
        <v>165</v>
      </c>
      <c r="C14" s="736">
        <v>149</v>
      </c>
      <c r="D14" s="736">
        <v>227</v>
      </c>
      <c r="E14" s="736">
        <v>385</v>
      </c>
      <c r="F14" s="736">
        <v>368</v>
      </c>
      <c r="H14" s="738"/>
      <c r="I14" s="738"/>
    </row>
    <row r="15" spans="1:9" s="737" customFormat="1" x14ac:dyDescent="0.15">
      <c r="A15" s="735" t="s">
        <v>14</v>
      </c>
      <c r="B15" s="736">
        <v>421</v>
      </c>
      <c r="C15" s="736">
        <v>615</v>
      </c>
      <c r="D15" s="736">
        <v>777</v>
      </c>
      <c r="E15" s="736">
        <v>1153</v>
      </c>
      <c r="F15" s="736">
        <v>1080</v>
      </c>
      <c r="H15" s="738"/>
      <c r="I15" s="738"/>
    </row>
    <row r="16" spans="1:9" s="737" customFormat="1" x14ac:dyDescent="0.15">
      <c r="A16" s="735" t="s">
        <v>15</v>
      </c>
      <c r="B16" s="736">
        <v>114</v>
      </c>
      <c r="C16" s="736">
        <v>271</v>
      </c>
      <c r="D16" s="736">
        <v>356</v>
      </c>
      <c r="E16" s="736">
        <v>522</v>
      </c>
      <c r="F16" s="736">
        <v>349</v>
      </c>
      <c r="H16" s="738"/>
      <c r="I16" s="738"/>
    </row>
    <row r="17" spans="1:9" s="737" customFormat="1" x14ac:dyDescent="0.15">
      <c r="A17" s="735" t="s">
        <v>16</v>
      </c>
      <c r="B17" s="736">
        <v>59</v>
      </c>
      <c r="C17" s="736">
        <v>148</v>
      </c>
      <c r="D17" s="736">
        <v>231</v>
      </c>
      <c r="E17" s="736">
        <v>379</v>
      </c>
      <c r="F17" s="736">
        <v>308</v>
      </c>
      <c r="H17" s="738"/>
      <c r="I17" s="738"/>
    </row>
    <row r="18" spans="1:9" s="737" customFormat="1" x14ac:dyDescent="0.15">
      <c r="A18" s="735" t="s">
        <v>17</v>
      </c>
      <c r="B18" s="736">
        <v>212</v>
      </c>
      <c r="C18" s="736">
        <v>255</v>
      </c>
      <c r="D18" s="736">
        <v>360</v>
      </c>
      <c r="E18" s="736">
        <v>630</v>
      </c>
      <c r="F18" s="736">
        <v>554</v>
      </c>
      <c r="H18" s="738"/>
      <c r="I18" s="738"/>
    </row>
    <row r="19" spans="1:9" s="737" customFormat="1" x14ac:dyDescent="0.15">
      <c r="A19" s="735" t="s">
        <v>18</v>
      </c>
      <c r="B19" s="736">
        <v>75</v>
      </c>
      <c r="C19" s="736">
        <v>130</v>
      </c>
      <c r="D19" s="736">
        <v>112</v>
      </c>
      <c r="E19" s="736">
        <v>232</v>
      </c>
      <c r="F19" s="736">
        <v>154</v>
      </c>
      <c r="H19" s="738"/>
      <c r="I19" s="738"/>
    </row>
    <row r="20" spans="1:9" s="737" customFormat="1" x14ac:dyDescent="0.15">
      <c r="A20" s="735" t="s">
        <v>19</v>
      </c>
      <c r="B20" s="736">
        <v>96</v>
      </c>
      <c r="C20" s="736">
        <v>141</v>
      </c>
      <c r="D20" s="736">
        <v>199</v>
      </c>
      <c r="E20" s="736">
        <v>281</v>
      </c>
      <c r="F20" s="736">
        <v>182</v>
      </c>
      <c r="H20" s="738"/>
      <c r="I20" s="738"/>
    </row>
    <row r="21" spans="1:9" s="738" customFormat="1" ht="11.25" x14ac:dyDescent="0.15">
      <c r="A21" s="268" t="s">
        <v>1893</v>
      </c>
      <c r="B21" s="739">
        <v>53</v>
      </c>
      <c r="C21" s="739">
        <v>169</v>
      </c>
      <c r="D21" s="739">
        <v>138</v>
      </c>
      <c r="E21" s="739">
        <v>163</v>
      </c>
      <c r="F21" s="739">
        <v>74</v>
      </c>
    </row>
    <row r="22" spans="1:9" x14ac:dyDescent="0.15">
      <c r="H22" s="296"/>
      <c r="I22" s="296"/>
    </row>
    <row r="23" spans="1:9" x14ac:dyDescent="0.15">
      <c r="A23" s="2834" t="s">
        <v>1894</v>
      </c>
      <c r="B23" s="2834"/>
      <c r="C23" s="2834"/>
      <c r="D23" s="2834"/>
      <c r="E23" s="2834"/>
      <c r="F23" s="2834"/>
      <c r="H23" s="296"/>
      <c r="I23" s="296"/>
    </row>
    <row r="24" spans="1:9" ht="12" customHeight="1" x14ac:dyDescent="0.15">
      <c r="A24" s="2834" t="s">
        <v>1895</v>
      </c>
      <c r="B24" s="2834"/>
      <c r="C24" s="2834"/>
      <c r="D24" s="2834"/>
      <c r="E24" s="2834"/>
      <c r="F24" s="2834"/>
      <c r="H24" s="296"/>
      <c r="I24" s="296"/>
    </row>
    <row r="25" spans="1:9" x14ac:dyDescent="0.15">
      <c r="A25" s="2835" t="s">
        <v>1891</v>
      </c>
      <c r="B25" s="2835"/>
      <c r="C25" s="2835"/>
      <c r="D25" s="2835"/>
      <c r="E25" s="2835"/>
      <c r="F25" s="2835"/>
    </row>
  </sheetData>
  <mergeCells count="4">
    <mergeCell ref="A2:F2"/>
    <mergeCell ref="A23:F23"/>
    <mergeCell ref="A24:F24"/>
    <mergeCell ref="A25:F25"/>
  </mergeCell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B44"/>
  <sheetViews>
    <sheetView zoomScaleNormal="100" workbookViewId="0">
      <selection activeCell="E34" sqref="E34"/>
    </sheetView>
  </sheetViews>
  <sheetFormatPr baseColWidth="10" defaultRowHeight="10.5" x14ac:dyDescent="0.15"/>
  <cols>
    <col min="1" max="1" width="30.7109375" style="296" customWidth="1"/>
    <col min="2" max="2" width="21.42578125" style="296" customWidth="1"/>
    <col min="3" max="16384" width="11.42578125" style="296"/>
  </cols>
  <sheetData>
    <row r="2" spans="1:2" ht="34.5" customHeight="1" x14ac:dyDescent="0.15">
      <c r="A2" s="2836" t="s">
        <v>1896</v>
      </c>
      <c r="B2" s="2836"/>
    </row>
    <row r="3" spans="1:2" x14ac:dyDescent="0.15">
      <c r="A3" s="740"/>
      <c r="B3" s="740"/>
    </row>
    <row r="4" spans="1:2" x14ac:dyDescent="0.15">
      <c r="A4" s="2837" t="s">
        <v>1897</v>
      </c>
      <c r="B4" s="2837" t="s">
        <v>69</v>
      </c>
    </row>
    <row r="5" spans="1:2" x14ac:dyDescent="0.15">
      <c r="A5" s="2837"/>
      <c r="B5" s="2837"/>
    </row>
    <row r="6" spans="1:2" x14ac:dyDescent="0.15">
      <c r="A6" s="741" t="s">
        <v>141</v>
      </c>
      <c r="B6" s="742">
        <f>SUM(B7:B33)</f>
        <v>927</v>
      </c>
    </row>
    <row r="7" spans="1:2" x14ac:dyDescent="0.15">
      <c r="A7" s="728" t="s">
        <v>1898</v>
      </c>
      <c r="B7" s="296">
        <v>178</v>
      </c>
    </row>
    <row r="8" spans="1:2" x14ac:dyDescent="0.15">
      <c r="A8" s="728" t="s">
        <v>1899</v>
      </c>
      <c r="B8" s="296">
        <v>137</v>
      </c>
    </row>
    <row r="9" spans="1:2" x14ac:dyDescent="0.15">
      <c r="A9" s="728" t="s">
        <v>1900</v>
      </c>
      <c r="B9" s="296">
        <v>132</v>
      </c>
    </row>
    <row r="10" spans="1:2" x14ac:dyDescent="0.15">
      <c r="A10" s="728" t="s">
        <v>1901</v>
      </c>
      <c r="B10" s="296">
        <v>64</v>
      </c>
    </row>
    <row r="11" spans="1:2" x14ac:dyDescent="0.15">
      <c r="A11" s="728" t="s">
        <v>1341</v>
      </c>
      <c r="B11" s="296">
        <v>61</v>
      </c>
    </row>
    <row r="12" spans="1:2" x14ac:dyDescent="0.15">
      <c r="A12" s="728" t="s">
        <v>1902</v>
      </c>
      <c r="B12" s="296">
        <v>54</v>
      </c>
    </row>
    <row r="13" spans="1:2" x14ac:dyDescent="0.15">
      <c r="A13" s="728" t="s">
        <v>1903</v>
      </c>
      <c r="B13" s="296">
        <v>49</v>
      </c>
    </row>
    <row r="14" spans="1:2" x14ac:dyDescent="0.15">
      <c r="A14" s="728" t="s">
        <v>1904</v>
      </c>
      <c r="B14" s="296">
        <v>44</v>
      </c>
    </row>
    <row r="15" spans="1:2" x14ac:dyDescent="0.15">
      <c r="A15" s="728" t="s">
        <v>1905</v>
      </c>
      <c r="B15" s="296">
        <v>37</v>
      </c>
    </row>
    <row r="16" spans="1:2" x14ac:dyDescent="0.15">
      <c r="A16" s="728" t="s">
        <v>1906</v>
      </c>
      <c r="B16" s="296">
        <v>30</v>
      </c>
    </row>
    <row r="17" spans="1:2" x14ac:dyDescent="0.15">
      <c r="A17" s="728" t="s">
        <v>1907</v>
      </c>
      <c r="B17" s="296">
        <v>23</v>
      </c>
    </row>
    <row r="18" spans="1:2" x14ac:dyDescent="0.15">
      <c r="A18" s="728" t="s">
        <v>1908</v>
      </c>
      <c r="B18" s="296">
        <v>19</v>
      </c>
    </row>
    <row r="19" spans="1:2" x14ac:dyDescent="0.15">
      <c r="A19" s="728" t="s">
        <v>1909</v>
      </c>
      <c r="B19" s="296">
        <v>18</v>
      </c>
    </row>
    <row r="20" spans="1:2" x14ac:dyDescent="0.15">
      <c r="A20" s="728" t="s">
        <v>1910</v>
      </c>
      <c r="B20" s="296">
        <v>16</v>
      </c>
    </row>
    <row r="21" spans="1:2" x14ac:dyDescent="0.15">
      <c r="A21" s="728" t="s">
        <v>1911</v>
      </c>
      <c r="B21" s="296">
        <v>14</v>
      </c>
    </row>
    <row r="22" spans="1:2" x14ac:dyDescent="0.15">
      <c r="A22" s="728" t="s">
        <v>1912</v>
      </c>
      <c r="B22" s="296">
        <v>12</v>
      </c>
    </row>
    <row r="23" spans="1:2" x14ac:dyDescent="0.15">
      <c r="A23" s="728" t="s">
        <v>1913</v>
      </c>
      <c r="B23" s="296">
        <v>11</v>
      </c>
    </row>
    <row r="24" spans="1:2" x14ac:dyDescent="0.15">
      <c r="A24" s="728" t="s">
        <v>1914</v>
      </c>
      <c r="B24" s="296">
        <v>7</v>
      </c>
    </row>
    <row r="25" spans="1:2" x14ac:dyDescent="0.15">
      <c r="A25" s="728" t="s">
        <v>1915</v>
      </c>
      <c r="B25" s="296">
        <v>6</v>
      </c>
    </row>
    <row r="26" spans="1:2" x14ac:dyDescent="0.15">
      <c r="A26" s="728" t="s">
        <v>1916</v>
      </c>
      <c r="B26" s="296">
        <v>3</v>
      </c>
    </row>
    <row r="27" spans="1:2" x14ac:dyDescent="0.15">
      <c r="A27" s="296" t="s">
        <v>1917</v>
      </c>
      <c r="B27" s="296">
        <v>3</v>
      </c>
    </row>
    <row r="28" spans="1:2" x14ac:dyDescent="0.15">
      <c r="A28" s="728" t="s">
        <v>1918</v>
      </c>
      <c r="B28" s="296">
        <v>2</v>
      </c>
    </row>
    <row r="29" spans="1:2" x14ac:dyDescent="0.15">
      <c r="A29" s="728" t="s">
        <v>1919</v>
      </c>
      <c r="B29" s="296">
        <v>2</v>
      </c>
    </row>
    <row r="30" spans="1:2" x14ac:dyDescent="0.15">
      <c r="A30" s="296" t="s">
        <v>1580</v>
      </c>
      <c r="B30" s="296">
        <v>2</v>
      </c>
    </row>
    <row r="31" spans="1:2" x14ac:dyDescent="0.15">
      <c r="A31" s="728" t="s">
        <v>1920</v>
      </c>
      <c r="B31" s="296">
        <v>1</v>
      </c>
    </row>
    <row r="32" spans="1:2" x14ac:dyDescent="0.15">
      <c r="A32" s="728" t="s">
        <v>1921</v>
      </c>
      <c r="B32" s="296">
        <v>1</v>
      </c>
    </row>
    <row r="33" spans="1:2" x14ac:dyDescent="0.15">
      <c r="A33" s="296" t="s">
        <v>1922</v>
      </c>
      <c r="B33" s="296">
        <v>1</v>
      </c>
    </row>
    <row r="35" spans="1:2" x14ac:dyDescent="0.15">
      <c r="A35" s="2838" t="s">
        <v>1923</v>
      </c>
      <c r="B35" s="2838"/>
    </row>
    <row r="36" spans="1:2" x14ac:dyDescent="0.15">
      <c r="A36" s="743" t="s">
        <v>460</v>
      </c>
    </row>
    <row r="37" spans="1:2" x14ac:dyDescent="0.15">
      <c r="A37" s="728" t="s">
        <v>1891</v>
      </c>
    </row>
    <row r="44" spans="1:2" ht="36" customHeight="1" x14ac:dyDescent="0.15"/>
  </sheetData>
  <mergeCells count="4">
    <mergeCell ref="A2:B2"/>
    <mergeCell ref="A4:A5"/>
    <mergeCell ref="B4:B5"/>
    <mergeCell ref="A35:B35"/>
  </mergeCells>
  <pageMargins left="0.7" right="0.7" top="0.75" bottom="0.75" header="0.3" footer="0.3"/>
  <pageSetup paperSize="9" orientation="portrait"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D45"/>
  <sheetViews>
    <sheetView workbookViewId="0">
      <selection activeCell="E34" sqref="E34"/>
    </sheetView>
  </sheetViews>
  <sheetFormatPr baseColWidth="10" defaultRowHeight="10.5" x14ac:dyDescent="0.15"/>
  <cols>
    <col min="1" max="1" width="20.42578125" style="25" customWidth="1"/>
    <col min="2" max="4" width="14.28515625" style="25" customWidth="1"/>
    <col min="5" max="5" width="10.85546875" style="25" customWidth="1"/>
    <col min="6" max="6" width="8.7109375" style="25" customWidth="1"/>
    <col min="7" max="7" width="8.42578125" style="25" customWidth="1"/>
    <col min="8" max="8" width="8.140625" style="25" customWidth="1"/>
    <col min="9" max="9" width="7" style="25" customWidth="1"/>
    <col min="10" max="10" width="8.7109375" style="25" customWidth="1"/>
    <col min="11" max="11" width="6" style="25" customWidth="1"/>
    <col min="12" max="12" width="6.7109375" style="25" customWidth="1"/>
    <col min="13" max="13" width="10.7109375" style="25" customWidth="1"/>
    <col min="14" max="14" width="11.42578125" style="25" customWidth="1"/>
    <col min="15" max="15" width="12.28515625" style="25" customWidth="1"/>
    <col min="16" max="16" width="9.7109375" style="25" customWidth="1"/>
    <col min="17" max="17" width="12.85546875" style="25" customWidth="1"/>
    <col min="18" max="18" width="8.140625" style="25" customWidth="1"/>
    <col min="19" max="19" width="16.7109375" style="25" customWidth="1"/>
    <col min="20" max="20" width="10.7109375" style="25" customWidth="1"/>
    <col min="21" max="21" width="8.85546875" style="25" customWidth="1"/>
    <col min="22" max="22" width="12.42578125" style="25" customWidth="1"/>
    <col min="23" max="23" width="9.85546875" style="25" customWidth="1"/>
    <col min="24" max="24" width="8.5703125" style="25" customWidth="1"/>
    <col min="25" max="25" width="12.140625" style="25" customWidth="1"/>
    <col min="26" max="26" width="6.85546875" style="25" customWidth="1"/>
    <col min="27" max="27" width="6.5703125" style="25" customWidth="1"/>
    <col min="28" max="28" width="6.85546875" style="25" customWidth="1"/>
    <col min="29" max="29" width="7" style="25" customWidth="1"/>
    <col min="30" max="30" width="14.5703125" style="25" customWidth="1"/>
    <col min="31" max="31" width="10.7109375" style="25" customWidth="1"/>
    <col min="32" max="32" width="8.140625" style="25" customWidth="1"/>
    <col min="33" max="33" width="10.140625" style="25" customWidth="1"/>
    <col min="34" max="34" width="16.7109375" style="25" customWidth="1"/>
    <col min="35" max="35" width="9.28515625" style="25" customWidth="1"/>
    <col min="36" max="36" width="11.140625" style="25" customWidth="1"/>
    <col min="37" max="37" width="5.7109375" style="25" customWidth="1"/>
    <col min="38" max="38" width="9.140625" style="25" customWidth="1"/>
    <col min="39" max="39" width="10.7109375" style="25" customWidth="1"/>
    <col min="40" max="40" width="12.85546875" style="25" customWidth="1"/>
    <col min="41" max="41" width="7.140625" style="25" customWidth="1"/>
    <col min="42" max="42" width="17.140625" style="25" customWidth="1"/>
    <col min="43" max="43" width="23.7109375" style="25" bestFit="1" customWidth="1"/>
    <col min="44" max="44" width="9.85546875" style="25" customWidth="1"/>
    <col min="45" max="45" width="7.42578125" style="25" customWidth="1"/>
    <col min="46" max="46" width="6.28515625" style="25" customWidth="1"/>
    <col min="47" max="47" width="10.28515625" style="25" customWidth="1"/>
    <col min="48" max="48" width="11.28515625" style="25" customWidth="1"/>
    <col min="49" max="49" width="12.5703125" style="25" customWidth="1"/>
    <col min="50" max="50" width="18.7109375" style="25" bestFit="1" customWidth="1"/>
    <col min="51" max="51" width="12.5703125" style="25" bestFit="1" customWidth="1"/>
    <col min="52" max="16384" width="11.42578125" style="25"/>
  </cols>
  <sheetData>
    <row r="2" spans="1:4" ht="22.5" customHeight="1" x14ac:dyDescent="0.15">
      <c r="A2" s="2836" t="s">
        <v>1924</v>
      </c>
      <c r="B2" s="2836"/>
      <c r="C2" s="2836"/>
      <c r="D2" s="2836"/>
    </row>
    <row r="3" spans="1:4" x14ac:dyDescent="0.15">
      <c r="A3" s="723"/>
      <c r="B3" s="723"/>
      <c r="C3" s="723"/>
      <c r="D3" s="723"/>
    </row>
    <row r="4" spans="1:4" x14ac:dyDescent="0.15">
      <c r="A4" s="744" t="s">
        <v>1925</v>
      </c>
      <c r="B4" s="729" t="s">
        <v>69</v>
      </c>
      <c r="C4" s="729" t="s">
        <v>1890</v>
      </c>
      <c r="D4" s="729" t="s">
        <v>1425</v>
      </c>
    </row>
    <row r="5" spans="1:4" x14ac:dyDescent="0.15">
      <c r="A5" s="725" t="s">
        <v>141</v>
      </c>
      <c r="B5" s="745">
        <f>SUM(C5:D5)</f>
        <v>19621</v>
      </c>
      <c r="C5" s="746">
        <f>SUM(C6:C37)</f>
        <v>17976</v>
      </c>
      <c r="D5" s="746">
        <f>SUM(D6:D37)</f>
        <v>1645</v>
      </c>
    </row>
    <row r="6" spans="1:4" x14ac:dyDescent="0.15">
      <c r="A6" s="25" t="s">
        <v>1902</v>
      </c>
      <c r="B6" s="746">
        <f>SUM(C6:D6)</f>
        <v>3213</v>
      </c>
      <c r="C6" s="67">
        <v>2963</v>
      </c>
      <c r="D6" s="67">
        <v>250</v>
      </c>
    </row>
    <row r="7" spans="1:4" x14ac:dyDescent="0.15">
      <c r="A7" s="25" t="s">
        <v>1911</v>
      </c>
      <c r="B7" s="746">
        <f t="shared" ref="B7:B37" si="0">SUM(C7:D7)</f>
        <v>3068</v>
      </c>
      <c r="C7" s="67">
        <v>2907</v>
      </c>
      <c r="D7" s="67">
        <v>161</v>
      </c>
    </row>
    <row r="8" spans="1:4" x14ac:dyDescent="0.15">
      <c r="A8" s="25" t="s">
        <v>1900</v>
      </c>
      <c r="B8" s="746">
        <f t="shared" si="0"/>
        <v>2354</v>
      </c>
      <c r="C8" s="67">
        <v>2140</v>
      </c>
      <c r="D8" s="67">
        <v>214</v>
      </c>
    </row>
    <row r="9" spans="1:4" x14ac:dyDescent="0.15">
      <c r="A9" s="25" t="s">
        <v>1907</v>
      </c>
      <c r="B9" s="746">
        <f t="shared" si="0"/>
        <v>2121</v>
      </c>
      <c r="C9" s="67">
        <v>1929</v>
      </c>
      <c r="D9" s="67">
        <v>192</v>
      </c>
    </row>
    <row r="10" spans="1:4" x14ac:dyDescent="0.15">
      <c r="A10" s="25" t="s">
        <v>1898</v>
      </c>
      <c r="B10" s="746">
        <f t="shared" si="0"/>
        <v>1553</v>
      </c>
      <c r="C10" s="67">
        <v>1461</v>
      </c>
      <c r="D10" s="67">
        <v>92</v>
      </c>
    </row>
    <row r="11" spans="1:4" x14ac:dyDescent="0.15">
      <c r="A11" s="25" t="s">
        <v>1899</v>
      </c>
      <c r="B11" s="746">
        <f t="shared" si="0"/>
        <v>1490</v>
      </c>
      <c r="C11" s="67">
        <v>1406</v>
      </c>
      <c r="D11" s="67">
        <v>84</v>
      </c>
    </row>
    <row r="12" spans="1:4" x14ac:dyDescent="0.15">
      <c r="A12" s="25" t="s">
        <v>1903</v>
      </c>
      <c r="B12" s="746">
        <f t="shared" si="0"/>
        <v>1349</v>
      </c>
      <c r="C12" s="67">
        <v>1226</v>
      </c>
      <c r="D12" s="67">
        <v>123</v>
      </c>
    </row>
    <row r="13" spans="1:4" x14ac:dyDescent="0.15">
      <c r="A13" s="25" t="s">
        <v>1901</v>
      </c>
      <c r="B13" s="746">
        <f t="shared" si="0"/>
        <v>1279</v>
      </c>
      <c r="C13" s="67">
        <v>1140</v>
      </c>
      <c r="D13" s="67">
        <v>139</v>
      </c>
    </row>
    <row r="14" spans="1:4" x14ac:dyDescent="0.15">
      <c r="A14" s="25" t="s">
        <v>1904</v>
      </c>
      <c r="B14" s="746">
        <f t="shared" si="0"/>
        <v>544</v>
      </c>
      <c r="C14" s="67">
        <v>502</v>
      </c>
      <c r="D14" s="67">
        <v>42</v>
      </c>
    </row>
    <row r="15" spans="1:4" x14ac:dyDescent="0.15">
      <c r="A15" s="25" t="s">
        <v>1913</v>
      </c>
      <c r="B15" s="746">
        <f t="shared" si="0"/>
        <v>394</v>
      </c>
      <c r="C15" s="67">
        <v>313</v>
      </c>
      <c r="D15" s="67">
        <v>81</v>
      </c>
    </row>
    <row r="16" spans="1:4" x14ac:dyDescent="0.15">
      <c r="A16" s="25" t="s">
        <v>1912</v>
      </c>
      <c r="B16" s="746">
        <f t="shared" si="0"/>
        <v>360</v>
      </c>
      <c r="C16" s="67">
        <v>250</v>
      </c>
      <c r="D16" s="67">
        <v>110</v>
      </c>
    </row>
    <row r="17" spans="1:4" x14ac:dyDescent="0.15">
      <c r="A17" s="25" t="s">
        <v>1914</v>
      </c>
      <c r="B17" s="746">
        <f t="shared" si="0"/>
        <v>346</v>
      </c>
      <c r="C17" s="67">
        <v>340</v>
      </c>
      <c r="D17" s="67">
        <v>6</v>
      </c>
    </row>
    <row r="18" spans="1:4" x14ac:dyDescent="0.15">
      <c r="A18" s="25" t="s">
        <v>1915</v>
      </c>
      <c r="B18" s="746">
        <f t="shared" si="0"/>
        <v>216</v>
      </c>
      <c r="C18" s="67">
        <v>195</v>
      </c>
      <c r="D18" s="67">
        <v>21</v>
      </c>
    </row>
    <row r="19" spans="1:4" x14ac:dyDescent="0.15">
      <c r="A19" s="25" t="s">
        <v>1341</v>
      </c>
      <c r="B19" s="746">
        <f t="shared" si="0"/>
        <v>188</v>
      </c>
      <c r="C19" s="67">
        <v>176</v>
      </c>
      <c r="D19" s="67">
        <v>12</v>
      </c>
    </row>
    <row r="20" spans="1:4" x14ac:dyDescent="0.15">
      <c r="A20" s="25" t="s">
        <v>1926</v>
      </c>
      <c r="B20" s="746">
        <f t="shared" si="0"/>
        <v>173</v>
      </c>
      <c r="C20" s="67">
        <v>148</v>
      </c>
      <c r="D20" s="67">
        <v>25</v>
      </c>
    </row>
    <row r="21" spans="1:4" x14ac:dyDescent="0.15">
      <c r="A21" s="25" t="s">
        <v>1918</v>
      </c>
      <c r="B21" s="746">
        <f t="shared" si="0"/>
        <v>143</v>
      </c>
      <c r="C21" s="67">
        <v>131</v>
      </c>
      <c r="D21" s="67">
        <v>12</v>
      </c>
    </row>
    <row r="22" spans="1:4" x14ac:dyDescent="0.15">
      <c r="A22" s="25" t="s">
        <v>1908</v>
      </c>
      <c r="B22" s="746">
        <f t="shared" si="0"/>
        <v>131</v>
      </c>
      <c r="C22" s="67">
        <v>116</v>
      </c>
      <c r="D22" s="67">
        <v>15</v>
      </c>
    </row>
    <row r="23" spans="1:4" x14ac:dyDescent="0.15">
      <c r="A23" s="25" t="s">
        <v>1927</v>
      </c>
      <c r="B23" s="746">
        <f t="shared" si="0"/>
        <v>124</v>
      </c>
      <c r="C23" s="67">
        <v>120</v>
      </c>
      <c r="D23" s="67">
        <v>4</v>
      </c>
    </row>
    <row r="24" spans="1:4" x14ac:dyDescent="0.15">
      <c r="A24" s="25" t="s">
        <v>1920</v>
      </c>
      <c r="B24" s="746">
        <f t="shared" si="0"/>
        <v>110</v>
      </c>
      <c r="C24" s="67">
        <v>102</v>
      </c>
      <c r="D24" s="67">
        <v>8</v>
      </c>
    </row>
    <row r="25" spans="1:4" x14ac:dyDescent="0.15">
      <c r="A25" s="25" t="s">
        <v>1909</v>
      </c>
      <c r="B25" s="746">
        <f t="shared" si="0"/>
        <v>78</v>
      </c>
      <c r="C25" s="67">
        <v>76</v>
      </c>
      <c r="D25" s="67">
        <v>2</v>
      </c>
    </row>
    <row r="26" spans="1:4" x14ac:dyDescent="0.15">
      <c r="A26" s="25" t="s">
        <v>1905</v>
      </c>
      <c r="B26" s="746">
        <f t="shared" si="0"/>
        <v>65</v>
      </c>
      <c r="C26" s="67">
        <v>64</v>
      </c>
      <c r="D26" s="67">
        <v>1</v>
      </c>
    </row>
    <row r="27" spans="1:4" x14ac:dyDescent="0.15">
      <c r="A27" s="25" t="s">
        <v>1906</v>
      </c>
      <c r="B27" s="746">
        <f t="shared" si="0"/>
        <v>64</v>
      </c>
      <c r="C27" s="67">
        <v>61</v>
      </c>
      <c r="D27" s="67">
        <v>3</v>
      </c>
    </row>
    <row r="28" spans="1:4" x14ac:dyDescent="0.15">
      <c r="A28" s="25" t="s">
        <v>1919</v>
      </c>
      <c r="B28" s="746">
        <f t="shared" si="0"/>
        <v>50</v>
      </c>
      <c r="C28" s="67">
        <v>40</v>
      </c>
      <c r="D28" s="67">
        <v>10</v>
      </c>
    </row>
    <row r="29" spans="1:4" x14ac:dyDescent="0.15">
      <c r="A29" s="25" t="s">
        <v>1910</v>
      </c>
      <c r="B29" s="746">
        <f t="shared" si="0"/>
        <v>46</v>
      </c>
      <c r="C29" s="67">
        <v>42</v>
      </c>
      <c r="D29" s="67">
        <v>4</v>
      </c>
    </row>
    <row r="30" spans="1:4" x14ac:dyDescent="0.15">
      <c r="A30" s="25" t="s">
        <v>1928</v>
      </c>
      <c r="B30" s="746">
        <f t="shared" si="0"/>
        <v>36</v>
      </c>
      <c r="C30" s="67">
        <v>27</v>
      </c>
      <c r="D30" s="67">
        <v>9</v>
      </c>
    </row>
    <row r="31" spans="1:4" x14ac:dyDescent="0.15">
      <c r="A31" s="25" t="s">
        <v>1917</v>
      </c>
      <c r="B31" s="746">
        <f t="shared" si="0"/>
        <v>34</v>
      </c>
      <c r="C31" s="67">
        <v>28</v>
      </c>
      <c r="D31" s="67">
        <v>6</v>
      </c>
    </row>
    <row r="32" spans="1:4" x14ac:dyDescent="0.15">
      <c r="A32" s="25" t="s">
        <v>1929</v>
      </c>
      <c r="B32" s="746">
        <f t="shared" si="0"/>
        <v>29</v>
      </c>
      <c r="C32" s="67">
        <v>29</v>
      </c>
      <c r="D32" s="67">
        <v>0</v>
      </c>
    </row>
    <row r="33" spans="1:4" x14ac:dyDescent="0.15">
      <c r="A33" s="25" t="s">
        <v>1930</v>
      </c>
      <c r="B33" s="746">
        <f t="shared" si="0"/>
        <v>21</v>
      </c>
      <c r="C33" s="67">
        <v>15</v>
      </c>
      <c r="D33" s="67">
        <v>6</v>
      </c>
    </row>
    <row r="34" spans="1:4" x14ac:dyDescent="0.15">
      <c r="A34" s="25" t="s">
        <v>1921</v>
      </c>
      <c r="B34" s="746">
        <f t="shared" si="0"/>
        <v>20</v>
      </c>
      <c r="C34" s="67">
        <v>14</v>
      </c>
      <c r="D34" s="67">
        <v>6</v>
      </c>
    </row>
    <row r="35" spans="1:4" x14ac:dyDescent="0.15">
      <c r="A35" s="25" t="s">
        <v>1931</v>
      </c>
      <c r="B35" s="746">
        <f t="shared" si="0"/>
        <v>11</v>
      </c>
      <c r="C35" s="67">
        <v>5</v>
      </c>
      <c r="D35" s="67">
        <v>6</v>
      </c>
    </row>
    <row r="36" spans="1:4" x14ac:dyDescent="0.15">
      <c r="A36" s="25" t="s">
        <v>1932</v>
      </c>
      <c r="B36" s="746">
        <f t="shared" si="0"/>
        <v>7</v>
      </c>
      <c r="C36" s="67">
        <v>7</v>
      </c>
      <c r="D36" s="67">
        <v>0</v>
      </c>
    </row>
    <row r="37" spans="1:4" x14ac:dyDescent="0.15">
      <c r="A37" s="25" t="s">
        <v>1933</v>
      </c>
      <c r="B37" s="746">
        <f t="shared" si="0"/>
        <v>4</v>
      </c>
      <c r="C37" s="67">
        <v>3</v>
      </c>
      <c r="D37" s="67">
        <v>1</v>
      </c>
    </row>
    <row r="39" spans="1:4" ht="22.5" customHeight="1" x14ac:dyDescent="0.15">
      <c r="A39" s="2834" t="s">
        <v>1934</v>
      </c>
      <c r="B39" s="2834"/>
      <c r="C39" s="2834"/>
      <c r="D39" s="2834"/>
    </row>
    <row r="40" spans="1:4" x14ac:dyDescent="0.15">
      <c r="A40" s="747" t="s">
        <v>460</v>
      </c>
    </row>
    <row r="41" spans="1:4" x14ac:dyDescent="0.15">
      <c r="A41" s="728" t="s">
        <v>1891</v>
      </c>
    </row>
    <row r="45" spans="1:4" x14ac:dyDescent="0.15">
      <c r="A45" s="728" t="s">
        <v>1891</v>
      </c>
    </row>
  </sheetData>
  <mergeCells count="2">
    <mergeCell ref="A2:D2"/>
    <mergeCell ref="A39:D39"/>
  </mergeCells>
  <pageMargins left="0.7" right="0.7" top="0.75" bottom="0.75" header="0.3" footer="0.3"/>
  <pageSetup paperSize="9" orientation="portrait" verticalDpi="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D17"/>
  <sheetViews>
    <sheetView zoomScaleNormal="100" workbookViewId="0">
      <selection activeCell="E34" sqref="E34"/>
    </sheetView>
  </sheetViews>
  <sheetFormatPr baseColWidth="10" defaultRowHeight="10.5" x14ac:dyDescent="0.15"/>
  <cols>
    <col min="1" max="1" width="3.7109375" style="25" customWidth="1"/>
    <col min="2" max="2" width="33.28515625" style="25" customWidth="1"/>
    <col min="3" max="3" width="14.42578125" style="25" customWidth="1"/>
    <col min="4" max="16384" width="11.42578125" style="25"/>
  </cols>
  <sheetData>
    <row r="2" spans="1:4" ht="37.5" customHeight="1" x14ac:dyDescent="0.15">
      <c r="A2" s="2319" t="s">
        <v>1935</v>
      </c>
      <c r="B2" s="2319"/>
      <c r="C2" s="2319"/>
    </row>
    <row r="3" spans="1:4" x14ac:dyDescent="0.15">
      <c r="A3" s="748"/>
      <c r="B3" s="748"/>
      <c r="C3" s="748"/>
    </row>
    <row r="4" spans="1:4" s="730" customFormat="1" ht="30.75" customHeight="1" x14ac:dyDescent="0.25">
      <c r="A4" s="749" t="s">
        <v>1936</v>
      </c>
      <c r="B4" s="749" t="s">
        <v>1937</v>
      </c>
      <c r="C4" s="749" t="s">
        <v>1938</v>
      </c>
    </row>
    <row r="5" spans="1:4" ht="11.25" x14ac:dyDescent="0.2">
      <c r="A5" s="737">
        <v>1</v>
      </c>
      <c r="B5" s="25" t="s">
        <v>1939</v>
      </c>
      <c r="C5" s="736">
        <v>1146</v>
      </c>
      <c r="D5" s="750"/>
    </row>
    <row r="6" spans="1:4" ht="11.25" x14ac:dyDescent="0.2">
      <c r="A6" s="737">
        <v>2</v>
      </c>
      <c r="B6" s="25" t="s">
        <v>1940</v>
      </c>
      <c r="C6" s="736">
        <v>647</v>
      </c>
      <c r="D6" s="278"/>
    </row>
    <row r="7" spans="1:4" ht="11.25" x14ac:dyDescent="0.2">
      <c r="A7" s="737">
        <v>3</v>
      </c>
      <c r="B7" s="25" t="s">
        <v>1941</v>
      </c>
      <c r="C7" s="736">
        <v>561</v>
      </c>
      <c r="D7" s="278"/>
    </row>
    <row r="8" spans="1:4" ht="11.25" x14ac:dyDescent="0.2">
      <c r="A8" s="737">
        <v>4</v>
      </c>
      <c r="B8" s="25" t="s">
        <v>1942</v>
      </c>
      <c r="C8" s="736">
        <v>367</v>
      </c>
      <c r="D8" s="278"/>
    </row>
    <row r="9" spans="1:4" ht="11.25" x14ac:dyDescent="0.2">
      <c r="A9" s="737">
        <v>5</v>
      </c>
      <c r="B9" s="25" t="s">
        <v>1943</v>
      </c>
      <c r="C9" s="736">
        <v>362</v>
      </c>
      <c r="D9" s="278"/>
    </row>
    <row r="10" spans="1:4" ht="11.25" x14ac:dyDescent="0.2">
      <c r="A10" s="737">
        <v>6</v>
      </c>
      <c r="B10" s="25" t="s">
        <v>1944</v>
      </c>
      <c r="C10" s="736">
        <v>355</v>
      </c>
      <c r="D10" s="278"/>
    </row>
    <row r="11" spans="1:4" ht="11.25" x14ac:dyDescent="0.2">
      <c r="A11" s="737">
        <v>7</v>
      </c>
      <c r="B11" s="25" t="s">
        <v>1945</v>
      </c>
      <c r="C11" s="736">
        <v>310</v>
      </c>
      <c r="D11" s="278"/>
    </row>
    <row r="12" spans="1:4" ht="11.25" x14ac:dyDescent="0.2">
      <c r="A12" s="737">
        <v>8</v>
      </c>
      <c r="B12" s="25" t="s">
        <v>1946</v>
      </c>
      <c r="C12" s="736">
        <v>266</v>
      </c>
      <c r="D12" s="278"/>
    </row>
    <row r="13" spans="1:4" ht="11.25" x14ac:dyDescent="0.2">
      <c r="A13" s="737">
        <v>9</v>
      </c>
      <c r="B13" s="25" t="s">
        <v>1947</v>
      </c>
      <c r="C13" s="739">
        <v>244</v>
      </c>
      <c r="D13" s="278"/>
    </row>
    <row r="14" spans="1:4" ht="11.25" x14ac:dyDescent="0.2">
      <c r="A14" s="737">
        <v>10</v>
      </c>
      <c r="B14" s="25" t="s">
        <v>1948</v>
      </c>
      <c r="C14" s="25">
        <v>224</v>
      </c>
      <c r="D14" s="278"/>
    </row>
    <row r="16" spans="1:4" ht="22.5" customHeight="1" x14ac:dyDescent="0.15">
      <c r="A16" s="2839" t="s">
        <v>1934</v>
      </c>
      <c r="B16" s="2839"/>
      <c r="C16" s="2839"/>
    </row>
    <row r="17" spans="1:1" x14ac:dyDescent="0.15">
      <c r="A17" s="728" t="s">
        <v>1891</v>
      </c>
    </row>
  </sheetData>
  <mergeCells count="2">
    <mergeCell ref="A2:C2"/>
    <mergeCell ref="A16:C16"/>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2:E17"/>
  <sheetViews>
    <sheetView zoomScaleNormal="100" workbookViewId="0">
      <selection activeCell="E34" sqref="E34"/>
    </sheetView>
  </sheetViews>
  <sheetFormatPr baseColWidth="10" defaultRowHeight="10.5" x14ac:dyDescent="0.15"/>
  <cols>
    <col min="1" max="1" width="4.5703125" style="25" customWidth="1"/>
    <col min="2" max="2" width="30.85546875" style="25" customWidth="1"/>
    <col min="3" max="3" width="30.140625" style="25" customWidth="1"/>
    <col min="4" max="4" width="14" style="25" customWidth="1"/>
    <col min="5" max="5" width="13.85546875" style="753" customWidth="1"/>
    <col min="6" max="16384" width="11.42578125" style="25"/>
  </cols>
  <sheetData>
    <row r="2" spans="1:5" ht="24.75" customHeight="1" x14ac:dyDescent="0.15">
      <c r="A2" s="2319" t="s">
        <v>1949</v>
      </c>
      <c r="B2" s="2319"/>
      <c r="C2" s="2319"/>
      <c r="D2" s="2319"/>
      <c r="E2" s="2319"/>
    </row>
    <row r="3" spans="1:5" x14ac:dyDescent="0.15">
      <c r="A3" s="751"/>
      <c r="B3" s="752"/>
      <c r="C3" s="752"/>
      <c r="D3" s="752"/>
    </row>
    <row r="4" spans="1:5" s="754" customFormat="1" ht="27" customHeight="1" x14ac:dyDescent="0.25">
      <c r="A4" s="729" t="s">
        <v>1936</v>
      </c>
      <c r="B4" s="729" t="s">
        <v>1950</v>
      </c>
      <c r="C4" s="729" t="s">
        <v>1767</v>
      </c>
      <c r="D4" s="729" t="s">
        <v>1951</v>
      </c>
      <c r="E4" s="749" t="s">
        <v>1952</v>
      </c>
    </row>
    <row r="5" spans="1:5" x14ac:dyDescent="0.15">
      <c r="A5" s="755">
        <v>1</v>
      </c>
      <c r="B5" s="25" t="s">
        <v>1953</v>
      </c>
      <c r="C5" s="25" t="s">
        <v>1940</v>
      </c>
      <c r="D5" s="25" t="s">
        <v>1954</v>
      </c>
      <c r="E5" s="25">
        <v>273</v>
      </c>
    </row>
    <row r="6" spans="1:5" x14ac:dyDescent="0.15">
      <c r="A6" s="755">
        <v>2</v>
      </c>
      <c r="B6" s="25" t="s">
        <v>1955</v>
      </c>
      <c r="C6" s="25" t="s">
        <v>1942</v>
      </c>
      <c r="D6" s="25" t="s">
        <v>1902</v>
      </c>
      <c r="E6" s="25">
        <v>249</v>
      </c>
    </row>
    <row r="7" spans="1:5" x14ac:dyDescent="0.15">
      <c r="A7" s="755">
        <v>3</v>
      </c>
      <c r="B7" s="25" t="s">
        <v>1956</v>
      </c>
      <c r="C7" s="25" t="s">
        <v>1943</v>
      </c>
      <c r="D7" s="25" t="s">
        <v>1900</v>
      </c>
      <c r="E7" s="25">
        <v>195</v>
      </c>
    </row>
    <row r="8" spans="1:5" x14ac:dyDescent="0.15">
      <c r="A8" s="755">
        <v>4</v>
      </c>
      <c r="B8" s="25" t="s">
        <v>1957</v>
      </c>
      <c r="C8" s="25" t="s">
        <v>1944</v>
      </c>
      <c r="D8" s="25" t="s">
        <v>1904</v>
      </c>
      <c r="E8" s="25">
        <v>193</v>
      </c>
    </row>
    <row r="9" spans="1:5" x14ac:dyDescent="0.15">
      <c r="A9" s="755">
        <v>5</v>
      </c>
      <c r="B9" s="25" t="s">
        <v>1958</v>
      </c>
      <c r="C9" s="25" t="s">
        <v>1941</v>
      </c>
      <c r="D9" s="25" t="s">
        <v>1911</v>
      </c>
      <c r="E9" s="25">
        <v>132</v>
      </c>
    </row>
    <row r="10" spans="1:5" x14ac:dyDescent="0.15">
      <c r="A10" s="755">
        <v>6</v>
      </c>
      <c r="B10" s="25" t="s">
        <v>1959</v>
      </c>
      <c r="C10" s="25" t="s">
        <v>1960</v>
      </c>
      <c r="D10" s="25" t="s">
        <v>1901</v>
      </c>
      <c r="E10" s="25">
        <v>121</v>
      </c>
    </row>
    <row r="11" spans="1:5" x14ac:dyDescent="0.15">
      <c r="A11" s="755">
        <v>7</v>
      </c>
      <c r="B11" s="25" t="s">
        <v>1961</v>
      </c>
      <c r="C11" s="25" t="s">
        <v>1946</v>
      </c>
      <c r="D11" s="25" t="s">
        <v>1899</v>
      </c>
      <c r="E11" s="25">
        <v>123</v>
      </c>
    </row>
    <row r="12" spans="1:5" x14ac:dyDescent="0.15">
      <c r="A12" s="755">
        <v>8</v>
      </c>
      <c r="B12" s="25" t="s">
        <v>1962</v>
      </c>
      <c r="C12" s="25" t="s">
        <v>1963</v>
      </c>
      <c r="D12" s="25" t="s">
        <v>1911</v>
      </c>
      <c r="E12" s="25">
        <v>114</v>
      </c>
    </row>
    <row r="13" spans="1:5" x14ac:dyDescent="0.15">
      <c r="A13" s="755">
        <v>9</v>
      </c>
      <c r="B13" s="25" t="s">
        <v>1964</v>
      </c>
      <c r="C13" s="25" t="s">
        <v>1965</v>
      </c>
      <c r="D13" s="25" t="s">
        <v>1907</v>
      </c>
      <c r="E13" s="25">
        <v>113</v>
      </c>
    </row>
    <row r="14" spans="1:5" x14ac:dyDescent="0.15">
      <c r="A14" s="755">
        <v>10</v>
      </c>
      <c r="B14" s="25" t="s">
        <v>1966</v>
      </c>
      <c r="C14" s="25" t="s">
        <v>1967</v>
      </c>
      <c r="D14" s="25" t="s">
        <v>1902</v>
      </c>
      <c r="E14" s="25">
        <v>102</v>
      </c>
    </row>
    <row r="15" spans="1:5" x14ac:dyDescent="0.15">
      <c r="A15" s="755"/>
      <c r="C15" s="737"/>
      <c r="D15" s="737"/>
      <c r="E15" s="756"/>
    </row>
    <row r="16" spans="1:5" x14ac:dyDescent="0.15">
      <c r="A16" s="2839" t="s">
        <v>1934</v>
      </c>
      <c r="B16" s="2839"/>
      <c r="C16" s="2839"/>
      <c r="D16" s="2839"/>
      <c r="E16" s="2839"/>
    </row>
    <row r="17" spans="1:1" x14ac:dyDescent="0.15">
      <c r="A17" s="728" t="s">
        <v>1891</v>
      </c>
    </row>
  </sheetData>
  <mergeCells count="2">
    <mergeCell ref="A2:E2"/>
    <mergeCell ref="A16:E16"/>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J35"/>
  <sheetViews>
    <sheetView workbookViewId="0">
      <selection activeCell="J3" sqref="J3:M16"/>
    </sheetView>
  </sheetViews>
  <sheetFormatPr baseColWidth="10" defaultColWidth="11.42578125" defaultRowHeight="10.5" x14ac:dyDescent="0.15"/>
  <cols>
    <col min="1" max="1" width="33.7109375" style="1" customWidth="1"/>
    <col min="2" max="2" width="9" style="1" bestFit="1" customWidth="1"/>
    <col min="3" max="3" width="15.85546875" style="1" bestFit="1" customWidth="1"/>
    <col min="4" max="5" width="15.42578125" style="1" bestFit="1" customWidth="1"/>
    <col min="6" max="6" width="20.5703125" style="1" customWidth="1"/>
    <col min="7" max="8" width="9" style="1" bestFit="1" customWidth="1"/>
    <col min="9" max="16384" width="11.42578125" style="1"/>
  </cols>
  <sheetData>
    <row r="2" spans="1:10" ht="27.75" customHeight="1" x14ac:dyDescent="0.15">
      <c r="A2" s="2330" t="s">
        <v>135</v>
      </c>
      <c r="B2" s="2330"/>
      <c r="C2" s="2330"/>
      <c r="D2" s="2330"/>
      <c r="E2" s="2330"/>
      <c r="F2" s="2330"/>
      <c r="G2" s="74"/>
      <c r="H2" s="74"/>
    </row>
    <row r="3" spans="1:10" ht="5.25" customHeight="1" x14ac:dyDescent="0.15">
      <c r="A3" s="2331"/>
      <c r="B3" s="2331"/>
      <c r="C3" s="2331"/>
      <c r="D3" s="2331"/>
      <c r="E3" s="2331"/>
      <c r="F3" s="2331"/>
      <c r="G3" s="16"/>
      <c r="H3" s="16"/>
    </row>
    <row r="4" spans="1:10" ht="15" x14ac:dyDescent="0.25">
      <c r="A4" s="2310" t="s">
        <v>136</v>
      </c>
      <c r="B4" s="2310" t="s">
        <v>137</v>
      </c>
      <c r="C4" s="2310"/>
      <c r="D4" s="2310"/>
      <c r="E4" s="2310"/>
      <c r="F4" s="2310"/>
      <c r="G4"/>
      <c r="H4"/>
    </row>
    <row r="5" spans="1:10" ht="47.25" customHeight="1" x14ac:dyDescent="0.15">
      <c r="A5" s="2310"/>
      <c r="B5" s="2310" t="s">
        <v>69</v>
      </c>
      <c r="C5" s="75" t="s">
        <v>71</v>
      </c>
      <c r="D5" s="75" t="s">
        <v>88</v>
      </c>
      <c r="E5" s="75" t="s">
        <v>73</v>
      </c>
      <c r="F5" s="75" t="s">
        <v>138</v>
      </c>
    </row>
    <row r="6" spans="1:10" ht="21" x14ac:dyDescent="0.15">
      <c r="A6" s="2310"/>
      <c r="B6" s="2310"/>
      <c r="C6" s="75" t="s">
        <v>139</v>
      </c>
      <c r="D6" s="75" t="s">
        <v>139</v>
      </c>
      <c r="E6" s="75" t="s">
        <v>139</v>
      </c>
      <c r="F6" s="75" t="s">
        <v>140</v>
      </c>
      <c r="J6" s="30"/>
    </row>
    <row r="7" spans="1:10" x14ac:dyDescent="0.15">
      <c r="A7" s="14" t="s">
        <v>141</v>
      </c>
      <c r="B7" s="76">
        <v>11014</v>
      </c>
      <c r="C7" s="76">
        <v>55</v>
      </c>
      <c r="D7" s="76">
        <v>46</v>
      </c>
      <c r="E7" s="76">
        <v>13</v>
      </c>
      <c r="F7" s="76">
        <v>10900</v>
      </c>
    </row>
    <row r="8" spans="1:10" ht="11.25" x14ac:dyDescent="0.15">
      <c r="A8" s="77" t="s">
        <v>142</v>
      </c>
      <c r="B8" s="76">
        <v>11</v>
      </c>
      <c r="C8" s="33">
        <v>11</v>
      </c>
      <c r="D8" s="33">
        <v>0</v>
      </c>
      <c r="E8" s="33">
        <v>0</v>
      </c>
      <c r="F8" s="33">
        <v>0</v>
      </c>
    </row>
    <row r="9" spans="1:10" ht="11.25" x14ac:dyDescent="0.15">
      <c r="A9" s="77" t="s">
        <v>143</v>
      </c>
      <c r="B9" s="76">
        <v>7</v>
      </c>
      <c r="C9" s="33">
        <v>7</v>
      </c>
      <c r="D9" s="33">
        <v>0</v>
      </c>
      <c r="E9" s="33">
        <v>0</v>
      </c>
      <c r="F9" s="33">
        <v>0</v>
      </c>
    </row>
    <row r="10" spans="1:10" x14ac:dyDescent="0.15">
      <c r="A10" s="77" t="s">
        <v>144</v>
      </c>
      <c r="B10" s="76">
        <v>27</v>
      </c>
      <c r="C10" s="33">
        <v>0</v>
      </c>
      <c r="D10" s="33">
        <v>0</v>
      </c>
      <c r="E10" s="33">
        <v>0</v>
      </c>
      <c r="F10" s="33">
        <v>27</v>
      </c>
    </row>
    <row r="11" spans="1:10" ht="11.25" x14ac:dyDescent="0.15">
      <c r="A11" s="77" t="s">
        <v>145</v>
      </c>
      <c r="B11" s="76">
        <v>4</v>
      </c>
      <c r="C11" s="33">
        <v>4</v>
      </c>
      <c r="D11" s="33">
        <v>0</v>
      </c>
      <c r="E11" s="33">
        <v>0</v>
      </c>
      <c r="F11" s="33">
        <v>0</v>
      </c>
    </row>
    <row r="12" spans="1:10" ht="11.25" x14ac:dyDescent="0.15">
      <c r="A12" s="77" t="s">
        <v>146</v>
      </c>
      <c r="B12" s="76">
        <v>5</v>
      </c>
      <c r="C12" s="33">
        <v>5</v>
      </c>
      <c r="D12" s="33">
        <v>0</v>
      </c>
      <c r="E12" s="33">
        <v>0</v>
      </c>
      <c r="F12" s="33">
        <v>0</v>
      </c>
    </row>
    <row r="13" spans="1:10" ht="11.25" x14ac:dyDescent="0.15">
      <c r="A13" s="77" t="s">
        <v>147</v>
      </c>
      <c r="B13" s="76">
        <v>7</v>
      </c>
      <c r="C13" s="33">
        <v>0</v>
      </c>
      <c r="D13" s="33">
        <v>7</v>
      </c>
      <c r="E13" s="33">
        <v>0</v>
      </c>
      <c r="F13" s="33">
        <v>0</v>
      </c>
    </row>
    <row r="14" spans="1:10" ht="11.25" x14ac:dyDescent="0.15">
      <c r="A14" s="77" t="s">
        <v>148</v>
      </c>
      <c r="B14" s="76">
        <v>10878</v>
      </c>
      <c r="C14" s="33">
        <v>0</v>
      </c>
      <c r="D14" s="33">
        <v>39</v>
      </c>
      <c r="E14" s="33">
        <v>0</v>
      </c>
      <c r="F14" s="33">
        <v>10839</v>
      </c>
    </row>
    <row r="15" spans="1:10" ht="11.25" x14ac:dyDescent="0.15">
      <c r="A15" s="77" t="s">
        <v>149</v>
      </c>
      <c r="B15" s="76">
        <v>23</v>
      </c>
      <c r="C15" s="33">
        <v>10</v>
      </c>
      <c r="D15" s="33">
        <v>0</v>
      </c>
      <c r="E15" s="33">
        <v>13</v>
      </c>
      <c r="F15" s="33">
        <v>0</v>
      </c>
    </row>
    <row r="16" spans="1:10" x14ac:dyDescent="0.15">
      <c r="A16" s="77" t="s">
        <v>150</v>
      </c>
      <c r="B16" s="76">
        <v>0</v>
      </c>
      <c r="C16" s="33">
        <v>0</v>
      </c>
      <c r="D16" s="33">
        <v>0</v>
      </c>
      <c r="E16" s="33">
        <v>0</v>
      </c>
      <c r="F16" s="33">
        <v>0</v>
      </c>
    </row>
    <row r="17" spans="1:8" x14ac:dyDescent="0.15">
      <c r="A17" s="77" t="s">
        <v>151</v>
      </c>
      <c r="B17" s="76">
        <v>6</v>
      </c>
      <c r="C17" s="33">
        <v>0</v>
      </c>
      <c r="D17" s="33">
        <v>0</v>
      </c>
      <c r="E17" s="33">
        <v>0</v>
      </c>
      <c r="F17" s="33">
        <v>6</v>
      </c>
    </row>
    <row r="18" spans="1:8" ht="11.25" x14ac:dyDescent="0.15">
      <c r="A18" s="77" t="s">
        <v>152</v>
      </c>
      <c r="B18" s="76">
        <v>28</v>
      </c>
      <c r="C18" s="33">
        <v>18</v>
      </c>
      <c r="D18" s="33">
        <v>0</v>
      </c>
      <c r="E18" s="33">
        <v>0</v>
      </c>
      <c r="F18" s="33">
        <v>10</v>
      </c>
    </row>
    <row r="19" spans="1:8" x14ac:dyDescent="0.15">
      <c r="A19" s="77" t="s">
        <v>153</v>
      </c>
      <c r="B19" s="76">
        <v>18</v>
      </c>
      <c r="C19" s="33">
        <v>0</v>
      </c>
      <c r="D19" s="33">
        <v>0</v>
      </c>
      <c r="E19" s="33">
        <v>0</v>
      </c>
      <c r="F19" s="33">
        <v>18</v>
      </c>
    </row>
    <row r="20" spans="1:8" x14ac:dyDescent="0.15">
      <c r="A20" s="77" t="s">
        <v>154</v>
      </c>
      <c r="B20" s="76">
        <v>0</v>
      </c>
      <c r="C20" s="33">
        <v>0</v>
      </c>
      <c r="D20" s="33">
        <v>0</v>
      </c>
      <c r="E20" s="33">
        <v>0</v>
      </c>
      <c r="F20" s="33">
        <v>0</v>
      </c>
    </row>
    <row r="21" spans="1:8" ht="11.25" customHeight="1" x14ac:dyDescent="0.15">
      <c r="A21" s="78"/>
      <c r="B21" s="79"/>
      <c r="C21" s="79"/>
      <c r="D21" s="78"/>
      <c r="E21" s="78"/>
      <c r="F21" s="78"/>
      <c r="G21" s="78"/>
      <c r="H21" s="78"/>
    </row>
    <row r="22" spans="1:8" ht="22.5" customHeight="1" x14ac:dyDescent="0.15">
      <c r="A22" s="2332" t="s">
        <v>155</v>
      </c>
      <c r="B22" s="2333"/>
      <c r="C22" s="2333"/>
      <c r="D22" s="2333"/>
      <c r="E22" s="2333"/>
      <c r="F22" s="2333"/>
      <c r="G22" s="80"/>
      <c r="H22" s="81"/>
    </row>
    <row r="23" spans="1:8" ht="22.5" customHeight="1" x14ac:dyDescent="0.15">
      <c r="A23" s="2334" t="s">
        <v>156</v>
      </c>
      <c r="B23" s="2335"/>
      <c r="C23" s="2335"/>
      <c r="D23" s="2335"/>
      <c r="E23" s="2335"/>
      <c r="F23" s="2335"/>
      <c r="G23" s="82"/>
      <c r="H23" s="83"/>
    </row>
    <row r="24" spans="1:8" ht="10.5" customHeight="1" x14ac:dyDescent="0.15">
      <c r="A24" s="2334" t="s">
        <v>157</v>
      </c>
      <c r="B24" s="2335"/>
      <c r="C24" s="2335"/>
      <c r="D24" s="2335"/>
      <c r="E24" s="2335"/>
      <c r="F24" s="2335"/>
      <c r="G24" s="82"/>
      <c r="H24" s="83"/>
    </row>
    <row r="25" spans="1:8" ht="10.5" customHeight="1" x14ac:dyDescent="0.15">
      <c r="A25" s="2334" t="s">
        <v>158</v>
      </c>
      <c r="B25" s="2335"/>
      <c r="C25" s="2335"/>
      <c r="D25" s="2335"/>
      <c r="E25" s="2335"/>
      <c r="F25" s="2335"/>
      <c r="G25" s="82"/>
      <c r="H25" s="83"/>
    </row>
    <row r="26" spans="1:8" ht="10.5" customHeight="1" x14ac:dyDescent="0.15">
      <c r="A26" s="2334" t="s">
        <v>159</v>
      </c>
      <c r="B26" s="2335"/>
      <c r="C26" s="2335"/>
      <c r="D26" s="2335"/>
      <c r="E26" s="2335"/>
      <c r="F26" s="2335"/>
      <c r="G26" s="82"/>
      <c r="H26" s="83"/>
    </row>
    <row r="27" spans="1:8" ht="10.5" customHeight="1" x14ac:dyDescent="0.15">
      <c r="A27" s="2334" t="s">
        <v>160</v>
      </c>
      <c r="B27" s="2335"/>
      <c r="C27" s="2335"/>
      <c r="D27" s="2335"/>
      <c r="E27" s="2335"/>
      <c r="F27" s="2335"/>
      <c r="G27" s="82"/>
      <c r="H27" s="83"/>
    </row>
    <row r="28" spans="1:8" ht="31.5" customHeight="1" x14ac:dyDescent="0.25">
      <c r="A28" s="2328" t="s">
        <v>161</v>
      </c>
      <c r="B28" s="2329"/>
      <c r="C28" s="2329"/>
      <c r="D28" s="2329"/>
      <c r="E28" s="2329"/>
      <c r="F28" s="2329"/>
      <c r="G28"/>
      <c r="H28"/>
    </row>
    <row r="29" spans="1:8" ht="45" customHeight="1" x14ac:dyDescent="0.15">
      <c r="A29" s="2334" t="s">
        <v>162</v>
      </c>
      <c r="B29" s="2335"/>
      <c r="C29" s="2335"/>
      <c r="D29" s="2335"/>
      <c r="E29" s="2335"/>
      <c r="F29" s="2335"/>
      <c r="G29" s="82"/>
      <c r="H29" s="83"/>
    </row>
    <row r="30" spans="1:8" ht="63.75" customHeight="1" x14ac:dyDescent="0.15">
      <c r="A30" s="2334" t="s">
        <v>163</v>
      </c>
      <c r="B30" s="2335"/>
      <c r="C30" s="2335"/>
      <c r="D30" s="2335"/>
      <c r="E30" s="2335"/>
      <c r="F30" s="2335"/>
      <c r="G30" s="82"/>
      <c r="H30" s="83"/>
    </row>
    <row r="31" spans="1:8" ht="45" customHeight="1" x14ac:dyDescent="0.15">
      <c r="A31" s="2332" t="s">
        <v>164</v>
      </c>
      <c r="B31" s="2333"/>
      <c r="C31" s="2333"/>
      <c r="D31" s="2333"/>
      <c r="E31" s="2333"/>
      <c r="F31" s="2333"/>
      <c r="G31" s="80"/>
      <c r="H31" s="81"/>
    </row>
    <row r="32" spans="1:8" s="85" customFormat="1" ht="21.75" customHeight="1" x14ac:dyDescent="0.15">
      <c r="A32" s="2337" t="s">
        <v>165</v>
      </c>
      <c r="B32" s="2337"/>
      <c r="C32" s="2337"/>
      <c r="D32" s="2337"/>
      <c r="E32" s="2337"/>
      <c r="F32" s="2337"/>
      <c r="G32" s="84"/>
      <c r="H32" s="84"/>
    </row>
    <row r="33" spans="1:8" x14ac:dyDescent="0.15">
      <c r="A33" s="2303"/>
      <c r="B33" s="2303"/>
      <c r="C33" s="2303"/>
      <c r="D33" s="2303"/>
      <c r="E33" s="2303"/>
      <c r="F33" s="2303"/>
      <c r="G33" s="62"/>
      <c r="H33" s="62"/>
    </row>
    <row r="34" spans="1:8" x14ac:dyDescent="0.15">
      <c r="A34" s="2338" t="s">
        <v>20</v>
      </c>
      <c r="B34" s="2338"/>
      <c r="C34" s="2338"/>
      <c r="D34" s="2338"/>
      <c r="E34" s="2338"/>
      <c r="F34" s="2338"/>
      <c r="G34" s="86"/>
      <c r="H34" s="86"/>
    </row>
    <row r="35" spans="1:8" x14ac:dyDescent="0.15">
      <c r="A35" s="2336" t="s">
        <v>21</v>
      </c>
      <c r="B35" s="2336"/>
      <c r="C35" s="2336"/>
      <c r="D35" s="2336"/>
      <c r="E35" s="2336"/>
      <c r="F35" s="2336"/>
      <c r="G35" s="62"/>
      <c r="H35" s="62"/>
    </row>
  </sheetData>
  <mergeCells count="19">
    <mergeCell ref="A35:F35"/>
    <mergeCell ref="A29:F29"/>
    <mergeCell ref="A30:F30"/>
    <mergeCell ref="A31:F31"/>
    <mergeCell ref="A32:F32"/>
    <mergeCell ref="A33:F33"/>
    <mergeCell ref="A34:F34"/>
    <mergeCell ref="A28:F28"/>
    <mergeCell ref="A2:F2"/>
    <mergeCell ref="A3:F3"/>
    <mergeCell ref="A4:A6"/>
    <mergeCell ref="B4:F4"/>
    <mergeCell ref="B5:B6"/>
    <mergeCell ref="A22:F22"/>
    <mergeCell ref="A23:F23"/>
    <mergeCell ref="A24:F24"/>
    <mergeCell ref="A25:F25"/>
    <mergeCell ref="A26:F26"/>
    <mergeCell ref="A27:F27"/>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2:C28"/>
  <sheetViews>
    <sheetView workbookViewId="0">
      <selection activeCell="D13" sqref="D13"/>
    </sheetView>
  </sheetViews>
  <sheetFormatPr baseColWidth="10" defaultColWidth="9.140625" defaultRowHeight="12.75" x14ac:dyDescent="0.2"/>
  <cols>
    <col min="1" max="1" width="32.85546875" style="757" customWidth="1"/>
    <col min="2" max="2" width="35" style="757" customWidth="1"/>
    <col min="3" max="3" width="18.7109375" style="757" customWidth="1"/>
    <col min="4" max="4" width="32.140625" style="757" customWidth="1"/>
    <col min="5" max="16384" width="9.140625" style="757"/>
  </cols>
  <sheetData>
    <row r="2" spans="1:3" ht="22.5" customHeight="1" x14ac:dyDescent="0.2">
      <c r="A2" s="2842" t="s">
        <v>1968</v>
      </c>
      <c r="B2" s="2843"/>
    </row>
    <row r="3" spans="1:3" ht="11.25" customHeight="1" x14ac:dyDescent="0.2">
      <c r="A3" s="2844"/>
      <c r="B3" s="2845"/>
    </row>
    <row r="4" spans="1:3" x14ac:dyDescent="0.2">
      <c r="A4" s="2171" t="s">
        <v>2</v>
      </c>
      <c r="B4" s="2171" t="s">
        <v>1969</v>
      </c>
    </row>
    <row r="5" spans="1:3" x14ac:dyDescent="0.2">
      <c r="A5" s="2169">
        <v>1995</v>
      </c>
      <c r="B5" s="936">
        <v>1194</v>
      </c>
      <c r="C5" s="2170"/>
    </row>
    <row r="6" spans="1:3" x14ac:dyDescent="0.2">
      <c r="A6" s="2169">
        <v>1997</v>
      </c>
      <c r="B6" s="936">
        <v>1222</v>
      </c>
      <c r="C6" s="2170"/>
    </row>
    <row r="7" spans="1:3" x14ac:dyDescent="0.2">
      <c r="A7" s="2169">
        <v>1999</v>
      </c>
      <c r="B7" s="936">
        <v>1323</v>
      </c>
      <c r="C7" s="2170"/>
    </row>
    <row r="8" spans="1:3" x14ac:dyDescent="0.2">
      <c r="A8" s="2169">
        <v>2000</v>
      </c>
      <c r="B8" s="936">
        <v>1381</v>
      </c>
      <c r="C8" s="2170"/>
    </row>
    <row r="9" spans="1:3" x14ac:dyDescent="0.2">
      <c r="A9" s="2169">
        <v>2001</v>
      </c>
      <c r="B9" s="936">
        <v>1415</v>
      </c>
      <c r="C9" s="2170"/>
    </row>
    <row r="10" spans="1:3" x14ac:dyDescent="0.2">
      <c r="A10" s="2169">
        <v>2003</v>
      </c>
      <c r="B10" s="936">
        <v>1420</v>
      </c>
      <c r="C10" s="2170"/>
    </row>
    <row r="11" spans="1:3" x14ac:dyDescent="0.2">
      <c r="A11" s="2169">
        <v>2004</v>
      </c>
      <c r="B11" s="936">
        <v>1517</v>
      </c>
      <c r="C11" s="2170"/>
    </row>
    <row r="12" spans="1:3" x14ac:dyDescent="0.2">
      <c r="A12" s="2169">
        <v>2005</v>
      </c>
      <c r="B12" s="936">
        <v>1602</v>
      </c>
      <c r="C12" s="2170"/>
    </row>
    <row r="13" spans="1:3" x14ac:dyDescent="0.2">
      <c r="A13" s="2169">
        <v>2007</v>
      </c>
      <c r="B13" s="936">
        <v>1622</v>
      </c>
      <c r="C13" s="2170"/>
    </row>
    <row r="14" spans="1:3" x14ac:dyDescent="0.2">
      <c r="A14" s="2169">
        <v>2008</v>
      </c>
      <c r="B14" s="936">
        <v>1766</v>
      </c>
      <c r="C14" s="2170"/>
    </row>
    <row r="15" spans="1:3" x14ac:dyDescent="0.2">
      <c r="A15" s="2169">
        <v>2009</v>
      </c>
      <c r="B15" s="936">
        <v>1910</v>
      </c>
      <c r="C15" s="2170"/>
    </row>
    <row r="16" spans="1:3" x14ac:dyDescent="0.2">
      <c r="A16" s="2169">
        <v>2010</v>
      </c>
      <c r="B16" s="936">
        <v>2051</v>
      </c>
      <c r="C16" s="2170"/>
    </row>
    <row r="17" spans="1:3" x14ac:dyDescent="0.2">
      <c r="A17" s="2169">
        <v>2011</v>
      </c>
      <c r="B17" s="936">
        <v>2156</v>
      </c>
      <c r="C17" s="2170"/>
    </row>
    <row r="18" spans="1:3" x14ac:dyDescent="0.2">
      <c r="A18" s="2169">
        <v>2012</v>
      </c>
      <c r="B18" s="936">
        <v>2232</v>
      </c>
      <c r="C18" s="2170"/>
    </row>
    <row r="19" spans="1:3" x14ac:dyDescent="0.2">
      <c r="A19" s="2169">
        <v>2013</v>
      </c>
      <c r="B19" s="936">
        <v>2287</v>
      </c>
      <c r="C19" s="2170"/>
    </row>
    <row r="20" spans="1:3" x14ac:dyDescent="0.2">
      <c r="A20" s="2169">
        <v>2014</v>
      </c>
      <c r="B20" s="936">
        <v>2332</v>
      </c>
      <c r="C20" s="2170"/>
    </row>
    <row r="21" spans="1:3" x14ac:dyDescent="0.2">
      <c r="A21" s="2169">
        <v>2015</v>
      </c>
      <c r="B21" s="936">
        <v>2385</v>
      </c>
      <c r="C21" s="2170"/>
    </row>
    <row r="22" spans="1:3" ht="11.25" customHeight="1" x14ac:dyDescent="0.2">
      <c r="A22" s="2846"/>
      <c r="B22" s="2847"/>
      <c r="C22" s="2170"/>
    </row>
    <row r="23" spans="1:3" ht="11.25" customHeight="1" x14ac:dyDescent="0.2">
      <c r="A23" s="2848" t="s">
        <v>1970</v>
      </c>
      <c r="B23" s="2841"/>
      <c r="C23" s="2170"/>
    </row>
    <row r="24" spans="1:3" ht="54.75" customHeight="1" x14ac:dyDescent="0.2">
      <c r="A24" s="2848" t="s">
        <v>1971</v>
      </c>
      <c r="B24" s="2848"/>
      <c r="C24" s="2170"/>
    </row>
    <row r="25" spans="1:3" ht="34.5" customHeight="1" x14ac:dyDescent="0.2">
      <c r="A25" s="2848" t="s">
        <v>1972</v>
      </c>
      <c r="B25" s="2848"/>
      <c r="C25" s="2170"/>
    </row>
    <row r="26" spans="1:3" ht="22.5" customHeight="1" x14ac:dyDescent="0.2">
      <c r="A26" s="2840" t="s">
        <v>1973</v>
      </c>
      <c r="B26" s="2841"/>
      <c r="C26" s="2170"/>
    </row>
    <row r="27" spans="1:3" x14ac:dyDescent="0.2">
      <c r="A27" s="2170"/>
      <c r="B27" s="2170"/>
      <c r="C27" s="2170"/>
    </row>
    <row r="28" spans="1:3" x14ac:dyDescent="0.2">
      <c r="A28" s="2170"/>
      <c r="B28" s="2170"/>
      <c r="C28" s="2170"/>
    </row>
  </sheetData>
  <mergeCells count="7">
    <mergeCell ref="A26:B26"/>
    <mergeCell ref="A2:B2"/>
    <mergeCell ref="A3:B3"/>
    <mergeCell ref="A22:B22"/>
    <mergeCell ref="A23:B23"/>
    <mergeCell ref="A24:B24"/>
    <mergeCell ref="A25:B2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2:C24"/>
  <sheetViews>
    <sheetView workbookViewId="0">
      <selection activeCell="C12" sqref="C12"/>
    </sheetView>
  </sheetViews>
  <sheetFormatPr baseColWidth="10" defaultColWidth="9.140625" defaultRowHeight="12.75" x14ac:dyDescent="0.2"/>
  <cols>
    <col min="1" max="1" width="32.85546875" style="757" customWidth="1"/>
    <col min="2" max="2" width="38.42578125" style="757" customWidth="1"/>
    <col min="3" max="4" width="45.85546875" style="757" customWidth="1"/>
    <col min="5" max="16384" width="9.140625" style="757"/>
  </cols>
  <sheetData>
    <row r="2" spans="1:3" ht="23.25" customHeight="1" x14ac:dyDescent="0.2">
      <c r="A2" s="2842" t="s">
        <v>1974</v>
      </c>
      <c r="B2" s="2849"/>
    </row>
    <row r="3" spans="1:3" ht="11.25" customHeight="1" x14ac:dyDescent="0.2">
      <c r="A3" s="2844"/>
      <c r="B3" s="2845"/>
    </row>
    <row r="4" spans="1:3" x14ac:dyDescent="0.2">
      <c r="A4" s="2171" t="s">
        <v>2</v>
      </c>
      <c r="B4" s="2171" t="s">
        <v>1975</v>
      </c>
    </row>
    <row r="5" spans="1:3" x14ac:dyDescent="0.2">
      <c r="A5" s="2169">
        <v>2005</v>
      </c>
      <c r="B5" s="936">
        <v>867</v>
      </c>
      <c r="C5" s="2170"/>
    </row>
    <row r="6" spans="1:3" x14ac:dyDescent="0.2">
      <c r="A6" s="2169">
        <v>2006</v>
      </c>
      <c r="B6" s="936">
        <v>1896</v>
      </c>
      <c r="C6" s="2170"/>
    </row>
    <row r="7" spans="1:3" x14ac:dyDescent="0.2">
      <c r="A7" s="2169">
        <v>2007</v>
      </c>
      <c r="B7" s="936">
        <v>3003</v>
      </c>
      <c r="C7" s="2170"/>
    </row>
    <row r="8" spans="1:3" x14ac:dyDescent="0.2">
      <c r="A8" s="2169">
        <v>2008</v>
      </c>
      <c r="B8" s="936">
        <v>3971</v>
      </c>
      <c r="C8" s="2170"/>
    </row>
    <row r="9" spans="1:3" x14ac:dyDescent="0.2">
      <c r="A9" s="2169">
        <v>2009</v>
      </c>
      <c r="B9" s="936">
        <v>6395</v>
      </c>
      <c r="C9" s="2170"/>
    </row>
    <row r="10" spans="1:3" x14ac:dyDescent="0.2">
      <c r="A10" s="2169">
        <v>2010</v>
      </c>
      <c r="B10" s="936">
        <v>7368</v>
      </c>
      <c r="C10" s="2170"/>
    </row>
    <row r="11" spans="1:3" x14ac:dyDescent="0.2">
      <c r="A11" s="2169">
        <v>2011</v>
      </c>
      <c r="B11" s="936">
        <v>8276</v>
      </c>
      <c r="C11" s="2170"/>
    </row>
    <row r="12" spans="1:3" x14ac:dyDescent="0.2">
      <c r="A12" s="2169">
        <v>2012</v>
      </c>
      <c r="B12" s="936">
        <v>8347</v>
      </c>
      <c r="C12" s="2170"/>
    </row>
    <row r="13" spans="1:3" x14ac:dyDescent="0.2">
      <c r="A13" s="2169">
        <v>2013</v>
      </c>
      <c r="B13" s="936">
        <v>8413</v>
      </c>
      <c r="C13" s="2170"/>
    </row>
    <row r="14" spans="1:3" x14ac:dyDescent="0.2">
      <c r="A14" s="2169">
        <v>2014</v>
      </c>
      <c r="B14" s="936">
        <v>8456</v>
      </c>
      <c r="C14" s="2170"/>
    </row>
    <row r="15" spans="1:3" x14ac:dyDescent="0.2">
      <c r="A15" s="2169">
        <v>2015</v>
      </c>
      <c r="B15" s="936">
        <v>8497</v>
      </c>
      <c r="C15" s="2170"/>
    </row>
    <row r="16" spans="1:3" ht="11.25" customHeight="1" x14ac:dyDescent="0.2">
      <c r="A16" s="2846"/>
      <c r="B16" s="2847"/>
      <c r="C16" s="2170"/>
    </row>
    <row r="17" spans="1:3" x14ac:dyDescent="0.2">
      <c r="A17" s="2848" t="s">
        <v>1970</v>
      </c>
      <c r="B17" s="2841"/>
      <c r="C17" s="2170"/>
    </row>
    <row r="18" spans="1:3" ht="22.5" customHeight="1" x14ac:dyDescent="0.2">
      <c r="A18" s="2848" t="s">
        <v>1976</v>
      </c>
      <c r="B18" s="2848"/>
      <c r="C18" s="2170"/>
    </row>
    <row r="19" spans="1:3" ht="22.5" customHeight="1" x14ac:dyDescent="0.2">
      <c r="A19" s="2840" t="s">
        <v>1973</v>
      </c>
      <c r="B19" s="2841"/>
      <c r="C19" s="2170"/>
    </row>
    <row r="20" spans="1:3" x14ac:dyDescent="0.2">
      <c r="A20" s="2170"/>
      <c r="B20" s="2170"/>
      <c r="C20" s="2170"/>
    </row>
    <row r="21" spans="1:3" x14ac:dyDescent="0.2">
      <c r="A21" s="2170"/>
      <c r="B21" s="2170"/>
      <c r="C21" s="2170"/>
    </row>
    <row r="22" spans="1:3" x14ac:dyDescent="0.2">
      <c r="A22" s="2170"/>
      <c r="B22" s="2170"/>
      <c r="C22" s="2170"/>
    </row>
    <row r="23" spans="1:3" x14ac:dyDescent="0.2">
      <c r="A23" s="2170"/>
      <c r="B23" s="2170"/>
      <c r="C23" s="2170"/>
    </row>
    <row r="24" spans="1:3" x14ac:dyDescent="0.2">
      <c r="A24" s="2170"/>
      <c r="B24" s="2170"/>
      <c r="C24" s="2170"/>
    </row>
  </sheetData>
  <mergeCells count="6">
    <mergeCell ref="A19:B19"/>
    <mergeCell ref="A2:B2"/>
    <mergeCell ref="A3:B3"/>
    <mergeCell ref="A16:B16"/>
    <mergeCell ref="A17:B17"/>
    <mergeCell ref="A18:B18"/>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I30"/>
  <sheetViews>
    <sheetView zoomScaleNormal="100" workbookViewId="0">
      <selection activeCell="G18" sqref="G18"/>
    </sheetView>
  </sheetViews>
  <sheetFormatPr baseColWidth="10" defaultColWidth="9.140625" defaultRowHeight="12.75" x14ac:dyDescent="0.2"/>
  <cols>
    <col min="1" max="1" width="18.7109375" style="757" customWidth="1"/>
    <col min="2" max="2" width="15" style="757" customWidth="1"/>
    <col min="3" max="3" width="22.85546875" style="757" customWidth="1"/>
    <col min="4" max="4" width="15" style="757" customWidth="1"/>
    <col min="5" max="6" width="9.140625" style="757" customWidth="1"/>
    <col min="7" max="16384" width="9.140625" style="757"/>
  </cols>
  <sheetData>
    <row r="1" spans="1:5" ht="11.25" customHeight="1" x14ac:dyDescent="0.2"/>
    <row r="2" spans="1:5" ht="22.5" customHeight="1" x14ac:dyDescent="0.2">
      <c r="A2" s="2852" t="s">
        <v>1977</v>
      </c>
      <c r="B2" s="2853"/>
      <c r="C2" s="2853"/>
      <c r="D2" s="2853"/>
    </row>
    <row r="3" spans="1:5" ht="11.25" customHeight="1" x14ac:dyDescent="0.2">
      <c r="A3" s="2844"/>
      <c r="B3" s="2845"/>
      <c r="C3" s="2845"/>
      <c r="D3" s="2845"/>
    </row>
    <row r="4" spans="1:5" x14ac:dyDescent="0.2">
      <c r="A4" s="2854" t="s">
        <v>1978</v>
      </c>
      <c r="B4" s="2854" t="s">
        <v>215</v>
      </c>
      <c r="C4" s="2855" t="s">
        <v>1979</v>
      </c>
      <c r="D4" s="2856"/>
    </row>
    <row r="5" spans="1:5" x14ac:dyDescent="0.2">
      <c r="A5" s="2854"/>
      <c r="B5" s="2854"/>
      <c r="C5" s="2172" t="s">
        <v>1980</v>
      </c>
      <c r="D5" s="2172" t="s">
        <v>1981</v>
      </c>
    </row>
    <row r="6" spans="1:5" x14ac:dyDescent="0.2">
      <c r="A6" s="930" t="s">
        <v>141</v>
      </c>
      <c r="B6" s="934">
        <f>SUM(B7:B21)</f>
        <v>9816</v>
      </c>
      <c r="C6" s="935">
        <f>SUM(C7:C21)</f>
        <v>7614</v>
      </c>
      <c r="D6" s="934">
        <f>SUM(D7:D21)</f>
        <v>2202</v>
      </c>
      <c r="E6" s="2170"/>
    </row>
    <row r="7" spans="1:5" x14ac:dyDescent="0.2">
      <c r="A7" s="932" t="s">
        <v>5</v>
      </c>
      <c r="B7" s="935">
        <f>SUM(C7:D7)</f>
        <v>117</v>
      </c>
      <c r="C7" s="936">
        <v>88</v>
      </c>
      <c r="D7" s="936">
        <v>29</v>
      </c>
      <c r="E7" s="2170"/>
    </row>
    <row r="8" spans="1:5" x14ac:dyDescent="0.2">
      <c r="A8" s="932" t="s">
        <v>6</v>
      </c>
      <c r="B8" s="935">
        <f t="shared" ref="B8:B21" si="0">SUM(C8:D8)</f>
        <v>175</v>
      </c>
      <c r="C8" s="936">
        <v>122</v>
      </c>
      <c r="D8" s="936">
        <v>53</v>
      </c>
      <c r="E8" s="2170"/>
    </row>
    <row r="9" spans="1:5" x14ac:dyDescent="0.2">
      <c r="A9" s="932" t="s">
        <v>7</v>
      </c>
      <c r="B9" s="935">
        <f t="shared" si="0"/>
        <v>177</v>
      </c>
      <c r="C9" s="936">
        <v>120</v>
      </c>
      <c r="D9" s="936">
        <v>57</v>
      </c>
      <c r="E9" s="2170"/>
    </row>
    <row r="10" spans="1:5" x14ac:dyDescent="0.2">
      <c r="A10" s="932" t="s">
        <v>8</v>
      </c>
      <c r="B10" s="935">
        <f t="shared" si="0"/>
        <v>143</v>
      </c>
      <c r="C10" s="936">
        <v>112</v>
      </c>
      <c r="D10" s="936">
        <v>31</v>
      </c>
      <c r="E10" s="2170"/>
    </row>
    <row r="11" spans="1:5" x14ac:dyDescent="0.2">
      <c r="A11" s="932" t="s">
        <v>9</v>
      </c>
      <c r="B11" s="935">
        <f t="shared" si="0"/>
        <v>666</v>
      </c>
      <c r="C11" s="936">
        <v>545</v>
      </c>
      <c r="D11" s="936">
        <v>121</v>
      </c>
      <c r="E11" s="2170"/>
    </row>
    <row r="12" spans="1:5" x14ac:dyDescent="0.2">
      <c r="A12" s="932" t="s">
        <v>10</v>
      </c>
      <c r="B12" s="935">
        <f t="shared" si="0"/>
        <v>951</v>
      </c>
      <c r="C12" s="936">
        <v>674</v>
      </c>
      <c r="D12" s="936">
        <v>277</v>
      </c>
      <c r="E12" s="2170"/>
    </row>
    <row r="13" spans="1:5" x14ac:dyDescent="0.2">
      <c r="A13" s="932" t="s">
        <v>11</v>
      </c>
      <c r="B13" s="935">
        <f t="shared" si="0"/>
        <v>2247</v>
      </c>
      <c r="C13" s="936">
        <v>1510</v>
      </c>
      <c r="D13" s="936">
        <v>737</v>
      </c>
      <c r="E13" s="2170"/>
    </row>
    <row r="14" spans="1:5" x14ac:dyDescent="0.2">
      <c r="A14" s="932" t="s">
        <v>12</v>
      </c>
      <c r="B14" s="935">
        <f t="shared" si="0"/>
        <v>575</v>
      </c>
      <c r="C14" s="936">
        <v>455</v>
      </c>
      <c r="D14" s="936">
        <v>120</v>
      </c>
      <c r="E14" s="2170"/>
    </row>
    <row r="15" spans="1:5" x14ac:dyDescent="0.2">
      <c r="A15" s="932" t="s">
        <v>13</v>
      </c>
      <c r="B15" s="935">
        <f t="shared" si="0"/>
        <v>782</v>
      </c>
      <c r="C15" s="936">
        <v>639</v>
      </c>
      <c r="D15" s="936">
        <v>143</v>
      </c>
      <c r="E15" s="2170"/>
    </row>
    <row r="16" spans="1:5" x14ac:dyDescent="0.2">
      <c r="A16" s="932" t="s">
        <v>14</v>
      </c>
      <c r="B16" s="935">
        <f t="shared" si="0"/>
        <v>1305</v>
      </c>
      <c r="C16" s="936">
        <v>1053</v>
      </c>
      <c r="D16" s="936">
        <v>252</v>
      </c>
      <c r="E16" s="2170"/>
    </row>
    <row r="17" spans="1:9" x14ac:dyDescent="0.2">
      <c r="A17" s="932" t="s">
        <v>15</v>
      </c>
      <c r="B17" s="935">
        <f t="shared" si="0"/>
        <v>1101</v>
      </c>
      <c r="C17" s="936">
        <v>958</v>
      </c>
      <c r="D17" s="936">
        <v>143</v>
      </c>
      <c r="E17" s="2170"/>
    </row>
    <row r="18" spans="1:9" x14ac:dyDescent="0.2">
      <c r="A18" s="932" t="s">
        <v>301</v>
      </c>
      <c r="B18" s="935">
        <f t="shared" si="0"/>
        <v>463</v>
      </c>
      <c r="C18" s="936">
        <v>397</v>
      </c>
      <c r="D18" s="936">
        <v>66</v>
      </c>
      <c r="E18" s="2170"/>
    </row>
    <row r="19" spans="1:9" x14ac:dyDescent="0.2">
      <c r="A19" s="932" t="s">
        <v>303</v>
      </c>
      <c r="B19" s="935">
        <f t="shared" si="0"/>
        <v>940</v>
      </c>
      <c r="C19" s="936">
        <v>813</v>
      </c>
      <c r="D19" s="936">
        <v>127</v>
      </c>
      <c r="E19" s="2170"/>
    </row>
    <row r="20" spans="1:9" x14ac:dyDescent="0.2">
      <c r="A20" s="932" t="s">
        <v>18</v>
      </c>
      <c r="B20" s="935">
        <f t="shared" si="0"/>
        <v>91</v>
      </c>
      <c r="C20" s="936">
        <v>70</v>
      </c>
      <c r="D20" s="936">
        <v>21</v>
      </c>
      <c r="E20" s="2170"/>
    </row>
    <row r="21" spans="1:9" x14ac:dyDescent="0.2">
      <c r="A21" s="932" t="s">
        <v>19</v>
      </c>
      <c r="B21" s="935">
        <f t="shared" si="0"/>
        <v>83</v>
      </c>
      <c r="C21" s="936">
        <v>58</v>
      </c>
      <c r="D21" s="936">
        <v>25</v>
      </c>
      <c r="E21" s="2170"/>
    </row>
    <row r="22" spans="1:9" ht="11.25" customHeight="1" x14ac:dyDescent="0.2">
      <c r="A22" s="2846"/>
      <c r="B22" s="2847"/>
      <c r="C22" s="2847"/>
      <c r="D22" s="2847"/>
      <c r="E22" s="2170"/>
    </row>
    <row r="23" spans="1:9" x14ac:dyDescent="0.2">
      <c r="A23" s="2848" t="s">
        <v>1970</v>
      </c>
      <c r="B23" s="2841"/>
      <c r="C23" s="2841"/>
      <c r="D23" s="2841"/>
      <c r="E23" s="2170"/>
    </row>
    <row r="24" spans="1:9" x14ac:dyDescent="0.2">
      <c r="A24" s="2850" t="s">
        <v>1982</v>
      </c>
      <c r="B24" s="2851"/>
      <c r="C24" s="2851"/>
      <c r="D24" s="2851"/>
      <c r="E24" s="2083"/>
      <c r="F24" s="758"/>
      <c r="G24" s="758"/>
      <c r="H24" s="758"/>
      <c r="I24" s="758"/>
    </row>
    <row r="25" spans="1:9" ht="21.75" customHeight="1" x14ac:dyDescent="0.2">
      <c r="A25" s="2848" t="s">
        <v>1983</v>
      </c>
      <c r="B25" s="2841"/>
      <c r="C25" s="2841"/>
      <c r="D25" s="2841"/>
      <c r="E25" s="2170"/>
    </row>
    <row r="26" spans="1:9" ht="21.75" customHeight="1" x14ac:dyDescent="0.2">
      <c r="A26" s="2840" t="s">
        <v>1973</v>
      </c>
      <c r="B26" s="2841"/>
      <c r="C26" s="2841"/>
      <c r="D26" s="2841"/>
      <c r="E26" s="2170"/>
    </row>
    <row r="27" spans="1:9" x14ac:dyDescent="0.2">
      <c r="A27" s="2170"/>
      <c r="B27" s="2170"/>
      <c r="C27" s="2170"/>
      <c r="D27" s="2170"/>
      <c r="E27" s="2170"/>
    </row>
    <row r="28" spans="1:9" x14ac:dyDescent="0.2">
      <c r="A28" s="2170"/>
      <c r="B28" s="2170"/>
      <c r="C28" s="2170"/>
      <c r="D28" s="2170"/>
      <c r="E28" s="2170"/>
    </row>
    <row r="29" spans="1:9" x14ac:dyDescent="0.2">
      <c r="A29" s="2170"/>
      <c r="B29" s="2170"/>
      <c r="C29" s="2170"/>
      <c r="D29" s="2170"/>
      <c r="E29" s="2170"/>
    </row>
    <row r="30" spans="1:9" x14ac:dyDescent="0.2">
      <c r="A30" s="2170"/>
      <c r="B30" s="2170"/>
      <c r="C30" s="2170"/>
      <c r="D30" s="2170"/>
      <c r="E30" s="2170"/>
    </row>
  </sheetData>
  <mergeCells count="10">
    <mergeCell ref="A23:D23"/>
    <mergeCell ref="A24:D24"/>
    <mergeCell ref="A25:D25"/>
    <mergeCell ref="A26:D26"/>
    <mergeCell ref="A2:D2"/>
    <mergeCell ref="A3:D3"/>
    <mergeCell ref="A4:A5"/>
    <mergeCell ref="B4:B5"/>
    <mergeCell ref="C4:D4"/>
    <mergeCell ref="A22:D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2:I30"/>
  <sheetViews>
    <sheetView workbookViewId="0">
      <selection activeCell="G10" sqref="G10"/>
    </sheetView>
  </sheetViews>
  <sheetFormatPr baseColWidth="10" defaultColWidth="9.140625" defaultRowHeight="12.75" x14ac:dyDescent="0.2"/>
  <cols>
    <col min="1" max="1" width="27.5703125" style="757" customWidth="1"/>
    <col min="2" max="3" width="22.85546875" style="757" customWidth="1"/>
    <col min="4" max="4" width="9.140625" style="757" customWidth="1"/>
    <col min="5" max="5" width="12.85546875" style="757" bestFit="1" customWidth="1"/>
    <col min="6" max="16384" width="9.140625" style="757"/>
  </cols>
  <sheetData>
    <row r="2" spans="1:6" ht="34.5" customHeight="1" x14ac:dyDescent="0.2">
      <c r="A2" s="2852" t="s">
        <v>1984</v>
      </c>
      <c r="B2" s="2853"/>
      <c r="C2" s="2853"/>
    </row>
    <row r="3" spans="1:6" ht="11.25" customHeight="1" x14ac:dyDescent="0.2">
      <c r="A3" s="2844"/>
      <c r="B3" s="2845"/>
      <c r="C3" s="2845"/>
    </row>
    <row r="4" spans="1:6" x14ac:dyDescent="0.2">
      <c r="A4" s="2854" t="s">
        <v>1985</v>
      </c>
      <c r="B4" s="2855" t="s">
        <v>1986</v>
      </c>
      <c r="C4" s="2856"/>
    </row>
    <row r="5" spans="1:6" ht="21" x14ac:dyDescent="0.2">
      <c r="A5" s="2854"/>
      <c r="B5" s="2172" t="s">
        <v>1987</v>
      </c>
      <c r="C5" s="2171" t="s">
        <v>1988</v>
      </c>
    </row>
    <row r="6" spans="1:6" ht="15" x14ac:dyDescent="0.25">
      <c r="A6" s="930" t="s">
        <v>141</v>
      </c>
      <c r="B6" s="935">
        <f>SUM(B7:B21)</f>
        <v>7614</v>
      </c>
      <c r="C6" s="935">
        <f>SUM(C7:C21)</f>
        <v>1958952</v>
      </c>
      <c r="D6" s="2170"/>
      <c r="E6" s="2173"/>
      <c r="F6" s="536"/>
    </row>
    <row r="7" spans="1:6" x14ac:dyDescent="0.2">
      <c r="A7" s="932" t="s">
        <v>5</v>
      </c>
      <c r="B7" s="936">
        <v>88</v>
      </c>
      <c r="C7" s="936">
        <v>30998</v>
      </c>
      <c r="D7" s="2170"/>
      <c r="E7" s="2174"/>
    </row>
    <row r="8" spans="1:6" x14ac:dyDescent="0.2">
      <c r="A8" s="932" t="s">
        <v>6</v>
      </c>
      <c r="B8" s="936">
        <v>122</v>
      </c>
      <c r="C8" s="936">
        <v>44697</v>
      </c>
      <c r="D8" s="2170"/>
      <c r="E8" s="2170"/>
    </row>
    <row r="9" spans="1:6" x14ac:dyDescent="0.2">
      <c r="A9" s="932" t="s">
        <v>7</v>
      </c>
      <c r="B9" s="936">
        <v>120</v>
      </c>
      <c r="C9" s="936">
        <v>72463</v>
      </c>
      <c r="D9" s="2170"/>
      <c r="E9" s="2170"/>
    </row>
    <row r="10" spans="1:6" x14ac:dyDescent="0.2">
      <c r="A10" s="932" t="s">
        <v>8</v>
      </c>
      <c r="B10" s="936">
        <v>112</v>
      </c>
      <c r="C10" s="936">
        <v>41847</v>
      </c>
      <c r="D10" s="2170"/>
      <c r="E10" s="2170"/>
    </row>
    <row r="11" spans="1:6" x14ac:dyDescent="0.2">
      <c r="A11" s="932" t="s">
        <v>9</v>
      </c>
      <c r="B11" s="936">
        <v>545</v>
      </c>
      <c r="C11" s="936">
        <v>97179</v>
      </c>
      <c r="D11" s="2170"/>
      <c r="E11" s="2170"/>
    </row>
    <row r="12" spans="1:6" x14ac:dyDescent="0.2">
      <c r="A12" s="932" t="s">
        <v>10</v>
      </c>
      <c r="B12" s="936">
        <v>674</v>
      </c>
      <c r="C12" s="936">
        <v>181693</v>
      </c>
      <c r="D12" s="2170"/>
      <c r="E12" s="2170"/>
    </row>
    <row r="13" spans="1:6" x14ac:dyDescent="0.2">
      <c r="A13" s="932" t="s">
        <v>11</v>
      </c>
      <c r="B13" s="936">
        <v>1510</v>
      </c>
      <c r="C13" s="936">
        <v>694821</v>
      </c>
      <c r="D13" s="2170"/>
      <c r="E13" s="2170"/>
    </row>
    <row r="14" spans="1:6" x14ac:dyDescent="0.2">
      <c r="A14" s="932" t="s">
        <v>12</v>
      </c>
      <c r="B14" s="936">
        <v>455</v>
      </c>
      <c r="C14" s="936">
        <v>111555</v>
      </c>
      <c r="D14" s="2170"/>
      <c r="E14" s="2170"/>
    </row>
    <row r="15" spans="1:6" x14ac:dyDescent="0.2">
      <c r="A15" s="932" t="s">
        <v>13</v>
      </c>
      <c r="B15" s="936">
        <v>639</v>
      </c>
      <c r="C15" s="936">
        <v>128387</v>
      </c>
      <c r="D15" s="2170"/>
      <c r="E15" s="2170"/>
    </row>
    <row r="16" spans="1:6" x14ac:dyDescent="0.2">
      <c r="A16" s="932" t="s">
        <v>14</v>
      </c>
      <c r="B16" s="936">
        <v>1053</v>
      </c>
      <c r="C16" s="936">
        <v>243252</v>
      </c>
      <c r="D16" s="2170"/>
      <c r="E16" s="2170"/>
    </row>
    <row r="17" spans="1:9" x14ac:dyDescent="0.2">
      <c r="A17" s="932" t="s">
        <v>15</v>
      </c>
      <c r="B17" s="936">
        <v>958</v>
      </c>
      <c r="C17" s="936">
        <v>122167</v>
      </c>
      <c r="D17" s="2170"/>
      <c r="E17" s="2170"/>
    </row>
    <row r="18" spans="1:9" x14ac:dyDescent="0.2">
      <c r="A18" s="932" t="s">
        <v>301</v>
      </c>
      <c r="B18" s="936">
        <v>397</v>
      </c>
      <c r="C18" s="936">
        <v>46157</v>
      </c>
      <c r="D18" s="2170"/>
      <c r="E18" s="2170"/>
    </row>
    <row r="19" spans="1:9" x14ac:dyDescent="0.2">
      <c r="A19" s="932" t="s">
        <v>303</v>
      </c>
      <c r="B19" s="936">
        <v>813</v>
      </c>
      <c r="C19" s="936">
        <v>108829</v>
      </c>
      <c r="D19" s="2170"/>
      <c r="E19" s="2170"/>
    </row>
    <row r="20" spans="1:9" x14ac:dyDescent="0.2">
      <c r="A20" s="932" t="s">
        <v>18</v>
      </c>
      <c r="B20" s="936">
        <v>70</v>
      </c>
      <c r="C20" s="936">
        <v>16268</v>
      </c>
      <c r="D20" s="2170"/>
      <c r="E20" s="2170"/>
    </row>
    <row r="21" spans="1:9" x14ac:dyDescent="0.2">
      <c r="A21" s="932" t="s">
        <v>19</v>
      </c>
      <c r="B21" s="936">
        <v>58</v>
      </c>
      <c r="C21" s="936">
        <v>18639</v>
      </c>
      <c r="D21" s="2170"/>
      <c r="E21" s="2170"/>
    </row>
    <row r="22" spans="1:9" ht="11.25" customHeight="1" x14ac:dyDescent="0.2">
      <c r="A22" s="2846"/>
      <c r="B22" s="2847"/>
      <c r="C22" s="2847"/>
      <c r="D22" s="2170"/>
      <c r="E22" s="2170"/>
    </row>
    <row r="23" spans="1:9" ht="11.25" customHeight="1" x14ac:dyDescent="0.2">
      <c r="A23" s="2848" t="s">
        <v>1970</v>
      </c>
      <c r="B23" s="2841"/>
      <c r="C23" s="2841"/>
      <c r="D23" s="2170"/>
      <c r="E23" s="2170"/>
    </row>
    <row r="24" spans="1:9" x14ac:dyDescent="0.2">
      <c r="A24" s="2850" t="s">
        <v>1982</v>
      </c>
      <c r="B24" s="2850"/>
      <c r="C24" s="2850"/>
      <c r="D24" s="2083"/>
      <c r="E24" s="2083"/>
      <c r="F24" s="758"/>
      <c r="G24" s="758"/>
      <c r="H24" s="758"/>
      <c r="I24" s="758"/>
    </row>
    <row r="25" spans="1:9" x14ac:dyDescent="0.2">
      <c r="A25" s="2840" t="s">
        <v>1989</v>
      </c>
      <c r="B25" s="2841"/>
      <c r="C25" s="2841"/>
      <c r="D25" s="2170"/>
      <c r="E25" s="2170"/>
    </row>
    <row r="26" spans="1:9" x14ac:dyDescent="0.2">
      <c r="A26" s="2170"/>
      <c r="B26" s="2170"/>
      <c r="C26" s="2170"/>
      <c r="D26" s="2170"/>
      <c r="E26" s="2170"/>
    </row>
    <row r="27" spans="1:9" x14ac:dyDescent="0.2">
      <c r="A27" s="2170"/>
      <c r="B27" s="2170"/>
      <c r="C27" s="2170"/>
      <c r="D27" s="2170"/>
      <c r="E27" s="2170"/>
    </row>
    <row r="28" spans="1:9" x14ac:dyDescent="0.2">
      <c r="A28" s="2170"/>
      <c r="B28" s="2170"/>
      <c r="C28" s="2170"/>
      <c r="D28" s="2170"/>
      <c r="E28" s="2170"/>
    </row>
    <row r="29" spans="1:9" x14ac:dyDescent="0.2">
      <c r="A29" s="2170"/>
      <c r="B29" s="2170"/>
      <c r="C29" s="2170"/>
      <c r="D29" s="2170"/>
      <c r="E29" s="2170"/>
    </row>
    <row r="30" spans="1:9" x14ac:dyDescent="0.2">
      <c r="A30" s="2170"/>
      <c r="B30" s="2170"/>
      <c r="C30" s="2170"/>
      <c r="D30" s="2170"/>
      <c r="E30" s="2170"/>
    </row>
  </sheetData>
  <mergeCells count="8">
    <mergeCell ref="A24:C24"/>
    <mergeCell ref="A25:C25"/>
    <mergeCell ref="A2:C2"/>
    <mergeCell ref="A3:C3"/>
    <mergeCell ref="A4:A5"/>
    <mergeCell ref="B4:C4"/>
    <mergeCell ref="A22:C22"/>
    <mergeCell ref="A23:C2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2:I29"/>
  <sheetViews>
    <sheetView workbookViewId="0">
      <selection activeCell="K19" sqref="K19"/>
    </sheetView>
  </sheetViews>
  <sheetFormatPr baseColWidth="10" defaultColWidth="9.140625" defaultRowHeight="12.75" x14ac:dyDescent="0.2"/>
  <cols>
    <col min="1" max="1" width="27.5703125" style="757" customWidth="1"/>
    <col min="2" max="2" width="21.28515625" style="757" customWidth="1"/>
    <col min="3" max="3" width="18.85546875" style="757" customWidth="1"/>
    <col min="4" max="4" width="17.7109375" style="757" customWidth="1"/>
    <col min="5" max="5" width="15.42578125" style="757" customWidth="1"/>
    <col min="6" max="6" width="17.42578125" style="757" customWidth="1"/>
    <col min="7" max="7" width="16.28515625" style="757" customWidth="1"/>
    <col min="8" max="8" width="18.5703125" style="757" customWidth="1"/>
    <col min="9" max="9" width="15.85546875" style="757" customWidth="1"/>
    <col min="10" max="10" width="0" style="757" hidden="1" customWidth="1"/>
    <col min="11" max="11" width="29.7109375" style="757" customWidth="1"/>
    <col min="12" max="16384" width="9.140625" style="757"/>
  </cols>
  <sheetData>
    <row r="2" spans="1:9" ht="24.75" customHeight="1" x14ac:dyDescent="0.2">
      <c r="A2" s="2842" t="s">
        <v>1990</v>
      </c>
      <c r="B2" s="2849"/>
      <c r="C2" s="2849"/>
      <c r="D2" s="2849"/>
      <c r="E2" s="2849"/>
      <c r="F2" s="2849"/>
      <c r="G2" s="2849"/>
      <c r="H2" s="2849"/>
      <c r="I2" s="2849"/>
    </row>
    <row r="3" spans="1:9" ht="11.25" customHeight="1" x14ac:dyDescent="0.2">
      <c r="A3" s="2844"/>
      <c r="B3" s="2845"/>
      <c r="C3" s="2845"/>
      <c r="D3" s="2845"/>
      <c r="E3" s="2845"/>
      <c r="F3" s="2845"/>
      <c r="G3" s="2845"/>
      <c r="H3" s="2845"/>
      <c r="I3" s="2845"/>
    </row>
    <row r="4" spans="1:9" x14ac:dyDescent="0.2">
      <c r="A4" s="2854" t="s">
        <v>1985</v>
      </c>
      <c r="B4" s="2855" t="s">
        <v>69</v>
      </c>
      <c r="C4" s="2856"/>
      <c r="D4" s="2855" t="s">
        <v>1991</v>
      </c>
      <c r="E4" s="2856"/>
      <c r="F4" s="2855" t="s">
        <v>1992</v>
      </c>
      <c r="G4" s="2856"/>
      <c r="H4" s="2855" t="s">
        <v>1993</v>
      </c>
      <c r="I4" s="2856"/>
    </row>
    <row r="5" spans="1:9" ht="31.5" x14ac:dyDescent="0.2">
      <c r="A5" s="2854"/>
      <c r="B5" s="2172" t="s">
        <v>1994</v>
      </c>
      <c r="C5" s="2172" t="s">
        <v>1995</v>
      </c>
      <c r="D5" s="2172" t="s">
        <v>1994</v>
      </c>
      <c r="E5" s="2172" t="s">
        <v>1995</v>
      </c>
      <c r="F5" s="2172" t="s">
        <v>1994</v>
      </c>
      <c r="G5" s="2172" t="s">
        <v>1995</v>
      </c>
      <c r="H5" s="2172" t="s">
        <v>1994</v>
      </c>
      <c r="I5" s="2172" t="s">
        <v>1995</v>
      </c>
    </row>
    <row r="6" spans="1:9" x14ac:dyDescent="0.2">
      <c r="A6" s="930" t="s">
        <v>141</v>
      </c>
      <c r="B6" s="934">
        <f>SUM(B7:B21)</f>
        <v>2202</v>
      </c>
      <c r="C6" s="935">
        <f t="shared" ref="C6:I6" si="0">SUM(C7:C21)</f>
        <v>826340</v>
      </c>
      <c r="D6" s="935">
        <f t="shared" si="0"/>
        <v>1308</v>
      </c>
      <c r="E6" s="935">
        <f t="shared" si="0"/>
        <v>389472</v>
      </c>
      <c r="F6" s="935">
        <f t="shared" si="0"/>
        <v>406</v>
      </c>
      <c r="G6" s="935">
        <f t="shared" si="0"/>
        <v>217709</v>
      </c>
      <c r="H6" s="935">
        <f t="shared" si="0"/>
        <v>488</v>
      </c>
      <c r="I6" s="935">
        <f t="shared" si="0"/>
        <v>219159</v>
      </c>
    </row>
    <row r="7" spans="1:9" x14ac:dyDescent="0.2">
      <c r="A7" s="932" t="s">
        <v>5</v>
      </c>
      <c r="B7" s="935">
        <f>+D7+F7+H7</f>
        <v>29</v>
      </c>
      <c r="C7" s="935">
        <f>+E7+G7+I7</f>
        <v>12459</v>
      </c>
      <c r="D7" s="936">
        <v>16</v>
      </c>
      <c r="E7" s="936">
        <v>5758</v>
      </c>
      <c r="F7" s="936">
        <v>10</v>
      </c>
      <c r="G7" s="936">
        <v>4088</v>
      </c>
      <c r="H7" s="936">
        <v>3</v>
      </c>
      <c r="I7" s="936">
        <v>2613</v>
      </c>
    </row>
    <row r="8" spans="1:9" x14ac:dyDescent="0.2">
      <c r="A8" s="932" t="s">
        <v>6</v>
      </c>
      <c r="B8" s="935">
        <f t="shared" ref="B8:C21" si="1">+D8+F8+H8</f>
        <v>53</v>
      </c>
      <c r="C8" s="935">
        <f t="shared" si="1"/>
        <v>17744</v>
      </c>
      <c r="D8" s="936">
        <v>28</v>
      </c>
      <c r="E8" s="936">
        <v>7258</v>
      </c>
      <c r="F8" s="936">
        <v>12</v>
      </c>
      <c r="G8" s="936">
        <v>4188</v>
      </c>
      <c r="H8" s="936">
        <v>13</v>
      </c>
      <c r="I8" s="936">
        <v>6298</v>
      </c>
    </row>
    <row r="9" spans="1:9" x14ac:dyDescent="0.2">
      <c r="A9" s="932" t="s">
        <v>7</v>
      </c>
      <c r="B9" s="935">
        <f t="shared" si="1"/>
        <v>57</v>
      </c>
      <c r="C9" s="935">
        <f t="shared" si="1"/>
        <v>30213</v>
      </c>
      <c r="D9" s="936">
        <v>39</v>
      </c>
      <c r="E9" s="936">
        <v>15106</v>
      </c>
      <c r="F9" s="936">
        <v>7</v>
      </c>
      <c r="G9" s="936">
        <v>8115</v>
      </c>
      <c r="H9" s="936">
        <v>11</v>
      </c>
      <c r="I9" s="936">
        <v>6992</v>
      </c>
    </row>
    <row r="10" spans="1:9" x14ac:dyDescent="0.2">
      <c r="A10" s="932" t="s">
        <v>8</v>
      </c>
      <c r="B10" s="935">
        <f t="shared" si="1"/>
        <v>31</v>
      </c>
      <c r="C10" s="935">
        <f t="shared" si="1"/>
        <v>16658</v>
      </c>
      <c r="D10" s="936">
        <v>12</v>
      </c>
      <c r="E10" s="936">
        <v>4901</v>
      </c>
      <c r="F10" s="936">
        <v>8</v>
      </c>
      <c r="G10" s="936">
        <v>5333</v>
      </c>
      <c r="H10" s="936">
        <v>11</v>
      </c>
      <c r="I10" s="936">
        <v>6424</v>
      </c>
    </row>
    <row r="11" spans="1:9" x14ac:dyDescent="0.2">
      <c r="A11" s="932" t="s">
        <v>9</v>
      </c>
      <c r="B11" s="935">
        <f t="shared" si="1"/>
        <v>121</v>
      </c>
      <c r="C11" s="935">
        <f t="shared" si="1"/>
        <v>38439</v>
      </c>
      <c r="D11" s="936">
        <v>81</v>
      </c>
      <c r="E11" s="936">
        <v>20038</v>
      </c>
      <c r="F11" s="936">
        <v>15</v>
      </c>
      <c r="G11" s="936">
        <v>9837</v>
      </c>
      <c r="H11" s="936">
        <v>25</v>
      </c>
      <c r="I11" s="936">
        <v>8564</v>
      </c>
    </row>
    <row r="12" spans="1:9" x14ac:dyDescent="0.2">
      <c r="A12" s="932" t="s">
        <v>10</v>
      </c>
      <c r="B12" s="935">
        <f t="shared" si="1"/>
        <v>277</v>
      </c>
      <c r="C12" s="935">
        <f t="shared" si="1"/>
        <v>80963</v>
      </c>
      <c r="D12" s="936">
        <v>192</v>
      </c>
      <c r="E12" s="936">
        <v>42866</v>
      </c>
      <c r="F12" s="936">
        <v>38</v>
      </c>
      <c r="G12" s="936">
        <v>18594</v>
      </c>
      <c r="H12" s="936">
        <v>47</v>
      </c>
      <c r="I12" s="936">
        <v>19503</v>
      </c>
    </row>
    <row r="13" spans="1:9" x14ac:dyDescent="0.2">
      <c r="A13" s="932" t="s">
        <v>11</v>
      </c>
      <c r="B13" s="935">
        <f t="shared" si="1"/>
        <v>737</v>
      </c>
      <c r="C13" s="935">
        <f t="shared" si="1"/>
        <v>298369</v>
      </c>
      <c r="D13" s="936">
        <v>449</v>
      </c>
      <c r="E13" s="936">
        <v>146659</v>
      </c>
      <c r="F13" s="936">
        <v>114</v>
      </c>
      <c r="G13" s="936">
        <v>66304</v>
      </c>
      <c r="H13" s="936">
        <v>174</v>
      </c>
      <c r="I13" s="936">
        <v>85406</v>
      </c>
    </row>
    <row r="14" spans="1:9" x14ac:dyDescent="0.2">
      <c r="A14" s="932" t="s">
        <v>12</v>
      </c>
      <c r="B14" s="935">
        <f t="shared" si="1"/>
        <v>120</v>
      </c>
      <c r="C14" s="935">
        <f t="shared" si="1"/>
        <v>46022</v>
      </c>
      <c r="D14" s="936">
        <v>80</v>
      </c>
      <c r="E14" s="936">
        <v>22164</v>
      </c>
      <c r="F14" s="936">
        <v>18</v>
      </c>
      <c r="G14" s="936">
        <v>11939</v>
      </c>
      <c r="H14" s="936">
        <v>22</v>
      </c>
      <c r="I14" s="936">
        <v>11919</v>
      </c>
    </row>
    <row r="15" spans="1:9" x14ac:dyDescent="0.2">
      <c r="A15" s="932" t="s">
        <v>13</v>
      </c>
      <c r="B15" s="935">
        <f t="shared" si="1"/>
        <v>143</v>
      </c>
      <c r="C15" s="935">
        <f t="shared" si="1"/>
        <v>54283</v>
      </c>
      <c r="D15" s="936">
        <v>74</v>
      </c>
      <c r="E15" s="936">
        <v>22210</v>
      </c>
      <c r="F15" s="936">
        <v>41</v>
      </c>
      <c r="G15" s="936">
        <v>17609</v>
      </c>
      <c r="H15" s="936">
        <v>28</v>
      </c>
      <c r="I15" s="936">
        <v>14464</v>
      </c>
    </row>
    <row r="16" spans="1:9" x14ac:dyDescent="0.2">
      <c r="A16" s="932" t="s">
        <v>14</v>
      </c>
      <c r="B16" s="935">
        <f t="shared" si="1"/>
        <v>252</v>
      </c>
      <c r="C16" s="935">
        <f t="shared" si="1"/>
        <v>102737</v>
      </c>
      <c r="D16" s="936">
        <v>140</v>
      </c>
      <c r="E16" s="936">
        <v>47593</v>
      </c>
      <c r="F16" s="936">
        <v>51</v>
      </c>
      <c r="G16" s="936">
        <v>28836</v>
      </c>
      <c r="H16" s="936">
        <v>61</v>
      </c>
      <c r="I16" s="936">
        <v>26308</v>
      </c>
    </row>
    <row r="17" spans="1:9" x14ac:dyDescent="0.2">
      <c r="A17" s="932" t="s">
        <v>15</v>
      </c>
      <c r="B17" s="935">
        <f t="shared" si="1"/>
        <v>143</v>
      </c>
      <c r="C17" s="935">
        <f t="shared" si="1"/>
        <v>52899</v>
      </c>
      <c r="D17" s="936">
        <v>67</v>
      </c>
      <c r="E17" s="936">
        <v>23168</v>
      </c>
      <c r="F17" s="936">
        <v>42</v>
      </c>
      <c r="G17" s="936">
        <v>19057</v>
      </c>
      <c r="H17" s="936">
        <v>34</v>
      </c>
      <c r="I17" s="936">
        <v>10674</v>
      </c>
    </row>
    <row r="18" spans="1:9" x14ac:dyDescent="0.2">
      <c r="A18" s="932" t="s">
        <v>301</v>
      </c>
      <c r="B18" s="935">
        <f t="shared" si="1"/>
        <v>66</v>
      </c>
      <c r="C18" s="935">
        <f t="shared" si="1"/>
        <v>18634</v>
      </c>
      <c r="D18" s="936">
        <v>34</v>
      </c>
      <c r="E18" s="936">
        <v>7765</v>
      </c>
      <c r="F18" s="936">
        <v>15</v>
      </c>
      <c r="G18" s="936">
        <v>5590</v>
      </c>
      <c r="H18" s="936">
        <v>17</v>
      </c>
      <c r="I18" s="936">
        <v>5279</v>
      </c>
    </row>
    <row r="19" spans="1:9" x14ac:dyDescent="0.2">
      <c r="A19" s="932" t="s">
        <v>303</v>
      </c>
      <c r="B19" s="935">
        <f t="shared" si="1"/>
        <v>127</v>
      </c>
      <c r="C19" s="935">
        <f t="shared" si="1"/>
        <v>43415</v>
      </c>
      <c r="D19" s="936">
        <v>67</v>
      </c>
      <c r="E19" s="936">
        <v>16694</v>
      </c>
      <c r="F19" s="936">
        <v>27</v>
      </c>
      <c r="G19" s="936">
        <v>15043</v>
      </c>
      <c r="H19" s="936">
        <v>33</v>
      </c>
      <c r="I19" s="936">
        <v>11678</v>
      </c>
    </row>
    <row r="20" spans="1:9" x14ac:dyDescent="0.2">
      <c r="A20" s="932" t="s">
        <v>18</v>
      </c>
      <c r="B20" s="935">
        <f t="shared" si="1"/>
        <v>21</v>
      </c>
      <c r="C20" s="935">
        <f t="shared" si="1"/>
        <v>5534</v>
      </c>
      <c r="D20" s="936">
        <v>12</v>
      </c>
      <c r="E20" s="936">
        <v>2868</v>
      </c>
      <c r="F20" s="936">
        <v>3</v>
      </c>
      <c r="G20" s="936">
        <v>715</v>
      </c>
      <c r="H20" s="936">
        <v>6</v>
      </c>
      <c r="I20" s="936">
        <v>1951</v>
      </c>
    </row>
    <row r="21" spans="1:9" x14ac:dyDescent="0.2">
      <c r="A21" s="932" t="s">
        <v>19</v>
      </c>
      <c r="B21" s="935">
        <f t="shared" si="1"/>
        <v>25</v>
      </c>
      <c r="C21" s="935">
        <f t="shared" si="1"/>
        <v>7971</v>
      </c>
      <c r="D21" s="936">
        <v>17</v>
      </c>
      <c r="E21" s="936">
        <v>4424</v>
      </c>
      <c r="F21" s="936">
        <v>5</v>
      </c>
      <c r="G21" s="936">
        <v>2461</v>
      </c>
      <c r="H21" s="936">
        <v>3</v>
      </c>
      <c r="I21" s="936">
        <v>1086</v>
      </c>
    </row>
    <row r="22" spans="1:9" ht="11.25" customHeight="1" x14ac:dyDescent="0.2">
      <c r="A22" s="2846"/>
      <c r="B22" s="2847"/>
      <c r="C22" s="2847"/>
      <c r="D22" s="2847"/>
      <c r="E22" s="2847"/>
      <c r="F22" s="2847"/>
      <c r="G22" s="2847"/>
      <c r="H22" s="2847"/>
      <c r="I22" s="2847"/>
    </row>
    <row r="23" spans="1:9" x14ac:dyDescent="0.2">
      <c r="A23" s="2848" t="s">
        <v>1970</v>
      </c>
      <c r="B23" s="2841"/>
      <c r="C23" s="2841"/>
      <c r="D23" s="2841"/>
      <c r="E23" s="2841"/>
      <c r="F23" s="2841"/>
      <c r="G23" s="2841"/>
      <c r="H23" s="2841"/>
      <c r="I23" s="2841"/>
    </row>
    <row r="24" spans="1:9" x14ac:dyDescent="0.2">
      <c r="A24" s="2850" t="s">
        <v>1982</v>
      </c>
      <c r="B24" s="2851"/>
      <c r="C24" s="2851"/>
      <c r="D24" s="2851"/>
      <c r="E24" s="2851"/>
      <c r="F24" s="2851"/>
      <c r="G24" s="2851"/>
      <c r="H24" s="2851"/>
      <c r="I24" s="2851"/>
    </row>
    <row r="25" spans="1:9" x14ac:dyDescent="0.2">
      <c r="A25" s="2840" t="s">
        <v>1989</v>
      </c>
      <c r="B25" s="2841"/>
      <c r="C25" s="2841"/>
      <c r="D25" s="2841"/>
      <c r="E25" s="2841"/>
      <c r="F25" s="2841"/>
      <c r="G25" s="2841"/>
      <c r="H25" s="2841"/>
      <c r="I25" s="2841"/>
    </row>
    <row r="26" spans="1:9" ht="409.6" hidden="1" customHeight="1" x14ac:dyDescent="0.2">
      <c r="A26" s="2170"/>
      <c r="B26" s="2170"/>
      <c r="C26" s="2170"/>
      <c r="D26" s="2170"/>
      <c r="E26" s="2170"/>
      <c r="F26" s="2170"/>
      <c r="G26" s="2170"/>
      <c r="H26" s="2170"/>
      <c r="I26" s="2170"/>
    </row>
    <row r="27" spans="1:9" x14ac:dyDescent="0.2">
      <c r="A27" s="2170"/>
      <c r="B27" s="2170"/>
      <c r="C27" s="2170"/>
      <c r="D27" s="2170"/>
      <c r="E27" s="2170"/>
      <c r="F27" s="2170"/>
      <c r="G27" s="2170"/>
      <c r="H27" s="2170"/>
      <c r="I27" s="2170"/>
    </row>
    <row r="28" spans="1:9" ht="19.350000000000001" customHeight="1" x14ac:dyDescent="0.2">
      <c r="A28" s="2170"/>
      <c r="B28" s="2170"/>
      <c r="C28" s="2170"/>
      <c r="D28" s="2170"/>
      <c r="E28" s="2170"/>
      <c r="F28" s="2170"/>
      <c r="G28" s="2170"/>
      <c r="H28" s="2170"/>
      <c r="I28" s="2170"/>
    </row>
    <row r="29" spans="1:9" x14ac:dyDescent="0.2">
      <c r="A29" s="2170"/>
      <c r="B29" s="2170"/>
      <c r="C29" s="2170"/>
      <c r="D29" s="2170"/>
      <c r="E29" s="2170"/>
      <c r="F29" s="2170"/>
      <c r="G29" s="2170"/>
      <c r="H29" s="2170"/>
      <c r="I29" s="2170"/>
    </row>
  </sheetData>
  <mergeCells count="11">
    <mergeCell ref="A22:I22"/>
    <mergeCell ref="A23:I23"/>
    <mergeCell ref="A24:I24"/>
    <mergeCell ref="A25:I25"/>
    <mergeCell ref="A2:I2"/>
    <mergeCell ref="A3:I3"/>
    <mergeCell ref="A4:A5"/>
    <mergeCell ref="B4:C4"/>
    <mergeCell ref="D4:E4"/>
    <mergeCell ref="F4:G4"/>
    <mergeCell ref="H4:I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2:E21"/>
  <sheetViews>
    <sheetView workbookViewId="0">
      <selection activeCell="H12" sqref="H12"/>
    </sheetView>
  </sheetViews>
  <sheetFormatPr baseColWidth="10" defaultColWidth="9.140625" defaultRowHeight="12.75" x14ac:dyDescent="0.2"/>
  <cols>
    <col min="1" max="1" width="14.85546875" style="757" customWidth="1"/>
    <col min="2" max="2" width="15" style="757" customWidth="1"/>
    <col min="3" max="4" width="13.42578125" style="757" customWidth="1"/>
    <col min="5" max="5" width="13.7109375" style="757" customWidth="1"/>
    <col min="6" max="16384" width="9.140625" style="757"/>
  </cols>
  <sheetData>
    <row r="2" spans="1:5" ht="27.75" customHeight="1" x14ac:dyDescent="0.2">
      <c r="A2" s="2852" t="s">
        <v>1996</v>
      </c>
      <c r="B2" s="2853"/>
      <c r="C2" s="2853"/>
      <c r="D2" s="2853"/>
    </row>
    <row r="3" spans="1:5" ht="11.25" customHeight="1" x14ac:dyDescent="0.2">
      <c r="A3" s="2844"/>
      <c r="B3" s="2845"/>
      <c r="C3" s="2845"/>
      <c r="D3" s="2845"/>
    </row>
    <row r="4" spans="1:5" ht="32.25" x14ac:dyDescent="0.2">
      <c r="A4" s="2172" t="s">
        <v>1997</v>
      </c>
      <c r="B4" s="2172" t="s">
        <v>453</v>
      </c>
      <c r="C4" s="2175" t="s">
        <v>1998</v>
      </c>
      <c r="D4" s="2175" t="s">
        <v>1999</v>
      </c>
    </row>
    <row r="5" spans="1:5" x14ac:dyDescent="0.2">
      <c r="A5" s="930" t="s">
        <v>141</v>
      </c>
      <c r="B5" s="935">
        <f>SUM(B6:B10)</f>
        <v>38740</v>
      </c>
      <c r="C5" s="935">
        <f>SUM(C6:C10)</f>
        <v>23641</v>
      </c>
      <c r="D5" s="935">
        <f>SUM(D6:D10)</f>
        <v>15099</v>
      </c>
      <c r="E5" s="2170"/>
    </row>
    <row r="6" spans="1:5" x14ac:dyDescent="0.2">
      <c r="A6" s="2169">
        <v>2011</v>
      </c>
      <c r="B6" s="935">
        <f>SUM(C6:D6)</f>
        <v>11418</v>
      </c>
      <c r="C6" s="936">
        <v>8412</v>
      </c>
      <c r="D6" s="936">
        <v>3006</v>
      </c>
      <c r="E6" s="2170"/>
    </row>
    <row r="7" spans="1:5" x14ac:dyDescent="0.2">
      <c r="A7" s="2169">
        <v>2012</v>
      </c>
      <c r="B7" s="935">
        <f t="shared" ref="B7:B10" si="0">SUM(C7:D7)</f>
        <v>8739</v>
      </c>
      <c r="C7" s="936">
        <v>2502</v>
      </c>
      <c r="D7" s="936">
        <v>6237</v>
      </c>
      <c r="E7" s="2170"/>
    </row>
    <row r="8" spans="1:5" x14ac:dyDescent="0.2">
      <c r="A8" s="2169">
        <v>2013</v>
      </c>
      <c r="B8" s="935">
        <f t="shared" si="0"/>
        <v>6275</v>
      </c>
      <c r="C8" s="936">
        <v>3384</v>
      </c>
      <c r="D8" s="936">
        <v>2891</v>
      </c>
      <c r="E8" s="2170"/>
    </row>
    <row r="9" spans="1:5" x14ac:dyDescent="0.2">
      <c r="A9" s="2169">
        <v>2014</v>
      </c>
      <c r="B9" s="935">
        <f t="shared" si="0"/>
        <v>6580</v>
      </c>
      <c r="C9" s="936">
        <v>5100</v>
      </c>
      <c r="D9" s="936">
        <v>1480</v>
      </c>
      <c r="E9" s="2170"/>
    </row>
    <row r="10" spans="1:5" x14ac:dyDescent="0.2">
      <c r="A10" s="2169">
        <v>2015</v>
      </c>
      <c r="B10" s="935">
        <f t="shared" si="0"/>
        <v>5728</v>
      </c>
      <c r="C10" s="936">
        <v>4243</v>
      </c>
      <c r="D10" s="936">
        <v>1485</v>
      </c>
      <c r="E10" s="2170"/>
    </row>
    <row r="11" spans="1:5" ht="11.25" customHeight="1" x14ac:dyDescent="0.2">
      <c r="A11" s="2846"/>
      <c r="B11" s="2847"/>
      <c r="C11" s="2847"/>
      <c r="D11" s="2847"/>
      <c r="E11" s="2170"/>
    </row>
    <row r="12" spans="1:5" x14ac:dyDescent="0.2">
      <c r="A12" s="2848" t="s">
        <v>1970</v>
      </c>
      <c r="B12" s="2841"/>
      <c r="C12" s="2841"/>
      <c r="D12" s="2841"/>
      <c r="E12" s="2170"/>
    </row>
    <row r="13" spans="1:5" ht="33" customHeight="1" x14ac:dyDescent="0.2">
      <c r="A13" s="2840" t="s">
        <v>2000</v>
      </c>
      <c r="B13" s="2841"/>
      <c r="C13" s="2841"/>
      <c r="D13" s="2841"/>
      <c r="E13" s="2170"/>
    </row>
    <row r="14" spans="1:5" x14ac:dyDescent="0.2">
      <c r="A14" s="2170"/>
      <c r="B14" s="2170"/>
      <c r="C14" s="2170"/>
      <c r="D14" s="2170"/>
      <c r="E14" s="2170"/>
    </row>
    <row r="15" spans="1:5" x14ac:dyDescent="0.2">
      <c r="A15" s="2170"/>
      <c r="B15" s="2170"/>
      <c r="C15" s="2170"/>
      <c r="D15" s="2170"/>
      <c r="E15" s="2170"/>
    </row>
    <row r="16" spans="1:5" x14ac:dyDescent="0.2">
      <c r="A16" s="2170"/>
      <c r="B16" s="2170"/>
      <c r="C16" s="2170"/>
      <c r="D16" s="2170"/>
      <c r="E16" s="2170"/>
    </row>
    <row r="17" spans="1:5" x14ac:dyDescent="0.2">
      <c r="A17" s="2170"/>
      <c r="B17" s="2170"/>
      <c r="C17" s="2170"/>
      <c r="D17" s="2170"/>
      <c r="E17" s="2170"/>
    </row>
    <row r="18" spans="1:5" x14ac:dyDescent="0.2">
      <c r="A18" s="2170"/>
      <c r="B18" s="2170"/>
      <c r="C18" s="2170"/>
      <c r="D18" s="2170"/>
      <c r="E18" s="2170"/>
    </row>
    <row r="19" spans="1:5" x14ac:dyDescent="0.2">
      <c r="A19" s="2170"/>
      <c r="B19" s="2170"/>
      <c r="C19" s="2170"/>
      <c r="D19" s="2170"/>
      <c r="E19" s="2170"/>
    </row>
    <row r="20" spans="1:5" x14ac:dyDescent="0.2">
      <c r="A20" s="2170"/>
      <c r="B20" s="2170"/>
      <c r="C20" s="2170"/>
      <c r="D20" s="2170"/>
      <c r="E20" s="2170"/>
    </row>
    <row r="21" spans="1:5" x14ac:dyDescent="0.2">
      <c r="A21" s="2170"/>
      <c r="B21" s="2170"/>
      <c r="C21" s="2170"/>
      <c r="D21" s="2170"/>
      <c r="E21" s="2170"/>
    </row>
  </sheetData>
  <mergeCells count="5">
    <mergeCell ref="A2:D2"/>
    <mergeCell ref="A3:D3"/>
    <mergeCell ref="A11:D11"/>
    <mergeCell ref="A12:D12"/>
    <mergeCell ref="A13:D1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N29"/>
  <sheetViews>
    <sheetView workbookViewId="0">
      <selection activeCell="J28" sqref="J28"/>
    </sheetView>
  </sheetViews>
  <sheetFormatPr baseColWidth="10" defaultColWidth="9.140625" defaultRowHeight="10.5" x14ac:dyDescent="0.15"/>
  <cols>
    <col min="1" max="1" width="29.7109375" style="97" customWidth="1"/>
    <col min="2" max="2" width="12.85546875" style="97" customWidth="1"/>
    <col min="3" max="3" width="11" style="97" customWidth="1"/>
    <col min="4" max="4" width="10.5703125" style="97" customWidth="1"/>
    <col min="5" max="5" width="10.85546875" style="97" customWidth="1"/>
    <col min="6" max="6" width="9.140625" style="97"/>
    <col min="7" max="7" width="11" style="97" customWidth="1"/>
    <col min="8" max="8" width="9.140625" style="97"/>
    <col min="9" max="9" width="11" style="97" customWidth="1"/>
    <col min="10" max="10" width="9.140625" style="97"/>
    <col min="11" max="11" width="11.42578125" style="97" customWidth="1"/>
    <col min="12" max="12" width="9.140625" style="97"/>
    <col min="13" max="13" width="12" style="97" customWidth="1"/>
    <col min="14" max="16384" width="9.140625" style="97"/>
  </cols>
  <sheetData>
    <row r="1" spans="1:14" ht="15" customHeight="1" x14ac:dyDescent="0.15"/>
    <row r="2" spans="1:14" s="99" customFormat="1" ht="18" customHeight="1" x14ac:dyDescent="0.15">
      <c r="A2" s="2858" t="s">
        <v>2001</v>
      </c>
      <c r="B2" s="2859"/>
      <c r="C2" s="2859"/>
      <c r="D2" s="2859"/>
      <c r="E2" s="2859"/>
      <c r="F2" s="2859"/>
      <c r="G2" s="2859"/>
      <c r="H2" s="2859"/>
      <c r="I2" s="2859"/>
      <c r="J2" s="2859"/>
      <c r="K2" s="2859"/>
      <c r="L2" s="759"/>
      <c r="M2" s="759"/>
      <c r="N2" s="759"/>
    </row>
    <row r="3" spans="1:14" ht="15" customHeight="1" x14ac:dyDescent="0.15">
      <c r="A3" s="115"/>
      <c r="B3" s="760"/>
      <c r="C3" s="760"/>
    </row>
    <row r="4" spans="1:14" ht="12.75" customHeight="1" x14ac:dyDescent="0.15">
      <c r="A4" s="2351" t="s">
        <v>1</v>
      </c>
      <c r="B4" s="2615">
        <v>2011</v>
      </c>
      <c r="C4" s="2615"/>
      <c r="D4" s="2615">
        <v>2012</v>
      </c>
      <c r="E4" s="2615"/>
      <c r="F4" s="2615">
        <v>2013</v>
      </c>
      <c r="G4" s="2615"/>
      <c r="H4" s="2615">
        <v>2014</v>
      </c>
      <c r="I4" s="2615"/>
      <c r="J4" s="2690">
        <v>2015</v>
      </c>
      <c r="K4" s="2860"/>
    </row>
    <row r="5" spans="1:14" x14ac:dyDescent="0.15">
      <c r="A5" s="2351"/>
      <c r="B5" s="2159" t="s">
        <v>2002</v>
      </c>
      <c r="C5" s="2159" t="s">
        <v>727</v>
      </c>
      <c r="D5" s="2159" t="s">
        <v>2002</v>
      </c>
      <c r="E5" s="2159" t="s">
        <v>727</v>
      </c>
      <c r="F5" s="2159" t="s">
        <v>2002</v>
      </c>
      <c r="G5" s="2159" t="s">
        <v>727</v>
      </c>
      <c r="H5" s="2159" t="s">
        <v>2002</v>
      </c>
      <c r="I5" s="2159" t="s">
        <v>727</v>
      </c>
      <c r="J5" s="2176" t="s">
        <v>2002</v>
      </c>
      <c r="K5" s="2054" t="s">
        <v>727</v>
      </c>
    </row>
    <row r="6" spans="1:14" x14ac:dyDescent="0.15">
      <c r="A6" s="2056" t="s">
        <v>141</v>
      </c>
      <c r="B6" s="467">
        <f t="shared" ref="B6:K6" si="0">SUM(B7:B21)</f>
        <v>5720</v>
      </c>
      <c r="C6" s="581">
        <f t="shared" si="0"/>
        <v>0.99999999999999989</v>
      </c>
      <c r="D6" s="467">
        <f t="shared" si="0"/>
        <v>6045</v>
      </c>
      <c r="E6" s="581">
        <f t="shared" si="0"/>
        <v>1</v>
      </c>
      <c r="F6" s="467">
        <f t="shared" si="0"/>
        <v>5952</v>
      </c>
      <c r="G6" s="581">
        <f t="shared" si="0"/>
        <v>0.99999999999999989</v>
      </c>
      <c r="H6" s="467">
        <f t="shared" si="0"/>
        <v>5702</v>
      </c>
      <c r="I6" s="581">
        <f t="shared" si="0"/>
        <v>0.99999999999999989</v>
      </c>
      <c r="J6" s="467">
        <f t="shared" si="0"/>
        <v>6268</v>
      </c>
      <c r="K6" s="581">
        <f t="shared" si="0"/>
        <v>1</v>
      </c>
    </row>
    <row r="7" spans="1:14" x14ac:dyDescent="0.15">
      <c r="A7" s="2059" t="s">
        <v>5</v>
      </c>
      <c r="B7" s="761">
        <v>25</v>
      </c>
      <c r="C7" s="762">
        <f>B7/B$6</f>
        <v>4.370629370629371E-3</v>
      </c>
      <c r="D7" s="761">
        <v>20</v>
      </c>
      <c r="E7" s="762">
        <f t="shared" ref="C7:E21" si="1">D7/D$6</f>
        <v>3.3085194375516956E-3</v>
      </c>
      <c r="F7" s="763">
        <v>37</v>
      </c>
      <c r="G7" s="762">
        <f t="shared" ref="G7:G21" si="2">F7/F$6</f>
        <v>6.2163978494623653E-3</v>
      </c>
      <c r="H7" s="763">
        <v>41</v>
      </c>
      <c r="I7" s="762">
        <f t="shared" ref="I7:I21" si="3">H7/H$6</f>
        <v>7.1904594878989831E-3</v>
      </c>
      <c r="J7" s="804">
        <v>44</v>
      </c>
      <c r="K7" s="762">
        <f t="shared" ref="K7:K21" si="4">J7/J$6</f>
        <v>7.0197830248883214E-3</v>
      </c>
    </row>
    <row r="8" spans="1:14" x14ac:dyDescent="0.15">
      <c r="A8" s="2059" t="s">
        <v>6</v>
      </c>
      <c r="B8" s="761">
        <v>26</v>
      </c>
      <c r="C8" s="762">
        <f t="shared" si="1"/>
        <v>4.5454545454545452E-3</v>
      </c>
      <c r="D8" s="761">
        <v>22</v>
      </c>
      <c r="E8" s="762">
        <f t="shared" si="1"/>
        <v>3.6393713813068652E-3</v>
      </c>
      <c r="F8" s="763">
        <v>22</v>
      </c>
      <c r="G8" s="762">
        <f t="shared" si="2"/>
        <v>3.6962365591397851E-3</v>
      </c>
      <c r="H8" s="763">
        <v>28</v>
      </c>
      <c r="I8" s="762">
        <f t="shared" si="3"/>
        <v>4.9105576990529642E-3</v>
      </c>
      <c r="J8" s="804">
        <v>38</v>
      </c>
      <c r="K8" s="762">
        <f t="shared" si="4"/>
        <v>6.0625398851308233E-3</v>
      </c>
    </row>
    <row r="9" spans="1:14" x14ac:dyDescent="0.15">
      <c r="A9" s="2059" t="s">
        <v>7</v>
      </c>
      <c r="B9" s="761">
        <v>34</v>
      </c>
      <c r="C9" s="762">
        <f t="shared" si="1"/>
        <v>5.9440559440559438E-3</v>
      </c>
      <c r="D9" s="761">
        <v>23</v>
      </c>
      <c r="E9" s="762">
        <f t="shared" si="1"/>
        <v>3.80479735318445E-3</v>
      </c>
      <c r="F9" s="763">
        <v>36</v>
      </c>
      <c r="G9" s="762">
        <f t="shared" si="2"/>
        <v>6.0483870967741934E-3</v>
      </c>
      <c r="H9" s="763">
        <v>32</v>
      </c>
      <c r="I9" s="762">
        <f t="shared" si="3"/>
        <v>5.6120659417748155E-3</v>
      </c>
      <c r="J9" s="804">
        <v>42</v>
      </c>
      <c r="K9" s="762">
        <f t="shared" si="4"/>
        <v>6.7007019783024892E-3</v>
      </c>
    </row>
    <row r="10" spans="1:14" x14ac:dyDescent="0.15">
      <c r="A10" s="2059" t="s">
        <v>8</v>
      </c>
      <c r="B10" s="761">
        <v>14</v>
      </c>
      <c r="C10" s="762">
        <f t="shared" si="1"/>
        <v>2.4475524475524478E-3</v>
      </c>
      <c r="D10" s="761">
        <v>13</v>
      </c>
      <c r="E10" s="762">
        <f t="shared" si="1"/>
        <v>2.1505376344086021E-3</v>
      </c>
      <c r="F10" s="763">
        <v>13</v>
      </c>
      <c r="G10" s="762">
        <f t="shared" si="2"/>
        <v>2.1841397849462364E-3</v>
      </c>
      <c r="H10" s="763">
        <v>22</v>
      </c>
      <c r="I10" s="762">
        <f t="shared" si="3"/>
        <v>3.858295334970186E-3</v>
      </c>
      <c r="J10" s="804">
        <v>25</v>
      </c>
      <c r="K10" s="762">
        <f t="shared" si="4"/>
        <v>3.9885130823229097E-3</v>
      </c>
    </row>
    <row r="11" spans="1:14" x14ac:dyDescent="0.15">
      <c r="A11" s="2059" t="s">
        <v>9</v>
      </c>
      <c r="B11" s="761">
        <v>35</v>
      </c>
      <c r="C11" s="762">
        <f t="shared" si="1"/>
        <v>6.118881118881119E-3</v>
      </c>
      <c r="D11" s="761">
        <v>59</v>
      </c>
      <c r="E11" s="762">
        <f t="shared" si="1"/>
        <v>9.7601323407775029E-3</v>
      </c>
      <c r="F11" s="763">
        <v>51</v>
      </c>
      <c r="G11" s="762">
        <f t="shared" si="2"/>
        <v>8.5685483870967735E-3</v>
      </c>
      <c r="H11" s="763">
        <v>49</v>
      </c>
      <c r="I11" s="762">
        <f t="shared" si="3"/>
        <v>8.5934759733426874E-3</v>
      </c>
      <c r="J11" s="804">
        <v>50</v>
      </c>
      <c r="K11" s="762">
        <f t="shared" si="4"/>
        <v>7.9770261646458195E-3</v>
      </c>
    </row>
    <row r="12" spans="1:14" x14ac:dyDescent="0.15">
      <c r="A12" s="2059" t="s">
        <v>10</v>
      </c>
      <c r="B12" s="761">
        <v>203</v>
      </c>
      <c r="C12" s="762">
        <f t="shared" si="1"/>
        <v>3.548951048951049E-2</v>
      </c>
      <c r="D12" s="761">
        <v>263</v>
      </c>
      <c r="E12" s="762">
        <f t="shared" si="1"/>
        <v>4.35070306038048E-2</v>
      </c>
      <c r="F12" s="763">
        <v>317</v>
      </c>
      <c r="G12" s="762">
        <f t="shared" si="2"/>
        <v>5.3259408602150539E-2</v>
      </c>
      <c r="H12" s="763">
        <v>348</v>
      </c>
      <c r="I12" s="762">
        <f t="shared" si="3"/>
        <v>6.1031217116801123E-2</v>
      </c>
      <c r="J12" s="804">
        <v>374</v>
      </c>
      <c r="K12" s="762">
        <f t="shared" si="4"/>
        <v>5.9668155711550735E-2</v>
      </c>
    </row>
    <row r="13" spans="1:14" x14ac:dyDescent="0.15">
      <c r="A13" s="2059" t="s">
        <v>11</v>
      </c>
      <c r="B13" s="764">
        <v>5005</v>
      </c>
      <c r="C13" s="762">
        <f t="shared" si="1"/>
        <v>0.875</v>
      </c>
      <c r="D13" s="764">
        <v>5249</v>
      </c>
      <c r="E13" s="762">
        <f t="shared" si="1"/>
        <v>0.86832092638544256</v>
      </c>
      <c r="F13" s="765">
        <v>5046</v>
      </c>
      <c r="G13" s="762">
        <f t="shared" si="2"/>
        <v>0.84778225806451613</v>
      </c>
      <c r="H13" s="765">
        <v>4802</v>
      </c>
      <c r="I13" s="762">
        <f t="shared" si="3"/>
        <v>0.84216064538758328</v>
      </c>
      <c r="J13" s="765">
        <v>5174</v>
      </c>
      <c r="K13" s="762">
        <f t="shared" si="4"/>
        <v>0.82546266751754949</v>
      </c>
    </row>
    <row r="14" spans="1:14" x14ac:dyDescent="0.15">
      <c r="A14" s="2059" t="s">
        <v>12</v>
      </c>
      <c r="B14" s="761">
        <v>30</v>
      </c>
      <c r="C14" s="762">
        <f t="shared" si="1"/>
        <v>5.244755244755245E-3</v>
      </c>
      <c r="D14" s="761">
        <v>22</v>
      </c>
      <c r="E14" s="762">
        <f t="shared" si="1"/>
        <v>3.6393713813068652E-3</v>
      </c>
      <c r="F14" s="763">
        <v>38</v>
      </c>
      <c r="G14" s="762">
        <f t="shared" si="2"/>
        <v>6.384408602150538E-3</v>
      </c>
      <c r="H14" s="763">
        <v>30</v>
      </c>
      <c r="I14" s="762">
        <f t="shared" si="3"/>
        <v>5.2613118204138899E-3</v>
      </c>
      <c r="J14" s="804">
        <v>57</v>
      </c>
      <c r="K14" s="762">
        <f t="shared" si="4"/>
        <v>9.093809827696234E-3</v>
      </c>
    </row>
    <row r="15" spans="1:14" x14ac:dyDescent="0.15">
      <c r="A15" s="2059" t="s">
        <v>13</v>
      </c>
      <c r="B15" s="761">
        <v>66</v>
      </c>
      <c r="C15" s="762">
        <f t="shared" si="1"/>
        <v>1.1538461538461539E-2</v>
      </c>
      <c r="D15" s="761">
        <v>57</v>
      </c>
      <c r="E15" s="762">
        <f t="shared" si="1"/>
        <v>9.4292803970223334E-3</v>
      </c>
      <c r="F15" s="763">
        <v>70</v>
      </c>
      <c r="G15" s="762">
        <f t="shared" si="2"/>
        <v>1.1760752688172043E-2</v>
      </c>
      <c r="H15" s="763">
        <v>37</v>
      </c>
      <c r="I15" s="762">
        <f t="shared" si="3"/>
        <v>6.4889512451771309E-3</v>
      </c>
      <c r="J15" s="804">
        <v>52</v>
      </c>
      <c r="K15" s="762">
        <f t="shared" si="4"/>
        <v>8.2961072112316524E-3</v>
      </c>
    </row>
    <row r="16" spans="1:14" x14ac:dyDescent="0.15">
      <c r="A16" s="2059" t="s">
        <v>14</v>
      </c>
      <c r="B16" s="761">
        <v>134</v>
      </c>
      <c r="C16" s="762">
        <f t="shared" si="1"/>
        <v>2.3426573426573425E-2</v>
      </c>
      <c r="D16" s="761">
        <v>117</v>
      </c>
      <c r="E16" s="762">
        <f t="shared" si="1"/>
        <v>1.935483870967742E-2</v>
      </c>
      <c r="F16" s="763">
        <v>161</v>
      </c>
      <c r="G16" s="762">
        <f t="shared" si="2"/>
        <v>2.7049731182795699E-2</v>
      </c>
      <c r="H16" s="763">
        <v>118</v>
      </c>
      <c r="I16" s="762">
        <f t="shared" si="3"/>
        <v>2.0694493160294633E-2</v>
      </c>
      <c r="J16" s="804">
        <v>149</v>
      </c>
      <c r="K16" s="762">
        <f t="shared" si="4"/>
        <v>2.3771537970644543E-2</v>
      </c>
    </row>
    <row r="17" spans="1:13" x14ac:dyDescent="0.15">
      <c r="A17" s="2059" t="s">
        <v>15</v>
      </c>
      <c r="B17" s="761">
        <v>54</v>
      </c>
      <c r="C17" s="762">
        <f t="shared" si="1"/>
        <v>9.4405594405594408E-3</v>
      </c>
      <c r="D17" s="761">
        <v>49</v>
      </c>
      <c r="E17" s="762">
        <f t="shared" si="1"/>
        <v>8.1058726220016551E-3</v>
      </c>
      <c r="F17" s="763">
        <v>46</v>
      </c>
      <c r="G17" s="762">
        <f t="shared" si="2"/>
        <v>7.7284946236559141E-3</v>
      </c>
      <c r="H17" s="763">
        <v>85</v>
      </c>
      <c r="I17" s="762">
        <f t="shared" si="3"/>
        <v>1.4907050157839354E-2</v>
      </c>
      <c r="J17" s="804">
        <v>93</v>
      </c>
      <c r="K17" s="762">
        <f t="shared" si="4"/>
        <v>1.4837268666241226E-2</v>
      </c>
    </row>
    <row r="18" spans="1:13" x14ac:dyDescent="0.15">
      <c r="A18" s="2059" t="s">
        <v>16</v>
      </c>
      <c r="B18" s="761">
        <v>51</v>
      </c>
      <c r="C18" s="762">
        <f t="shared" si="1"/>
        <v>8.9160839160839153E-3</v>
      </c>
      <c r="D18" s="761">
        <v>53</v>
      </c>
      <c r="E18" s="762">
        <f t="shared" si="1"/>
        <v>8.7675765095119942E-3</v>
      </c>
      <c r="F18" s="763">
        <v>54</v>
      </c>
      <c r="G18" s="762">
        <f t="shared" si="2"/>
        <v>9.0725806451612909E-3</v>
      </c>
      <c r="H18" s="763">
        <v>51</v>
      </c>
      <c r="I18" s="762">
        <f t="shared" si="3"/>
        <v>8.9442300947036122E-3</v>
      </c>
      <c r="J18" s="804">
        <v>76</v>
      </c>
      <c r="K18" s="762">
        <f t="shared" si="4"/>
        <v>1.2125079770261647E-2</v>
      </c>
    </row>
    <row r="19" spans="1:13" x14ac:dyDescent="0.15">
      <c r="A19" s="2059" t="s">
        <v>17</v>
      </c>
      <c r="B19" s="761">
        <v>31</v>
      </c>
      <c r="C19" s="762">
        <f t="shared" si="1"/>
        <v>5.4195804195804193E-3</v>
      </c>
      <c r="D19" s="761">
        <v>45</v>
      </c>
      <c r="E19" s="762">
        <f t="shared" si="1"/>
        <v>7.4441687344913151E-3</v>
      </c>
      <c r="F19" s="763">
        <v>24</v>
      </c>
      <c r="G19" s="762">
        <f t="shared" si="2"/>
        <v>4.0322580645161289E-3</v>
      </c>
      <c r="H19" s="763">
        <v>29</v>
      </c>
      <c r="I19" s="762">
        <f t="shared" si="3"/>
        <v>5.0859347597334266E-3</v>
      </c>
      <c r="J19" s="804">
        <v>42</v>
      </c>
      <c r="K19" s="762">
        <f t="shared" si="4"/>
        <v>6.7007019783024892E-3</v>
      </c>
    </row>
    <row r="20" spans="1:13" x14ac:dyDescent="0.15">
      <c r="A20" s="2059" t="s">
        <v>18</v>
      </c>
      <c r="B20" s="761">
        <v>1</v>
      </c>
      <c r="C20" s="762">
        <f t="shared" si="1"/>
        <v>1.7482517482517483E-4</v>
      </c>
      <c r="D20" s="761">
        <v>2</v>
      </c>
      <c r="E20" s="762">
        <f t="shared" si="1"/>
        <v>3.3085194375516956E-4</v>
      </c>
      <c r="F20" s="763">
        <v>8</v>
      </c>
      <c r="G20" s="762">
        <f t="shared" si="2"/>
        <v>1.3440860215053765E-3</v>
      </c>
      <c r="H20" s="763">
        <v>10</v>
      </c>
      <c r="I20" s="762">
        <f t="shared" si="3"/>
        <v>1.75377060680463E-3</v>
      </c>
      <c r="J20" s="804">
        <v>15</v>
      </c>
      <c r="K20" s="762">
        <f t="shared" si="4"/>
        <v>2.3931078493937461E-3</v>
      </c>
    </row>
    <row r="21" spans="1:13" x14ac:dyDescent="0.15">
      <c r="A21" s="2059" t="s">
        <v>19</v>
      </c>
      <c r="B21" s="761">
        <v>11</v>
      </c>
      <c r="C21" s="762">
        <f t="shared" si="1"/>
        <v>1.9230769230769232E-3</v>
      </c>
      <c r="D21" s="761">
        <v>51</v>
      </c>
      <c r="E21" s="762">
        <f t="shared" si="1"/>
        <v>8.4367245657568247E-3</v>
      </c>
      <c r="F21" s="763">
        <v>29</v>
      </c>
      <c r="G21" s="762">
        <f t="shared" si="2"/>
        <v>4.8723118279569893E-3</v>
      </c>
      <c r="H21" s="763">
        <v>20</v>
      </c>
      <c r="I21" s="762">
        <f t="shared" si="3"/>
        <v>3.5075412136092599E-3</v>
      </c>
      <c r="J21" s="804">
        <v>37</v>
      </c>
      <c r="K21" s="762">
        <f t="shared" si="4"/>
        <v>5.9029993618379068E-3</v>
      </c>
    </row>
    <row r="22" spans="1:13" x14ac:dyDescent="0.15">
      <c r="A22" s="2050"/>
      <c r="B22" s="2051"/>
      <c r="C22" s="2051"/>
      <c r="D22" s="2051"/>
      <c r="E22" s="2051"/>
      <c r="F22" s="2051"/>
      <c r="G22" s="2051"/>
      <c r="H22" s="2051"/>
      <c r="I22" s="2051"/>
      <c r="J22" s="2051"/>
      <c r="K22" s="2051"/>
      <c r="L22" s="2066"/>
      <c r="M22" s="109"/>
    </row>
    <row r="23" spans="1:13" s="99" customFormat="1" ht="24" customHeight="1" x14ac:dyDescent="0.15">
      <c r="A23" s="2857" t="s">
        <v>2003</v>
      </c>
      <c r="B23" s="2857"/>
      <c r="C23" s="2857"/>
      <c r="D23" s="2857"/>
      <c r="E23" s="2857"/>
      <c r="F23" s="2857"/>
      <c r="G23" s="2857"/>
      <c r="H23" s="2857"/>
      <c r="I23" s="2857"/>
      <c r="J23" s="2857"/>
      <c r="K23" s="2857"/>
      <c r="L23" s="175"/>
      <c r="M23" s="175"/>
    </row>
    <row r="24" spans="1:13" x14ac:dyDescent="0.15">
      <c r="A24" s="2477" t="s">
        <v>2004</v>
      </c>
      <c r="B24" s="2477"/>
      <c r="C24" s="2477"/>
      <c r="D24" s="2477"/>
      <c r="E24" s="2477"/>
      <c r="F24" s="2477"/>
      <c r="G24" s="2477"/>
      <c r="H24" s="2477"/>
      <c r="I24" s="2477"/>
      <c r="J24" s="2477"/>
      <c r="K24" s="2477"/>
    </row>
    <row r="25" spans="1:13" x14ac:dyDescent="0.15">
      <c r="A25" s="2051"/>
      <c r="B25" s="2051"/>
      <c r="C25" s="2051"/>
      <c r="D25" s="2051"/>
      <c r="E25" s="2051"/>
      <c r="F25" s="2051"/>
      <c r="G25" s="2051"/>
      <c r="H25" s="2051"/>
      <c r="I25" s="2051"/>
      <c r="J25" s="2051"/>
      <c r="K25" s="2051"/>
    </row>
    <row r="26" spans="1:13" x14ac:dyDescent="0.15">
      <c r="A26" s="2051"/>
      <c r="B26" s="2051"/>
      <c r="C26" s="2051"/>
      <c r="D26" s="2051"/>
      <c r="E26" s="2051"/>
      <c r="F26" s="2051"/>
      <c r="G26" s="2051"/>
      <c r="H26" s="2051"/>
      <c r="I26" s="2051"/>
      <c r="J26" s="2051"/>
      <c r="K26" s="2051"/>
    </row>
    <row r="27" spans="1:13" x14ac:dyDescent="0.15">
      <c r="A27" s="2051"/>
      <c r="B27" s="2051"/>
      <c r="C27" s="2051"/>
      <c r="D27" s="2051"/>
      <c r="E27" s="2051"/>
      <c r="F27" s="2051"/>
      <c r="G27" s="2051"/>
      <c r="H27" s="2051"/>
      <c r="I27" s="2051"/>
      <c r="J27" s="2051"/>
      <c r="K27" s="2051"/>
    </row>
    <row r="28" spans="1:13" x14ac:dyDescent="0.15">
      <c r="A28" s="2051"/>
      <c r="B28" s="2051"/>
      <c r="C28" s="2051"/>
      <c r="D28" s="2051"/>
      <c r="E28" s="2051"/>
      <c r="F28" s="2051"/>
      <c r="G28" s="2051"/>
      <c r="H28" s="2051"/>
      <c r="I28" s="2051"/>
      <c r="J28" s="2051"/>
      <c r="K28" s="2051"/>
    </row>
    <row r="29" spans="1:13" x14ac:dyDescent="0.15">
      <c r="A29" s="2051"/>
      <c r="B29" s="2051"/>
      <c r="C29" s="2051"/>
      <c r="D29" s="2051"/>
      <c r="E29" s="2051"/>
      <c r="F29" s="2051"/>
      <c r="G29" s="2051"/>
      <c r="H29" s="2051"/>
      <c r="I29" s="2051"/>
      <c r="J29" s="2051"/>
      <c r="K29" s="2051"/>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2:Q30"/>
  <sheetViews>
    <sheetView zoomScaleNormal="100" workbookViewId="0">
      <selection activeCell="N4" sqref="N4:O4"/>
    </sheetView>
  </sheetViews>
  <sheetFormatPr baseColWidth="10" defaultColWidth="9.140625" defaultRowHeight="12.75" x14ac:dyDescent="0.2"/>
  <cols>
    <col min="1" max="1" width="16.7109375" style="538" customWidth="1"/>
    <col min="2" max="2" width="10.28515625" style="538" bestFit="1" customWidth="1"/>
    <col min="3" max="3" width="15.28515625" style="538" customWidth="1"/>
    <col min="4" max="4" width="10.28515625" style="538" bestFit="1" customWidth="1"/>
    <col min="5" max="5" width="15.5703125" style="538" customWidth="1"/>
    <col min="6" max="6" width="10.28515625" style="538" bestFit="1" customWidth="1"/>
    <col min="7" max="7" width="15.28515625" style="538" customWidth="1"/>
    <col min="8" max="8" width="10.28515625" style="538" bestFit="1" customWidth="1"/>
    <col min="9" max="9" width="15.140625" style="538" customWidth="1"/>
    <col min="10" max="10" width="10.28515625" style="538" bestFit="1" customWidth="1"/>
    <col min="11" max="11" width="15.28515625" style="538" customWidth="1"/>
    <col min="12" max="12" width="10.28515625" style="538" bestFit="1" customWidth="1"/>
    <col min="13" max="13" width="16.7109375" style="538" customWidth="1"/>
    <col min="14" max="14" width="10.28515625" style="538" bestFit="1" customWidth="1"/>
    <col min="15" max="15" width="15.28515625" style="538" customWidth="1"/>
    <col min="16" max="16" width="10.28515625" style="538" bestFit="1" customWidth="1"/>
    <col min="17" max="17" width="15.28515625" style="538" customWidth="1"/>
    <col min="18" max="18" width="147" style="538" customWidth="1"/>
    <col min="19" max="16384" width="9.140625" style="538"/>
  </cols>
  <sheetData>
    <row r="2" spans="1:17" x14ac:dyDescent="0.2">
      <c r="A2" s="2458" t="s">
        <v>2005</v>
      </c>
      <c r="B2" s="2861"/>
      <c r="C2" s="2861"/>
      <c r="D2" s="2861"/>
      <c r="E2" s="2861"/>
      <c r="F2" s="2861"/>
      <c r="G2" s="2861"/>
      <c r="H2" s="2861"/>
      <c r="I2" s="2861"/>
      <c r="J2" s="2861"/>
      <c r="K2" s="2861"/>
      <c r="L2" s="2861"/>
      <c r="M2" s="2861"/>
      <c r="N2" s="2861"/>
      <c r="O2" s="2861"/>
      <c r="P2" s="2861"/>
      <c r="Q2" s="2861"/>
    </row>
    <row r="3" spans="1:17" ht="11.25" customHeight="1" x14ac:dyDescent="0.2">
      <c r="A3" s="2862"/>
      <c r="B3" s="2863"/>
      <c r="C3" s="2863"/>
      <c r="D3" s="2863"/>
      <c r="E3" s="2863"/>
      <c r="F3" s="2863"/>
      <c r="G3" s="2863"/>
      <c r="H3" s="2863"/>
      <c r="I3" s="2863"/>
      <c r="J3" s="2863"/>
      <c r="K3" s="2863"/>
      <c r="L3" s="2863"/>
      <c r="M3" s="2863"/>
      <c r="N3" s="2863"/>
      <c r="O3" s="2863"/>
      <c r="P3" s="2863"/>
      <c r="Q3" s="2863"/>
    </row>
    <row r="4" spans="1:17" ht="50.25" customHeight="1" x14ac:dyDescent="0.2">
      <c r="A4" s="2864" t="s">
        <v>1619</v>
      </c>
      <c r="B4" s="2785" t="s">
        <v>372</v>
      </c>
      <c r="C4" s="2866"/>
      <c r="D4" s="2867" t="s">
        <v>1620</v>
      </c>
      <c r="E4" s="2866"/>
      <c r="F4" s="2785" t="s">
        <v>1621</v>
      </c>
      <c r="G4" s="2866"/>
      <c r="H4" s="2785" t="s">
        <v>2006</v>
      </c>
      <c r="I4" s="2866"/>
      <c r="J4" s="2785" t="s">
        <v>2007</v>
      </c>
      <c r="K4" s="2866"/>
      <c r="L4" s="2785" t="s">
        <v>2008</v>
      </c>
      <c r="M4" s="2866"/>
      <c r="N4" s="2785" t="s">
        <v>2009</v>
      </c>
      <c r="O4" s="2866"/>
      <c r="P4" s="2869" t="s">
        <v>2010</v>
      </c>
      <c r="Q4" s="2870"/>
    </row>
    <row r="5" spans="1:17" ht="21" x14ac:dyDescent="0.2">
      <c r="A5" s="2865"/>
      <c r="B5" s="766" t="s">
        <v>1628</v>
      </c>
      <c r="C5" s="766" t="s">
        <v>1629</v>
      </c>
      <c r="D5" s="766" t="s">
        <v>1628</v>
      </c>
      <c r="E5" s="766" t="s">
        <v>1629</v>
      </c>
      <c r="F5" s="766" t="s">
        <v>1628</v>
      </c>
      <c r="G5" s="766" t="s">
        <v>1629</v>
      </c>
      <c r="H5" s="766" t="s">
        <v>1628</v>
      </c>
      <c r="I5" s="766" t="s">
        <v>1629</v>
      </c>
      <c r="J5" s="766" t="s">
        <v>1628</v>
      </c>
      <c r="K5" s="766" t="s">
        <v>1629</v>
      </c>
      <c r="L5" s="766" t="s">
        <v>1628</v>
      </c>
      <c r="M5" s="766" t="s">
        <v>1629</v>
      </c>
      <c r="N5" s="766" t="s">
        <v>1628</v>
      </c>
      <c r="O5" s="766" t="s">
        <v>1629</v>
      </c>
      <c r="P5" s="766" t="s">
        <v>1628</v>
      </c>
      <c r="Q5" s="766" t="s">
        <v>1629</v>
      </c>
    </row>
    <row r="6" spans="1:17" x14ac:dyDescent="0.2">
      <c r="A6" s="767" t="s">
        <v>141</v>
      </c>
      <c r="B6" s="768">
        <f>SUM(B7:B22)</f>
        <v>570</v>
      </c>
      <c r="C6" s="768">
        <f>SUM(C7:C22)</f>
        <v>3442344753</v>
      </c>
      <c r="D6" s="769">
        <f>SUM(D7:D22)</f>
        <v>53</v>
      </c>
      <c r="E6" s="769">
        <f t="shared" ref="E6:Q6" si="0">SUM(E7:E22)</f>
        <v>233997149</v>
      </c>
      <c r="F6" s="769">
        <f t="shared" si="0"/>
        <v>14</v>
      </c>
      <c r="G6" s="769">
        <f t="shared" si="0"/>
        <v>149402382</v>
      </c>
      <c r="H6" s="769">
        <f t="shared" si="0"/>
        <v>167</v>
      </c>
      <c r="I6" s="769">
        <f t="shared" si="0"/>
        <v>559999944</v>
      </c>
      <c r="J6" s="769">
        <f t="shared" si="0"/>
        <v>98</v>
      </c>
      <c r="K6" s="769">
        <f t="shared" si="0"/>
        <v>602720837</v>
      </c>
      <c r="L6" s="769">
        <f t="shared" si="0"/>
        <v>137</v>
      </c>
      <c r="M6" s="769">
        <f t="shared" si="0"/>
        <v>1669445646</v>
      </c>
      <c r="N6" s="769">
        <f t="shared" si="0"/>
        <v>73</v>
      </c>
      <c r="O6" s="769">
        <f t="shared" si="0"/>
        <v>155265312</v>
      </c>
      <c r="P6" s="769">
        <f t="shared" si="0"/>
        <v>28</v>
      </c>
      <c r="Q6" s="769">
        <f t="shared" si="0"/>
        <v>71513483</v>
      </c>
    </row>
    <row r="7" spans="1:17" x14ac:dyDescent="0.2">
      <c r="A7" s="143" t="s">
        <v>5</v>
      </c>
      <c r="B7" s="770">
        <f>SUM(D7+F7+H7+J7+L7+N7+P7)</f>
        <v>13</v>
      </c>
      <c r="C7" s="770">
        <f>SUM(E7+G7+I7+K7+M7+O7+Q7)</f>
        <v>44812530</v>
      </c>
      <c r="D7" s="771">
        <v>0</v>
      </c>
      <c r="E7" s="771">
        <v>0</v>
      </c>
      <c r="F7" s="771">
        <v>1</v>
      </c>
      <c r="G7" s="771">
        <v>13619570</v>
      </c>
      <c r="H7" s="771">
        <v>6</v>
      </c>
      <c r="I7" s="771">
        <v>19999998</v>
      </c>
      <c r="J7" s="771">
        <v>1</v>
      </c>
      <c r="K7" s="771">
        <v>3561701</v>
      </c>
      <c r="L7" s="771">
        <v>2</v>
      </c>
      <c r="M7" s="771">
        <v>5584144</v>
      </c>
      <c r="N7" s="771">
        <v>3</v>
      </c>
      <c r="O7" s="771">
        <v>2047117</v>
      </c>
      <c r="P7" s="771">
        <v>0</v>
      </c>
      <c r="Q7" s="771">
        <v>0</v>
      </c>
    </row>
    <row r="8" spans="1:17" x14ac:dyDescent="0.2">
      <c r="A8" s="143" t="s">
        <v>6</v>
      </c>
      <c r="B8" s="770">
        <f t="shared" ref="B8:C22" si="1">SUM(D8+F8+H8+J8+L8+N8+P8)</f>
        <v>3</v>
      </c>
      <c r="C8" s="770">
        <f t="shared" si="1"/>
        <v>42966728</v>
      </c>
      <c r="D8" s="771">
        <v>0</v>
      </c>
      <c r="E8" s="771">
        <v>0</v>
      </c>
      <c r="F8" s="771">
        <v>1</v>
      </c>
      <c r="G8" s="771">
        <v>11633360</v>
      </c>
      <c r="H8" s="771">
        <v>0</v>
      </c>
      <c r="I8" s="771">
        <v>0</v>
      </c>
      <c r="J8" s="771">
        <v>0</v>
      </c>
      <c r="K8" s="771">
        <v>0</v>
      </c>
      <c r="L8" s="771">
        <v>1</v>
      </c>
      <c r="M8" s="771">
        <v>30004368</v>
      </c>
      <c r="N8" s="771">
        <v>1</v>
      </c>
      <c r="O8" s="771">
        <v>1329000</v>
      </c>
      <c r="P8" s="771">
        <v>0</v>
      </c>
      <c r="Q8" s="771">
        <v>0</v>
      </c>
    </row>
    <row r="9" spans="1:17" x14ac:dyDescent="0.2">
      <c r="A9" s="143" t="s">
        <v>7</v>
      </c>
      <c r="B9" s="770">
        <f t="shared" si="1"/>
        <v>3</v>
      </c>
      <c r="C9" s="770">
        <f t="shared" si="1"/>
        <v>14753938</v>
      </c>
      <c r="D9" s="771">
        <v>1</v>
      </c>
      <c r="E9" s="771">
        <v>10247306</v>
      </c>
      <c r="F9" s="771">
        <v>0</v>
      </c>
      <c r="G9" s="771">
        <v>0</v>
      </c>
      <c r="H9" s="771">
        <v>1</v>
      </c>
      <c r="I9" s="771">
        <v>2222222</v>
      </c>
      <c r="J9" s="771">
        <v>0</v>
      </c>
      <c r="K9" s="771">
        <v>0</v>
      </c>
      <c r="L9" s="771">
        <v>1</v>
      </c>
      <c r="M9" s="771">
        <v>2284410</v>
      </c>
      <c r="N9" s="771">
        <v>0</v>
      </c>
      <c r="O9" s="771">
        <v>0</v>
      </c>
      <c r="P9" s="771">
        <v>0</v>
      </c>
      <c r="Q9" s="771">
        <v>0</v>
      </c>
    </row>
    <row r="10" spans="1:17" x14ac:dyDescent="0.2">
      <c r="A10" s="143" t="s">
        <v>8</v>
      </c>
      <c r="B10" s="770">
        <f t="shared" si="1"/>
        <v>8</v>
      </c>
      <c r="C10" s="770">
        <f t="shared" si="1"/>
        <v>58846482</v>
      </c>
      <c r="D10" s="771">
        <v>0</v>
      </c>
      <c r="E10" s="771">
        <v>0</v>
      </c>
      <c r="F10" s="771">
        <v>0</v>
      </c>
      <c r="G10" s="771">
        <v>0</v>
      </c>
      <c r="H10" s="771">
        <v>2</v>
      </c>
      <c r="I10" s="771">
        <v>4444444</v>
      </c>
      <c r="J10" s="771">
        <v>1</v>
      </c>
      <c r="K10" s="771">
        <v>2000000</v>
      </c>
      <c r="L10" s="771">
        <v>5</v>
      </c>
      <c r="M10" s="771">
        <v>52402038</v>
      </c>
      <c r="N10" s="771">
        <v>0</v>
      </c>
      <c r="O10" s="771">
        <v>0</v>
      </c>
      <c r="P10" s="771">
        <v>0</v>
      </c>
      <c r="Q10" s="771">
        <v>0</v>
      </c>
    </row>
    <row r="11" spans="1:17" x14ac:dyDescent="0.2">
      <c r="A11" s="143" t="s">
        <v>9</v>
      </c>
      <c r="B11" s="770">
        <f t="shared" si="1"/>
        <v>15</v>
      </c>
      <c r="C11" s="770">
        <f t="shared" si="1"/>
        <v>118208990</v>
      </c>
      <c r="D11" s="771">
        <v>0</v>
      </c>
      <c r="E11" s="771">
        <v>0</v>
      </c>
      <c r="F11" s="771">
        <v>0</v>
      </c>
      <c r="G11" s="771">
        <v>0</v>
      </c>
      <c r="H11" s="771">
        <v>4</v>
      </c>
      <c r="I11" s="771">
        <v>11111110</v>
      </c>
      <c r="J11" s="771">
        <v>1</v>
      </c>
      <c r="K11" s="771">
        <v>3203020</v>
      </c>
      <c r="L11" s="771">
        <v>8</v>
      </c>
      <c r="M11" s="771">
        <v>100363890</v>
      </c>
      <c r="N11" s="771">
        <v>1</v>
      </c>
      <c r="O11" s="771">
        <v>1730970</v>
      </c>
      <c r="P11" s="771">
        <v>1</v>
      </c>
      <c r="Q11" s="771">
        <v>1800000</v>
      </c>
    </row>
    <row r="12" spans="1:17" x14ac:dyDescent="0.2">
      <c r="A12" s="143" t="s">
        <v>10</v>
      </c>
      <c r="B12" s="770">
        <f t="shared" si="1"/>
        <v>110</v>
      </c>
      <c r="C12" s="770">
        <f t="shared" si="1"/>
        <v>638220626</v>
      </c>
      <c r="D12" s="771">
        <v>8</v>
      </c>
      <c r="E12" s="771">
        <v>38229409</v>
      </c>
      <c r="F12" s="771">
        <v>4</v>
      </c>
      <c r="G12" s="771">
        <v>42814335</v>
      </c>
      <c r="H12" s="771">
        <v>40</v>
      </c>
      <c r="I12" s="771">
        <v>126666654</v>
      </c>
      <c r="J12" s="771">
        <v>28</v>
      </c>
      <c r="K12" s="771">
        <v>159435147</v>
      </c>
      <c r="L12" s="771">
        <v>19</v>
      </c>
      <c r="M12" s="771">
        <v>250202100</v>
      </c>
      <c r="N12" s="771">
        <v>11</v>
      </c>
      <c r="O12" s="771">
        <v>20872981</v>
      </c>
      <c r="P12" s="771">
        <v>0</v>
      </c>
      <c r="Q12" s="771">
        <v>0</v>
      </c>
    </row>
    <row r="13" spans="1:17" x14ac:dyDescent="0.2">
      <c r="A13" s="143" t="s">
        <v>11</v>
      </c>
      <c r="B13" s="770">
        <f t="shared" si="1"/>
        <v>227</v>
      </c>
      <c r="C13" s="770">
        <f t="shared" si="1"/>
        <v>1387331657</v>
      </c>
      <c r="D13" s="771">
        <v>19</v>
      </c>
      <c r="E13" s="771">
        <v>95593176</v>
      </c>
      <c r="F13" s="771">
        <v>4</v>
      </c>
      <c r="G13" s="771">
        <v>59624699</v>
      </c>
      <c r="H13" s="771">
        <v>64</v>
      </c>
      <c r="I13" s="771">
        <v>226666644</v>
      </c>
      <c r="J13" s="771">
        <v>41</v>
      </c>
      <c r="K13" s="771">
        <v>251186189</v>
      </c>
      <c r="L13" s="771">
        <v>38</v>
      </c>
      <c r="M13" s="771">
        <v>603922060</v>
      </c>
      <c r="N13" s="771">
        <v>40</v>
      </c>
      <c r="O13" s="771">
        <v>100250406</v>
      </c>
      <c r="P13" s="771">
        <v>21</v>
      </c>
      <c r="Q13" s="771">
        <v>50088483</v>
      </c>
    </row>
    <row r="14" spans="1:17" x14ac:dyDescent="0.2">
      <c r="A14" s="143" t="s">
        <v>12</v>
      </c>
      <c r="B14" s="770">
        <f t="shared" si="1"/>
        <v>12</v>
      </c>
      <c r="C14" s="770">
        <f t="shared" si="1"/>
        <v>63162220</v>
      </c>
      <c r="D14" s="771">
        <v>1</v>
      </c>
      <c r="E14" s="771">
        <v>1876298</v>
      </c>
      <c r="F14" s="771">
        <v>0</v>
      </c>
      <c r="G14" s="771">
        <v>0</v>
      </c>
      <c r="H14" s="771">
        <v>3</v>
      </c>
      <c r="I14" s="771">
        <v>8888888</v>
      </c>
      <c r="J14" s="771">
        <v>2</v>
      </c>
      <c r="K14" s="771">
        <v>10075600</v>
      </c>
      <c r="L14" s="771">
        <v>4</v>
      </c>
      <c r="M14" s="771">
        <v>40872863</v>
      </c>
      <c r="N14" s="771">
        <v>2</v>
      </c>
      <c r="O14" s="771">
        <v>1448571</v>
      </c>
      <c r="P14" s="771">
        <v>0</v>
      </c>
      <c r="Q14" s="771">
        <v>0</v>
      </c>
    </row>
    <row r="15" spans="1:17" x14ac:dyDescent="0.2">
      <c r="A15" s="143" t="s">
        <v>13</v>
      </c>
      <c r="B15" s="770">
        <f t="shared" si="1"/>
        <v>24</v>
      </c>
      <c r="C15" s="770">
        <f t="shared" si="1"/>
        <v>189272051</v>
      </c>
      <c r="D15" s="771">
        <v>6</v>
      </c>
      <c r="E15" s="771">
        <v>41226765</v>
      </c>
      <c r="F15" s="771">
        <v>0</v>
      </c>
      <c r="G15" s="771">
        <v>0</v>
      </c>
      <c r="H15" s="771">
        <v>6</v>
      </c>
      <c r="I15" s="771">
        <v>15555554</v>
      </c>
      <c r="J15" s="771">
        <v>2</v>
      </c>
      <c r="K15" s="771">
        <v>4882358</v>
      </c>
      <c r="L15" s="771">
        <v>8</v>
      </c>
      <c r="M15" s="771">
        <v>126312890</v>
      </c>
      <c r="N15" s="771">
        <v>2</v>
      </c>
      <c r="O15" s="771">
        <v>1294484</v>
      </c>
      <c r="P15" s="771">
        <v>0</v>
      </c>
      <c r="Q15" s="771">
        <v>0</v>
      </c>
    </row>
    <row r="16" spans="1:17" x14ac:dyDescent="0.2">
      <c r="A16" s="143" t="s">
        <v>14</v>
      </c>
      <c r="B16" s="770">
        <f t="shared" si="1"/>
        <v>35</v>
      </c>
      <c r="C16" s="770">
        <f t="shared" si="1"/>
        <v>152209501</v>
      </c>
      <c r="D16" s="771">
        <v>2</v>
      </c>
      <c r="E16" s="771">
        <v>6536730</v>
      </c>
      <c r="F16" s="771">
        <v>1</v>
      </c>
      <c r="G16" s="771">
        <v>768000</v>
      </c>
      <c r="H16" s="771">
        <v>16</v>
      </c>
      <c r="I16" s="771">
        <v>59999994</v>
      </c>
      <c r="J16" s="771">
        <v>3</v>
      </c>
      <c r="K16" s="771">
        <v>15032427</v>
      </c>
      <c r="L16" s="771">
        <v>10</v>
      </c>
      <c r="M16" s="771">
        <v>65764412</v>
      </c>
      <c r="N16" s="771">
        <v>3</v>
      </c>
      <c r="O16" s="771">
        <v>4107938</v>
      </c>
      <c r="P16" s="771">
        <v>0</v>
      </c>
      <c r="Q16" s="771">
        <v>0</v>
      </c>
    </row>
    <row r="17" spans="1:17" x14ac:dyDescent="0.2">
      <c r="A17" s="143" t="s">
        <v>15</v>
      </c>
      <c r="B17" s="770">
        <f t="shared" si="1"/>
        <v>26</v>
      </c>
      <c r="C17" s="770">
        <f t="shared" si="1"/>
        <v>238064938</v>
      </c>
      <c r="D17" s="771">
        <v>1</v>
      </c>
      <c r="E17" s="771">
        <v>785500</v>
      </c>
      <c r="F17" s="771">
        <v>0</v>
      </c>
      <c r="G17" s="771">
        <v>0</v>
      </c>
      <c r="H17" s="771">
        <v>4</v>
      </c>
      <c r="I17" s="771">
        <v>13333332</v>
      </c>
      <c r="J17" s="771">
        <v>7</v>
      </c>
      <c r="K17" s="771">
        <v>56852212</v>
      </c>
      <c r="L17" s="771">
        <v>12</v>
      </c>
      <c r="M17" s="771">
        <v>161043894</v>
      </c>
      <c r="N17" s="771">
        <v>0</v>
      </c>
      <c r="O17" s="771">
        <v>0</v>
      </c>
      <c r="P17" s="771">
        <v>2</v>
      </c>
      <c r="Q17" s="771">
        <v>6050000</v>
      </c>
    </row>
    <row r="18" spans="1:17" x14ac:dyDescent="0.2">
      <c r="A18" s="143" t="s">
        <v>301</v>
      </c>
      <c r="B18" s="770">
        <f t="shared" si="1"/>
        <v>31</v>
      </c>
      <c r="C18" s="770">
        <f t="shared" si="1"/>
        <v>149771737</v>
      </c>
      <c r="D18" s="771">
        <v>8</v>
      </c>
      <c r="E18" s="771">
        <v>20084938</v>
      </c>
      <c r="F18" s="771">
        <v>1</v>
      </c>
      <c r="G18" s="771">
        <v>6144000</v>
      </c>
      <c r="H18" s="771">
        <v>7</v>
      </c>
      <c r="I18" s="771">
        <v>24444442</v>
      </c>
      <c r="J18" s="771">
        <v>7</v>
      </c>
      <c r="K18" s="771">
        <v>55149234</v>
      </c>
      <c r="L18" s="771">
        <v>6</v>
      </c>
      <c r="M18" s="771">
        <v>39190683</v>
      </c>
      <c r="N18" s="771">
        <v>2</v>
      </c>
      <c r="O18" s="771">
        <v>4758440</v>
      </c>
      <c r="P18" s="771">
        <v>0</v>
      </c>
      <c r="Q18" s="771">
        <v>0</v>
      </c>
    </row>
    <row r="19" spans="1:17" x14ac:dyDescent="0.2">
      <c r="A19" s="143" t="s">
        <v>303</v>
      </c>
      <c r="B19" s="770">
        <f t="shared" si="1"/>
        <v>32</v>
      </c>
      <c r="C19" s="770">
        <f t="shared" si="1"/>
        <v>168273203</v>
      </c>
      <c r="D19" s="771">
        <v>4</v>
      </c>
      <c r="E19" s="771">
        <v>3752898</v>
      </c>
      <c r="F19" s="771">
        <v>2</v>
      </c>
      <c r="G19" s="771">
        <v>14798418</v>
      </c>
      <c r="H19" s="771">
        <v>6</v>
      </c>
      <c r="I19" s="771">
        <v>19999998</v>
      </c>
      <c r="J19" s="771">
        <v>3</v>
      </c>
      <c r="K19" s="771">
        <v>17808025</v>
      </c>
      <c r="L19" s="771">
        <v>13</v>
      </c>
      <c r="M19" s="771">
        <v>101683864</v>
      </c>
      <c r="N19" s="771">
        <v>2</v>
      </c>
      <c r="O19" s="771">
        <v>3230000</v>
      </c>
      <c r="P19" s="771">
        <v>2</v>
      </c>
      <c r="Q19" s="771">
        <v>7000000</v>
      </c>
    </row>
    <row r="20" spans="1:17" x14ac:dyDescent="0.2">
      <c r="A20" s="143" t="s">
        <v>18</v>
      </c>
      <c r="B20" s="770">
        <f t="shared" si="1"/>
        <v>7</v>
      </c>
      <c r="C20" s="770">
        <f t="shared" si="1"/>
        <v>51976459</v>
      </c>
      <c r="D20" s="771">
        <v>2</v>
      </c>
      <c r="E20" s="771">
        <v>2193606</v>
      </c>
      <c r="F20" s="771">
        <v>0</v>
      </c>
      <c r="G20" s="771">
        <v>0</v>
      </c>
      <c r="H20" s="771">
        <v>1</v>
      </c>
      <c r="I20" s="771">
        <v>2222222</v>
      </c>
      <c r="J20" s="771">
        <v>1</v>
      </c>
      <c r="K20" s="771">
        <v>17967999</v>
      </c>
      <c r="L20" s="771">
        <v>3</v>
      </c>
      <c r="M20" s="771">
        <v>29592632</v>
      </c>
      <c r="N20" s="771">
        <v>0</v>
      </c>
      <c r="O20" s="771">
        <v>0</v>
      </c>
      <c r="P20" s="771">
        <v>0</v>
      </c>
      <c r="Q20" s="771">
        <v>0</v>
      </c>
    </row>
    <row r="21" spans="1:17" x14ac:dyDescent="0.2">
      <c r="A21" s="143" t="s">
        <v>19</v>
      </c>
      <c r="B21" s="770">
        <f t="shared" si="1"/>
        <v>7</v>
      </c>
      <c r="C21" s="770">
        <f t="shared" si="1"/>
        <v>52842652</v>
      </c>
      <c r="D21" s="771">
        <v>0</v>
      </c>
      <c r="E21" s="771">
        <v>0</v>
      </c>
      <c r="F21" s="771">
        <v>0</v>
      </c>
      <c r="G21" s="771">
        <v>0</v>
      </c>
      <c r="H21" s="771">
        <v>1</v>
      </c>
      <c r="I21" s="771">
        <v>4444444</v>
      </c>
      <c r="J21" s="771">
        <v>0</v>
      </c>
      <c r="K21" s="771">
        <v>0</v>
      </c>
      <c r="L21" s="771">
        <v>6</v>
      </c>
      <c r="M21" s="771">
        <v>48398208</v>
      </c>
      <c r="N21" s="771">
        <v>0</v>
      </c>
      <c r="O21" s="771">
        <v>0</v>
      </c>
      <c r="P21" s="771">
        <v>0</v>
      </c>
      <c r="Q21" s="771">
        <v>0</v>
      </c>
    </row>
    <row r="22" spans="1:17" x14ac:dyDescent="0.2">
      <c r="A22" s="143" t="s">
        <v>2011</v>
      </c>
      <c r="B22" s="770">
        <f t="shared" si="1"/>
        <v>17</v>
      </c>
      <c r="C22" s="770">
        <f t="shared" si="1"/>
        <v>71631041</v>
      </c>
      <c r="D22" s="771">
        <v>1</v>
      </c>
      <c r="E22" s="771">
        <v>13470523</v>
      </c>
      <c r="F22" s="771">
        <v>0</v>
      </c>
      <c r="G22" s="771">
        <v>0</v>
      </c>
      <c r="H22" s="771">
        <v>6</v>
      </c>
      <c r="I22" s="771">
        <v>19999998</v>
      </c>
      <c r="J22" s="771">
        <v>1</v>
      </c>
      <c r="K22" s="771">
        <v>5566925</v>
      </c>
      <c r="L22" s="771">
        <v>1</v>
      </c>
      <c r="M22" s="771">
        <v>11823190</v>
      </c>
      <c r="N22" s="771">
        <v>6</v>
      </c>
      <c r="O22" s="771">
        <v>14195405</v>
      </c>
      <c r="P22" s="771">
        <v>2</v>
      </c>
      <c r="Q22" s="771">
        <v>6575000</v>
      </c>
    </row>
    <row r="23" spans="1:17" ht="11.25" customHeight="1" x14ac:dyDescent="0.2">
      <c r="A23" s="2862"/>
      <c r="B23" s="2863"/>
      <c r="C23" s="2863"/>
      <c r="D23" s="2863"/>
      <c r="E23" s="2863"/>
      <c r="F23" s="2863"/>
      <c r="G23" s="2863"/>
      <c r="H23" s="2863"/>
      <c r="I23" s="2863"/>
      <c r="J23" s="2863"/>
      <c r="K23" s="2863"/>
      <c r="L23" s="2863"/>
      <c r="M23" s="2863"/>
      <c r="N23" s="2863"/>
      <c r="O23" s="2863"/>
      <c r="P23" s="2863"/>
      <c r="Q23" s="2863"/>
    </row>
    <row r="24" spans="1:17" s="684" customFormat="1" x14ac:dyDescent="0.2">
      <c r="A24" s="2694" t="s">
        <v>2012</v>
      </c>
      <c r="B24" s="2695"/>
      <c r="C24" s="2695"/>
      <c r="D24" s="2695"/>
      <c r="E24" s="2695"/>
      <c r="F24" s="2695"/>
      <c r="G24" s="2695"/>
      <c r="H24" s="2695"/>
      <c r="I24" s="2695"/>
      <c r="J24" s="2695"/>
      <c r="K24" s="2695"/>
      <c r="L24" s="2695"/>
      <c r="M24" s="2695"/>
      <c r="N24" s="2695"/>
      <c r="O24" s="2695"/>
      <c r="P24" s="2695"/>
      <c r="Q24" s="2695"/>
    </row>
    <row r="25" spans="1:17" s="684" customFormat="1" x14ac:dyDescent="0.2">
      <c r="A25" s="2694" t="s">
        <v>2013</v>
      </c>
      <c r="B25" s="2695"/>
      <c r="C25" s="2695"/>
      <c r="D25" s="2695"/>
      <c r="E25" s="2695"/>
      <c r="F25" s="2695"/>
      <c r="G25" s="2695"/>
      <c r="H25" s="2695"/>
      <c r="I25" s="2695"/>
      <c r="J25" s="2695"/>
      <c r="K25" s="2695"/>
      <c r="L25" s="2695"/>
      <c r="M25" s="2695"/>
      <c r="N25" s="2695"/>
      <c r="O25" s="2695"/>
      <c r="P25" s="2695"/>
      <c r="Q25" s="2695"/>
    </row>
    <row r="26" spans="1:17" s="684" customFormat="1" x14ac:dyDescent="0.2">
      <c r="A26" s="2694" t="s">
        <v>2014</v>
      </c>
      <c r="B26" s="2695"/>
      <c r="C26" s="2695"/>
      <c r="D26" s="2695"/>
      <c r="E26" s="2695"/>
      <c r="F26" s="2695"/>
      <c r="G26" s="2695"/>
      <c r="H26" s="2695"/>
      <c r="I26" s="2695"/>
      <c r="J26" s="2695"/>
      <c r="K26" s="2695"/>
      <c r="L26" s="2695"/>
      <c r="M26" s="2695"/>
      <c r="N26" s="2695"/>
      <c r="O26" s="2695"/>
      <c r="P26" s="2695"/>
      <c r="Q26" s="2695"/>
    </row>
    <row r="27" spans="1:17" s="684" customFormat="1" x14ac:dyDescent="0.2">
      <c r="A27" s="2462" t="s">
        <v>2015</v>
      </c>
      <c r="B27" s="2695"/>
      <c r="C27" s="2695"/>
      <c r="D27" s="2695"/>
      <c r="E27" s="2695"/>
      <c r="F27" s="2695"/>
      <c r="G27" s="2695"/>
      <c r="H27" s="2695"/>
      <c r="I27" s="2695"/>
      <c r="J27" s="2695"/>
      <c r="K27" s="2695"/>
      <c r="L27" s="2695"/>
      <c r="M27" s="2695"/>
      <c r="N27" s="2695"/>
      <c r="O27" s="2695"/>
      <c r="P27" s="2695"/>
      <c r="Q27" s="2695"/>
    </row>
    <row r="28" spans="1:17" s="684" customFormat="1" x14ac:dyDescent="0.2">
      <c r="A28" s="2868" t="s">
        <v>326</v>
      </c>
      <c r="B28" s="2695"/>
      <c r="C28" s="2695"/>
      <c r="D28" s="2695"/>
      <c r="E28" s="2695"/>
      <c r="F28" s="2695"/>
      <c r="G28" s="2695"/>
      <c r="H28" s="2695"/>
      <c r="I28" s="2695"/>
      <c r="J28" s="2695"/>
      <c r="K28" s="2695"/>
      <c r="L28" s="2695"/>
      <c r="M28" s="2695"/>
      <c r="N28" s="2695"/>
      <c r="O28" s="2695"/>
      <c r="P28" s="2695"/>
      <c r="Q28" s="2695"/>
    </row>
    <row r="29" spans="1:17" s="684" customFormat="1" x14ac:dyDescent="0.2">
      <c r="A29" s="2462" t="s">
        <v>1634</v>
      </c>
      <c r="B29" s="2695"/>
      <c r="C29" s="2695"/>
      <c r="D29" s="2695"/>
      <c r="E29" s="2695"/>
      <c r="F29" s="2695"/>
      <c r="G29" s="2695"/>
      <c r="H29" s="2695"/>
      <c r="I29" s="2695"/>
      <c r="J29" s="2695"/>
      <c r="K29" s="2695"/>
      <c r="L29" s="2695"/>
      <c r="M29" s="2695"/>
      <c r="N29" s="2695"/>
      <c r="O29" s="2695"/>
      <c r="P29" s="2695"/>
      <c r="Q29" s="2695"/>
    </row>
    <row r="30" spans="1:17" ht="409.6" hidden="1" customHeight="1" x14ac:dyDescent="0.2"/>
  </sheetData>
  <mergeCells count="18">
    <mergeCell ref="A28:Q28"/>
    <mergeCell ref="A29:Q29"/>
    <mergeCell ref="P4:Q4"/>
    <mergeCell ref="A23:Q23"/>
    <mergeCell ref="A24:Q24"/>
    <mergeCell ref="A25:Q25"/>
    <mergeCell ref="A26:Q26"/>
    <mergeCell ref="A27:Q27"/>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2:H14"/>
  <sheetViews>
    <sheetView zoomScaleNormal="100" workbookViewId="0">
      <selection activeCell="C21" sqref="C21"/>
    </sheetView>
  </sheetViews>
  <sheetFormatPr baseColWidth="10" defaultColWidth="13" defaultRowHeight="15" x14ac:dyDescent="0.25"/>
  <cols>
    <col min="1" max="1" width="23" style="772" customWidth="1"/>
    <col min="2" max="7" width="13" style="772"/>
    <col min="8" max="8" width="8.140625" style="772" customWidth="1"/>
    <col min="9" max="16384" width="13" style="772"/>
  </cols>
  <sheetData>
    <row r="2" spans="1:8" ht="26.25" customHeight="1" x14ac:dyDescent="0.25">
      <c r="A2" s="2872" t="s">
        <v>2016</v>
      </c>
      <c r="B2" s="2872"/>
      <c r="C2" s="2872"/>
      <c r="D2" s="2872"/>
      <c r="E2" s="2872"/>
      <c r="F2" s="2872"/>
      <c r="H2" s="773"/>
    </row>
    <row r="3" spans="1:8" ht="11.25" customHeight="1" x14ac:dyDescent="0.25">
      <c r="A3" s="2873"/>
      <c r="B3" s="2873"/>
      <c r="C3" s="2873"/>
      <c r="D3" s="2873"/>
      <c r="E3" s="2873"/>
      <c r="F3" s="2873"/>
      <c r="H3" s="773"/>
    </row>
    <row r="4" spans="1:8" x14ac:dyDescent="0.25">
      <c r="A4" s="2874" t="s">
        <v>2017</v>
      </c>
      <c r="B4" s="2760" t="s">
        <v>2018</v>
      </c>
      <c r="C4" s="2760"/>
      <c r="D4" s="2760"/>
      <c r="E4" s="2760"/>
      <c r="F4" s="2760"/>
      <c r="H4" s="774"/>
    </row>
    <row r="5" spans="1:8" x14ac:dyDescent="0.25">
      <c r="A5" s="2781"/>
      <c r="B5" s="681" t="s">
        <v>2019</v>
      </c>
      <c r="C5" s="681" t="s">
        <v>2020</v>
      </c>
      <c r="D5" s="681" t="s">
        <v>2021</v>
      </c>
      <c r="E5" s="681" t="s">
        <v>2022</v>
      </c>
      <c r="F5" s="681">
        <v>2015</v>
      </c>
      <c r="H5" s="774"/>
    </row>
    <row r="6" spans="1:8" x14ac:dyDescent="0.25">
      <c r="A6" s="604" t="s">
        <v>141</v>
      </c>
      <c r="B6" s="604">
        <f>SUM(B7+B10)</f>
        <v>173</v>
      </c>
      <c r="C6" s="604">
        <f>SUM(C7+C10)</f>
        <v>186</v>
      </c>
      <c r="D6" s="604">
        <f>SUM(D7+D10)</f>
        <v>260</v>
      </c>
      <c r="E6" s="604">
        <f>SUM(E7+E10)</f>
        <v>286</v>
      </c>
      <c r="F6" s="604">
        <f>SUM(F7+F10)</f>
        <v>305</v>
      </c>
      <c r="G6" s="468"/>
      <c r="H6" s="774"/>
    </row>
    <row r="7" spans="1:8" x14ac:dyDescent="0.25">
      <c r="A7" s="468" t="s">
        <v>2023</v>
      </c>
      <c r="B7" s="468">
        <f>SUM(B8:B9)</f>
        <v>138</v>
      </c>
      <c r="C7" s="468">
        <f>SUM(C8:C9)</f>
        <v>149</v>
      </c>
      <c r="D7" s="468">
        <f>SUM(D8:D9)</f>
        <v>212</v>
      </c>
      <c r="E7" s="468">
        <f>SUM(E8:E9)</f>
        <v>235</v>
      </c>
      <c r="F7" s="468">
        <f>SUM(F8:F9)</f>
        <v>250</v>
      </c>
      <c r="G7" s="468"/>
      <c r="H7" s="774"/>
    </row>
    <row r="8" spans="1:8" x14ac:dyDescent="0.25">
      <c r="A8" s="380" t="s">
        <v>966</v>
      </c>
      <c r="B8" s="380">
        <v>97</v>
      </c>
      <c r="C8" s="380">
        <v>108</v>
      </c>
      <c r="D8" s="775">
        <v>142</v>
      </c>
      <c r="E8" s="603">
        <v>158</v>
      </c>
      <c r="F8" s="776">
        <v>169</v>
      </c>
      <c r="G8" s="468"/>
      <c r="H8" s="774"/>
    </row>
    <row r="9" spans="1:8" ht="14.25" customHeight="1" x14ac:dyDescent="0.25">
      <c r="A9" s="380" t="s">
        <v>967</v>
      </c>
      <c r="B9" s="380">
        <v>41</v>
      </c>
      <c r="C9" s="380">
        <v>41</v>
      </c>
      <c r="D9" s="775">
        <v>70</v>
      </c>
      <c r="E9" s="603">
        <v>77</v>
      </c>
      <c r="F9" s="776">
        <v>81</v>
      </c>
      <c r="G9" s="468"/>
      <c r="H9" s="774"/>
    </row>
    <row r="10" spans="1:8" x14ac:dyDescent="0.25">
      <c r="A10" s="777" t="s">
        <v>2024</v>
      </c>
      <c r="B10" s="362">
        <v>35</v>
      </c>
      <c r="C10" s="362">
        <v>37</v>
      </c>
      <c r="D10" s="778">
        <v>48</v>
      </c>
      <c r="E10" s="779">
        <v>51</v>
      </c>
      <c r="F10" s="779">
        <v>55</v>
      </c>
      <c r="G10" s="468"/>
      <c r="H10" s="774"/>
    </row>
    <row r="11" spans="1:8" ht="10.5" customHeight="1" x14ac:dyDescent="0.25">
      <c r="A11" s="2875"/>
      <c r="B11" s="2875"/>
      <c r="C11" s="2875"/>
      <c r="D11" s="2875"/>
      <c r="E11" s="2875"/>
      <c r="F11" s="2875"/>
      <c r="H11" s="774"/>
    </row>
    <row r="12" spans="1:8" ht="12.75" customHeight="1" x14ac:dyDescent="0.25">
      <c r="A12" s="2876" t="s">
        <v>2025</v>
      </c>
      <c r="B12" s="2876"/>
      <c r="C12" s="2876"/>
      <c r="D12" s="2876"/>
      <c r="E12" s="2876"/>
      <c r="F12" s="2876"/>
      <c r="H12" s="774"/>
    </row>
    <row r="13" spans="1:8" x14ac:dyDescent="0.25">
      <c r="A13" s="2871" t="s">
        <v>2026</v>
      </c>
      <c r="B13" s="2871"/>
      <c r="C13" s="2871"/>
      <c r="D13" s="2871"/>
      <c r="E13" s="2871"/>
      <c r="F13" s="2871"/>
      <c r="H13" s="773"/>
    </row>
    <row r="14" spans="1:8" x14ac:dyDescent="0.25">
      <c r="A14" s="780"/>
      <c r="B14" s="780"/>
      <c r="C14" s="780"/>
      <c r="D14" s="780"/>
      <c r="E14" s="780"/>
      <c r="F14" s="603"/>
    </row>
  </sheetData>
  <mergeCells count="7">
    <mergeCell ref="A13:F13"/>
    <mergeCell ref="A2:F2"/>
    <mergeCell ref="A3:F3"/>
    <mergeCell ref="A4:A5"/>
    <mergeCell ref="B4:F4"/>
    <mergeCell ref="A11:F11"/>
    <mergeCell ref="A12:F12"/>
  </mergeCells>
  <pageMargins left="0.70866141732283472" right="0.70866141732283472" top="0.74803149606299213" bottom="0.74803149606299213" header="0.31496062992125984" footer="0.31496062992125984"/>
  <pageSetup paperSize="9" orientation="portrait" verticalDpi="599"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2:G14"/>
  <sheetViews>
    <sheetView zoomScaleNormal="100" workbookViewId="0">
      <selection activeCell="E5" sqref="E5"/>
    </sheetView>
  </sheetViews>
  <sheetFormatPr baseColWidth="10" defaultColWidth="13" defaultRowHeight="15" x14ac:dyDescent="0.25"/>
  <cols>
    <col min="1" max="1" width="26.7109375" style="772" customWidth="1"/>
    <col min="2" max="16384" width="13" style="772"/>
  </cols>
  <sheetData>
    <row r="2" spans="1:7" ht="22.5" customHeight="1" x14ac:dyDescent="0.25">
      <c r="A2" s="2674" t="s">
        <v>2027</v>
      </c>
      <c r="B2" s="2674"/>
      <c r="C2" s="2674"/>
      <c r="D2" s="2674"/>
      <c r="E2" s="2674"/>
      <c r="F2" s="2674"/>
      <c r="G2" s="781"/>
    </row>
    <row r="3" spans="1:7" ht="11.25" customHeight="1" x14ac:dyDescent="0.25">
      <c r="A3" s="2873"/>
      <c r="B3" s="2873"/>
      <c r="C3" s="2873"/>
      <c r="D3" s="2873"/>
      <c r="E3" s="2873"/>
      <c r="F3" s="2873"/>
      <c r="G3" s="782"/>
    </row>
    <row r="4" spans="1:7" x14ac:dyDescent="0.25">
      <c r="A4" s="2874" t="s">
        <v>2017</v>
      </c>
      <c r="B4" s="2877" t="s">
        <v>2018</v>
      </c>
      <c r="C4" s="2877"/>
      <c r="D4" s="2877"/>
      <c r="E4" s="2877"/>
      <c r="F4" s="2877"/>
      <c r="G4" s="782"/>
    </row>
    <row r="5" spans="1:7" x14ac:dyDescent="0.25">
      <c r="A5" s="2781"/>
      <c r="B5" s="783" t="s">
        <v>2019</v>
      </c>
      <c r="C5" s="783" t="s">
        <v>2020</v>
      </c>
      <c r="D5" s="783" t="s">
        <v>2021</v>
      </c>
      <c r="E5" s="783" t="s">
        <v>2022</v>
      </c>
      <c r="F5" s="783">
        <v>2015</v>
      </c>
      <c r="G5" s="784"/>
    </row>
    <row r="6" spans="1:7" x14ac:dyDescent="0.25">
      <c r="A6" s="604" t="s">
        <v>141</v>
      </c>
      <c r="B6" s="604">
        <f>SUM(B7+B10)</f>
        <v>8</v>
      </c>
      <c r="C6" s="604">
        <f>SUM(C7+C10)</f>
        <v>13</v>
      </c>
      <c r="D6" s="604">
        <f>SUM(D7+D10)</f>
        <v>74</v>
      </c>
      <c r="E6" s="468">
        <f>SUM(E7+E10)</f>
        <v>26</v>
      </c>
      <c r="F6" s="468">
        <f>SUM(F7+F10)</f>
        <v>19</v>
      </c>
      <c r="G6" s="468"/>
    </row>
    <row r="7" spans="1:7" x14ac:dyDescent="0.25">
      <c r="A7" s="468" t="s">
        <v>2023</v>
      </c>
      <c r="B7" s="468">
        <f>SUM(B8:B9)</f>
        <v>5</v>
      </c>
      <c r="C7" s="468">
        <f>SUM(C8:C9)</f>
        <v>11</v>
      </c>
      <c r="D7" s="468">
        <f>SUM(D8:D9)</f>
        <v>63</v>
      </c>
      <c r="E7" s="468">
        <f>SUM(E8:E9)</f>
        <v>23</v>
      </c>
      <c r="F7" s="468">
        <f>SUM(F8:F9)</f>
        <v>15</v>
      </c>
      <c r="G7" s="468"/>
    </row>
    <row r="8" spans="1:7" x14ac:dyDescent="0.25">
      <c r="A8" s="380" t="s">
        <v>966</v>
      </c>
      <c r="B8" s="380">
        <v>3</v>
      </c>
      <c r="C8" s="380">
        <v>11</v>
      </c>
      <c r="D8" s="380">
        <v>34</v>
      </c>
      <c r="E8" s="785">
        <v>16</v>
      </c>
      <c r="F8" s="786">
        <v>11</v>
      </c>
      <c r="G8" s="786"/>
    </row>
    <row r="9" spans="1:7" x14ac:dyDescent="0.25">
      <c r="A9" s="380" t="s">
        <v>967</v>
      </c>
      <c r="B9" s="380">
        <v>2</v>
      </c>
      <c r="C9" s="380">
        <v>0</v>
      </c>
      <c r="D9" s="380">
        <v>29</v>
      </c>
      <c r="E9" s="785">
        <v>7</v>
      </c>
      <c r="F9" s="786">
        <v>4</v>
      </c>
      <c r="G9" s="786"/>
    </row>
    <row r="10" spans="1:7" x14ac:dyDescent="0.25">
      <c r="A10" s="468" t="s">
        <v>2024</v>
      </c>
      <c r="B10" s="468">
        <v>3</v>
      </c>
      <c r="C10" s="468">
        <v>2</v>
      </c>
      <c r="D10" s="468">
        <v>11</v>
      </c>
      <c r="E10" s="787">
        <v>3</v>
      </c>
      <c r="F10" s="787">
        <v>4</v>
      </c>
      <c r="G10" s="787"/>
    </row>
    <row r="11" spans="1:7" ht="12" customHeight="1" x14ac:dyDescent="0.25">
      <c r="A11" s="2612"/>
      <c r="B11" s="2612"/>
      <c r="C11" s="2612"/>
      <c r="D11" s="2612"/>
      <c r="E11" s="2612"/>
      <c r="F11" s="2612"/>
      <c r="G11" s="380"/>
    </row>
    <row r="12" spans="1:7" ht="11.25" customHeight="1" x14ac:dyDescent="0.25">
      <c r="A12" s="2618" t="s">
        <v>2028</v>
      </c>
      <c r="B12" s="2618"/>
      <c r="C12" s="2618"/>
      <c r="D12" s="2618"/>
      <c r="E12" s="2618"/>
      <c r="F12" s="2618"/>
      <c r="G12" s="380"/>
    </row>
    <row r="13" spans="1:7" ht="13.5" customHeight="1" x14ac:dyDescent="0.25">
      <c r="A13" s="2618" t="s">
        <v>2026</v>
      </c>
      <c r="B13" s="2618"/>
      <c r="C13" s="2618"/>
      <c r="D13" s="2618"/>
      <c r="E13" s="2618"/>
      <c r="F13" s="2618"/>
      <c r="G13" s="380"/>
    </row>
    <row r="14" spans="1:7" x14ac:dyDescent="0.25">
      <c r="F14" s="603"/>
      <c r="G14" s="603"/>
    </row>
  </sheetData>
  <mergeCells count="7">
    <mergeCell ref="A13:F13"/>
    <mergeCell ref="A2:F2"/>
    <mergeCell ref="A3:F3"/>
    <mergeCell ref="A4:A5"/>
    <mergeCell ref="B4:F4"/>
    <mergeCell ref="A11:F11"/>
    <mergeCell ref="A12:F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F14"/>
  <sheetViews>
    <sheetView zoomScale="90" zoomScaleNormal="90" workbookViewId="0">
      <selection activeCell="E19" sqref="E19"/>
    </sheetView>
  </sheetViews>
  <sheetFormatPr baseColWidth="10" defaultColWidth="11.42578125" defaultRowHeight="10.5" x14ac:dyDescent="0.15"/>
  <cols>
    <col min="1" max="1" width="28.7109375" style="1" customWidth="1"/>
    <col min="2" max="5" width="11.42578125" style="1"/>
    <col min="6" max="6" width="11.85546875" style="1" bestFit="1" customWidth="1"/>
    <col min="7" max="7" width="3.140625" style="1" customWidth="1"/>
    <col min="8" max="16384" width="11.42578125" style="1"/>
  </cols>
  <sheetData>
    <row r="2" spans="1:6" ht="32.25" customHeight="1" x14ac:dyDescent="0.15">
      <c r="A2" s="2304" t="s">
        <v>4183</v>
      </c>
      <c r="B2" s="2304"/>
      <c r="C2" s="2304"/>
      <c r="D2" s="2304"/>
      <c r="E2" s="2304"/>
      <c r="F2" s="2304"/>
    </row>
    <row r="3" spans="1:6" ht="5.25" customHeight="1" x14ac:dyDescent="0.15">
      <c r="A3" s="2305"/>
      <c r="B3" s="2305"/>
      <c r="C3" s="2305"/>
      <c r="D3" s="2305"/>
      <c r="E3" s="2305"/>
      <c r="F3" s="2305"/>
    </row>
    <row r="4" spans="1:6" ht="13.5" customHeight="1" x14ac:dyDescent="0.15">
      <c r="A4" s="2306" t="s">
        <v>136</v>
      </c>
      <c r="B4" s="2306" t="s">
        <v>2</v>
      </c>
      <c r="C4" s="2306"/>
      <c r="D4" s="2306"/>
      <c r="E4" s="2306"/>
      <c r="F4" s="2306"/>
    </row>
    <row r="5" spans="1:6" ht="15" customHeight="1" x14ac:dyDescent="0.15">
      <c r="A5" s="2306"/>
      <c r="B5" s="2">
        <v>2011</v>
      </c>
      <c r="C5" s="2">
        <v>2012</v>
      </c>
      <c r="D5" s="2">
        <v>2013</v>
      </c>
      <c r="E5" s="2">
        <v>2014</v>
      </c>
      <c r="F5" s="59" t="s">
        <v>166</v>
      </c>
    </row>
    <row r="6" spans="1:6" s="30" customFormat="1" ht="16.5" customHeight="1" x14ac:dyDescent="0.15">
      <c r="A6" s="30" t="s">
        <v>4</v>
      </c>
      <c r="B6" s="52">
        <f t="shared" ref="B6:E6" si="0">SUM(B7:B11)</f>
        <v>1279</v>
      </c>
      <c r="C6" s="52">
        <f t="shared" si="0"/>
        <v>1076</v>
      </c>
      <c r="D6" s="52">
        <f t="shared" si="0"/>
        <v>1003</v>
      </c>
      <c r="E6" s="87">
        <f t="shared" si="0"/>
        <v>708</v>
      </c>
      <c r="F6" s="88">
        <f>SUM(F7:F11)</f>
        <v>10900</v>
      </c>
    </row>
    <row r="7" spans="1:6" ht="14.25" customHeight="1" x14ac:dyDescent="0.15">
      <c r="A7" s="1" t="s">
        <v>150</v>
      </c>
      <c r="B7" s="32">
        <v>1252</v>
      </c>
      <c r="C7" s="32">
        <v>1002</v>
      </c>
      <c r="D7" s="32">
        <v>971</v>
      </c>
      <c r="E7" s="89">
        <v>650</v>
      </c>
      <c r="F7" s="20">
        <v>10839</v>
      </c>
    </row>
    <row r="8" spans="1:6" ht="13.5" customHeight="1" x14ac:dyDescent="0.15">
      <c r="A8" s="1" t="s">
        <v>151</v>
      </c>
      <c r="B8" s="32">
        <v>9</v>
      </c>
      <c r="C8" s="32">
        <v>10</v>
      </c>
      <c r="D8" s="32">
        <v>3</v>
      </c>
      <c r="E8" s="89">
        <v>10</v>
      </c>
      <c r="F8" s="20">
        <v>6</v>
      </c>
    </row>
    <row r="9" spans="1:6" ht="13.5" customHeight="1" x14ac:dyDescent="0.15">
      <c r="A9" s="1" t="s">
        <v>167</v>
      </c>
      <c r="B9" s="32">
        <v>5</v>
      </c>
      <c r="C9" s="32">
        <v>8</v>
      </c>
      <c r="D9" s="32">
        <v>7</v>
      </c>
      <c r="E9" s="89">
        <v>9</v>
      </c>
      <c r="F9" s="20">
        <v>10</v>
      </c>
    </row>
    <row r="10" spans="1:6" ht="12.75" customHeight="1" x14ac:dyDescent="0.15">
      <c r="A10" s="1" t="s">
        <v>153</v>
      </c>
      <c r="B10" s="32">
        <v>4</v>
      </c>
      <c r="C10" s="32">
        <v>38</v>
      </c>
      <c r="D10" s="32">
        <v>15</v>
      </c>
      <c r="E10" s="89">
        <v>25</v>
      </c>
      <c r="F10" s="20">
        <v>18</v>
      </c>
    </row>
    <row r="11" spans="1:6" ht="13.5" customHeight="1" x14ac:dyDescent="0.15">
      <c r="A11" s="1" t="s">
        <v>154</v>
      </c>
      <c r="B11" s="32">
        <v>9</v>
      </c>
      <c r="C11" s="32">
        <v>18</v>
      </c>
      <c r="D11" s="32">
        <v>7</v>
      </c>
      <c r="E11" s="89">
        <v>14</v>
      </c>
      <c r="F11" s="20">
        <v>27</v>
      </c>
    </row>
    <row r="12" spans="1:6" x14ac:dyDescent="0.15">
      <c r="A12" s="2307"/>
      <c r="B12" s="2307"/>
      <c r="C12" s="2307"/>
      <c r="D12" s="2307"/>
      <c r="E12" s="2307"/>
      <c r="F12" s="2307"/>
    </row>
    <row r="13" spans="1:6" ht="45.75" customHeight="1" x14ac:dyDescent="0.15">
      <c r="A13" s="2339" t="s">
        <v>168</v>
      </c>
      <c r="B13" s="2339"/>
      <c r="C13" s="2339"/>
      <c r="D13" s="2339"/>
      <c r="E13" s="2339"/>
      <c r="F13" s="2339"/>
    </row>
    <row r="14" spans="1:6" ht="14.25" customHeight="1" x14ac:dyDescent="0.15">
      <c r="A14" s="2303" t="s">
        <v>21</v>
      </c>
      <c r="B14" s="2303"/>
      <c r="C14" s="2303"/>
      <c r="D14" s="2303"/>
      <c r="E14" s="2303"/>
      <c r="F14" s="2303"/>
    </row>
  </sheetData>
  <mergeCells count="7">
    <mergeCell ref="A14:F14"/>
    <mergeCell ref="A2:F2"/>
    <mergeCell ref="A3:F3"/>
    <mergeCell ref="A4:A5"/>
    <mergeCell ref="B4:F4"/>
    <mergeCell ref="A12:F12"/>
    <mergeCell ref="A13:F13"/>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N17"/>
  <sheetViews>
    <sheetView zoomScaleNormal="100" workbookViewId="0">
      <selection activeCell="H17" sqref="H17"/>
    </sheetView>
  </sheetViews>
  <sheetFormatPr baseColWidth="10" defaultColWidth="9.140625" defaultRowHeight="10.5" x14ac:dyDescent="0.15"/>
  <cols>
    <col min="1" max="1" width="22.5703125" style="97" customWidth="1"/>
    <col min="2" max="2" width="16" style="97" customWidth="1"/>
    <col min="3" max="3" width="14.28515625" style="97" customWidth="1"/>
    <col min="4" max="4" width="9" style="97" customWidth="1"/>
    <col min="5" max="5" width="11.85546875" style="97" customWidth="1"/>
    <col min="6" max="6" width="9.140625" style="97"/>
    <col min="7" max="7" width="12" style="97" customWidth="1"/>
    <col min="8" max="8" width="9.140625" style="97"/>
    <col min="9" max="9" width="12.5703125" style="97" customWidth="1"/>
    <col min="10" max="10" width="9.140625" style="97"/>
    <col min="11" max="11" width="11.42578125" style="97" customWidth="1"/>
    <col min="12" max="12" width="9.140625" style="97"/>
    <col min="13" max="13" width="12" style="97" customWidth="1"/>
    <col min="14" max="16384" width="9.140625" style="97"/>
  </cols>
  <sheetData>
    <row r="1" spans="1:14" ht="15" customHeight="1" x14ac:dyDescent="0.15"/>
    <row r="2" spans="1:14" s="99" customFormat="1" ht="25.5" customHeight="1" x14ac:dyDescent="0.15">
      <c r="A2" s="2858" t="s">
        <v>2029</v>
      </c>
      <c r="B2" s="2859"/>
      <c r="C2" s="2859"/>
      <c r="D2" s="2859"/>
      <c r="E2" s="2859"/>
      <c r="F2" s="2859"/>
      <c r="G2" s="2859"/>
      <c r="H2" s="2859"/>
      <c r="I2" s="2859"/>
      <c r="J2" s="2859"/>
      <c r="K2" s="2859"/>
      <c r="L2" s="788"/>
      <c r="M2" s="788"/>
      <c r="N2" s="788"/>
    </row>
    <row r="3" spans="1:14" x14ac:dyDescent="0.15">
      <c r="A3" s="789"/>
      <c r="B3" s="760"/>
      <c r="C3" s="760"/>
    </row>
    <row r="4" spans="1:14" ht="12.75" customHeight="1" x14ac:dyDescent="0.15">
      <c r="A4" s="2878" t="s">
        <v>2030</v>
      </c>
      <c r="B4" s="2615">
        <v>2011</v>
      </c>
      <c r="C4" s="2615"/>
      <c r="D4" s="2615">
        <v>2012</v>
      </c>
      <c r="E4" s="2615"/>
      <c r="F4" s="2615">
        <v>2013</v>
      </c>
      <c r="G4" s="2615"/>
      <c r="H4" s="2615">
        <v>2014</v>
      </c>
      <c r="I4" s="2615"/>
      <c r="J4" s="2879">
        <v>2015</v>
      </c>
      <c r="K4" s="2375"/>
    </row>
    <row r="5" spans="1:14" ht="18.75" customHeight="1" x14ac:dyDescent="0.15">
      <c r="A5" s="2878"/>
      <c r="B5" s="2060" t="s">
        <v>2002</v>
      </c>
      <c r="C5" s="2060" t="s">
        <v>727</v>
      </c>
      <c r="D5" s="2060" t="s">
        <v>2002</v>
      </c>
      <c r="E5" s="2060" t="s">
        <v>727</v>
      </c>
      <c r="F5" s="2060" t="s">
        <v>2002</v>
      </c>
      <c r="G5" s="2060" t="s">
        <v>727</v>
      </c>
      <c r="H5" s="2060" t="s">
        <v>2002</v>
      </c>
      <c r="I5" s="2060" t="s">
        <v>727</v>
      </c>
      <c r="J5" s="2085" t="s">
        <v>2002</v>
      </c>
      <c r="K5" s="2085" t="s">
        <v>727</v>
      </c>
    </row>
    <row r="6" spans="1:14" x14ac:dyDescent="0.15">
      <c r="A6" s="2082" t="s">
        <v>141</v>
      </c>
      <c r="B6" s="467">
        <f t="shared" ref="B6:K6" si="0">SUM(B7:B9)</f>
        <v>5720</v>
      </c>
      <c r="C6" s="790">
        <f t="shared" si="0"/>
        <v>1</v>
      </c>
      <c r="D6" s="467">
        <f t="shared" si="0"/>
        <v>6045</v>
      </c>
      <c r="E6" s="790">
        <f t="shared" si="0"/>
        <v>1</v>
      </c>
      <c r="F6" s="467">
        <f t="shared" si="0"/>
        <v>5952</v>
      </c>
      <c r="G6" s="790">
        <f t="shared" si="0"/>
        <v>1</v>
      </c>
      <c r="H6" s="467">
        <f t="shared" si="0"/>
        <v>5702</v>
      </c>
      <c r="I6" s="790">
        <f t="shared" si="0"/>
        <v>1</v>
      </c>
      <c r="J6" s="467">
        <f t="shared" si="0"/>
        <v>6268</v>
      </c>
      <c r="K6" s="790">
        <f t="shared" si="0"/>
        <v>1</v>
      </c>
    </row>
    <row r="7" spans="1:14" x14ac:dyDescent="0.15">
      <c r="A7" s="2058" t="s">
        <v>2031</v>
      </c>
      <c r="B7" s="568">
        <v>5326</v>
      </c>
      <c r="C7" s="762">
        <f>+B7/$B$6</f>
        <v>0.93111888111888108</v>
      </c>
      <c r="D7" s="568">
        <v>5641</v>
      </c>
      <c r="E7" s="762">
        <f>D7/D$6</f>
        <v>0.93316790736145572</v>
      </c>
      <c r="F7" s="791">
        <v>5450</v>
      </c>
      <c r="G7" s="762">
        <f>F7/F$6</f>
        <v>0.91565860215053763</v>
      </c>
      <c r="H7" s="791">
        <v>5236</v>
      </c>
      <c r="I7" s="762">
        <f>H7/H$6</f>
        <v>0.91827428972290426</v>
      </c>
      <c r="J7" s="791">
        <v>5713</v>
      </c>
      <c r="K7" s="2177">
        <f>J7/J$6</f>
        <v>0.91145500957243142</v>
      </c>
    </row>
    <row r="8" spans="1:14" x14ac:dyDescent="0.15">
      <c r="A8" s="2058" t="s">
        <v>2032</v>
      </c>
      <c r="B8" s="568">
        <v>176</v>
      </c>
      <c r="C8" s="762">
        <f>+B8/$B$6</f>
        <v>3.0769230769230771E-2</v>
      </c>
      <c r="D8" s="568">
        <v>182</v>
      </c>
      <c r="E8" s="762">
        <f>D8/D$6</f>
        <v>3.0107526881720432E-2</v>
      </c>
      <c r="F8" s="792">
        <v>269</v>
      </c>
      <c r="G8" s="762">
        <f>F8/F$6</f>
        <v>4.5194892473118281E-2</v>
      </c>
      <c r="H8" s="792">
        <v>271</v>
      </c>
      <c r="I8" s="762">
        <f>H8/H$6</f>
        <v>4.7527183444405471E-2</v>
      </c>
      <c r="J8" s="2178">
        <v>242</v>
      </c>
      <c r="K8" s="2177">
        <f>J8/J$6</f>
        <v>3.8608806636885769E-2</v>
      </c>
    </row>
    <row r="9" spans="1:14" x14ac:dyDescent="0.15">
      <c r="A9" s="2058" t="s">
        <v>2033</v>
      </c>
      <c r="B9" s="568">
        <v>218</v>
      </c>
      <c r="C9" s="762">
        <f>+B9/$B$6</f>
        <v>3.8111888111888113E-2</v>
      </c>
      <c r="D9" s="568">
        <v>222</v>
      </c>
      <c r="E9" s="762">
        <f>D9/D$6</f>
        <v>3.672456575682382E-2</v>
      </c>
      <c r="F9" s="792">
        <v>233</v>
      </c>
      <c r="G9" s="762">
        <f>F9/F$6</f>
        <v>3.9146505376344086E-2</v>
      </c>
      <c r="H9" s="792">
        <v>195</v>
      </c>
      <c r="I9" s="762">
        <f>H9/H$6</f>
        <v>3.4198526832690285E-2</v>
      </c>
      <c r="J9" s="2178">
        <v>313</v>
      </c>
      <c r="K9" s="2177">
        <f>J9/J$6</f>
        <v>4.9936183790682834E-2</v>
      </c>
    </row>
    <row r="10" spans="1:14" x14ac:dyDescent="0.15">
      <c r="A10" s="2086"/>
      <c r="B10" s="2051"/>
      <c r="C10" s="2051"/>
      <c r="D10" s="2051"/>
      <c r="E10" s="2051"/>
      <c r="F10" s="2051"/>
      <c r="G10" s="2051"/>
      <c r="H10" s="2051"/>
      <c r="I10" s="2051"/>
      <c r="J10" s="2051"/>
      <c r="K10" s="2051"/>
    </row>
    <row r="11" spans="1:14" s="99" customFormat="1" ht="22.5" customHeight="1" x14ac:dyDescent="0.15">
      <c r="A11" s="2857" t="s">
        <v>2003</v>
      </c>
      <c r="B11" s="2857"/>
      <c r="C11" s="2857"/>
      <c r="D11" s="2857"/>
      <c r="E11" s="2857"/>
      <c r="F11" s="2857"/>
      <c r="G11" s="2857"/>
      <c r="H11" s="2857"/>
      <c r="I11" s="2857"/>
      <c r="J11" s="2857"/>
      <c r="K11" s="2857"/>
      <c r="L11" s="793"/>
      <c r="M11" s="793"/>
    </row>
    <row r="12" spans="1:14" x14ac:dyDescent="0.15">
      <c r="A12" s="2179" t="s">
        <v>2004</v>
      </c>
      <c r="B12" s="1271"/>
      <c r="C12" s="1271"/>
      <c r="D12" s="1271"/>
      <c r="E12" s="1271"/>
      <c r="F12" s="1271"/>
      <c r="G12" s="1271"/>
      <c r="H12" s="1271"/>
      <c r="I12" s="1271"/>
      <c r="J12" s="1271"/>
      <c r="K12" s="1271"/>
    </row>
    <row r="13" spans="1:14" x14ac:dyDescent="0.15">
      <c r="A13" s="2051"/>
      <c r="B13" s="2051"/>
      <c r="C13" s="2051"/>
      <c r="D13" s="2051"/>
      <c r="E13" s="2051"/>
      <c r="F13" s="2051"/>
      <c r="G13" s="2051"/>
      <c r="H13" s="2051"/>
      <c r="I13" s="2051"/>
      <c r="J13" s="2051"/>
      <c r="K13" s="2051"/>
    </row>
    <row r="14" spans="1:14" x14ac:dyDescent="0.15">
      <c r="A14" s="2051"/>
      <c r="B14" s="2051"/>
      <c r="C14" s="2051"/>
      <c r="D14" s="2051"/>
      <c r="E14" s="2051"/>
      <c r="F14" s="2051"/>
      <c r="G14" s="2051"/>
      <c r="H14" s="2051"/>
      <c r="I14" s="2051"/>
      <c r="J14" s="2051"/>
      <c r="K14" s="2051"/>
    </row>
    <row r="15" spans="1:14" x14ac:dyDescent="0.15">
      <c r="A15" s="2051"/>
      <c r="B15" s="2051"/>
      <c r="C15" s="2051"/>
      <c r="D15" s="2051"/>
      <c r="E15" s="2051"/>
      <c r="F15" s="2051"/>
      <c r="G15" s="2051"/>
      <c r="H15" s="2051"/>
      <c r="I15" s="2051"/>
      <c r="J15" s="2051"/>
      <c r="K15" s="2051"/>
    </row>
    <row r="16" spans="1:14" x14ac:dyDescent="0.15">
      <c r="A16" s="2051"/>
      <c r="B16" s="2051"/>
      <c r="C16" s="2051"/>
      <c r="D16" s="2051"/>
      <c r="E16" s="2051"/>
      <c r="F16" s="2051"/>
      <c r="G16" s="2051"/>
      <c r="H16" s="2051"/>
      <c r="I16" s="2051"/>
      <c r="J16" s="2051"/>
      <c r="K16" s="2051"/>
    </row>
    <row r="17" spans="1:11" x14ac:dyDescent="0.15">
      <c r="A17" s="2051"/>
      <c r="B17" s="2051"/>
      <c r="C17" s="2051"/>
      <c r="D17" s="2051"/>
      <c r="E17" s="2051"/>
      <c r="F17" s="2051"/>
      <c r="G17" s="2051"/>
      <c r="H17" s="2051"/>
      <c r="I17" s="2051"/>
      <c r="J17" s="2051"/>
      <c r="K17" s="2051"/>
    </row>
  </sheetData>
  <mergeCells count="8">
    <mergeCell ref="A11:K11"/>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IV28"/>
  <sheetViews>
    <sheetView zoomScaleNormal="100" workbookViewId="0">
      <selection activeCell="D35" sqref="D35"/>
    </sheetView>
  </sheetViews>
  <sheetFormatPr baseColWidth="10" defaultColWidth="9.140625" defaultRowHeight="10.5" x14ac:dyDescent="0.15"/>
  <cols>
    <col min="1" max="1" width="27.42578125" style="97" customWidth="1"/>
    <col min="2" max="13" width="11.5703125" style="97" customWidth="1"/>
    <col min="14" max="16384" width="9.140625" style="97"/>
  </cols>
  <sheetData>
    <row r="1" spans="1:14" ht="15" customHeight="1" x14ac:dyDescent="0.15"/>
    <row r="2" spans="1:14" s="99" customFormat="1" ht="16.5" customHeight="1" x14ac:dyDescent="0.15">
      <c r="A2" s="2858" t="s">
        <v>4253</v>
      </c>
      <c r="B2" s="2859"/>
      <c r="C2" s="2859"/>
      <c r="D2" s="2859"/>
      <c r="E2" s="2859"/>
      <c r="F2" s="2859"/>
      <c r="G2" s="2859"/>
      <c r="H2" s="2859"/>
      <c r="I2" s="2859"/>
      <c r="J2" s="2859"/>
      <c r="K2" s="2859"/>
      <c r="L2" s="759"/>
      <c r="M2" s="759"/>
      <c r="N2" s="759"/>
    </row>
    <row r="3" spans="1:14" ht="6.75" customHeight="1" x14ac:dyDescent="0.15">
      <c r="A3" s="115"/>
      <c r="B3" s="760"/>
      <c r="C3" s="760"/>
    </row>
    <row r="4" spans="1:14" ht="12.75" customHeight="1" x14ac:dyDescent="0.15">
      <c r="A4" s="2351" t="s">
        <v>2034</v>
      </c>
      <c r="B4" s="2615">
        <v>2011</v>
      </c>
      <c r="C4" s="2615"/>
      <c r="D4" s="2615">
        <v>2012</v>
      </c>
      <c r="E4" s="2615"/>
      <c r="F4" s="2615">
        <v>2013</v>
      </c>
      <c r="G4" s="2615"/>
      <c r="H4" s="2615">
        <v>2014</v>
      </c>
      <c r="I4" s="2615"/>
      <c r="J4" s="2374">
        <v>2015</v>
      </c>
      <c r="K4" s="2375"/>
    </row>
    <row r="5" spans="1:14" x14ac:dyDescent="0.15">
      <c r="A5" s="2351"/>
      <c r="B5" s="2060" t="s">
        <v>2002</v>
      </c>
      <c r="C5" s="2060" t="s">
        <v>727</v>
      </c>
      <c r="D5" s="2060" t="s">
        <v>2002</v>
      </c>
      <c r="E5" s="2060" t="s">
        <v>727</v>
      </c>
      <c r="F5" s="2060" t="s">
        <v>2002</v>
      </c>
      <c r="G5" s="2060" t="s">
        <v>727</v>
      </c>
      <c r="H5" s="2060" t="s">
        <v>2002</v>
      </c>
      <c r="I5" s="2060" t="s">
        <v>727</v>
      </c>
      <c r="J5" s="2052" t="s">
        <v>2002</v>
      </c>
      <c r="K5" s="2052" t="s">
        <v>727</v>
      </c>
    </row>
    <row r="6" spans="1:14" x14ac:dyDescent="0.15">
      <c r="A6" s="2056" t="s">
        <v>141</v>
      </c>
      <c r="B6" s="467">
        <f t="shared" ref="B6:K6" si="0">SUM(B7:B21)</f>
        <v>5720</v>
      </c>
      <c r="C6" s="790">
        <f t="shared" si="0"/>
        <v>1</v>
      </c>
      <c r="D6" s="467">
        <f t="shared" si="0"/>
        <v>6045</v>
      </c>
      <c r="E6" s="790">
        <f t="shared" si="0"/>
        <v>1.0000000000000002</v>
      </c>
      <c r="F6" s="467">
        <f t="shared" si="0"/>
        <v>5952</v>
      </c>
      <c r="G6" s="790">
        <f t="shared" si="0"/>
        <v>1</v>
      </c>
      <c r="H6" s="467">
        <f t="shared" si="0"/>
        <v>5702</v>
      </c>
      <c r="I6" s="790">
        <f t="shared" si="0"/>
        <v>1</v>
      </c>
      <c r="J6" s="467">
        <f t="shared" si="0"/>
        <v>6268</v>
      </c>
      <c r="K6" s="790">
        <f t="shared" si="0"/>
        <v>1</v>
      </c>
      <c r="L6" s="2051"/>
      <c r="M6" s="2051"/>
    </row>
    <row r="7" spans="1:14" x14ac:dyDescent="0.15">
      <c r="A7" s="2059" t="s">
        <v>2035</v>
      </c>
      <c r="B7" s="794">
        <v>261</v>
      </c>
      <c r="C7" s="762">
        <f t="shared" ref="C7:C21" si="1">B7/B$6</f>
        <v>4.5629370629370627E-2</v>
      </c>
      <c r="D7" s="794">
        <v>254</v>
      </c>
      <c r="E7" s="762">
        <f t="shared" ref="E7:E21" si="2">D7/D$6</f>
        <v>4.2018196856906533E-2</v>
      </c>
      <c r="F7" s="795">
        <v>301</v>
      </c>
      <c r="G7" s="762">
        <f t="shared" ref="G7:G21" si="3">F7/F$6</f>
        <v>5.0571236559139782E-2</v>
      </c>
      <c r="H7" s="795">
        <v>233</v>
      </c>
      <c r="I7" s="762">
        <f t="shared" ref="I7:I21" si="4">H7/H$6</f>
        <v>4.0862855138547878E-2</v>
      </c>
      <c r="J7" s="804">
        <v>245</v>
      </c>
      <c r="K7" s="762">
        <f t="shared" ref="K7:K21" si="5">J7/J$6</f>
        <v>3.9087428206764516E-2</v>
      </c>
      <c r="L7" s="2051"/>
      <c r="M7" s="2051"/>
    </row>
    <row r="8" spans="1:14" x14ac:dyDescent="0.15">
      <c r="A8" s="2059" t="s">
        <v>2036</v>
      </c>
      <c r="B8" s="794">
        <v>157</v>
      </c>
      <c r="C8" s="762">
        <f t="shared" si="1"/>
        <v>2.7447552447552447E-2</v>
      </c>
      <c r="D8" s="794">
        <v>219</v>
      </c>
      <c r="E8" s="762">
        <f t="shared" si="2"/>
        <v>3.6228287841191066E-2</v>
      </c>
      <c r="F8" s="795">
        <v>233</v>
      </c>
      <c r="G8" s="762">
        <f t="shared" si="3"/>
        <v>3.9146505376344086E-2</v>
      </c>
      <c r="H8" s="795">
        <v>230</v>
      </c>
      <c r="I8" s="762">
        <f t="shared" si="4"/>
        <v>4.033672395650649E-2</v>
      </c>
      <c r="J8" s="804">
        <v>254</v>
      </c>
      <c r="K8" s="762">
        <f t="shared" si="5"/>
        <v>4.0523292916400763E-2</v>
      </c>
      <c r="L8" s="2051"/>
      <c r="M8" s="2051"/>
    </row>
    <row r="9" spans="1:14" x14ac:dyDescent="0.15">
      <c r="A9" s="2059" t="s">
        <v>2037</v>
      </c>
      <c r="B9" s="794">
        <v>204</v>
      </c>
      <c r="C9" s="762">
        <f t="shared" si="1"/>
        <v>3.5664335664335661E-2</v>
      </c>
      <c r="D9" s="794">
        <v>89</v>
      </c>
      <c r="E9" s="762">
        <f t="shared" si="2"/>
        <v>1.4722911497105046E-2</v>
      </c>
      <c r="F9" s="795">
        <v>121</v>
      </c>
      <c r="G9" s="762">
        <f t="shared" si="3"/>
        <v>2.0329301075268816E-2</v>
      </c>
      <c r="H9" s="795">
        <v>186</v>
      </c>
      <c r="I9" s="762">
        <f t="shared" si="4"/>
        <v>3.2620133286566121E-2</v>
      </c>
      <c r="J9" s="804">
        <v>190</v>
      </c>
      <c r="K9" s="762">
        <f t="shared" si="5"/>
        <v>3.0312699425654115E-2</v>
      </c>
      <c r="L9" s="2051"/>
      <c r="M9" s="2051"/>
    </row>
    <row r="10" spans="1:14" x14ac:dyDescent="0.15">
      <c r="A10" s="2059" t="s">
        <v>2038</v>
      </c>
      <c r="B10" s="794">
        <v>393</v>
      </c>
      <c r="C10" s="762">
        <f t="shared" si="1"/>
        <v>6.8706293706293706E-2</v>
      </c>
      <c r="D10" s="794">
        <v>465</v>
      </c>
      <c r="E10" s="762">
        <f t="shared" si="2"/>
        <v>7.6923076923076927E-2</v>
      </c>
      <c r="F10" s="794">
        <v>545</v>
      </c>
      <c r="G10" s="762">
        <f t="shared" si="3"/>
        <v>9.1565860215053765E-2</v>
      </c>
      <c r="H10" s="794">
        <v>601</v>
      </c>
      <c r="I10" s="762">
        <f t="shared" si="4"/>
        <v>0.10540161346895827</v>
      </c>
      <c r="J10" s="804">
        <v>547</v>
      </c>
      <c r="K10" s="762">
        <f t="shared" si="5"/>
        <v>8.7268666241225271E-2</v>
      </c>
      <c r="L10" s="2051"/>
      <c r="M10" s="2051"/>
    </row>
    <row r="11" spans="1:14" x14ac:dyDescent="0.15">
      <c r="A11" s="2059" t="s">
        <v>2039</v>
      </c>
      <c r="B11" s="794">
        <v>90</v>
      </c>
      <c r="C11" s="762">
        <f t="shared" si="1"/>
        <v>1.5734265734265736E-2</v>
      </c>
      <c r="D11" s="794">
        <v>88</v>
      </c>
      <c r="E11" s="762">
        <f t="shared" si="2"/>
        <v>1.4557485525227461E-2</v>
      </c>
      <c r="F11" s="794">
        <v>106</v>
      </c>
      <c r="G11" s="762">
        <f t="shared" si="3"/>
        <v>1.7809139784946238E-2</v>
      </c>
      <c r="H11" s="794">
        <v>102</v>
      </c>
      <c r="I11" s="762">
        <f t="shared" si="4"/>
        <v>1.7888460189407224E-2</v>
      </c>
      <c r="J11" s="804">
        <v>117</v>
      </c>
      <c r="K11" s="762">
        <f t="shared" si="5"/>
        <v>1.8666241225271218E-2</v>
      </c>
      <c r="L11" s="2051"/>
      <c r="M11" s="2051"/>
    </row>
    <row r="12" spans="1:14" x14ac:dyDescent="0.15">
      <c r="A12" s="2059" t="s">
        <v>2040</v>
      </c>
      <c r="B12" s="794">
        <v>466</v>
      </c>
      <c r="C12" s="762">
        <f t="shared" si="1"/>
        <v>8.1468531468531474E-2</v>
      </c>
      <c r="D12" s="794">
        <v>371</v>
      </c>
      <c r="E12" s="762">
        <f t="shared" si="2"/>
        <v>6.1373035566583953E-2</v>
      </c>
      <c r="F12" s="794">
        <v>366</v>
      </c>
      <c r="G12" s="762">
        <f t="shared" si="3"/>
        <v>6.1491935483870969E-2</v>
      </c>
      <c r="H12" s="794">
        <v>379</v>
      </c>
      <c r="I12" s="762">
        <f t="shared" si="4"/>
        <v>6.6467905997895468E-2</v>
      </c>
      <c r="J12" s="804">
        <v>327</v>
      </c>
      <c r="K12" s="762">
        <f t="shared" si="5"/>
        <v>5.2169751116783666E-2</v>
      </c>
      <c r="L12" s="2051"/>
      <c r="M12" s="2051"/>
    </row>
    <row r="13" spans="1:14" x14ac:dyDescent="0.15">
      <c r="A13" s="2059" t="s">
        <v>2041</v>
      </c>
      <c r="B13" s="794">
        <v>40</v>
      </c>
      <c r="C13" s="762">
        <f t="shared" si="1"/>
        <v>6.993006993006993E-3</v>
      </c>
      <c r="D13" s="794">
        <v>33</v>
      </c>
      <c r="E13" s="762">
        <f t="shared" si="2"/>
        <v>5.4590570719602978E-3</v>
      </c>
      <c r="F13" s="794">
        <v>42</v>
      </c>
      <c r="G13" s="762">
        <f t="shared" si="3"/>
        <v>7.0564516129032256E-3</v>
      </c>
      <c r="H13" s="794">
        <v>27</v>
      </c>
      <c r="I13" s="762">
        <f t="shared" si="4"/>
        <v>4.735180638372501E-3</v>
      </c>
      <c r="J13" s="794">
        <v>55</v>
      </c>
      <c r="K13" s="762">
        <f t="shared" si="5"/>
        <v>8.7747287811104028E-3</v>
      </c>
      <c r="L13" s="2051"/>
      <c r="M13" s="2051"/>
    </row>
    <row r="14" spans="1:14" x14ac:dyDescent="0.15">
      <c r="A14" s="2059" t="s">
        <v>2042</v>
      </c>
      <c r="B14" s="794">
        <v>816</v>
      </c>
      <c r="C14" s="762">
        <f t="shared" si="1"/>
        <v>0.14265734265734265</v>
      </c>
      <c r="D14" s="794">
        <v>1420</v>
      </c>
      <c r="E14" s="762">
        <f t="shared" si="2"/>
        <v>0.23490488006617039</v>
      </c>
      <c r="F14" s="796">
        <v>940</v>
      </c>
      <c r="G14" s="762">
        <f t="shared" si="3"/>
        <v>0.15793010752688172</v>
      </c>
      <c r="H14" s="796">
        <v>592</v>
      </c>
      <c r="I14" s="762">
        <f t="shared" si="4"/>
        <v>0.1038232199228341</v>
      </c>
      <c r="J14" s="804">
        <v>747</v>
      </c>
      <c r="K14" s="762">
        <f t="shared" si="5"/>
        <v>0.11917677089980855</v>
      </c>
      <c r="L14" s="2051"/>
      <c r="M14" s="2051"/>
    </row>
    <row r="15" spans="1:14" x14ac:dyDescent="0.15">
      <c r="A15" s="2059" t="s">
        <v>2043</v>
      </c>
      <c r="B15" s="794">
        <v>9</v>
      </c>
      <c r="C15" s="762">
        <f t="shared" si="1"/>
        <v>1.5734265734265735E-3</v>
      </c>
      <c r="D15" s="794">
        <v>19</v>
      </c>
      <c r="E15" s="762">
        <f t="shared" si="2"/>
        <v>3.1430934656741108E-3</v>
      </c>
      <c r="F15" s="794">
        <v>6</v>
      </c>
      <c r="G15" s="762">
        <f t="shared" si="3"/>
        <v>1.0080645161290322E-3</v>
      </c>
      <c r="H15" s="794">
        <v>6</v>
      </c>
      <c r="I15" s="762">
        <f t="shared" si="4"/>
        <v>1.052262364082778E-3</v>
      </c>
      <c r="J15" s="804">
        <v>13</v>
      </c>
      <c r="K15" s="762">
        <f t="shared" si="5"/>
        <v>2.0740268028079131E-3</v>
      </c>
      <c r="L15" s="2051"/>
      <c r="M15" s="2051"/>
    </row>
    <row r="16" spans="1:14" x14ac:dyDescent="0.15">
      <c r="A16" s="2059" t="s">
        <v>2044</v>
      </c>
      <c r="B16" s="794">
        <v>63</v>
      </c>
      <c r="C16" s="762">
        <f t="shared" si="1"/>
        <v>1.1013986013986014E-2</v>
      </c>
      <c r="D16" s="794">
        <v>100</v>
      </c>
      <c r="E16" s="762">
        <f t="shared" si="2"/>
        <v>1.6542597187758478E-2</v>
      </c>
      <c r="F16" s="794">
        <v>78</v>
      </c>
      <c r="G16" s="762">
        <f t="shared" si="3"/>
        <v>1.310483870967742E-2</v>
      </c>
      <c r="H16" s="794">
        <v>35</v>
      </c>
      <c r="I16" s="762">
        <f t="shared" si="4"/>
        <v>6.1381971238162044E-3</v>
      </c>
      <c r="J16" s="804">
        <v>37</v>
      </c>
      <c r="K16" s="762">
        <f t="shared" si="5"/>
        <v>5.9029993618379068E-3</v>
      </c>
      <c r="L16" s="2051"/>
      <c r="M16" s="2051"/>
    </row>
    <row r="17" spans="1:256" x14ac:dyDescent="0.15">
      <c r="A17" s="2059" t="s">
        <v>2045</v>
      </c>
      <c r="B17" s="794">
        <v>163</v>
      </c>
      <c r="C17" s="762">
        <f t="shared" si="1"/>
        <v>2.8496503496503497E-2</v>
      </c>
      <c r="D17" s="794">
        <v>189</v>
      </c>
      <c r="E17" s="762">
        <f t="shared" si="2"/>
        <v>3.1265508684863524E-2</v>
      </c>
      <c r="F17" s="794">
        <v>84</v>
      </c>
      <c r="G17" s="762">
        <f t="shared" si="3"/>
        <v>1.4112903225806451E-2</v>
      </c>
      <c r="H17" s="794">
        <v>122</v>
      </c>
      <c r="I17" s="762">
        <f t="shared" si="4"/>
        <v>2.1396001403016486E-2</v>
      </c>
      <c r="J17" s="804">
        <v>153</v>
      </c>
      <c r="K17" s="762">
        <f t="shared" si="5"/>
        <v>2.4409700063816209E-2</v>
      </c>
      <c r="L17" s="2051"/>
      <c r="M17" s="2051"/>
    </row>
    <row r="18" spans="1:256" x14ac:dyDescent="0.15">
      <c r="A18" s="2059" t="s">
        <v>2046</v>
      </c>
      <c r="B18" s="794">
        <v>333</v>
      </c>
      <c r="C18" s="762">
        <f t="shared" si="1"/>
        <v>5.8216783216783217E-2</v>
      </c>
      <c r="D18" s="794">
        <v>317</v>
      </c>
      <c r="E18" s="762">
        <f t="shared" si="2"/>
        <v>5.2440033085194376E-2</v>
      </c>
      <c r="F18" s="794">
        <v>274</v>
      </c>
      <c r="G18" s="762">
        <f t="shared" si="3"/>
        <v>4.6034946236559141E-2</v>
      </c>
      <c r="H18" s="794">
        <v>310</v>
      </c>
      <c r="I18" s="762">
        <f t="shared" si="4"/>
        <v>5.436688881094353E-2</v>
      </c>
      <c r="J18" s="804">
        <v>358</v>
      </c>
      <c r="K18" s="762">
        <f t="shared" si="5"/>
        <v>5.7115507338864072E-2</v>
      </c>
      <c r="L18" s="2051"/>
      <c r="M18" s="2051"/>
    </row>
    <row r="19" spans="1:256" x14ac:dyDescent="0.15">
      <c r="A19" s="2059" t="s">
        <v>2047</v>
      </c>
      <c r="B19" s="794">
        <v>326</v>
      </c>
      <c r="C19" s="762">
        <f t="shared" si="1"/>
        <v>5.6993006993006995E-2</v>
      </c>
      <c r="D19" s="794">
        <v>352</v>
      </c>
      <c r="E19" s="762">
        <f t="shared" si="2"/>
        <v>5.8229942100909843E-2</v>
      </c>
      <c r="F19" s="794">
        <v>352</v>
      </c>
      <c r="G19" s="762">
        <f t="shared" si="3"/>
        <v>5.9139784946236562E-2</v>
      </c>
      <c r="H19" s="794">
        <v>413</v>
      </c>
      <c r="I19" s="762">
        <f t="shared" si="4"/>
        <v>7.2430726061031223E-2</v>
      </c>
      <c r="J19" s="796">
        <v>449</v>
      </c>
      <c r="K19" s="762">
        <f t="shared" si="5"/>
        <v>7.163369495851947E-2</v>
      </c>
      <c r="L19" s="2051"/>
      <c r="M19" s="2051"/>
    </row>
    <row r="20" spans="1:256" x14ac:dyDescent="0.15">
      <c r="A20" s="2059" t="s">
        <v>2048</v>
      </c>
      <c r="B20" s="796">
        <v>2088</v>
      </c>
      <c r="C20" s="762">
        <f t="shared" si="1"/>
        <v>0.36503496503496502</v>
      </c>
      <c r="D20" s="796">
        <v>1878</v>
      </c>
      <c r="E20" s="762">
        <f t="shared" si="2"/>
        <v>0.31066997518610423</v>
      </c>
      <c r="F20" s="796">
        <v>2142</v>
      </c>
      <c r="G20" s="762">
        <f t="shared" si="3"/>
        <v>0.3598790322580645</v>
      </c>
      <c r="H20" s="796">
        <v>2163</v>
      </c>
      <c r="I20" s="762">
        <f t="shared" si="4"/>
        <v>0.37934058225184147</v>
      </c>
      <c r="J20" s="796">
        <v>2452</v>
      </c>
      <c r="K20" s="762">
        <f t="shared" si="5"/>
        <v>0.39119336311423103</v>
      </c>
      <c r="L20" s="2051"/>
      <c r="M20" s="2051"/>
    </row>
    <row r="21" spans="1:256" x14ac:dyDescent="0.15">
      <c r="A21" s="2059" t="s">
        <v>2049</v>
      </c>
      <c r="B21" s="794">
        <v>311</v>
      </c>
      <c r="C21" s="762">
        <f t="shared" si="1"/>
        <v>5.4370629370629371E-2</v>
      </c>
      <c r="D21" s="794">
        <v>251</v>
      </c>
      <c r="E21" s="762">
        <f t="shared" si="2"/>
        <v>4.1521918941273779E-2</v>
      </c>
      <c r="F21" s="795">
        <v>362</v>
      </c>
      <c r="G21" s="762">
        <f t="shared" si="3"/>
        <v>6.0819892473118281E-2</v>
      </c>
      <c r="H21" s="795">
        <v>303</v>
      </c>
      <c r="I21" s="762">
        <f t="shared" si="4"/>
        <v>5.3139249386180289E-2</v>
      </c>
      <c r="J21" s="796">
        <v>324</v>
      </c>
      <c r="K21" s="762">
        <f t="shared" si="5"/>
        <v>5.1691129546904913E-2</v>
      </c>
      <c r="L21" s="2051"/>
      <c r="M21" s="2051"/>
    </row>
    <row r="22" spans="1:256" x14ac:dyDescent="0.15">
      <c r="A22" s="2050"/>
      <c r="B22" s="2050"/>
      <c r="C22" s="2050"/>
      <c r="D22" s="2051"/>
      <c r="E22" s="2051"/>
      <c r="F22" s="2051"/>
      <c r="G22" s="2051"/>
      <c r="H22" s="2051"/>
      <c r="I22" s="2051"/>
      <c r="J22" s="2051"/>
      <c r="K22" s="2051"/>
      <c r="L22" s="2051"/>
      <c r="M22" s="2051"/>
    </row>
    <row r="23" spans="1:256" ht="24" customHeight="1" x14ac:dyDescent="0.15">
      <c r="A23" s="2857" t="s">
        <v>2003</v>
      </c>
      <c r="B23" s="2857"/>
      <c r="C23" s="2857"/>
      <c r="D23" s="2857"/>
      <c r="E23" s="2857"/>
      <c r="F23" s="2857"/>
      <c r="G23" s="2857"/>
      <c r="H23" s="2857"/>
      <c r="I23" s="2857"/>
      <c r="J23" s="2857"/>
      <c r="K23" s="2857"/>
      <c r="L23" s="175"/>
      <c r="M23" s="175"/>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x14ac:dyDescent="0.15">
      <c r="A24" s="2477" t="s">
        <v>2004</v>
      </c>
      <c r="B24" s="2477"/>
      <c r="C24" s="2477"/>
      <c r="D24" s="2477"/>
      <c r="E24" s="2477"/>
      <c r="F24" s="2477"/>
      <c r="G24" s="2477"/>
      <c r="H24" s="2477"/>
      <c r="I24" s="2477"/>
      <c r="J24" s="2477"/>
      <c r="K24" s="2477"/>
      <c r="L24" s="2477"/>
      <c r="M24" s="2477"/>
    </row>
    <row r="25" spans="1:256" x14ac:dyDescent="0.15">
      <c r="A25" s="2051"/>
      <c r="B25" s="2051"/>
      <c r="C25" s="2051"/>
      <c r="D25" s="2051"/>
      <c r="E25" s="2051"/>
      <c r="F25" s="2051"/>
      <c r="G25" s="2051"/>
      <c r="H25" s="2051"/>
      <c r="I25" s="2051"/>
      <c r="J25" s="2051"/>
      <c r="K25" s="2051"/>
      <c r="L25" s="2051"/>
      <c r="M25" s="2051"/>
    </row>
    <row r="26" spans="1:256" x14ac:dyDescent="0.15">
      <c r="A26" s="2051"/>
      <c r="B26" s="2051"/>
      <c r="C26" s="2051"/>
      <c r="D26" s="2051"/>
      <c r="E26" s="2051"/>
      <c r="F26" s="2051"/>
      <c r="G26" s="2051"/>
      <c r="H26" s="2051"/>
      <c r="I26" s="2051"/>
      <c r="J26" s="2051"/>
      <c r="K26" s="2051"/>
      <c r="L26" s="2051"/>
      <c r="M26" s="2051"/>
    </row>
    <row r="27" spans="1:256" x14ac:dyDescent="0.15">
      <c r="A27" s="2051"/>
      <c r="B27" s="2051"/>
      <c r="C27" s="2051"/>
      <c r="D27" s="2051"/>
      <c r="E27" s="2051"/>
      <c r="F27" s="2051"/>
      <c r="G27" s="2051"/>
      <c r="H27" s="2051"/>
      <c r="I27" s="2051"/>
      <c r="J27" s="2051"/>
      <c r="K27" s="2051"/>
      <c r="L27" s="2051"/>
      <c r="M27" s="2051"/>
    </row>
    <row r="28" spans="1:256" x14ac:dyDescent="0.15">
      <c r="A28" s="2051"/>
      <c r="B28" s="2051"/>
      <c r="C28" s="2051"/>
      <c r="D28" s="2051"/>
      <c r="E28" s="2051"/>
      <c r="F28" s="2051"/>
      <c r="G28" s="2051"/>
      <c r="H28" s="2051"/>
      <c r="I28" s="2051"/>
      <c r="J28" s="2051"/>
      <c r="K28" s="2051"/>
      <c r="L28" s="2051"/>
      <c r="M28" s="2051"/>
    </row>
  </sheetData>
  <mergeCells count="9">
    <mergeCell ref="A23:K23"/>
    <mergeCell ref="A24:M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N18"/>
  <sheetViews>
    <sheetView zoomScaleNormal="100" workbookViewId="0">
      <selection activeCell="A4" sqref="A4:K10"/>
    </sheetView>
  </sheetViews>
  <sheetFormatPr baseColWidth="10" defaultColWidth="9.140625" defaultRowHeight="10.5" x14ac:dyDescent="0.15"/>
  <cols>
    <col min="1" max="1" width="9.42578125" style="97" bestFit="1" customWidth="1"/>
    <col min="2" max="2" width="16" style="97" customWidth="1"/>
    <col min="3" max="3" width="15.5703125" style="97" customWidth="1"/>
    <col min="4" max="4" width="13.7109375" style="97" customWidth="1"/>
    <col min="5" max="5" width="11.42578125" style="97" customWidth="1"/>
    <col min="6" max="6" width="9.140625" style="97"/>
    <col min="7" max="7" width="11.85546875" style="97" customWidth="1"/>
    <col min="8" max="8" width="9.140625" style="97"/>
    <col min="9" max="9" width="11.28515625" style="97" customWidth="1"/>
    <col min="10" max="10" width="10.28515625" style="97" customWidth="1"/>
    <col min="11" max="11" width="11.28515625" style="97" customWidth="1"/>
    <col min="12" max="12" width="9.140625" style="97"/>
    <col min="13" max="13" width="12.140625" style="97" customWidth="1"/>
    <col min="14" max="16384" width="9.140625" style="97"/>
  </cols>
  <sheetData>
    <row r="1" spans="1:14" ht="15" customHeight="1" x14ac:dyDescent="0.15"/>
    <row r="2" spans="1:14" s="99" customFormat="1" ht="25.5" customHeight="1" x14ac:dyDescent="0.15">
      <c r="A2" s="2858" t="s">
        <v>4254</v>
      </c>
      <c r="B2" s="2859"/>
      <c r="C2" s="2859"/>
      <c r="D2" s="2859"/>
      <c r="E2" s="2859"/>
      <c r="F2" s="2859"/>
      <c r="G2" s="2859"/>
      <c r="H2" s="2859"/>
      <c r="I2" s="2859"/>
      <c r="J2" s="2859"/>
      <c r="K2" s="2859"/>
      <c r="L2" s="759"/>
      <c r="M2" s="759"/>
      <c r="N2" s="759"/>
    </row>
    <row r="3" spans="1:14" ht="15" customHeight="1" x14ac:dyDescent="0.15">
      <c r="A3" s="115"/>
      <c r="B3" s="760"/>
      <c r="C3" s="760"/>
    </row>
    <row r="4" spans="1:14" ht="12.75" customHeight="1" x14ac:dyDescent="0.15">
      <c r="A4" s="2351" t="s">
        <v>1897</v>
      </c>
      <c r="B4" s="2615">
        <v>2011</v>
      </c>
      <c r="C4" s="2615"/>
      <c r="D4" s="2615">
        <v>2012</v>
      </c>
      <c r="E4" s="2615"/>
      <c r="F4" s="2880">
        <v>2013</v>
      </c>
      <c r="G4" s="2880"/>
      <c r="H4" s="2880">
        <v>2014</v>
      </c>
      <c r="I4" s="2880"/>
      <c r="J4" s="2374">
        <v>2015</v>
      </c>
      <c r="K4" s="2375"/>
    </row>
    <row r="5" spans="1:14" ht="21.75" customHeight="1" x14ac:dyDescent="0.15">
      <c r="A5" s="2351"/>
      <c r="B5" s="2060" t="s">
        <v>2002</v>
      </c>
      <c r="C5" s="2060" t="s">
        <v>727</v>
      </c>
      <c r="D5" s="2060" t="s">
        <v>2002</v>
      </c>
      <c r="E5" s="2060" t="s">
        <v>727</v>
      </c>
      <c r="F5" s="2060" t="s">
        <v>2002</v>
      </c>
      <c r="G5" s="2060" t="s">
        <v>727</v>
      </c>
      <c r="H5" s="2060" t="s">
        <v>2002</v>
      </c>
      <c r="I5" s="2060" t="s">
        <v>727</v>
      </c>
      <c r="J5" s="2060" t="s">
        <v>2002</v>
      </c>
      <c r="K5" s="2060" t="s">
        <v>727</v>
      </c>
    </row>
    <row r="6" spans="1:14" x14ac:dyDescent="0.15">
      <c r="A6" s="2056" t="s">
        <v>141</v>
      </c>
      <c r="B6" s="467">
        <f t="shared" ref="B6:K6" si="0">SUM(B7:B10)</f>
        <v>1340</v>
      </c>
      <c r="C6" s="790">
        <f t="shared" si="0"/>
        <v>1</v>
      </c>
      <c r="D6" s="467">
        <f t="shared" si="0"/>
        <v>1184</v>
      </c>
      <c r="E6" s="790">
        <f t="shared" si="0"/>
        <v>1</v>
      </c>
      <c r="F6" s="467">
        <f t="shared" si="0"/>
        <v>1450</v>
      </c>
      <c r="G6" s="790">
        <f t="shared" si="0"/>
        <v>1</v>
      </c>
      <c r="H6" s="467">
        <f t="shared" si="0"/>
        <v>1455</v>
      </c>
      <c r="I6" s="790">
        <f t="shared" si="0"/>
        <v>1</v>
      </c>
      <c r="J6" s="467">
        <f t="shared" si="0"/>
        <v>1661</v>
      </c>
      <c r="K6" s="790">
        <f t="shared" si="0"/>
        <v>1</v>
      </c>
    </row>
    <row r="7" spans="1:14" x14ac:dyDescent="0.15">
      <c r="A7" s="2059" t="s">
        <v>1921</v>
      </c>
      <c r="B7" s="797">
        <v>290</v>
      </c>
      <c r="C7" s="762">
        <f>B7/B$6</f>
        <v>0.21641791044776118</v>
      </c>
      <c r="D7" s="797">
        <v>279</v>
      </c>
      <c r="E7" s="762">
        <f>D7/D$6</f>
        <v>0.23564189189189189</v>
      </c>
      <c r="F7" s="798">
        <v>326</v>
      </c>
      <c r="G7" s="762">
        <f>F7/F$6</f>
        <v>0.22482758620689655</v>
      </c>
      <c r="H7" s="798">
        <v>354</v>
      </c>
      <c r="I7" s="762">
        <f>H7/H$6</f>
        <v>0.24329896907216494</v>
      </c>
      <c r="J7" s="804">
        <v>360</v>
      </c>
      <c r="K7" s="762">
        <f>J7/J$6</f>
        <v>0.21673690547862734</v>
      </c>
    </row>
    <row r="8" spans="1:14" x14ac:dyDescent="0.15">
      <c r="A8" s="2059" t="s">
        <v>2050</v>
      </c>
      <c r="B8" s="797">
        <v>378</v>
      </c>
      <c r="C8" s="762">
        <f>B8/B$6</f>
        <v>0.282089552238806</v>
      </c>
      <c r="D8" s="797">
        <v>373</v>
      </c>
      <c r="E8" s="762">
        <f>D8/D$6</f>
        <v>0.31503378378378377</v>
      </c>
      <c r="F8" s="798">
        <v>480</v>
      </c>
      <c r="G8" s="762">
        <f>F8/F$6</f>
        <v>0.33103448275862069</v>
      </c>
      <c r="H8" s="798">
        <v>470</v>
      </c>
      <c r="I8" s="762">
        <f>H8/H$6</f>
        <v>0.32302405498281789</v>
      </c>
      <c r="J8" s="804">
        <v>559</v>
      </c>
      <c r="K8" s="762">
        <f>J8/J$6</f>
        <v>0.33654425045153524</v>
      </c>
    </row>
    <row r="9" spans="1:14" ht="21" x14ac:dyDescent="0.15">
      <c r="A9" s="2059" t="s">
        <v>2051</v>
      </c>
      <c r="B9" s="797">
        <v>542</v>
      </c>
      <c r="C9" s="762">
        <f>B9/B$6</f>
        <v>0.40447761194029852</v>
      </c>
      <c r="D9" s="797">
        <v>382</v>
      </c>
      <c r="E9" s="762">
        <f>D9/D$6</f>
        <v>0.32263513513513514</v>
      </c>
      <c r="F9" s="798">
        <v>458</v>
      </c>
      <c r="G9" s="762">
        <f>F9/F$6</f>
        <v>0.31586206896551722</v>
      </c>
      <c r="H9" s="798">
        <v>504</v>
      </c>
      <c r="I9" s="762">
        <f>H9/H$6</f>
        <v>0.34639175257731958</v>
      </c>
      <c r="J9" s="804">
        <v>624</v>
      </c>
      <c r="K9" s="762">
        <f>J9/J$6</f>
        <v>0.3756773028296207</v>
      </c>
    </row>
    <row r="10" spans="1:14" x14ac:dyDescent="0.15">
      <c r="A10" s="2059" t="s">
        <v>2052</v>
      </c>
      <c r="B10" s="797">
        <v>130</v>
      </c>
      <c r="C10" s="762">
        <f>B10/B$6</f>
        <v>9.7014925373134331E-2</v>
      </c>
      <c r="D10" s="797">
        <v>150</v>
      </c>
      <c r="E10" s="762">
        <f>D10/D$6</f>
        <v>0.1266891891891892</v>
      </c>
      <c r="F10" s="798">
        <v>186</v>
      </c>
      <c r="G10" s="762">
        <f>F10/F$6</f>
        <v>0.12827586206896552</v>
      </c>
      <c r="H10" s="798">
        <v>127</v>
      </c>
      <c r="I10" s="762">
        <f>H10/H$6</f>
        <v>8.728522336769759E-2</v>
      </c>
      <c r="J10" s="804">
        <v>118</v>
      </c>
      <c r="K10" s="762">
        <f>J10/J$6</f>
        <v>7.1041541240216735E-2</v>
      </c>
    </row>
    <row r="11" spans="1:14" x14ac:dyDescent="0.15">
      <c r="A11" s="2050"/>
      <c r="B11" s="2051"/>
      <c r="C11" s="2051"/>
      <c r="D11" s="2051"/>
      <c r="E11" s="2051"/>
      <c r="F11" s="2051"/>
      <c r="G11" s="2051"/>
      <c r="H11" s="2051"/>
      <c r="I11" s="2051"/>
      <c r="J11" s="2051"/>
      <c r="K11" s="2051"/>
    </row>
    <row r="12" spans="1:14" s="99" customFormat="1" ht="24.75" customHeight="1" x14ac:dyDescent="0.15">
      <c r="A12" s="2857" t="s">
        <v>2003</v>
      </c>
      <c r="B12" s="2857"/>
      <c r="C12" s="2857"/>
      <c r="D12" s="2857"/>
      <c r="E12" s="2857"/>
      <c r="F12" s="2857"/>
      <c r="G12" s="2857"/>
      <c r="H12" s="2857"/>
      <c r="I12" s="2857"/>
      <c r="J12" s="2857"/>
      <c r="K12" s="2857"/>
      <c r="L12" s="175"/>
      <c r="M12" s="175"/>
    </row>
    <row r="13" spans="1:14" ht="14.25" customHeight="1" x14ac:dyDescent="0.15">
      <c r="A13" s="2477" t="s">
        <v>2004</v>
      </c>
      <c r="B13" s="2477"/>
      <c r="C13" s="2477"/>
      <c r="D13" s="2477"/>
      <c r="E13" s="2477"/>
      <c r="F13" s="2477"/>
      <c r="G13" s="2477"/>
      <c r="H13" s="2477"/>
      <c r="I13" s="2477"/>
      <c r="J13" s="2477"/>
      <c r="K13" s="2477"/>
    </row>
    <row r="14" spans="1:14" x14ac:dyDescent="0.15">
      <c r="A14" s="2051"/>
      <c r="B14" s="2051"/>
      <c r="C14" s="2051"/>
      <c r="D14" s="2051"/>
      <c r="E14" s="2051"/>
      <c r="F14" s="2051"/>
      <c r="G14" s="2051"/>
      <c r="H14" s="2051"/>
      <c r="I14" s="2051"/>
      <c r="J14" s="2051"/>
      <c r="K14" s="2051"/>
    </row>
    <row r="15" spans="1:14" x14ac:dyDescent="0.15">
      <c r="A15" s="2051"/>
      <c r="B15" s="2051"/>
      <c r="C15" s="2051"/>
      <c r="D15" s="2051"/>
      <c r="E15" s="2051"/>
      <c r="F15" s="2051"/>
      <c r="G15" s="2051"/>
      <c r="H15" s="2051"/>
      <c r="I15" s="2051"/>
      <c r="J15" s="2051"/>
      <c r="K15" s="2051"/>
    </row>
    <row r="16" spans="1:14" x14ac:dyDescent="0.15">
      <c r="A16" s="2051"/>
      <c r="B16" s="2051"/>
      <c r="C16" s="2051"/>
      <c r="D16" s="2051"/>
      <c r="E16" s="2051"/>
      <c r="F16" s="2051"/>
      <c r="G16" s="2051"/>
      <c r="H16" s="2051"/>
      <c r="I16" s="2051"/>
      <c r="J16" s="2051"/>
      <c r="K16" s="2051"/>
    </row>
    <row r="17" spans="1:11" x14ac:dyDescent="0.15">
      <c r="A17" s="2051"/>
      <c r="B17" s="2051"/>
      <c r="C17" s="2051"/>
      <c r="D17" s="2051"/>
      <c r="E17" s="2051"/>
      <c r="F17" s="2051"/>
      <c r="G17" s="2051"/>
      <c r="H17" s="2051"/>
      <c r="I17" s="2051"/>
      <c r="J17" s="2051"/>
      <c r="K17" s="2051"/>
    </row>
    <row r="18" spans="1:11" x14ac:dyDescent="0.15">
      <c r="A18" s="2051"/>
      <c r="B18" s="2051"/>
      <c r="C18" s="2051"/>
      <c r="D18" s="2051"/>
      <c r="E18" s="2051"/>
      <c r="F18" s="2051"/>
      <c r="G18" s="2051"/>
      <c r="H18" s="2051"/>
      <c r="I18" s="2051"/>
      <c r="J18" s="2051"/>
      <c r="K18" s="2051"/>
    </row>
  </sheetData>
  <mergeCells count="9">
    <mergeCell ref="A12:K12"/>
    <mergeCell ref="A13:K13"/>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N25"/>
  <sheetViews>
    <sheetView zoomScaleNormal="100" workbookViewId="0">
      <selection activeCell="G29" sqref="G29"/>
    </sheetView>
  </sheetViews>
  <sheetFormatPr baseColWidth="10" defaultColWidth="9.140625" defaultRowHeight="10.5" x14ac:dyDescent="0.15"/>
  <cols>
    <col min="1" max="1" width="19" style="97" customWidth="1"/>
    <col min="2" max="2" width="16" style="97" customWidth="1"/>
    <col min="3" max="3" width="13.28515625" style="97" customWidth="1"/>
    <col min="4" max="4" width="12.85546875" style="97" customWidth="1"/>
    <col min="5" max="5" width="13.140625" style="97" customWidth="1"/>
    <col min="6" max="6" width="9.140625" style="97"/>
    <col min="7" max="7" width="12.5703125" style="97" customWidth="1"/>
    <col min="8" max="8" width="10.28515625" style="97" customWidth="1"/>
    <col min="9" max="9" width="13.140625" style="97" customWidth="1"/>
    <col min="10" max="10" width="9.140625" style="97"/>
    <col min="11" max="11" width="11.5703125" style="97" customWidth="1"/>
    <col min="12" max="12" width="9.140625" style="97"/>
    <col min="13" max="13" width="11.7109375" style="97" customWidth="1"/>
    <col min="14" max="16384" width="9.140625" style="97"/>
  </cols>
  <sheetData>
    <row r="1" spans="1:14" ht="15" customHeight="1" x14ac:dyDescent="0.15"/>
    <row r="2" spans="1:14" s="99" customFormat="1" ht="24.75" customHeight="1" x14ac:dyDescent="0.15">
      <c r="A2" s="2858" t="s">
        <v>4255</v>
      </c>
      <c r="B2" s="2859"/>
      <c r="C2" s="2859"/>
      <c r="D2" s="2859"/>
      <c r="E2" s="2859"/>
      <c r="F2" s="2859"/>
      <c r="G2" s="2859"/>
      <c r="H2" s="2859"/>
      <c r="I2" s="2859"/>
      <c r="J2" s="2859"/>
      <c r="K2" s="2859"/>
      <c r="L2" s="759"/>
      <c r="M2" s="759"/>
      <c r="N2" s="759"/>
    </row>
    <row r="3" spans="1:14" x14ac:dyDescent="0.15">
      <c r="A3" s="115"/>
      <c r="B3" s="760"/>
      <c r="C3" s="760"/>
    </row>
    <row r="4" spans="1:14" ht="12.75" customHeight="1" x14ac:dyDescent="0.15">
      <c r="A4" s="2351" t="s">
        <v>2053</v>
      </c>
      <c r="B4" s="2616">
        <v>2011</v>
      </c>
      <c r="C4" s="2616"/>
      <c r="D4" s="2616">
        <v>2012</v>
      </c>
      <c r="E4" s="2616"/>
      <c r="F4" s="2616">
        <v>2013</v>
      </c>
      <c r="G4" s="2616"/>
      <c r="H4" s="2616">
        <v>2014</v>
      </c>
      <c r="I4" s="2616"/>
      <c r="J4" s="2374">
        <v>2015</v>
      </c>
      <c r="K4" s="2375"/>
    </row>
    <row r="5" spans="1:14" x14ac:dyDescent="0.15">
      <c r="A5" s="2351"/>
      <c r="B5" s="2060" t="s">
        <v>2002</v>
      </c>
      <c r="C5" s="799" t="s">
        <v>727</v>
      </c>
      <c r="D5" s="2060" t="s">
        <v>2002</v>
      </c>
      <c r="E5" s="2060" t="s">
        <v>727</v>
      </c>
      <c r="F5" s="2060" t="s">
        <v>2002</v>
      </c>
      <c r="G5" s="2060" t="s">
        <v>727</v>
      </c>
      <c r="H5" s="2060" t="s">
        <v>2002</v>
      </c>
      <c r="I5" s="2060" t="s">
        <v>727</v>
      </c>
      <c r="J5" s="2052" t="s">
        <v>2002</v>
      </c>
      <c r="K5" s="2052" t="s">
        <v>727</v>
      </c>
    </row>
    <row r="6" spans="1:14" x14ac:dyDescent="0.15">
      <c r="A6" s="2056" t="s">
        <v>141</v>
      </c>
      <c r="B6" s="800">
        <f>SUM(B7:B13)</f>
        <v>921</v>
      </c>
      <c r="C6" s="801">
        <v>1</v>
      </c>
      <c r="D6" s="800">
        <f>SUM(D7:D13)</f>
        <v>607</v>
      </c>
      <c r="E6" s="801">
        <f t="shared" ref="E6:K6" si="0">SUM(E7:E13)</f>
        <v>0.99999999999999989</v>
      </c>
      <c r="F6" s="800">
        <f>SUM(F7:F13)</f>
        <v>900</v>
      </c>
      <c r="G6" s="640">
        <f t="shared" si="0"/>
        <v>1</v>
      </c>
      <c r="H6" s="800">
        <f>SUM(H7:H13)</f>
        <v>742</v>
      </c>
      <c r="I6" s="640">
        <f t="shared" si="0"/>
        <v>1</v>
      </c>
      <c r="J6" s="800">
        <f>SUM(J7:J13)</f>
        <v>812</v>
      </c>
      <c r="K6" s="640">
        <f t="shared" si="0"/>
        <v>1</v>
      </c>
    </row>
    <row r="7" spans="1:14" x14ac:dyDescent="0.15">
      <c r="A7" s="2059" t="s">
        <v>2054</v>
      </c>
      <c r="B7" s="415">
        <v>54</v>
      </c>
      <c r="C7" s="802">
        <f>B7/B$6</f>
        <v>5.8631921824104233E-2</v>
      </c>
      <c r="D7" s="415">
        <v>48</v>
      </c>
      <c r="E7" s="803">
        <f>D7/D$6</f>
        <v>7.907742998352553E-2</v>
      </c>
      <c r="F7" s="829">
        <v>17</v>
      </c>
      <c r="G7" s="803">
        <f>F7/F$6</f>
        <v>1.8888888888888889E-2</v>
      </c>
      <c r="H7" s="829">
        <v>31</v>
      </c>
      <c r="I7" s="803">
        <f>H7/H$6</f>
        <v>4.1778975741239892E-2</v>
      </c>
      <c r="J7" s="804">
        <v>16</v>
      </c>
      <c r="K7" s="803">
        <f>J7/J$6</f>
        <v>1.9704433497536946E-2</v>
      </c>
    </row>
    <row r="8" spans="1:14" x14ac:dyDescent="0.15">
      <c r="A8" s="2059" t="s">
        <v>2055</v>
      </c>
      <c r="B8" s="415">
        <v>12</v>
      </c>
      <c r="C8" s="802">
        <f t="shared" ref="C8:C13" si="1">B8/B$6</f>
        <v>1.3029315960912053E-2</v>
      </c>
      <c r="D8" s="415">
        <v>34</v>
      </c>
      <c r="E8" s="803">
        <f t="shared" ref="E8:E13" si="2">D8/D$6</f>
        <v>5.6013179571663921E-2</v>
      </c>
      <c r="F8" s="829">
        <v>1</v>
      </c>
      <c r="G8" s="803">
        <f t="shared" ref="G8:G13" si="3">F8/F$6</f>
        <v>1.1111111111111111E-3</v>
      </c>
      <c r="H8" s="829">
        <v>6</v>
      </c>
      <c r="I8" s="803">
        <f t="shared" ref="I8:I13" si="4">H8/H$6</f>
        <v>8.0862533692722376E-3</v>
      </c>
      <c r="J8" s="804">
        <v>2</v>
      </c>
      <c r="K8" s="803">
        <f t="shared" ref="K8:K13" si="5">J8/J$6</f>
        <v>2.4630541871921183E-3</v>
      </c>
    </row>
    <row r="9" spans="1:14" x14ac:dyDescent="0.15">
      <c r="A9" s="2059" t="s">
        <v>2056</v>
      </c>
      <c r="B9" s="415">
        <v>5</v>
      </c>
      <c r="C9" s="802">
        <f t="shared" si="1"/>
        <v>5.4288816503800215E-3</v>
      </c>
      <c r="D9" s="415">
        <v>19</v>
      </c>
      <c r="E9" s="803">
        <f t="shared" si="2"/>
        <v>3.130148270181219E-2</v>
      </c>
      <c r="F9" s="829">
        <v>2</v>
      </c>
      <c r="G9" s="803">
        <f t="shared" si="3"/>
        <v>2.2222222222222222E-3</v>
      </c>
      <c r="H9" s="829">
        <v>4</v>
      </c>
      <c r="I9" s="803">
        <f t="shared" si="4"/>
        <v>5.3908355795148251E-3</v>
      </c>
      <c r="J9" s="804">
        <v>5</v>
      </c>
      <c r="K9" s="803">
        <f t="shared" si="5"/>
        <v>6.1576354679802959E-3</v>
      </c>
    </row>
    <row r="10" spans="1:14" x14ac:dyDescent="0.15">
      <c r="A10" s="2059" t="s">
        <v>2057</v>
      </c>
      <c r="B10" s="415">
        <v>747</v>
      </c>
      <c r="C10" s="802">
        <f t="shared" si="1"/>
        <v>0.81107491856677527</v>
      </c>
      <c r="D10" s="415">
        <v>327</v>
      </c>
      <c r="E10" s="803">
        <f t="shared" si="2"/>
        <v>0.53871499176276771</v>
      </c>
      <c r="F10" s="829">
        <v>523</v>
      </c>
      <c r="G10" s="803">
        <f t="shared" si="3"/>
        <v>0.58111111111111113</v>
      </c>
      <c r="H10" s="829">
        <v>502</v>
      </c>
      <c r="I10" s="803">
        <f t="shared" si="4"/>
        <v>0.67654986522911054</v>
      </c>
      <c r="J10" s="804">
        <v>560</v>
      </c>
      <c r="K10" s="803">
        <f t="shared" si="5"/>
        <v>0.68965517241379315</v>
      </c>
    </row>
    <row r="11" spans="1:14" x14ac:dyDescent="0.15">
      <c r="A11" s="2059" t="s">
        <v>1651</v>
      </c>
      <c r="B11" s="415">
        <v>96</v>
      </c>
      <c r="C11" s="802">
        <f t="shared" si="1"/>
        <v>0.10423452768729642</v>
      </c>
      <c r="D11" s="415">
        <v>128</v>
      </c>
      <c r="E11" s="803">
        <f t="shared" si="2"/>
        <v>0.21087314662273476</v>
      </c>
      <c r="F11" s="829">
        <v>246</v>
      </c>
      <c r="G11" s="803">
        <f t="shared" si="3"/>
        <v>0.27333333333333332</v>
      </c>
      <c r="H11" s="829">
        <v>143</v>
      </c>
      <c r="I11" s="803">
        <f t="shared" si="4"/>
        <v>0.19272237196765499</v>
      </c>
      <c r="J11" s="804">
        <v>138</v>
      </c>
      <c r="K11" s="803">
        <f t="shared" si="5"/>
        <v>0.16995073891625614</v>
      </c>
    </row>
    <row r="12" spans="1:14" x14ac:dyDescent="0.15">
      <c r="A12" s="2059" t="s">
        <v>2058</v>
      </c>
      <c r="B12" s="415" t="s">
        <v>181</v>
      </c>
      <c r="C12" s="802" t="s">
        <v>181</v>
      </c>
      <c r="D12" s="415" t="s">
        <v>181</v>
      </c>
      <c r="E12" s="803" t="s">
        <v>181</v>
      </c>
      <c r="F12" s="829">
        <v>79</v>
      </c>
      <c r="G12" s="803">
        <f t="shared" si="3"/>
        <v>8.7777777777777774E-2</v>
      </c>
      <c r="H12" s="829">
        <v>31</v>
      </c>
      <c r="I12" s="803">
        <f t="shared" si="4"/>
        <v>4.1778975741239892E-2</v>
      </c>
      <c r="J12" s="804">
        <v>14</v>
      </c>
      <c r="K12" s="803">
        <f t="shared" si="5"/>
        <v>1.7241379310344827E-2</v>
      </c>
    </row>
    <row r="13" spans="1:14" x14ac:dyDescent="0.15">
      <c r="A13" s="2059" t="s">
        <v>1341</v>
      </c>
      <c r="B13" s="415">
        <v>7</v>
      </c>
      <c r="C13" s="802">
        <f t="shared" si="1"/>
        <v>7.6004343105320303E-3</v>
      </c>
      <c r="D13" s="415">
        <v>51</v>
      </c>
      <c r="E13" s="803">
        <f t="shared" si="2"/>
        <v>8.4019769357495888E-2</v>
      </c>
      <c r="F13" s="829">
        <v>32</v>
      </c>
      <c r="G13" s="803">
        <f t="shared" si="3"/>
        <v>3.5555555555555556E-2</v>
      </c>
      <c r="H13" s="829">
        <v>25</v>
      </c>
      <c r="I13" s="803">
        <f t="shared" si="4"/>
        <v>3.3692722371967652E-2</v>
      </c>
      <c r="J13" s="829">
        <v>77</v>
      </c>
      <c r="K13" s="803">
        <f t="shared" si="5"/>
        <v>9.4827586206896547E-2</v>
      </c>
    </row>
    <row r="14" spans="1:14" x14ac:dyDescent="0.15">
      <c r="A14" s="2059"/>
      <c r="B14" s="415"/>
      <c r="C14" s="802"/>
      <c r="D14" s="415"/>
      <c r="E14" s="803"/>
      <c r="F14" s="829"/>
      <c r="G14" s="803"/>
      <c r="H14" s="829"/>
      <c r="I14" s="803"/>
      <c r="J14" s="804"/>
      <c r="K14" s="803"/>
    </row>
    <row r="15" spans="1:14" ht="12.75" customHeight="1" x14ac:dyDescent="0.15">
      <c r="A15" s="2612" t="s">
        <v>184</v>
      </c>
      <c r="B15" s="2612"/>
      <c r="C15" s="2612"/>
      <c r="D15" s="2612"/>
      <c r="E15" s="2612"/>
      <c r="F15" s="2612"/>
      <c r="G15" s="2612"/>
      <c r="H15" s="2612"/>
      <c r="I15" s="2612"/>
      <c r="J15" s="2612"/>
      <c r="K15" s="2612"/>
    </row>
    <row r="16" spans="1:14" s="99" customFormat="1" ht="24" customHeight="1" x14ac:dyDescent="0.15">
      <c r="A16" s="2857" t="s">
        <v>2003</v>
      </c>
      <c r="B16" s="2857"/>
      <c r="C16" s="2857"/>
      <c r="D16" s="2857"/>
      <c r="E16" s="2857"/>
      <c r="F16" s="2857"/>
      <c r="G16" s="2857"/>
      <c r="H16" s="2857"/>
      <c r="I16" s="2857"/>
      <c r="J16" s="2857"/>
      <c r="K16" s="2857"/>
      <c r="L16" s="175"/>
      <c r="M16" s="175"/>
    </row>
    <row r="17" spans="1:11" x14ac:dyDescent="0.15">
      <c r="A17" s="2881" t="s">
        <v>2004</v>
      </c>
      <c r="B17" s="2881"/>
      <c r="C17" s="2881"/>
      <c r="D17" s="2881"/>
      <c r="E17" s="2881"/>
      <c r="F17" s="2881"/>
      <c r="G17" s="2881"/>
      <c r="H17" s="2881"/>
      <c r="I17" s="2881"/>
      <c r="J17" s="2881"/>
      <c r="K17" s="2881"/>
    </row>
    <row r="18" spans="1:11" x14ac:dyDescent="0.15">
      <c r="A18" s="2051"/>
      <c r="B18" s="2051"/>
      <c r="C18" s="2051"/>
      <c r="D18" s="2051"/>
      <c r="E18" s="2051"/>
      <c r="F18" s="2051"/>
      <c r="G18" s="2051"/>
      <c r="H18" s="2051"/>
      <c r="I18" s="2051"/>
      <c r="J18" s="2051"/>
      <c r="K18" s="2051"/>
    </row>
    <row r="19" spans="1:11" x14ac:dyDescent="0.15">
      <c r="A19" s="2051"/>
      <c r="B19" s="2051"/>
      <c r="C19" s="2051"/>
      <c r="D19" s="2051"/>
      <c r="E19" s="2051"/>
      <c r="F19" s="2051"/>
      <c r="G19" s="2051"/>
      <c r="H19" s="2051"/>
      <c r="I19" s="2051"/>
      <c r="J19" s="2051"/>
      <c r="K19" s="2051"/>
    </row>
    <row r="20" spans="1:11" x14ac:dyDescent="0.15">
      <c r="A20" s="2051"/>
      <c r="B20" s="2051"/>
      <c r="C20" s="2051"/>
      <c r="D20" s="2051"/>
      <c r="E20" s="2051"/>
      <c r="F20" s="2051"/>
      <c r="G20" s="2051"/>
      <c r="H20" s="2051"/>
      <c r="I20" s="2051"/>
      <c r="J20" s="2051"/>
      <c r="K20" s="2051"/>
    </row>
    <row r="21" spans="1:11" x14ac:dyDescent="0.15">
      <c r="A21" s="2051"/>
      <c r="B21" s="2051"/>
      <c r="C21" s="2051"/>
      <c r="D21" s="2051"/>
      <c r="E21" s="2051"/>
      <c r="F21" s="2051"/>
      <c r="G21" s="2051"/>
      <c r="H21" s="2051"/>
      <c r="I21" s="2051"/>
      <c r="J21" s="2051"/>
      <c r="K21" s="2051"/>
    </row>
    <row r="22" spans="1:11" x14ac:dyDescent="0.15">
      <c r="A22" s="2051"/>
      <c r="B22" s="2051"/>
      <c r="C22" s="2051"/>
      <c r="D22" s="2051"/>
      <c r="E22" s="2051"/>
      <c r="F22" s="2051"/>
      <c r="G22" s="2051"/>
      <c r="H22" s="2051"/>
      <c r="I22" s="2051"/>
      <c r="J22" s="2051"/>
      <c r="K22" s="2051"/>
    </row>
    <row r="23" spans="1:11" x14ac:dyDescent="0.15">
      <c r="A23" s="2051"/>
      <c r="B23" s="2051"/>
      <c r="C23" s="2051"/>
      <c r="D23" s="2051"/>
      <c r="E23" s="2051"/>
      <c r="F23" s="2051"/>
      <c r="G23" s="2051"/>
      <c r="H23" s="2051"/>
      <c r="I23" s="2051"/>
      <c r="J23" s="2051"/>
      <c r="K23" s="2051"/>
    </row>
    <row r="24" spans="1:11" x14ac:dyDescent="0.15">
      <c r="A24" s="2051"/>
      <c r="B24" s="2051"/>
      <c r="C24" s="2051"/>
      <c r="D24" s="2051"/>
      <c r="E24" s="2051"/>
      <c r="F24" s="2051"/>
      <c r="G24" s="2051"/>
      <c r="H24" s="2051"/>
      <c r="I24" s="2051"/>
      <c r="J24" s="2051"/>
      <c r="K24" s="2051"/>
    </row>
    <row r="25" spans="1:11" x14ac:dyDescent="0.15">
      <c r="A25" s="2051"/>
      <c r="B25" s="2051"/>
      <c r="C25" s="2051"/>
      <c r="D25" s="2051"/>
      <c r="E25" s="2051"/>
      <c r="F25" s="2051"/>
      <c r="G25" s="2051"/>
      <c r="H25" s="2051"/>
      <c r="I25" s="2051"/>
      <c r="J25" s="2051"/>
      <c r="K25" s="2051"/>
    </row>
  </sheetData>
  <mergeCells count="10">
    <mergeCell ref="A15:K15"/>
    <mergeCell ref="A16:K16"/>
    <mergeCell ref="A17:K17"/>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N38"/>
  <sheetViews>
    <sheetView zoomScaleNormal="100" workbookViewId="0">
      <selection activeCell="I14" sqref="I14"/>
    </sheetView>
  </sheetViews>
  <sheetFormatPr baseColWidth="10" defaultColWidth="9.140625" defaultRowHeight="10.5" x14ac:dyDescent="0.15"/>
  <cols>
    <col min="1" max="1" width="16.85546875" style="97" customWidth="1"/>
    <col min="2" max="2" width="19.7109375" style="97" customWidth="1"/>
    <col min="3" max="3" width="21.42578125" style="97" customWidth="1"/>
    <col min="4" max="16384" width="9.140625" style="97"/>
  </cols>
  <sheetData>
    <row r="1" spans="1:14" ht="15" customHeight="1" x14ac:dyDescent="0.15"/>
    <row r="2" spans="1:14" ht="35.25" customHeight="1" x14ac:dyDescent="0.15">
      <c r="A2" s="2882" t="s">
        <v>2059</v>
      </c>
      <c r="B2" s="2883"/>
      <c r="C2" s="2883"/>
      <c r="D2" s="805"/>
      <c r="E2" s="805"/>
      <c r="F2" s="805"/>
      <c r="G2" s="805"/>
      <c r="H2" s="805"/>
      <c r="I2" s="805"/>
      <c r="J2" s="805"/>
      <c r="K2" s="805"/>
      <c r="L2" s="806"/>
      <c r="M2" s="806"/>
      <c r="N2" s="806"/>
    </row>
    <row r="3" spans="1:14" x14ac:dyDescent="0.15">
      <c r="A3" s="115"/>
      <c r="B3" s="760"/>
      <c r="C3" s="760"/>
      <c r="F3" s="2051"/>
      <c r="G3" s="2051"/>
      <c r="H3" s="2051"/>
      <c r="I3" s="2051"/>
      <c r="J3" s="2051"/>
    </row>
    <row r="4" spans="1:14" ht="11.25" x14ac:dyDescent="0.15">
      <c r="A4" s="2052" t="s">
        <v>1442</v>
      </c>
      <c r="B4" s="2052" t="s">
        <v>2060</v>
      </c>
      <c r="C4" s="2052" t="s">
        <v>2061</v>
      </c>
      <c r="F4" s="2051"/>
      <c r="G4" s="2051"/>
      <c r="H4" s="2051"/>
      <c r="I4" s="2051"/>
      <c r="J4" s="2051"/>
    </row>
    <row r="5" spans="1:14" x14ac:dyDescent="0.15">
      <c r="A5" s="2180">
        <v>1994</v>
      </c>
      <c r="B5" s="804">
        <v>91</v>
      </c>
      <c r="C5" s="2182">
        <v>5.8000000000000003E-2</v>
      </c>
      <c r="D5" s="2051"/>
      <c r="E5" s="2051"/>
      <c r="F5" s="2051"/>
      <c r="G5" s="2051"/>
      <c r="H5" s="2051"/>
      <c r="I5" s="2051"/>
      <c r="J5" s="2051"/>
    </row>
    <row r="6" spans="1:14" x14ac:dyDescent="0.15">
      <c r="A6" s="2180">
        <v>1995</v>
      </c>
      <c r="B6" s="804">
        <v>188</v>
      </c>
      <c r="C6" s="2182">
        <v>0.121</v>
      </c>
      <c r="D6" s="2051"/>
      <c r="E6" s="2051"/>
      <c r="F6" s="2051"/>
      <c r="G6" s="2059"/>
      <c r="H6" s="171"/>
      <c r="I6" s="171"/>
      <c r="J6" s="2051"/>
    </row>
    <row r="7" spans="1:14" x14ac:dyDescent="0.15">
      <c r="A7" s="2180">
        <v>1996</v>
      </c>
      <c r="B7" s="804">
        <v>279</v>
      </c>
      <c r="C7" s="2182">
        <v>0.14199999999999999</v>
      </c>
      <c r="D7" s="2051"/>
      <c r="E7" s="2051"/>
      <c r="F7" s="2051"/>
      <c r="G7" s="2180"/>
      <c r="H7" s="804"/>
      <c r="I7" s="2181"/>
      <c r="J7" s="2051"/>
    </row>
    <row r="8" spans="1:14" x14ac:dyDescent="0.15">
      <c r="A8" s="2180">
        <v>1997</v>
      </c>
      <c r="B8" s="804">
        <v>263</v>
      </c>
      <c r="C8" s="2182">
        <v>0.126</v>
      </c>
      <c r="D8" s="2051"/>
      <c r="E8" s="2051"/>
      <c r="F8" s="2051"/>
      <c r="G8" s="2180"/>
      <c r="H8" s="804"/>
      <c r="I8" s="2181"/>
      <c r="J8" s="2051"/>
    </row>
    <row r="9" spans="1:14" x14ac:dyDescent="0.15">
      <c r="A9" s="2180">
        <v>1998</v>
      </c>
      <c r="B9" s="804">
        <v>289</v>
      </c>
      <c r="C9" s="2182">
        <v>0.121</v>
      </c>
      <c r="D9" s="2051"/>
      <c r="E9" s="2051"/>
      <c r="F9" s="2051"/>
      <c r="G9" s="2180"/>
      <c r="H9" s="804"/>
      <c r="I9" s="2181"/>
      <c r="J9" s="2051"/>
    </row>
    <row r="10" spans="1:14" x14ac:dyDescent="0.15">
      <c r="A10" s="2180">
        <v>1999</v>
      </c>
      <c r="B10" s="804">
        <v>345</v>
      </c>
      <c r="C10" s="2182">
        <v>0.13500000000000001</v>
      </c>
      <c r="D10" s="2051"/>
      <c r="E10" s="2051"/>
      <c r="F10" s="2051"/>
      <c r="G10" s="2180"/>
      <c r="H10" s="804"/>
      <c r="I10" s="2181"/>
      <c r="J10" s="2051"/>
    </row>
    <row r="11" spans="1:14" x14ac:dyDescent="0.15">
      <c r="A11" s="2180">
        <v>2000</v>
      </c>
      <c r="B11" s="804">
        <v>363</v>
      </c>
      <c r="C11" s="2182">
        <v>0.15</v>
      </c>
      <c r="D11" s="2051"/>
      <c r="E11" s="2051"/>
      <c r="F11" s="2051"/>
      <c r="G11" s="2180"/>
      <c r="H11" s="804"/>
      <c r="I11" s="2181"/>
      <c r="J11" s="2051"/>
    </row>
    <row r="12" spans="1:14" x14ac:dyDescent="0.15">
      <c r="A12" s="2180">
        <v>2001</v>
      </c>
      <c r="B12" s="804">
        <v>376</v>
      </c>
      <c r="C12" s="2182">
        <v>0.14560000000000001</v>
      </c>
      <c r="D12" s="2051"/>
      <c r="E12" s="2051"/>
      <c r="F12" s="2051"/>
      <c r="G12" s="2180"/>
      <c r="H12" s="804"/>
      <c r="I12" s="2181"/>
      <c r="J12" s="2051"/>
    </row>
    <row r="13" spans="1:14" x14ac:dyDescent="0.15">
      <c r="A13" s="2180">
        <v>2002</v>
      </c>
      <c r="B13" s="804">
        <v>377</v>
      </c>
      <c r="C13" s="2182">
        <v>0.13300000000000001</v>
      </c>
      <c r="D13" s="2051"/>
      <c r="E13" s="2051"/>
      <c r="F13" s="2051"/>
      <c r="G13" s="2180"/>
      <c r="H13" s="804"/>
      <c r="I13" s="2181"/>
      <c r="J13" s="2051"/>
    </row>
    <row r="14" spans="1:14" x14ac:dyDescent="0.15">
      <c r="A14" s="2180">
        <v>2003</v>
      </c>
      <c r="B14" s="804">
        <v>438</v>
      </c>
      <c r="C14" s="2182">
        <v>0.12809999999999999</v>
      </c>
      <c r="D14" s="2051"/>
      <c r="E14" s="2051"/>
      <c r="F14" s="2051"/>
      <c r="G14" s="2180"/>
      <c r="H14" s="804"/>
      <c r="I14" s="2181"/>
      <c r="J14" s="2051"/>
    </row>
    <row r="15" spans="1:14" x14ac:dyDescent="0.15">
      <c r="A15" s="2180">
        <v>2004</v>
      </c>
      <c r="B15" s="804">
        <v>435</v>
      </c>
      <c r="C15" s="2182">
        <v>0.13800000000000001</v>
      </c>
      <c r="D15" s="2051"/>
      <c r="E15" s="2051"/>
      <c r="F15" s="2051"/>
      <c r="G15" s="2180"/>
      <c r="H15" s="804"/>
      <c r="I15" s="2181"/>
      <c r="J15" s="2051"/>
    </row>
    <row r="16" spans="1:14" x14ac:dyDescent="0.15">
      <c r="A16" s="2180">
        <v>2005</v>
      </c>
      <c r="B16" s="804">
        <v>510</v>
      </c>
      <c r="C16" s="2182">
        <v>0.14299999999999999</v>
      </c>
      <c r="D16" s="2051"/>
      <c r="E16" s="2051"/>
      <c r="F16" s="2051"/>
      <c r="G16" s="2180"/>
      <c r="H16" s="804"/>
      <c r="I16" s="2181"/>
      <c r="J16" s="2051"/>
    </row>
    <row r="17" spans="1:13" x14ac:dyDescent="0.15">
      <c r="A17" s="2180">
        <v>2006</v>
      </c>
      <c r="B17" s="804">
        <v>484</v>
      </c>
      <c r="C17" s="2182">
        <v>0.13669999999999999</v>
      </c>
      <c r="D17" s="2051"/>
      <c r="E17" s="2051"/>
      <c r="F17" s="2051"/>
      <c r="G17" s="2180"/>
      <c r="H17" s="804"/>
      <c r="I17" s="2181"/>
      <c r="J17" s="2051"/>
    </row>
    <row r="18" spans="1:13" x14ac:dyDescent="0.15">
      <c r="A18" s="2180">
        <v>2007</v>
      </c>
      <c r="B18" s="804">
        <v>565</v>
      </c>
      <c r="C18" s="2182">
        <v>0.15179999999999999</v>
      </c>
      <c r="D18" s="2051"/>
      <c r="E18" s="2051"/>
      <c r="F18" s="2051"/>
      <c r="G18" s="2180"/>
      <c r="H18" s="804"/>
      <c r="I18" s="2181"/>
      <c r="J18" s="2051"/>
    </row>
    <row r="19" spans="1:13" x14ac:dyDescent="0.15">
      <c r="A19" s="2180">
        <v>2008</v>
      </c>
      <c r="B19" s="804">
        <v>653</v>
      </c>
      <c r="C19" s="2182">
        <v>0.1671</v>
      </c>
      <c r="D19" s="2051"/>
      <c r="E19" s="2051"/>
      <c r="F19" s="2051"/>
      <c r="G19" s="2180"/>
      <c r="H19" s="804"/>
      <c r="I19" s="2181"/>
      <c r="J19" s="2051"/>
    </row>
    <row r="20" spans="1:13" x14ac:dyDescent="0.15">
      <c r="A20" s="2180">
        <v>2009</v>
      </c>
      <c r="B20" s="804">
        <v>664</v>
      </c>
      <c r="C20" s="2182">
        <v>0.14879999999999999</v>
      </c>
      <c r="D20" s="2051"/>
      <c r="E20" s="2051"/>
      <c r="F20" s="2051"/>
      <c r="G20" s="2180"/>
      <c r="H20" s="804"/>
      <c r="I20" s="2181"/>
      <c r="J20" s="2051"/>
    </row>
    <row r="21" spans="1:13" x14ac:dyDescent="0.15">
      <c r="A21" s="2180">
        <v>2010</v>
      </c>
      <c r="B21" s="804">
        <v>702</v>
      </c>
      <c r="C21" s="2182">
        <v>0.13750000000000001</v>
      </c>
      <c r="D21" s="2051"/>
      <c r="E21" s="2051"/>
      <c r="F21" s="2051"/>
      <c r="G21" s="2180"/>
      <c r="H21" s="804"/>
      <c r="I21" s="2181"/>
      <c r="J21" s="2051"/>
    </row>
    <row r="22" spans="1:13" x14ac:dyDescent="0.15">
      <c r="A22" s="2180">
        <v>2011</v>
      </c>
      <c r="B22" s="804">
        <v>776</v>
      </c>
      <c r="C22" s="2182">
        <v>0.13569999999999999</v>
      </c>
      <c r="D22" s="2051"/>
      <c r="E22" s="2051"/>
      <c r="F22" s="2051"/>
      <c r="G22" s="2180"/>
      <c r="H22" s="804"/>
      <c r="I22" s="2181"/>
      <c r="J22" s="2051"/>
    </row>
    <row r="23" spans="1:13" x14ac:dyDescent="0.15">
      <c r="A23" s="2180">
        <v>2012</v>
      </c>
      <c r="B23" s="804">
        <v>814</v>
      </c>
      <c r="C23" s="2182">
        <v>0.13469999999999999</v>
      </c>
      <c r="D23" s="2051"/>
      <c r="E23" s="2051"/>
      <c r="F23" s="2051"/>
      <c r="G23" s="2180"/>
      <c r="H23" s="804"/>
      <c r="I23" s="2181"/>
      <c r="J23" s="2051"/>
    </row>
    <row r="24" spans="1:13" x14ac:dyDescent="0.15">
      <c r="A24" s="2180">
        <v>2013</v>
      </c>
      <c r="B24" s="804">
        <v>881</v>
      </c>
      <c r="C24" s="2182">
        <v>0.14799999999999999</v>
      </c>
      <c r="D24" s="2051"/>
      <c r="E24" s="2051"/>
      <c r="F24" s="2051"/>
      <c r="G24" s="2180"/>
      <c r="H24" s="804"/>
      <c r="I24" s="2181"/>
      <c r="J24" s="2051"/>
    </row>
    <row r="25" spans="1:13" x14ac:dyDescent="0.15">
      <c r="A25" s="2180">
        <v>2014</v>
      </c>
      <c r="B25" s="804">
        <v>818</v>
      </c>
      <c r="C25" s="2182">
        <v>0.14349999999999999</v>
      </c>
      <c r="D25" s="2051"/>
      <c r="E25" s="2051"/>
      <c r="F25" s="2051"/>
      <c r="G25" s="2180"/>
      <c r="H25" s="804"/>
      <c r="I25" s="2181"/>
      <c r="J25" s="2051"/>
    </row>
    <row r="26" spans="1:13" x14ac:dyDescent="0.15">
      <c r="A26" s="2180">
        <v>2015</v>
      </c>
      <c r="B26" s="804">
        <v>872</v>
      </c>
      <c r="C26" s="2182">
        <v>0.1391</v>
      </c>
      <c r="D26" s="2051"/>
      <c r="E26" s="2051"/>
      <c r="F26" s="2051"/>
      <c r="G26" s="2180"/>
      <c r="H26" s="804"/>
      <c r="I26" s="2181"/>
      <c r="J26" s="2051"/>
    </row>
    <row r="27" spans="1:13" x14ac:dyDescent="0.15">
      <c r="A27" s="2180"/>
      <c r="B27" s="804"/>
      <c r="C27" s="2181"/>
      <c r="D27" s="2051"/>
      <c r="E27" s="2051"/>
      <c r="F27" s="2051"/>
      <c r="G27" s="2180"/>
      <c r="H27" s="804"/>
      <c r="I27" s="2181"/>
      <c r="J27" s="2051"/>
    </row>
    <row r="28" spans="1:13" s="99" customFormat="1" ht="45" customHeight="1" x14ac:dyDescent="0.15">
      <c r="A28" s="2857" t="s">
        <v>2003</v>
      </c>
      <c r="B28" s="2857"/>
      <c r="C28" s="2857"/>
      <c r="D28" s="819"/>
      <c r="E28" s="819"/>
      <c r="F28" s="819"/>
      <c r="G28" s="819"/>
      <c r="H28" s="819"/>
      <c r="I28" s="819"/>
      <c r="J28" s="819"/>
      <c r="K28" s="123"/>
      <c r="L28" s="175"/>
      <c r="M28" s="175"/>
    </row>
    <row r="29" spans="1:13" ht="24" customHeight="1" x14ac:dyDescent="0.15">
      <c r="A29" s="2356" t="s">
        <v>2062</v>
      </c>
      <c r="B29" s="2373"/>
      <c r="C29" s="2373"/>
      <c r="D29" s="2051"/>
      <c r="E29" s="2051"/>
      <c r="F29" s="2051"/>
      <c r="G29" s="2180"/>
      <c r="H29" s="804"/>
      <c r="I29" s="2181"/>
      <c r="J29" s="2051"/>
    </row>
    <row r="30" spans="1:13" ht="22.5" customHeight="1" x14ac:dyDescent="0.15">
      <c r="A30" s="2467" t="s">
        <v>2063</v>
      </c>
      <c r="B30" s="2467"/>
      <c r="C30" s="2467"/>
      <c r="D30" s="2051"/>
      <c r="E30" s="2051"/>
      <c r="F30" s="2051"/>
      <c r="G30" s="2051"/>
      <c r="H30" s="2051"/>
      <c r="I30" s="2051"/>
      <c r="J30" s="2051"/>
    </row>
    <row r="31" spans="1:13" ht="22.5" customHeight="1" x14ac:dyDescent="0.15">
      <c r="A31" s="2467" t="s">
        <v>2004</v>
      </c>
      <c r="B31" s="2467"/>
      <c r="C31" s="2467"/>
      <c r="D31" s="2051"/>
      <c r="E31" s="2051"/>
      <c r="F31" s="2051"/>
      <c r="G31" s="2051"/>
      <c r="H31" s="2051"/>
      <c r="I31" s="2051"/>
      <c r="J31" s="2051"/>
    </row>
    <row r="32" spans="1:13" x14ac:dyDescent="0.15">
      <c r="A32" s="2051"/>
      <c r="B32" s="2051"/>
      <c r="C32" s="2051"/>
      <c r="D32" s="2051"/>
      <c r="E32" s="2051"/>
    </row>
    <row r="33" spans="1:5" x14ac:dyDescent="0.15">
      <c r="A33" s="2051"/>
      <c r="B33" s="2051"/>
      <c r="C33" s="2051"/>
      <c r="D33" s="2051"/>
      <c r="E33" s="2051"/>
    </row>
    <row r="34" spans="1:5" x14ac:dyDescent="0.15">
      <c r="A34" s="2051"/>
      <c r="B34" s="2051"/>
      <c r="C34" s="2051"/>
      <c r="D34" s="2051"/>
      <c r="E34" s="2051"/>
    </row>
    <row r="35" spans="1:5" x14ac:dyDescent="0.15">
      <c r="A35" s="2051"/>
      <c r="B35" s="2051"/>
      <c r="C35" s="2051"/>
      <c r="D35" s="2051"/>
      <c r="E35" s="2051"/>
    </row>
    <row r="36" spans="1:5" x14ac:dyDescent="0.15">
      <c r="A36" s="2051"/>
      <c r="B36" s="2051"/>
      <c r="C36" s="2051"/>
      <c r="D36" s="2051"/>
      <c r="E36" s="2051"/>
    </row>
    <row r="37" spans="1:5" x14ac:dyDescent="0.15">
      <c r="A37" s="2051"/>
      <c r="B37" s="2051"/>
      <c r="C37" s="2051"/>
      <c r="D37" s="2051"/>
      <c r="E37" s="2051"/>
    </row>
    <row r="38" spans="1:5" x14ac:dyDescent="0.15">
      <c r="A38" s="2051"/>
      <c r="B38" s="2051"/>
      <c r="C38" s="2051"/>
      <c r="D38" s="2051"/>
      <c r="E38" s="2051"/>
    </row>
  </sheetData>
  <mergeCells count="5">
    <mergeCell ref="A2:C2"/>
    <mergeCell ref="A28:C28"/>
    <mergeCell ref="A29:C29"/>
    <mergeCell ref="A30:C30"/>
    <mergeCell ref="A31:C31"/>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2:N28"/>
  <sheetViews>
    <sheetView zoomScaleNormal="100" workbookViewId="0">
      <selection activeCell="H30" sqref="H30"/>
    </sheetView>
  </sheetViews>
  <sheetFormatPr baseColWidth="10" defaultColWidth="9.140625" defaultRowHeight="10.5" x14ac:dyDescent="0.15"/>
  <cols>
    <col min="1" max="1" width="15.5703125" style="97" customWidth="1"/>
    <col min="2" max="10" width="13.5703125" style="97" customWidth="1"/>
    <col min="11" max="11" width="14.42578125" style="97" customWidth="1"/>
    <col min="12" max="13" width="13.5703125" style="97" customWidth="1"/>
    <col min="14" max="16384" width="9.140625" style="97"/>
  </cols>
  <sheetData>
    <row r="2" spans="1:14" s="99" customFormat="1" ht="15" customHeight="1" x14ac:dyDescent="0.15">
      <c r="A2" s="2884" t="s">
        <v>4256</v>
      </c>
      <c r="B2" s="2791"/>
      <c r="C2" s="2791"/>
      <c r="D2" s="2791"/>
      <c r="E2" s="2791"/>
      <c r="F2" s="2791"/>
      <c r="G2" s="2791"/>
      <c r="H2" s="2791"/>
      <c r="I2" s="2791"/>
      <c r="J2" s="2791"/>
      <c r="K2" s="2791"/>
      <c r="L2" s="805"/>
      <c r="M2" s="805"/>
      <c r="N2" s="805"/>
    </row>
    <row r="3" spans="1:14" x14ac:dyDescent="0.15">
      <c r="A3" s="115"/>
      <c r="B3" s="760"/>
      <c r="C3" s="760"/>
    </row>
    <row r="4" spans="1:14" ht="12.75" customHeight="1" x14ac:dyDescent="0.15">
      <c r="A4" s="2351" t="s">
        <v>2064</v>
      </c>
      <c r="B4" s="2615">
        <v>2011</v>
      </c>
      <c r="C4" s="2615"/>
      <c r="D4" s="2615">
        <v>2012</v>
      </c>
      <c r="E4" s="2615"/>
      <c r="F4" s="2615">
        <v>2013</v>
      </c>
      <c r="G4" s="2615"/>
      <c r="H4" s="2615">
        <v>2014</v>
      </c>
      <c r="I4" s="2615"/>
      <c r="J4" s="2374">
        <v>2015</v>
      </c>
      <c r="K4" s="2375"/>
    </row>
    <row r="5" spans="1:14" ht="20.25" customHeight="1" x14ac:dyDescent="0.15">
      <c r="A5" s="2351"/>
      <c r="B5" s="2060" t="s">
        <v>2002</v>
      </c>
      <c r="C5" s="2060" t="s">
        <v>727</v>
      </c>
      <c r="D5" s="2060" t="s">
        <v>2002</v>
      </c>
      <c r="E5" s="2060" t="s">
        <v>727</v>
      </c>
      <c r="F5" s="2060" t="s">
        <v>2002</v>
      </c>
      <c r="G5" s="2060" t="s">
        <v>727</v>
      </c>
      <c r="H5" s="2060" t="s">
        <v>2002</v>
      </c>
      <c r="I5" s="2060" t="s">
        <v>727</v>
      </c>
      <c r="J5" s="2049" t="s">
        <v>2002</v>
      </c>
      <c r="K5" s="2049" t="s">
        <v>727</v>
      </c>
    </row>
    <row r="6" spans="1:14" x14ac:dyDescent="0.15">
      <c r="A6" s="2056" t="s">
        <v>141</v>
      </c>
      <c r="B6" s="467">
        <f>SUM(B7:B17)</f>
        <v>5720</v>
      </c>
      <c r="C6" s="790">
        <v>1</v>
      </c>
      <c r="D6" s="467">
        <f>SUM(D7:D17)</f>
        <v>6045</v>
      </c>
      <c r="E6" s="790">
        <v>1</v>
      </c>
      <c r="F6" s="467">
        <f t="shared" ref="F6:K6" si="0">SUM(F7:F17)</f>
        <v>5952</v>
      </c>
      <c r="G6" s="790">
        <f t="shared" si="0"/>
        <v>1.0214359562575668</v>
      </c>
      <c r="H6" s="467">
        <f t="shared" si="0"/>
        <v>5702</v>
      </c>
      <c r="I6" s="790">
        <f t="shared" si="0"/>
        <v>1.0000000000000002</v>
      </c>
      <c r="J6" s="467">
        <f t="shared" si="0"/>
        <v>6268</v>
      </c>
      <c r="K6" s="790">
        <f t="shared" si="0"/>
        <v>1</v>
      </c>
      <c r="L6" s="2051"/>
    </row>
    <row r="7" spans="1:14" x14ac:dyDescent="0.15">
      <c r="A7" s="2059" t="s">
        <v>2065</v>
      </c>
      <c r="B7" s="569">
        <v>2388</v>
      </c>
      <c r="C7" s="807">
        <f>B7/B$6</f>
        <v>0.41748251748251747</v>
      </c>
      <c r="D7" s="791">
        <v>2645</v>
      </c>
      <c r="E7" s="807">
        <f>D7/D$6</f>
        <v>0.43755169561621177</v>
      </c>
      <c r="F7" s="808">
        <v>3042</v>
      </c>
      <c r="G7" s="807">
        <f>F7/F$6</f>
        <v>0.51108870967741937</v>
      </c>
      <c r="H7" s="808">
        <v>3031</v>
      </c>
      <c r="I7" s="807">
        <f t="shared" ref="I7:I17" si="1">H7/H$6</f>
        <v>0.53156787092248337</v>
      </c>
      <c r="J7" s="2045">
        <v>3148</v>
      </c>
      <c r="K7" s="2182">
        <f>J7/J$6</f>
        <v>0.5022335673261008</v>
      </c>
      <c r="L7" s="2051"/>
    </row>
    <row r="8" spans="1:14" x14ac:dyDescent="0.15">
      <c r="A8" s="2059" t="s">
        <v>2066</v>
      </c>
      <c r="B8" s="569">
        <v>1497</v>
      </c>
      <c r="C8" s="807">
        <f t="shared" ref="C8:C17" si="2">B8/B$6</f>
        <v>0.2617132867132867</v>
      </c>
      <c r="D8" s="792">
        <v>1121</v>
      </c>
      <c r="E8" s="807">
        <f t="shared" ref="E8:E17" si="3">D8/D$6</f>
        <v>0.18544251447477253</v>
      </c>
      <c r="F8" s="808">
        <v>1290</v>
      </c>
      <c r="G8" s="807">
        <f t="shared" ref="G8:G17" si="4">+F8/$H$6</f>
        <v>0.22623640827779726</v>
      </c>
      <c r="H8" s="808">
        <v>1248</v>
      </c>
      <c r="I8" s="807">
        <f t="shared" si="1"/>
        <v>0.21887057172921781</v>
      </c>
      <c r="J8" s="2045">
        <v>1360</v>
      </c>
      <c r="K8" s="2182">
        <f t="shared" ref="K8:K17" si="5">J8/J$6</f>
        <v>0.21697511167836631</v>
      </c>
      <c r="L8" s="2051"/>
    </row>
    <row r="9" spans="1:14" x14ac:dyDescent="0.15">
      <c r="A9" s="2059" t="s">
        <v>2067</v>
      </c>
      <c r="B9" s="569">
        <v>254</v>
      </c>
      <c r="C9" s="807">
        <f t="shared" si="2"/>
        <v>4.4405594405594405E-2</v>
      </c>
      <c r="D9" s="792">
        <v>344</v>
      </c>
      <c r="E9" s="807">
        <f t="shared" si="3"/>
        <v>5.6906534325889165E-2</v>
      </c>
      <c r="F9" s="809">
        <v>223</v>
      </c>
      <c r="G9" s="807">
        <f t="shared" si="4"/>
        <v>3.9109084531743249E-2</v>
      </c>
      <c r="H9" s="809">
        <v>263</v>
      </c>
      <c r="I9" s="807">
        <f t="shared" si="1"/>
        <v>4.6124166958961765E-2</v>
      </c>
      <c r="J9" s="2045">
        <v>534</v>
      </c>
      <c r="K9" s="2182">
        <f t="shared" si="5"/>
        <v>8.5194639438417361E-2</v>
      </c>
      <c r="L9" s="2051"/>
    </row>
    <row r="10" spans="1:14" x14ac:dyDescent="0.15">
      <c r="A10" s="2059" t="s">
        <v>2068</v>
      </c>
      <c r="B10" s="569">
        <v>623</v>
      </c>
      <c r="C10" s="807">
        <f t="shared" si="2"/>
        <v>0.10891608391608391</v>
      </c>
      <c r="D10" s="792">
        <v>511</v>
      </c>
      <c r="E10" s="807">
        <f t="shared" si="3"/>
        <v>8.4532671629445819E-2</v>
      </c>
      <c r="F10" s="809">
        <v>386</v>
      </c>
      <c r="G10" s="807">
        <f t="shared" si="4"/>
        <v>6.7695545422658709E-2</v>
      </c>
      <c r="H10" s="809">
        <v>407</v>
      </c>
      <c r="I10" s="807">
        <f t="shared" si="1"/>
        <v>7.1378463696948433E-2</v>
      </c>
      <c r="J10" s="2045">
        <v>445</v>
      </c>
      <c r="K10" s="2182">
        <f t="shared" si="5"/>
        <v>7.0995532865347794E-2</v>
      </c>
      <c r="L10" s="2051"/>
    </row>
    <row r="11" spans="1:14" x14ac:dyDescent="0.15">
      <c r="A11" s="2059" t="s">
        <v>2069</v>
      </c>
      <c r="B11" s="569">
        <v>36</v>
      </c>
      <c r="C11" s="807">
        <f t="shared" si="2"/>
        <v>6.2937062937062941E-3</v>
      </c>
      <c r="D11" s="792">
        <v>54</v>
      </c>
      <c r="E11" s="807">
        <f t="shared" si="3"/>
        <v>8.9330024813895782E-3</v>
      </c>
      <c r="F11" s="809">
        <v>53</v>
      </c>
      <c r="G11" s="807">
        <f t="shared" si="4"/>
        <v>9.2949842160645387E-3</v>
      </c>
      <c r="H11" s="809">
        <v>55</v>
      </c>
      <c r="I11" s="807">
        <f t="shared" si="1"/>
        <v>9.6457383374254652E-3</v>
      </c>
      <c r="J11" s="2045">
        <v>27</v>
      </c>
      <c r="K11" s="2182">
        <f t="shared" si="5"/>
        <v>4.3075941289087427E-3</v>
      </c>
      <c r="L11" s="2051"/>
    </row>
    <row r="12" spans="1:14" x14ac:dyDescent="0.15">
      <c r="A12" s="2059" t="s">
        <v>2070</v>
      </c>
      <c r="B12" s="569">
        <v>150</v>
      </c>
      <c r="C12" s="807">
        <f t="shared" si="2"/>
        <v>2.6223776223776224E-2</v>
      </c>
      <c r="D12" s="792">
        <v>174</v>
      </c>
      <c r="E12" s="807">
        <f t="shared" si="3"/>
        <v>2.8784119106699754E-2</v>
      </c>
      <c r="F12" s="809">
        <v>177</v>
      </c>
      <c r="G12" s="807">
        <f t="shared" si="4"/>
        <v>3.104173974044195E-2</v>
      </c>
      <c r="H12" s="809">
        <v>157</v>
      </c>
      <c r="I12" s="807">
        <f t="shared" si="1"/>
        <v>2.7534198526832691E-2</v>
      </c>
      <c r="J12" s="2045">
        <v>146</v>
      </c>
      <c r="K12" s="2182">
        <f t="shared" si="5"/>
        <v>2.3292916400765796E-2</v>
      </c>
      <c r="L12" s="2051"/>
    </row>
    <row r="13" spans="1:14" x14ac:dyDescent="0.15">
      <c r="A13" s="2059" t="s">
        <v>2071</v>
      </c>
      <c r="B13" s="569">
        <v>14</v>
      </c>
      <c r="C13" s="807">
        <f t="shared" si="2"/>
        <v>2.4475524475524478E-3</v>
      </c>
      <c r="D13" s="792">
        <v>17</v>
      </c>
      <c r="E13" s="807">
        <f t="shared" si="3"/>
        <v>2.8122415219189413E-3</v>
      </c>
      <c r="F13" s="809">
        <v>21</v>
      </c>
      <c r="G13" s="807">
        <f t="shared" si="4"/>
        <v>3.6829182742897227E-3</v>
      </c>
      <c r="H13" s="809">
        <v>12</v>
      </c>
      <c r="I13" s="807">
        <f t="shared" si="1"/>
        <v>2.104524728165556E-3</v>
      </c>
      <c r="J13" s="809">
        <v>21</v>
      </c>
      <c r="K13" s="2182">
        <f t="shared" si="5"/>
        <v>3.3503509891512446E-3</v>
      </c>
      <c r="L13" s="2051"/>
    </row>
    <row r="14" spans="1:14" x14ac:dyDescent="0.15">
      <c r="A14" s="2059" t="s">
        <v>2072</v>
      </c>
      <c r="B14" s="569">
        <v>155</v>
      </c>
      <c r="C14" s="807">
        <f t="shared" si="2"/>
        <v>2.7097902097902096E-2</v>
      </c>
      <c r="D14" s="792">
        <v>93</v>
      </c>
      <c r="E14" s="807">
        <f t="shared" si="3"/>
        <v>1.5384615384615385E-2</v>
      </c>
      <c r="F14" s="809">
        <v>75</v>
      </c>
      <c r="G14" s="807">
        <f t="shared" si="4"/>
        <v>1.3153279551034725E-2</v>
      </c>
      <c r="H14" s="809">
        <v>86</v>
      </c>
      <c r="I14" s="807">
        <f t="shared" si="1"/>
        <v>1.5082427218519818E-2</v>
      </c>
      <c r="J14" s="2045">
        <v>42</v>
      </c>
      <c r="K14" s="2182">
        <f t="shared" si="5"/>
        <v>6.7007019783024892E-3</v>
      </c>
      <c r="L14" s="2051"/>
    </row>
    <row r="15" spans="1:14" x14ac:dyDescent="0.15">
      <c r="A15" s="2059" t="s">
        <v>2073</v>
      </c>
      <c r="B15" s="569">
        <v>4</v>
      </c>
      <c r="C15" s="807">
        <f t="shared" si="2"/>
        <v>6.993006993006993E-4</v>
      </c>
      <c r="D15" s="792">
        <v>11</v>
      </c>
      <c r="E15" s="807">
        <f t="shared" si="3"/>
        <v>1.8196856906534326E-3</v>
      </c>
      <c r="F15" s="809">
        <v>18</v>
      </c>
      <c r="G15" s="807">
        <f t="shared" si="4"/>
        <v>3.1567870922483338E-3</v>
      </c>
      <c r="H15" s="809">
        <v>19</v>
      </c>
      <c r="I15" s="807">
        <f t="shared" si="1"/>
        <v>3.3321641529287971E-3</v>
      </c>
      <c r="J15" s="2045">
        <v>34</v>
      </c>
      <c r="K15" s="2182">
        <f t="shared" si="5"/>
        <v>5.4243777919591573E-3</v>
      </c>
      <c r="L15" s="2051"/>
    </row>
    <row r="16" spans="1:14" x14ac:dyDescent="0.15">
      <c r="A16" s="2059" t="s">
        <v>2074</v>
      </c>
      <c r="B16" s="569">
        <v>75</v>
      </c>
      <c r="C16" s="807">
        <f t="shared" si="2"/>
        <v>1.3111888111888112E-2</v>
      </c>
      <c r="D16" s="792">
        <v>207</v>
      </c>
      <c r="E16" s="807">
        <f t="shared" si="3"/>
        <v>3.4243176178660052E-2</v>
      </c>
      <c r="F16" s="809">
        <v>113</v>
      </c>
      <c r="G16" s="807">
        <f t="shared" si="4"/>
        <v>1.9817607856892318E-2</v>
      </c>
      <c r="H16" s="809">
        <v>141</v>
      </c>
      <c r="I16" s="807">
        <f t="shared" si="1"/>
        <v>2.4728165555945283E-2</v>
      </c>
      <c r="J16" s="2045">
        <v>120</v>
      </c>
      <c r="K16" s="2182">
        <f t="shared" si="5"/>
        <v>1.9144862795149969E-2</v>
      </c>
      <c r="L16" s="2051"/>
    </row>
    <row r="17" spans="1:13" x14ac:dyDescent="0.15">
      <c r="A17" s="2059" t="s">
        <v>2075</v>
      </c>
      <c r="B17" s="569">
        <v>524</v>
      </c>
      <c r="C17" s="807">
        <f t="shared" si="2"/>
        <v>9.1608391608391612E-2</v>
      </c>
      <c r="D17" s="792">
        <v>868</v>
      </c>
      <c r="E17" s="807">
        <f t="shared" si="3"/>
        <v>0.14358974358974358</v>
      </c>
      <c r="F17" s="809">
        <v>554</v>
      </c>
      <c r="G17" s="807">
        <f t="shared" si="4"/>
        <v>9.7158891616976495E-2</v>
      </c>
      <c r="H17" s="809">
        <v>283</v>
      </c>
      <c r="I17" s="807">
        <f t="shared" si="1"/>
        <v>4.963170817257103E-2</v>
      </c>
      <c r="J17" s="2045">
        <v>391</v>
      </c>
      <c r="K17" s="2182">
        <f t="shared" si="5"/>
        <v>6.2380344607530315E-2</v>
      </c>
      <c r="L17" s="2051"/>
    </row>
    <row r="18" spans="1:13" x14ac:dyDescent="0.15">
      <c r="A18" s="2050"/>
      <c r="B18" s="2051"/>
      <c r="C18" s="2051"/>
      <c r="D18" s="2051"/>
      <c r="E18" s="2051"/>
      <c r="F18" s="2051"/>
      <c r="G18" s="2051"/>
      <c r="H18" s="2051"/>
      <c r="I18" s="2051"/>
      <c r="J18" s="2051"/>
      <c r="K18" s="2051"/>
      <c r="L18" s="2051"/>
    </row>
    <row r="19" spans="1:13" s="99" customFormat="1" ht="24" customHeight="1" x14ac:dyDescent="0.15">
      <c r="A19" s="2857" t="s">
        <v>2003</v>
      </c>
      <c r="B19" s="2857"/>
      <c r="C19" s="2857"/>
      <c r="D19" s="2857"/>
      <c r="E19" s="2857"/>
      <c r="F19" s="2857"/>
      <c r="G19" s="2857"/>
      <c r="H19" s="2857"/>
      <c r="I19" s="2857"/>
      <c r="J19" s="2857"/>
      <c r="K19" s="2857"/>
      <c r="L19" s="175"/>
      <c r="M19" s="175"/>
    </row>
    <row r="20" spans="1:13" s="126" customFormat="1" ht="12.75" customHeight="1" x14ac:dyDescent="0.15">
      <c r="A20" s="2881" t="s">
        <v>2004</v>
      </c>
      <c r="B20" s="2881"/>
      <c r="C20" s="2881"/>
      <c r="D20" s="2881"/>
      <c r="E20" s="2881"/>
      <c r="F20" s="2881"/>
      <c r="G20" s="2881"/>
      <c r="H20" s="2881"/>
      <c r="I20" s="2881"/>
      <c r="J20" s="2881"/>
      <c r="K20" s="2881"/>
      <c r="L20" s="833"/>
    </row>
    <row r="21" spans="1:13" x14ac:dyDescent="0.15">
      <c r="A21" s="2051"/>
      <c r="B21" s="2051"/>
      <c r="C21" s="2051"/>
      <c r="D21" s="2051"/>
      <c r="E21" s="2051"/>
      <c r="F21" s="2051"/>
      <c r="G21" s="2051"/>
      <c r="H21" s="2051"/>
      <c r="I21" s="2051"/>
      <c r="J21" s="2051"/>
      <c r="K21" s="2051"/>
      <c r="L21" s="2051"/>
    </row>
    <row r="22" spans="1:13" x14ac:dyDescent="0.15">
      <c r="A22" s="2051"/>
      <c r="B22" s="2051"/>
      <c r="C22" s="2051"/>
      <c r="D22" s="2051"/>
      <c r="E22" s="2051"/>
      <c r="F22" s="2051"/>
      <c r="G22" s="2051"/>
      <c r="H22" s="2051"/>
      <c r="I22" s="2051"/>
      <c r="J22" s="2051"/>
      <c r="K22" s="2051"/>
      <c r="L22" s="2051"/>
    </row>
    <row r="23" spans="1:13" x14ac:dyDescent="0.15">
      <c r="A23" s="2051"/>
      <c r="B23" s="2051"/>
      <c r="C23" s="2051"/>
      <c r="D23" s="2051"/>
      <c r="E23" s="2051"/>
      <c r="F23" s="2051"/>
      <c r="G23" s="2051"/>
      <c r="H23" s="2051"/>
      <c r="I23" s="2051"/>
      <c r="J23" s="2051"/>
      <c r="K23" s="2051"/>
      <c r="L23" s="2051"/>
    </row>
    <row r="24" spans="1:13" x14ac:dyDescent="0.15">
      <c r="A24" s="2051"/>
      <c r="B24" s="2051"/>
      <c r="C24" s="2051"/>
      <c r="D24" s="2051"/>
      <c r="E24" s="2051"/>
      <c r="F24" s="2051"/>
      <c r="G24" s="2051"/>
      <c r="H24" s="2051"/>
      <c r="I24" s="2051"/>
      <c r="J24" s="2051"/>
      <c r="K24" s="2051"/>
      <c r="L24" s="2051"/>
    </row>
    <row r="25" spans="1:13" x14ac:dyDescent="0.15">
      <c r="A25" s="2051"/>
      <c r="B25" s="2051"/>
      <c r="C25" s="2051"/>
      <c r="D25" s="2051"/>
      <c r="E25" s="2051"/>
      <c r="F25" s="2051"/>
      <c r="G25" s="2051"/>
      <c r="H25" s="2051"/>
      <c r="I25" s="2051"/>
      <c r="J25" s="2051"/>
      <c r="K25" s="2051"/>
      <c r="L25" s="2051"/>
    </row>
    <row r="26" spans="1:13" x14ac:dyDescent="0.15">
      <c r="A26" s="2051"/>
      <c r="B26" s="2051"/>
      <c r="C26" s="2051"/>
      <c r="D26" s="2051"/>
      <c r="E26" s="2051"/>
      <c r="F26" s="2051"/>
      <c r="G26" s="2051"/>
      <c r="H26" s="2051"/>
      <c r="I26" s="2051"/>
      <c r="J26" s="2051"/>
      <c r="K26" s="2051"/>
      <c r="L26" s="2051"/>
    </row>
    <row r="27" spans="1:13" x14ac:dyDescent="0.15">
      <c r="A27" s="2051"/>
      <c r="B27" s="2051"/>
      <c r="C27" s="2051"/>
      <c r="D27" s="2051"/>
      <c r="E27" s="2051"/>
      <c r="F27" s="2051"/>
      <c r="G27" s="2051"/>
      <c r="H27" s="2051"/>
      <c r="I27" s="2051"/>
      <c r="J27" s="2051"/>
      <c r="K27" s="2051"/>
      <c r="L27" s="2051"/>
    </row>
    <row r="28" spans="1:13" x14ac:dyDescent="0.15">
      <c r="A28" s="2051"/>
      <c r="B28" s="2051"/>
      <c r="C28" s="2051"/>
      <c r="D28" s="2051"/>
      <c r="E28" s="2051"/>
      <c r="F28" s="2051"/>
      <c r="G28" s="2051"/>
      <c r="H28" s="2051"/>
      <c r="I28" s="2051"/>
      <c r="J28" s="2051"/>
      <c r="K28" s="2051"/>
      <c r="L28" s="2051"/>
    </row>
  </sheetData>
  <mergeCells count="9">
    <mergeCell ref="A19:K19"/>
    <mergeCell ref="A20:K20"/>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M67"/>
  <sheetViews>
    <sheetView zoomScaleNormal="100" workbookViewId="0">
      <selection activeCell="N62" sqref="N62"/>
    </sheetView>
  </sheetViews>
  <sheetFormatPr baseColWidth="10" defaultColWidth="9.140625" defaultRowHeight="10.5" x14ac:dyDescent="0.15"/>
  <cols>
    <col min="1" max="1" width="16" style="97" customWidth="1"/>
    <col min="2" max="2" width="13.140625" style="97" customWidth="1"/>
    <col min="3" max="3" width="9.42578125" style="97" customWidth="1"/>
    <col min="4" max="4" width="11.5703125" style="97" customWidth="1"/>
    <col min="5" max="5" width="9.140625" style="97"/>
    <col min="6" max="6" width="11.7109375" style="97" customWidth="1"/>
    <col min="7" max="7" width="9.140625" style="97"/>
    <col min="8" max="8" width="11" style="97" customWidth="1"/>
    <col min="9" max="9" width="9.140625" style="97"/>
    <col min="10" max="10" width="11.28515625" style="97" customWidth="1"/>
    <col min="11" max="11" width="9.140625" style="97"/>
    <col min="12" max="12" width="12.140625" style="97" customWidth="1"/>
    <col min="13" max="16384" width="9.140625" style="97"/>
  </cols>
  <sheetData>
    <row r="1" spans="1:12" ht="15" customHeight="1" x14ac:dyDescent="0.15">
      <c r="A1" s="810"/>
      <c r="B1" s="810"/>
      <c r="C1" s="810"/>
      <c r="D1" s="810"/>
      <c r="E1" s="810"/>
      <c r="F1" s="810"/>
      <c r="G1" s="810"/>
      <c r="H1" s="810"/>
      <c r="I1" s="810"/>
      <c r="J1" s="810"/>
      <c r="K1" s="810"/>
      <c r="L1" s="810"/>
    </row>
    <row r="2" spans="1:12" s="99" customFormat="1" ht="22.5" customHeight="1" x14ac:dyDescent="0.15">
      <c r="A2" s="2631" t="s">
        <v>2076</v>
      </c>
      <c r="B2" s="2631"/>
      <c r="C2" s="2631"/>
      <c r="D2" s="2631"/>
      <c r="E2" s="2631"/>
      <c r="F2" s="2631"/>
      <c r="G2" s="2631"/>
      <c r="H2" s="2631"/>
      <c r="I2" s="2631"/>
      <c r="J2" s="2631"/>
      <c r="K2" s="2631"/>
      <c r="L2" s="2631"/>
    </row>
    <row r="3" spans="1:12" ht="11.25" customHeight="1" x14ac:dyDescent="0.15">
      <c r="A3" s="811"/>
      <c r="B3" s="811"/>
      <c r="C3" s="811"/>
      <c r="D3" s="811"/>
      <c r="E3" s="811"/>
      <c r="F3" s="811"/>
      <c r="G3" s="811"/>
      <c r="H3" s="811"/>
      <c r="I3" s="812"/>
      <c r="J3" s="812"/>
      <c r="K3" s="380"/>
      <c r="L3" s="380"/>
    </row>
    <row r="4" spans="1:12" x14ac:dyDescent="0.15">
      <c r="A4" s="2886" t="s">
        <v>2077</v>
      </c>
      <c r="B4" s="2886" t="s">
        <v>2078</v>
      </c>
      <c r="C4" s="2888">
        <v>2011</v>
      </c>
      <c r="D4" s="2889"/>
      <c r="E4" s="2888">
        <v>2012</v>
      </c>
      <c r="F4" s="2889"/>
      <c r="G4" s="2615">
        <v>2013</v>
      </c>
      <c r="H4" s="2615"/>
      <c r="I4" s="2615">
        <v>2014</v>
      </c>
      <c r="J4" s="2615"/>
      <c r="K4" s="2890">
        <v>2015</v>
      </c>
      <c r="L4" s="2891"/>
    </row>
    <row r="5" spans="1:12" ht="24" customHeight="1" x14ac:dyDescent="0.15">
      <c r="A5" s="2887"/>
      <c r="B5" s="2887"/>
      <c r="C5" s="365" t="s">
        <v>2002</v>
      </c>
      <c r="D5" s="365" t="s">
        <v>727</v>
      </c>
      <c r="E5" s="365" t="s">
        <v>2002</v>
      </c>
      <c r="F5" s="365" t="s">
        <v>727</v>
      </c>
      <c r="G5" s="365" t="s">
        <v>2002</v>
      </c>
      <c r="H5" s="365" t="s">
        <v>727</v>
      </c>
      <c r="I5" s="365" t="s">
        <v>2002</v>
      </c>
      <c r="J5" s="365" t="s">
        <v>727</v>
      </c>
      <c r="K5" s="365" t="s">
        <v>2002</v>
      </c>
      <c r="L5" s="365" t="s">
        <v>727</v>
      </c>
    </row>
    <row r="6" spans="1:12" x14ac:dyDescent="0.15">
      <c r="A6" s="813" t="s">
        <v>141</v>
      </c>
      <c r="B6" s="813"/>
      <c r="C6" s="367">
        <f>SUM(C7:C54)</f>
        <v>309</v>
      </c>
      <c r="D6" s="814">
        <f>SUM(D7:D55)</f>
        <v>0.99999999999999967</v>
      </c>
      <c r="E6" s="367">
        <f>SUM(E7:E54)</f>
        <v>255</v>
      </c>
      <c r="F6" s="814">
        <f>SUM(F7:F55)</f>
        <v>1</v>
      </c>
      <c r="G6" s="367">
        <f>SUM(G7:G54)</f>
        <v>270</v>
      </c>
      <c r="H6" s="815">
        <f>SUM(H7:H55)</f>
        <v>1</v>
      </c>
      <c r="I6" s="367">
        <f>SUM(I7:I54)</f>
        <v>231</v>
      </c>
      <c r="J6" s="815">
        <f>SUM(J7:J55)</f>
        <v>0.99999999999999978</v>
      </c>
      <c r="K6" s="367">
        <f>SUM(K7:K54)</f>
        <v>276</v>
      </c>
      <c r="L6" s="815">
        <f>SUM(L7:L55)</f>
        <v>0.99940000000000018</v>
      </c>
    </row>
    <row r="7" spans="1:12" x14ac:dyDescent="0.15">
      <c r="A7" s="380" t="s">
        <v>2079</v>
      </c>
      <c r="B7" s="380" t="s">
        <v>2080</v>
      </c>
      <c r="C7" s="570">
        <v>56</v>
      </c>
      <c r="D7" s="803">
        <f t="shared" ref="D7:D55" si="0">C7/$C$6</f>
        <v>0.18122977346278318</v>
      </c>
      <c r="E7" s="570">
        <v>18</v>
      </c>
      <c r="F7" s="803">
        <f t="shared" ref="F7:F55" si="1">E7/$E$6</f>
        <v>7.0588235294117646E-2</v>
      </c>
      <c r="G7" s="816">
        <v>18</v>
      </c>
      <c r="H7" s="817">
        <f t="shared" ref="H7:H55" si="2">G7/$G$6</f>
        <v>6.6666666666666666E-2</v>
      </c>
      <c r="I7" s="818">
        <v>22</v>
      </c>
      <c r="J7" s="817">
        <f>I7/$I$6</f>
        <v>9.5238095238095233E-2</v>
      </c>
      <c r="K7" s="818">
        <v>14</v>
      </c>
      <c r="L7" s="817">
        <v>5.0700000000000002E-2</v>
      </c>
    </row>
    <row r="8" spans="1:12" x14ac:dyDescent="0.15">
      <c r="A8" s="380" t="s">
        <v>2081</v>
      </c>
      <c r="B8" s="380" t="s">
        <v>2082</v>
      </c>
      <c r="C8" s="570">
        <v>1</v>
      </c>
      <c r="D8" s="803">
        <f t="shared" si="0"/>
        <v>3.2362459546925568E-3</v>
      </c>
      <c r="E8" s="570">
        <v>0</v>
      </c>
      <c r="F8" s="803">
        <f t="shared" si="1"/>
        <v>0</v>
      </c>
      <c r="G8" s="460">
        <v>0</v>
      </c>
      <c r="H8" s="817">
        <f t="shared" si="2"/>
        <v>0</v>
      </c>
      <c r="I8" s="570">
        <v>4</v>
      </c>
      <c r="J8" s="817">
        <f t="shared" ref="J8:J55" si="3">I8/$I$6</f>
        <v>1.7316017316017316E-2</v>
      </c>
      <c r="K8" s="818" t="s">
        <v>193</v>
      </c>
      <c r="L8" s="817">
        <v>0</v>
      </c>
    </row>
    <row r="9" spans="1:12" x14ac:dyDescent="0.15">
      <c r="A9" s="380" t="s">
        <v>2079</v>
      </c>
      <c r="B9" s="380" t="s">
        <v>2083</v>
      </c>
      <c r="C9" s="570">
        <v>0</v>
      </c>
      <c r="D9" s="803">
        <v>0</v>
      </c>
      <c r="E9" s="570">
        <v>0</v>
      </c>
      <c r="F9" s="803">
        <v>0</v>
      </c>
      <c r="G9" s="570">
        <v>0</v>
      </c>
      <c r="H9" s="817">
        <v>0</v>
      </c>
      <c r="I9" s="570">
        <v>1</v>
      </c>
      <c r="J9" s="817">
        <f t="shared" si="3"/>
        <v>4.329004329004329E-3</v>
      </c>
      <c r="K9" s="818" t="s">
        <v>193</v>
      </c>
      <c r="L9" s="817">
        <v>0</v>
      </c>
    </row>
    <row r="10" spans="1:12" x14ac:dyDescent="0.15">
      <c r="A10" s="380" t="s">
        <v>2084</v>
      </c>
      <c r="B10" s="380" t="s">
        <v>2085</v>
      </c>
      <c r="C10" s="570">
        <v>4</v>
      </c>
      <c r="D10" s="803">
        <f t="shared" si="0"/>
        <v>1.2944983818770227E-2</v>
      </c>
      <c r="E10" s="570">
        <v>3</v>
      </c>
      <c r="F10" s="803">
        <f t="shared" si="1"/>
        <v>1.1764705882352941E-2</v>
      </c>
      <c r="G10" s="460">
        <v>0</v>
      </c>
      <c r="H10" s="817">
        <f t="shared" si="2"/>
        <v>0</v>
      </c>
      <c r="I10" s="570">
        <v>3</v>
      </c>
      <c r="J10" s="817">
        <f t="shared" si="3"/>
        <v>1.2987012987012988E-2</v>
      </c>
      <c r="K10" s="818" t="s">
        <v>193</v>
      </c>
      <c r="L10" s="817">
        <v>0</v>
      </c>
    </row>
    <row r="11" spans="1:12" x14ac:dyDescent="0.15">
      <c r="A11" s="380" t="s">
        <v>2084</v>
      </c>
      <c r="B11" s="380" t="s">
        <v>2086</v>
      </c>
      <c r="C11" s="570">
        <v>0</v>
      </c>
      <c r="D11" s="803">
        <f t="shared" si="0"/>
        <v>0</v>
      </c>
      <c r="E11" s="570">
        <v>0</v>
      </c>
      <c r="F11" s="803">
        <f t="shared" si="1"/>
        <v>0</v>
      </c>
      <c r="G11" s="460">
        <v>0</v>
      </c>
      <c r="H11" s="817">
        <f t="shared" si="2"/>
        <v>0</v>
      </c>
      <c r="I11" s="818">
        <v>0</v>
      </c>
      <c r="J11" s="817">
        <f t="shared" si="3"/>
        <v>0</v>
      </c>
      <c r="K11" s="818" t="s">
        <v>193</v>
      </c>
      <c r="L11" s="817">
        <v>0</v>
      </c>
    </row>
    <row r="12" spans="1:12" x14ac:dyDescent="0.15">
      <c r="A12" s="380" t="s">
        <v>2087</v>
      </c>
      <c r="B12" s="380" t="s">
        <v>2085</v>
      </c>
      <c r="C12" s="570">
        <v>0</v>
      </c>
      <c r="D12" s="803">
        <f t="shared" si="0"/>
        <v>0</v>
      </c>
      <c r="E12" s="570">
        <v>0</v>
      </c>
      <c r="F12" s="803">
        <f t="shared" si="1"/>
        <v>0</v>
      </c>
      <c r="G12" s="816">
        <v>1</v>
      </c>
      <c r="H12" s="817">
        <f t="shared" si="2"/>
        <v>3.7037037037037038E-3</v>
      </c>
      <c r="I12" s="818">
        <v>0</v>
      </c>
      <c r="J12" s="817">
        <f t="shared" si="3"/>
        <v>0</v>
      </c>
      <c r="K12" s="818">
        <v>4</v>
      </c>
      <c r="L12" s="817">
        <v>1.4500000000000001E-2</v>
      </c>
    </row>
    <row r="13" spans="1:12" x14ac:dyDescent="0.15">
      <c r="A13" s="380" t="s">
        <v>2088</v>
      </c>
      <c r="B13" s="380" t="s">
        <v>2085</v>
      </c>
      <c r="C13" s="570">
        <v>0</v>
      </c>
      <c r="D13" s="803">
        <f t="shared" si="0"/>
        <v>0</v>
      </c>
      <c r="E13" s="570">
        <v>0</v>
      </c>
      <c r="F13" s="803">
        <f t="shared" si="1"/>
        <v>0</v>
      </c>
      <c r="G13" s="816">
        <v>2</v>
      </c>
      <c r="H13" s="817">
        <f t="shared" si="2"/>
        <v>7.4074074074074077E-3</v>
      </c>
      <c r="I13" s="818">
        <v>0</v>
      </c>
      <c r="J13" s="817">
        <f t="shared" si="3"/>
        <v>0</v>
      </c>
      <c r="K13" s="818">
        <v>1</v>
      </c>
      <c r="L13" s="817">
        <v>3.5999999999999999E-3</v>
      </c>
    </row>
    <row r="14" spans="1:12" x14ac:dyDescent="0.15">
      <c r="A14" s="380" t="s">
        <v>2089</v>
      </c>
      <c r="B14" s="380" t="s">
        <v>2085</v>
      </c>
      <c r="C14" s="570">
        <v>0</v>
      </c>
      <c r="D14" s="803">
        <f t="shared" si="0"/>
        <v>0</v>
      </c>
      <c r="E14" s="570">
        <v>0</v>
      </c>
      <c r="F14" s="803">
        <f t="shared" si="1"/>
        <v>0</v>
      </c>
      <c r="G14" s="816">
        <v>0</v>
      </c>
      <c r="H14" s="817">
        <f t="shared" si="2"/>
        <v>0</v>
      </c>
      <c r="I14" s="818">
        <v>0</v>
      </c>
      <c r="J14" s="817">
        <f t="shared" si="3"/>
        <v>0</v>
      </c>
      <c r="K14" s="818" t="s">
        <v>193</v>
      </c>
      <c r="L14" s="817">
        <v>0</v>
      </c>
    </row>
    <row r="15" spans="1:12" x14ac:dyDescent="0.15">
      <c r="A15" s="380" t="s">
        <v>2090</v>
      </c>
      <c r="B15" s="380" t="s">
        <v>2085</v>
      </c>
      <c r="C15" s="570">
        <v>0</v>
      </c>
      <c r="D15" s="803">
        <f t="shared" si="0"/>
        <v>0</v>
      </c>
      <c r="E15" s="570">
        <v>2</v>
      </c>
      <c r="F15" s="803">
        <f t="shared" si="1"/>
        <v>7.8431372549019607E-3</v>
      </c>
      <c r="G15" s="460">
        <v>3</v>
      </c>
      <c r="H15" s="817">
        <f t="shared" si="2"/>
        <v>1.1111111111111112E-2</v>
      </c>
      <c r="I15" s="570">
        <v>1</v>
      </c>
      <c r="J15" s="817">
        <f t="shared" si="3"/>
        <v>4.329004329004329E-3</v>
      </c>
      <c r="K15" s="818">
        <v>9</v>
      </c>
      <c r="L15" s="817">
        <v>3.2599999999999997E-2</v>
      </c>
    </row>
    <row r="16" spans="1:12" x14ac:dyDescent="0.15">
      <c r="A16" s="380" t="s">
        <v>2091</v>
      </c>
      <c r="B16" s="380" t="s">
        <v>2092</v>
      </c>
      <c r="C16" s="570">
        <v>0</v>
      </c>
      <c r="D16" s="803">
        <f t="shared" si="0"/>
        <v>0</v>
      </c>
      <c r="E16" s="570">
        <v>0</v>
      </c>
      <c r="F16" s="803">
        <f t="shared" si="1"/>
        <v>0</v>
      </c>
      <c r="G16" s="816">
        <v>0</v>
      </c>
      <c r="H16" s="817">
        <f t="shared" si="2"/>
        <v>0</v>
      </c>
      <c r="I16" s="818">
        <v>0</v>
      </c>
      <c r="J16" s="817">
        <f t="shared" si="3"/>
        <v>0</v>
      </c>
      <c r="K16" s="818" t="s">
        <v>193</v>
      </c>
      <c r="L16" s="817">
        <v>0</v>
      </c>
    </row>
    <row r="17" spans="1:12" x14ac:dyDescent="0.15">
      <c r="A17" s="380" t="s">
        <v>2085</v>
      </c>
      <c r="B17" s="380" t="s">
        <v>2079</v>
      </c>
      <c r="C17" s="570">
        <v>4</v>
      </c>
      <c r="D17" s="803">
        <f t="shared" si="0"/>
        <v>1.2944983818770227E-2</v>
      </c>
      <c r="E17" s="570">
        <v>1</v>
      </c>
      <c r="F17" s="803">
        <f t="shared" si="1"/>
        <v>3.9215686274509803E-3</v>
      </c>
      <c r="G17" s="816">
        <v>4</v>
      </c>
      <c r="H17" s="817">
        <f t="shared" si="2"/>
        <v>1.4814814814814815E-2</v>
      </c>
      <c r="I17" s="818">
        <v>5</v>
      </c>
      <c r="J17" s="817">
        <f t="shared" si="3"/>
        <v>2.1645021645021644E-2</v>
      </c>
      <c r="K17" s="818">
        <v>2</v>
      </c>
      <c r="L17" s="817">
        <v>7.1999999999999998E-3</v>
      </c>
    </row>
    <row r="18" spans="1:12" x14ac:dyDescent="0.15">
      <c r="A18" s="380" t="s">
        <v>2085</v>
      </c>
      <c r="B18" s="380" t="s">
        <v>2093</v>
      </c>
      <c r="C18" s="570">
        <v>0</v>
      </c>
      <c r="D18" s="803">
        <f t="shared" si="0"/>
        <v>0</v>
      </c>
      <c r="E18" s="570">
        <v>0</v>
      </c>
      <c r="F18" s="803">
        <f t="shared" si="1"/>
        <v>0</v>
      </c>
      <c r="G18" s="816">
        <v>0</v>
      </c>
      <c r="H18" s="817">
        <f t="shared" si="2"/>
        <v>0</v>
      </c>
      <c r="I18" s="818">
        <v>1</v>
      </c>
      <c r="J18" s="817">
        <f t="shared" si="3"/>
        <v>4.329004329004329E-3</v>
      </c>
      <c r="K18" s="818">
        <v>1</v>
      </c>
      <c r="L18" s="817">
        <v>3.5999999999999999E-3</v>
      </c>
    </row>
    <row r="19" spans="1:12" x14ac:dyDescent="0.15">
      <c r="A19" s="380" t="s">
        <v>2085</v>
      </c>
      <c r="B19" s="380" t="s">
        <v>2087</v>
      </c>
      <c r="C19" s="570">
        <v>0</v>
      </c>
      <c r="D19" s="803">
        <f t="shared" si="0"/>
        <v>0</v>
      </c>
      <c r="E19" s="570">
        <v>0</v>
      </c>
      <c r="F19" s="803">
        <f t="shared" si="1"/>
        <v>0</v>
      </c>
      <c r="G19" s="816">
        <v>1</v>
      </c>
      <c r="H19" s="817">
        <f t="shared" si="2"/>
        <v>3.7037037037037038E-3</v>
      </c>
      <c r="I19" s="818">
        <v>0</v>
      </c>
      <c r="J19" s="817">
        <f t="shared" si="3"/>
        <v>0</v>
      </c>
      <c r="K19" s="818" t="s">
        <v>193</v>
      </c>
      <c r="L19" s="817">
        <v>0</v>
      </c>
    </row>
    <row r="20" spans="1:12" x14ac:dyDescent="0.15">
      <c r="A20" s="380" t="s">
        <v>2085</v>
      </c>
      <c r="B20" s="380" t="s">
        <v>2088</v>
      </c>
      <c r="C20" s="570">
        <v>1</v>
      </c>
      <c r="D20" s="803">
        <f t="shared" si="0"/>
        <v>3.2362459546925568E-3</v>
      </c>
      <c r="E20" s="570">
        <v>0</v>
      </c>
      <c r="F20" s="803">
        <f t="shared" si="1"/>
        <v>0</v>
      </c>
      <c r="G20" s="816">
        <v>0</v>
      </c>
      <c r="H20" s="817">
        <f t="shared" si="2"/>
        <v>0</v>
      </c>
      <c r="I20" s="818">
        <v>0</v>
      </c>
      <c r="J20" s="817">
        <f t="shared" si="3"/>
        <v>0</v>
      </c>
      <c r="K20" s="818">
        <v>2</v>
      </c>
      <c r="L20" s="817">
        <v>7.1999999999999998E-3</v>
      </c>
    </row>
    <row r="21" spans="1:12" x14ac:dyDescent="0.15">
      <c r="A21" s="380" t="s">
        <v>2085</v>
      </c>
      <c r="B21" s="380" t="s">
        <v>2086</v>
      </c>
      <c r="C21" s="570">
        <v>2</v>
      </c>
      <c r="D21" s="803">
        <f t="shared" si="0"/>
        <v>6.4724919093851136E-3</v>
      </c>
      <c r="E21" s="570">
        <v>6</v>
      </c>
      <c r="F21" s="803">
        <f t="shared" si="1"/>
        <v>2.3529411764705882E-2</v>
      </c>
      <c r="G21" s="816">
        <v>2</v>
      </c>
      <c r="H21" s="817">
        <f t="shared" si="2"/>
        <v>7.4074074074074077E-3</v>
      </c>
      <c r="I21" s="818">
        <v>2</v>
      </c>
      <c r="J21" s="817">
        <f t="shared" si="3"/>
        <v>8.658008658008658E-3</v>
      </c>
      <c r="K21" s="818">
        <v>5</v>
      </c>
      <c r="L21" s="817">
        <v>1.8100000000000002E-2</v>
      </c>
    </row>
    <row r="22" spans="1:12" x14ac:dyDescent="0.15">
      <c r="A22" s="380" t="s">
        <v>2085</v>
      </c>
      <c r="B22" s="380" t="s">
        <v>2092</v>
      </c>
      <c r="C22" s="570">
        <v>94</v>
      </c>
      <c r="D22" s="803">
        <f t="shared" si="0"/>
        <v>0.30420711974110032</v>
      </c>
      <c r="E22" s="570">
        <v>97</v>
      </c>
      <c r="F22" s="803">
        <f t="shared" si="1"/>
        <v>0.38039215686274508</v>
      </c>
      <c r="G22" s="816">
        <v>79</v>
      </c>
      <c r="H22" s="817">
        <f t="shared" si="2"/>
        <v>0.29259259259259257</v>
      </c>
      <c r="I22" s="818">
        <v>52</v>
      </c>
      <c r="J22" s="817">
        <f t="shared" si="3"/>
        <v>0.22510822510822512</v>
      </c>
      <c r="K22" s="818">
        <v>74</v>
      </c>
      <c r="L22" s="817">
        <v>0.2681</v>
      </c>
    </row>
    <row r="23" spans="1:12" x14ac:dyDescent="0.15">
      <c r="A23" s="380" t="s">
        <v>2085</v>
      </c>
      <c r="B23" s="380" t="s">
        <v>2083</v>
      </c>
      <c r="C23" s="570">
        <v>2</v>
      </c>
      <c r="D23" s="803">
        <f t="shared" si="0"/>
        <v>6.4724919093851136E-3</v>
      </c>
      <c r="E23" s="570">
        <v>3</v>
      </c>
      <c r="F23" s="803">
        <f t="shared" si="1"/>
        <v>1.1764705882352941E-2</v>
      </c>
      <c r="G23" s="816">
        <v>6</v>
      </c>
      <c r="H23" s="817">
        <f t="shared" si="2"/>
        <v>2.2222222222222223E-2</v>
      </c>
      <c r="I23" s="818">
        <v>4</v>
      </c>
      <c r="J23" s="817">
        <f t="shared" si="3"/>
        <v>1.7316017316017316E-2</v>
      </c>
      <c r="K23" s="818">
        <v>2</v>
      </c>
      <c r="L23" s="817">
        <v>7.1999999999999998E-3</v>
      </c>
    </row>
    <row r="24" spans="1:12" x14ac:dyDescent="0.15">
      <c r="A24" s="380" t="s">
        <v>2085</v>
      </c>
      <c r="B24" s="380" t="s">
        <v>2094</v>
      </c>
      <c r="C24" s="570">
        <v>1</v>
      </c>
      <c r="D24" s="803">
        <f t="shared" si="0"/>
        <v>3.2362459546925568E-3</v>
      </c>
      <c r="E24" s="570">
        <v>0</v>
      </c>
      <c r="F24" s="803">
        <f t="shared" si="1"/>
        <v>0</v>
      </c>
      <c r="G24" s="816">
        <v>0</v>
      </c>
      <c r="H24" s="817">
        <f t="shared" si="2"/>
        <v>0</v>
      </c>
      <c r="I24" s="818">
        <v>0</v>
      </c>
      <c r="J24" s="817">
        <f t="shared" si="3"/>
        <v>0</v>
      </c>
      <c r="K24" s="818" t="s">
        <v>193</v>
      </c>
      <c r="L24" s="817">
        <v>0</v>
      </c>
    </row>
    <row r="25" spans="1:12" x14ac:dyDescent="0.15">
      <c r="A25" s="380" t="s">
        <v>2085</v>
      </c>
      <c r="B25" s="380" t="s">
        <v>2095</v>
      </c>
      <c r="C25" s="570">
        <v>6</v>
      </c>
      <c r="D25" s="803">
        <f t="shared" si="0"/>
        <v>1.9417475728155338E-2</v>
      </c>
      <c r="E25" s="570">
        <v>3</v>
      </c>
      <c r="F25" s="803">
        <f t="shared" si="1"/>
        <v>1.1764705882352941E-2</v>
      </c>
      <c r="G25" s="816">
        <v>1</v>
      </c>
      <c r="H25" s="817">
        <f t="shared" si="2"/>
        <v>3.7037037037037038E-3</v>
      </c>
      <c r="I25" s="818">
        <v>0</v>
      </c>
      <c r="J25" s="817">
        <f t="shared" si="3"/>
        <v>0</v>
      </c>
      <c r="K25" s="818">
        <v>1</v>
      </c>
      <c r="L25" s="817">
        <v>3.5999999999999999E-3</v>
      </c>
    </row>
    <row r="26" spans="1:12" x14ac:dyDescent="0.15">
      <c r="A26" s="380" t="s">
        <v>2085</v>
      </c>
      <c r="B26" s="380" t="s">
        <v>2096</v>
      </c>
      <c r="C26" s="570">
        <v>0</v>
      </c>
      <c r="D26" s="803">
        <f t="shared" si="0"/>
        <v>0</v>
      </c>
      <c r="E26" s="570">
        <v>0</v>
      </c>
      <c r="F26" s="803">
        <f t="shared" si="1"/>
        <v>0</v>
      </c>
      <c r="G26" s="816">
        <v>0</v>
      </c>
      <c r="H26" s="817">
        <f t="shared" si="2"/>
        <v>0</v>
      </c>
      <c r="I26" s="818">
        <v>0</v>
      </c>
      <c r="J26" s="817">
        <f t="shared" si="3"/>
        <v>0</v>
      </c>
      <c r="K26" s="818" t="s">
        <v>193</v>
      </c>
      <c r="L26" s="817">
        <v>0</v>
      </c>
    </row>
    <row r="27" spans="1:12" x14ac:dyDescent="0.15">
      <c r="A27" s="380" t="s">
        <v>2085</v>
      </c>
      <c r="B27" s="380" t="s">
        <v>2097</v>
      </c>
      <c r="C27" s="570">
        <v>0</v>
      </c>
      <c r="D27" s="803">
        <f t="shared" si="0"/>
        <v>0</v>
      </c>
      <c r="E27" s="570">
        <v>0</v>
      </c>
      <c r="F27" s="803">
        <f t="shared" si="1"/>
        <v>0</v>
      </c>
      <c r="G27" s="816">
        <v>0</v>
      </c>
      <c r="H27" s="817">
        <f t="shared" si="2"/>
        <v>0</v>
      </c>
      <c r="I27" s="818">
        <v>0</v>
      </c>
      <c r="J27" s="817">
        <f t="shared" si="3"/>
        <v>0</v>
      </c>
      <c r="K27" s="818" t="s">
        <v>193</v>
      </c>
      <c r="L27" s="817">
        <v>0</v>
      </c>
    </row>
    <row r="28" spans="1:12" x14ac:dyDescent="0.15">
      <c r="A28" s="380" t="s">
        <v>2085</v>
      </c>
      <c r="B28" s="380" t="s">
        <v>2098</v>
      </c>
      <c r="C28" s="570">
        <v>1</v>
      </c>
      <c r="D28" s="803">
        <f t="shared" si="0"/>
        <v>3.2362459546925568E-3</v>
      </c>
      <c r="E28" s="570">
        <v>13</v>
      </c>
      <c r="F28" s="803">
        <f t="shared" si="1"/>
        <v>5.0980392156862744E-2</v>
      </c>
      <c r="G28" s="816">
        <v>6</v>
      </c>
      <c r="H28" s="817">
        <f t="shared" si="2"/>
        <v>2.2222222222222223E-2</v>
      </c>
      <c r="I28" s="818">
        <v>6</v>
      </c>
      <c r="J28" s="817">
        <f t="shared" si="3"/>
        <v>2.5974025974025976E-2</v>
      </c>
      <c r="K28" s="818">
        <v>2</v>
      </c>
      <c r="L28" s="817">
        <v>7.1999999999999998E-3</v>
      </c>
    </row>
    <row r="29" spans="1:12" x14ac:dyDescent="0.15">
      <c r="A29" s="380" t="s">
        <v>2085</v>
      </c>
      <c r="B29" s="380" t="s">
        <v>2099</v>
      </c>
      <c r="C29" s="570">
        <v>0</v>
      </c>
      <c r="D29" s="803">
        <v>0</v>
      </c>
      <c r="E29" s="570">
        <v>0</v>
      </c>
      <c r="F29" s="803">
        <v>0</v>
      </c>
      <c r="G29" s="570">
        <v>0</v>
      </c>
      <c r="H29" s="817">
        <v>0</v>
      </c>
      <c r="I29" s="818">
        <v>1</v>
      </c>
      <c r="J29" s="817">
        <f t="shared" si="3"/>
        <v>4.329004329004329E-3</v>
      </c>
      <c r="K29" s="818" t="s">
        <v>193</v>
      </c>
      <c r="L29" s="817">
        <v>0</v>
      </c>
    </row>
    <row r="30" spans="1:12" x14ac:dyDescent="0.15">
      <c r="A30" s="380" t="s">
        <v>2085</v>
      </c>
      <c r="B30" s="380" t="s">
        <v>2100</v>
      </c>
      <c r="C30" s="570">
        <v>0</v>
      </c>
      <c r="D30" s="803">
        <f t="shared" si="0"/>
        <v>0</v>
      </c>
      <c r="E30" s="570">
        <v>0</v>
      </c>
      <c r="F30" s="803">
        <f t="shared" si="1"/>
        <v>0</v>
      </c>
      <c r="G30" s="816">
        <v>0</v>
      </c>
      <c r="H30" s="817">
        <f t="shared" si="2"/>
        <v>0</v>
      </c>
      <c r="I30" s="818">
        <v>0</v>
      </c>
      <c r="J30" s="817">
        <f t="shared" si="3"/>
        <v>0</v>
      </c>
      <c r="K30" s="818">
        <v>2</v>
      </c>
      <c r="L30" s="817">
        <v>7.1999999999999998E-3</v>
      </c>
    </row>
    <row r="31" spans="1:12" x14ac:dyDescent="0.15">
      <c r="A31" s="380" t="s">
        <v>2085</v>
      </c>
      <c r="B31" s="380" t="s">
        <v>2101</v>
      </c>
      <c r="C31" s="570">
        <v>1</v>
      </c>
      <c r="D31" s="803">
        <f t="shared" si="0"/>
        <v>3.2362459546925568E-3</v>
      </c>
      <c r="E31" s="570">
        <v>0</v>
      </c>
      <c r="F31" s="803">
        <f t="shared" si="1"/>
        <v>0</v>
      </c>
      <c r="G31" s="460">
        <v>0</v>
      </c>
      <c r="H31" s="817">
        <f t="shared" si="2"/>
        <v>0</v>
      </c>
      <c r="I31" s="818">
        <v>0</v>
      </c>
      <c r="J31" s="817">
        <f t="shared" si="3"/>
        <v>0</v>
      </c>
      <c r="K31" s="818" t="s">
        <v>193</v>
      </c>
      <c r="L31" s="817">
        <v>0</v>
      </c>
    </row>
    <row r="32" spans="1:12" x14ac:dyDescent="0.15">
      <c r="A32" s="380" t="s">
        <v>2102</v>
      </c>
      <c r="B32" s="380" t="s">
        <v>2085</v>
      </c>
      <c r="C32" s="570">
        <v>0</v>
      </c>
      <c r="D32" s="803">
        <f t="shared" si="0"/>
        <v>0</v>
      </c>
      <c r="E32" s="570">
        <v>0</v>
      </c>
      <c r="F32" s="803">
        <f t="shared" si="1"/>
        <v>0</v>
      </c>
      <c r="G32" s="460">
        <v>0</v>
      </c>
      <c r="H32" s="817">
        <f t="shared" si="2"/>
        <v>0</v>
      </c>
      <c r="I32" s="818">
        <v>0</v>
      </c>
      <c r="J32" s="817">
        <f t="shared" si="3"/>
        <v>0</v>
      </c>
      <c r="K32" s="818">
        <v>1</v>
      </c>
      <c r="L32" s="817">
        <v>3.5999999999999999E-3</v>
      </c>
    </row>
    <row r="33" spans="1:12" x14ac:dyDescent="0.15">
      <c r="A33" s="380" t="s">
        <v>2086</v>
      </c>
      <c r="B33" s="380" t="s">
        <v>2085</v>
      </c>
      <c r="C33" s="570">
        <v>17</v>
      </c>
      <c r="D33" s="803">
        <f t="shared" si="0"/>
        <v>5.5016181229773461E-2</v>
      </c>
      <c r="E33" s="570">
        <v>21</v>
      </c>
      <c r="F33" s="803">
        <f t="shared" si="1"/>
        <v>8.2352941176470587E-2</v>
      </c>
      <c r="G33" s="816">
        <v>23</v>
      </c>
      <c r="H33" s="817">
        <f t="shared" si="2"/>
        <v>8.5185185185185183E-2</v>
      </c>
      <c r="I33" s="818">
        <v>27</v>
      </c>
      <c r="J33" s="817">
        <f t="shared" si="3"/>
        <v>0.11688311688311688</v>
      </c>
      <c r="K33" s="818">
        <v>42</v>
      </c>
      <c r="L33" s="817">
        <v>0.1522</v>
      </c>
    </row>
    <row r="34" spans="1:12" x14ac:dyDescent="0.15">
      <c r="A34" s="380" t="s">
        <v>2086</v>
      </c>
      <c r="B34" s="380" t="s">
        <v>2092</v>
      </c>
      <c r="C34" s="570">
        <v>0</v>
      </c>
      <c r="D34" s="803">
        <f t="shared" si="0"/>
        <v>0</v>
      </c>
      <c r="E34" s="570">
        <v>0</v>
      </c>
      <c r="F34" s="803">
        <f t="shared" si="1"/>
        <v>0</v>
      </c>
      <c r="G34" s="816">
        <v>1</v>
      </c>
      <c r="H34" s="817">
        <f t="shared" si="2"/>
        <v>3.7037037037037038E-3</v>
      </c>
      <c r="I34" s="818">
        <v>0</v>
      </c>
      <c r="J34" s="817">
        <f t="shared" si="3"/>
        <v>0</v>
      </c>
      <c r="K34" s="818" t="s">
        <v>193</v>
      </c>
      <c r="L34" s="817">
        <v>0</v>
      </c>
    </row>
    <row r="35" spans="1:12" x14ac:dyDescent="0.15">
      <c r="A35" s="380" t="s">
        <v>2103</v>
      </c>
      <c r="B35" s="380" t="s">
        <v>2085</v>
      </c>
      <c r="C35" s="570">
        <v>4</v>
      </c>
      <c r="D35" s="803">
        <f t="shared" si="0"/>
        <v>1.2944983818770227E-2</v>
      </c>
      <c r="E35" s="570">
        <v>1</v>
      </c>
      <c r="F35" s="803">
        <f t="shared" si="1"/>
        <v>3.9215686274509803E-3</v>
      </c>
      <c r="G35" s="816">
        <v>2</v>
      </c>
      <c r="H35" s="817">
        <f t="shared" si="2"/>
        <v>7.4074074074074077E-3</v>
      </c>
      <c r="I35" s="818">
        <v>1</v>
      </c>
      <c r="J35" s="817">
        <f t="shared" si="3"/>
        <v>4.329004329004329E-3</v>
      </c>
      <c r="K35" s="818">
        <v>5</v>
      </c>
      <c r="L35" s="817">
        <v>1.8100000000000002E-2</v>
      </c>
    </row>
    <row r="36" spans="1:12" x14ac:dyDescent="0.15">
      <c r="A36" s="380" t="s">
        <v>2104</v>
      </c>
      <c r="B36" s="380" t="s">
        <v>2085</v>
      </c>
      <c r="C36" s="570">
        <v>0</v>
      </c>
      <c r="D36" s="803">
        <f t="shared" si="0"/>
        <v>0</v>
      </c>
      <c r="E36" s="570">
        <v>0</v>
      </c>
      <c r="F36" s="803">
        <f t="shared" si="1"/>
        <v>0</v>
      </c>
      <c r="G36" s="816">
        <v>1</v>
      </c>
      <c r="H36" s="817">
        <f t="shared" si="2"/>
        <v>3.7037037037037038E-3</v>
      </c>
      <c r="I36" s="818">
        <v>0</v>
      </c>
      <c r="J36" s="817">
        <f t="shared" si="3"/>
        <v>0</v>
      </c>
      <c r="K36" s="818" t="s">
        <v>193</v>
      </c>
      <c r="L36" s="817">
        <v>0</v>
      </c>
    </row>
    <row r="37" spans="1:12" x14ac:dyDescent="0.15">
      <c r="A37" s="380" t="s">
        <v>2105</v>
      </c>
      <c r="B37" s="380" t="s">
        <v>2085</v>
      </c>
      <c r="C37" s="570">
        <v>0</v>
      </c>
      <c r="D37" s="803">
        <f t="shared" si="0"/>
        <v>0</v>
      </c>
      <c r="E37" s="570">
        <v>0</v>
      </c>
      <c r="F37" s="803">
        <f t="shared" si="1"/>
        <v>0</v>
      </c>
      <c r="G37" s="570">
        <v>0</v>
      </c>
      <c r="H37" s="817">
        <f t="shared" si="2"/>
        <v>0</v>
      </c>
      <c r="I37" s="818">
        <v>0</v>
      </c>
      <c r="J37" s="817">
        <f t="shared" si="3"/>
        <v>0</v>
      </c>
      <c r="K37" s="818">
        <v>1</v>
      </c>
      <c r="L37" s="817">
        <v>3.5999999999999999E-3</v>
      </c>
    </row>
    <row r="38" spans="1:12" x14ac:dyDescent="0.15">
      <c r="A38" s="380" t="s">
        <v>2092</v>
      </c>
      <c r="B38" s="380" t="s">
        <v>2079</v>
      </c>
      <c r="C38" s="570">
        <v>0</v>
      </c>
      <c r="D38" s="803">
        <f t="shared" si="0"/>
        <v>0</v>
      </c>
      <c r="E38" s="570">
        <v>1</v>
      </c>
      <c r="F38" s="803">
        <f t="shared" si="1"/>
        <v>3.9215686274509803E-3</v>
      </c>
      <c r="G38" s="460">
        <v>0</v>
      </c>
      <c r="H38" s="817">
        <f t="shared" si="2"/>
        <v>0</v>
      </c>
      <c r="I38" s="818">
        <v>0</v>
      </c>
      <c r="J38" s="817">
        <f t="shared" si="3"/>
        <v>0</v>
      </c>
      <c r="K38" s="818" t="s">
        <v>193</v>
      </c>
      <c r="L38" s="817">
        <v>0</v>
      </c>
    </row>
    <row r="39" spans="1:12" x14ac:dyDescent="0.15">
      <c r="A39" s="380" t="s">
        <v>2092</v>
      </c>
      <c r="B39" s="380" t="s">
        <v>2085</v>
      </c>
      <c r="C39" s="570">
        <v>106</v>
      </c>
      <c r="D39" s="803">
        <f t="shared" si="0"/>
        <v>0.34304207119741098</v>
      </c>
      <c r="E39" s="570">
        <v>67</v>
      </c>
      <c r="F39" s="803">
        <f t="shared" si="1"/>
        <v>0.2627450980392157</v>
      </c>
      <c r="G39" s="816">
        <v>96</v>
      </c>
      <c r="H39" s="817">
        <f t="shared" si="2"/>
        <v>0.35555555555555557</v>
      </c>
      <c r="I39" s="818">
        <v>71</v>
      </c>
      <c r="J39" s="817">
        <f t="shared" si="3"/>
        <v>0.30735930735930733</v>
      </c>
      <c r="K39" s="818">
        <v>88</v>
      </c>
      <c r="L39" s="817">
        <v>0.31879999999999997</v>
      </c>
    </row>
    <row r="40" spans="1:12" x14ac:dyDescent="0.15">
      <c r="A40" s="380" t="s">
        <v>2092</v>
      </c>
      <c r="B40" s="380" t="s">
        <v>2102</v>
      </c>
      <c r="C40" s="570">
        <v>0</v>
      </c>
      <c r="D40" s="803">
        <f t="shared" si="0"/>
        <v>0</v>
      </c>
      <c r="E40" s="570">
        <v>0</v>
      </c>
      <c r="F40" s="803">
        <f t="shared" si="1"/>
        <v>0</v>
      </c>
      <c r="G40" s="816">
        <v>0</v>
      </c>
      <c r="H40" s="817">
        <f t="shared" si="2"/>
        <v>0</v>
      </c>
      <c r="I40" s="818">
        <v>0</v>
      </c>
      <c r="J40" s="817">
        <f t="shared" si="3"/>
        <v>0</v>
      </c>
      <c r="K40" s="818" t="s">
        <v>193</v>
      </c>
      <c r="L40" s="817">
        <v>0</v>
      </c>
    </row>
    <row r="41" spans="1:12" x14ac:dyDescent="0.15">
      <c r="A41" s="380" t="s">
        <v>2092</v>
      </c>
      <c r="B41" s="380" t="s">
        <v>2086</v>
      </c>
      <c r="C41" s="570">
        <v>1</v>
      </c>
      <c r="D41" s="803">
        <f t="shared" si="0"/>
        <v>3.2362459546925568E-3</v>
      </c>
      <c r="E41" s="570">
        <v>0</v>
      </c>
      <c r="F41" s="803">
        <f t="shared" si="1"/>
        <v>0</v>
      </c>
      <c r="G41" s="816">
        <v>0</v>
      </c>
      <c r="H41" s="817">
        <f t="shared" si="2"/>
        <v>0</v>
      </c>
      <c r="I41" s="818">
        <v>0</v>
      </c>
      <c r="J41" s="817">
        <f t="shared" si="3"/>
        <v>0</v>
      </c>
      <c r="K41" s="818" t="s">
        <v>193</v>
      </c>
      <c r="L41" s="817">
        <v>0</v>
      </c>
    </row>
    <row r="42" spans="1:12" x14ac:dyDescent="0.15">
      <c r="A42" s="380" t="s">
        <v>2092</v>
      </c>
      <c r="B42" s="380" t="s">
        <v>2098</v>
      </c>
      <c r="C42" s="570">
        <v>0</v>
      </c>
      <c r="D42" s="803">
        <f t="shared" si="0"/>
        <v>0</v>
      </c>
      <c r="E42" s="570">
        <v>0</v>
      </c>
      <c r="F42" s="803">
        <f t="shared" si="1"/>
        <v>0</v>
      </c>
      <c r="G42" s="816">
        <v>0</v>
      </c>
      <c r="H42" s="817">
        <f t="shared" si="2"/>
        <v>0</v>
      </c>
      <c r="I42" s="818">
        <v>0</v>
      </c>
      <c r="J42" s="817">
        <f t="shared" si="3"/>
        <v>0</v>
      </c>
      <c r="K42" s="818" t="s">
        <v>193</v>
      </c>
      <c r="L42" s="817">
        <v>0</v>
      </c>
    </row>
    <row r="43" spans="1:12" x14ac:dyDescent="0.15">
      <c r="A43" s="380" t="s">
        <v>2083</v>
      </c>
      <c r="B43" s="380" t="s">
        <v>2085</v>
      </c>
      <c r="C43" s="570">
        <v>3</v>
      </c>
      <c r="D43" s="803">
        <f t="shared" si="0"/>
        <v>9.7087378640776691E-3</v>
      </c>
      <c r="E43" s="570">
        <v>8</v>
      </c>
      <c r="F43" s="803">
        <f t="shared" si="1"/>
        <v>3.1372549019607843E-2</v>
      </c>
      <c r="G43" s="816">
        <v>8</v>
      </c>
      <c r="H43" s="817">
        <f t="shared" si="2"/>
        <v>2.9629629629629631E-2</v>
      </c>
      <c r="I43" s="818">
        <v>4</v>
      </c>
      <c r="J43" s="817">
        <f t="shared" si="3"/>
        <v>1.7316017316017316E-2</v>
      </c>
      <c r="K43" s="818">
        <v>12</v>
      </c>
      <c r="L43" s="817">
        <v>4.3499999999999997E-2</v>
      </c>
    </row>
    <row r="44" spans="1:12" x14ac:dyDescent="0.15">
      <c r="A44" s="380" t="s">
        <v>2083</v>
      </c>
      <c r="B44" s="380" t="s">
        <v>2092</v>
      </c>
      <c r="C44" s="570">
        <v>0</v>
      </c>
      <c r="D44" s="803">
        <f t="shared" si="0"/>
        <v>0</v>
      </c>
      <c r="E44" s="570">
        <v>0</v>
      </c>
      <c r="F44" s="803">
        <f t="shared" si="1"/>
        <v>0</v>
      </c>
      <c r="G44" s="816">
        <v>2</v>
      </c>
      <c r="H44" s="817">
        <f t="shared" si="2"/>
        <v>7.4074074074074077E-3</v>
      </c>
      <c r="I44" s="818">
        <v>0</v>
      </c>
      <c r="J44" s="817">
        <f t="shared" si="3"/>
        <v>0</v>
      </c>
      <c r="K44" s="818" t="s">
        <v>193</v>
      </c>
      <c r="L44" s="817">
        <v>0</v>
      </c>
    </row>
    <row r="45" spans="1:12" x14ac:dyDescent="0.15">
      <c r="A45" s="380" t="s">
        <v>2094</v>
      </c>
      <c r="B45" s="380" t="s">
        <v>2085</v>
      </c>
      <c r="C45" s="570">
        <v>0</v>
      </c>
      <c r="D45" s="803">
        <f t="shared" si="0"/>
        <v>0</v>
      </c>
      <c r="E45" s="570">
        <v>0</v>
      </c>
      <c r="F45" s="803">
        <f t="shared" si="1"/>
        <v>0</v>
      </c>
      <c r="G45" s="816">
        <v>0</v>
      </c>
      <c r="H45" s="817">
        <f t="shared" si="2"/>
        <v>0</v>
      </c>
      <c r="I45" s="818">
        <v>0</v>
      </c>
      <c r="J45" s="817">
        <f t="shared" si="3"/>
        <v>0</v>
      </c>
      <c r="K45" s="818">
        <v>1</v>
      </c>
      <c r="L45" s="817">
        <v>3.5999999999999999E-3</v>
      </c>
    </row>
    <row r="46" spans="1:12" x14ac:dyDescent="0.15">
      <c r="A46" s="380" t="s">
        <v>2106</v>
      </c>
      <c r="B46" s="380" t="s">
        <v>2085</v>
      </c>
      <c r="C46" s="570">
        <v>1</v>
      </c>
      <c r="D46" s="803">
        <f t="shared" si="0"/>
        <v>3.2362459546925568E-3</v>
      </c>
      <c r="E46" s="570">
        <v>0</v>
      </c>
      <c r="F46" s="803">
        <f t="shared" si="1"/>
        <v>0</v>
      </c>
      <c r="G46" s="816">
        <v>0</v>
      </c>
      <c r="H46" s="817">
        <f t="shared" si="2"/>
        <v>0</v>
      </c>
      <c r="I46" s="818">
        <v>3</v>
      </c>
      <c r="J46" s="817">
        <f t="shared" si="3"/>
        <v>1.2987012987012988E-2</v>
      </c>
      <c r="K46" s="818" t="s">
        <v>193</v>
      </c>
      <c r="L46" s="817">
        <v>0</v>
      </c>
    </row>
    <row r="47" spans="1:12" x14ac:dyDescent="0.15">
      <c r="A47" s="380" t="s">
        <v>2095</v>
      </c>
      <c r="B47" s="380" t="s">
        <v>2085</v>
      </c>
      <c r="C47" s="570">
        <v>0</v>
      </c>
      <c r="D47" s="803">
        <f t="shared" si="0"/>
        <v>0</v>
      </c>
      <c r="E47" s="570">
        <v>0</v>
      </c>
      <c r="F47" s="803">
        <f t="shared" si="1"/>
        <v>0</v>
      </c>
      <c r="G47" s="816">
        <v>0</v>
      </c>
      <c r="H47" s="817">
        <f t="shared" si="2"/>
        <v>0</v>
      </c>
      <c r="I47" s="818">
        <v>1</v>
      </c>
      <c r="J47" s="817">
        <f t="shared" si="3"/>
        <v>4.329004329004329E-3</v>
      </c>
      <c r="K47" s="818" t="s">
        <v>193</v>
      </c>
      <c r="L47" s="817">
        <v>0</v>
      </c>
    </row>
    <row r="48" spans="1:12" x14ac:dyDescent="0.15">
      <c r="A48" s="380" t="s">
        <v>2107</v>
      </c>
      <c r="B48" s="380" t="s">
        <v>2085</v>
      </c>
      <c r="C48" s="570">
        <v>0</v>
      </c>
      <c r="D48" s="803">
        <f t="shared" si="0"/>
        <v>0</v>
      </c>
      <c r="E48" s="570">
        <v>0</v>
      </c>
      <c r="F48" s="803">
        <f t="shared" si="1"/>
        <v>0</v>
      </c>
      <c r="G48" s="816">
        <v>0</v>
      </c>
      <c r="H48" s="817">
        <f t="shared" si="2"/>
        <v>0</v>
      </c>
      <c r="I48" s="818">
        <v>0</v>
      </c>
      <c r="J48" s="817">
        <f t="shared" si="3"/>
        <v>0</v>
      </c>
      <c r="K48" s="818" t="s">
        <v>193</v>
      </c>
      <c r="L48" s="817">
        <v>0</v>
      </c>
    </row>
    <row r="49" spans="1:13" x14ac:dyDescent="0.15">
      <c r="A49" s="380" t="s">
        <v>2097</v>
      </c>
      <c r="B49" s="380" t="s">
        <v>2085</v>
      </c>
      <c r="C49" s="570">
        <v>0</v>
      </c>
      <c r="D49" s="803">
        <f t="shared" si="0"/>
        <v>0</v>
      </c>
      <c r="E49" s="570">
        <v>1</v>
      </c>
      <c r="F49" s="803">
        <f t="shared" si="1"/>
        <v>3.9215686274509803E-3</v>
      </c>
      <c r="G49" s="816">
        <v>0</v>
      </c>
      <c r="H49" s="817">
        <f t="shared" si="2"/>
        <v>0</v>
      </c>
      <c r="I49" s="818">
        <v>0</v>
      </c>
      <c r="J49" s="817">
        <f t="shared" si="3"/>
        <v>0</v>
      </c>
      <c r="K49" s="818">
        <v>2</v>
      </c>
      <c r="L49" s="817">
        <v>7.1999999999999998E-3</v>
      </c>
    </row>
    <row r="50" spans="1:13" x14ac:dyDescent="0.15">
      <c r="A50" s="380" t="s">
        <v>2098</v>
      </c>
      <c r="B50" s="380" t="s">
        <v>2085</v>
      </c>
      <c r="C50" s="570">
        <v>2</v>
      </c>
      <c r="D50" s="803">
        <f t="shared" si="0"/>
        <v>6.4724919093851136E-3</v>
      </c>
      <c r="E50" s="570">
        <v>8</v>
      </c>
      <c r="F50" s="803">
        <f t="shared" si="1"/>
        <v>3.1372549019607843E-2</v>
      </c>
      <c r="G50" s="816">
        <v>8</v>
      </c>
      <c r="H50" s="817">
        <f t="shared" si="2"/>
        <v>2.9629629629629631E-2</v>
      </c>
      <c r="I50" s="818">
        <v>7</v>
      </c>
      <c r="J50" s="817">
        <f t="shared" si="3"/>
        <v>3.0303030303030304E-2</v>
      </c>
      <c r="K50" s="818">
        <v>2</v>
      </c>
      <c r="L50" s="817">
        <v>7.1999999999999998E-3</v>
      </c>
    </row>
    <row r="51" spans="1:13" x14ac:dyDescent="0.15">
      <c r="A51" s="380" t="s">
        <v>2100</v>
      </c>
      <c r="B51" s="380" t="s">
        <v>2085</v>
      </c>
      <c r="C51" s="570">
        <v>0</v>
      </c>
      <c r="D51" s="803">
        <f t="shared" si="0"/>
        <v>0</v>
      </c>
      <c r="E51" s="570">
        <v>0</v>
      </c>
      <c r="F51" s="803">
        <f t="shared" si="1"/>
        <v>0</v>
      </c>
      <c r="G51" s="570">
        <v>0</v>
      </c>
      <c r="H51" s="817">
        <f t="shared" si="2"/>
        <v>0</v>
      </c>
      <c r="I51" s="818">
        <v>0</v>
      </c>
      <c r="J51" s="817">
        <f t="shared" si="3"/>
        <v>0</v>
      </c>
      <c r="K51" s="818" t="s">
        <v>193</v>
      </c>
      <c r="L51" s="817">
        <v>0</v>
      </c>
    </row>
    <row r="52" spans="1:13" x14ac:dyDescent="0.15">
      <c r="A52" s="380" t="s">
        <v>2108</v>
      </c>
      <c r="B52" s="380" t="s">
        <v>2085</v>
      </c>
      <c r="C52" s="570">
        <v>0</v>
      </c>
      <c r="D52" s="803">
        <f t="shared" si="0"/>
        <v>0</v>
      </c>
      <c r="E52" s="570">
        <v>0</v>
      </c>
      <c r="F52" s="803">
        <f t="shared" si="1"/>
        <v>0</v>
      </c>
      <c r="G52" s="570">
        <v>0</v>
      </c>
      <c r="H52" s="817">
        <f t="shared" si="2"/>
        <v>0</v>
      </c>
      <c r="I52" s="818">
        <v>0</v>
      </c>
      <c r="J52" s="817">
        <f t="shared" si="3"/>
        <v>0</v>
      </c>
      <c r="K52" s="818">
        <v>1</v>
      </c>
      <c r="L52" s="817">
        <v>3.5999999999999999E-3</v>
      </c>
    </row>
    <row r="53" spans="1:13" x14ac:dyDescent="0.15">
      <c r="A53" s="380" t="s">
        <v>2109</v>
      </c>
      <c r="B53" s="380" t="s">
        <v>2085</v>
      </c>
      <c r="C53" s="570">
        <v>1</v>
      </c>
      <c r="D53" s="803">
        <f t="shared" si="0"/>
        <v>3.2362459546925568E-3</v>
      </c>
      <c r="E53" s="570">
        <v>0</v>
      </c>
      <c r="F53" s="803">
        <f t="shared" si="1"/>
        <v>0</v>
      </c>
      <c r="G53" s="816">
        <v>6</v>
      </c>
      <c r="H53" s="817">
        <f t="shared" si="2"/>
        <v>2.2222222222222223E-2</v>
      </c>
      <c r="I53" s="818">
        <v>14</v>
      </c>
      <c r="J53" s="817">
        <f t="shared" si="3"/>
        <v>6.0606060606060608E-2</v>
      </c>
      <c r="K53" s="818">
        <v>1</v>
      </c>
      <c r="L53" s="817">
        <v>3.5999999999999999E-3</v>
      </c>
    </row>
    <row r="54" spans="1:13" x14ac:dyDescent="0.15">
      <c r="A54" s="380" t="s">
        <v>2101</v>
      </c>
      <c r="B54" s="380" t="s">
        <v>2085</v>
      </c>
      <c r="C54" s="570">
        <v>1</v>
      </c>
      <c r="D54" s="803">
        <f t="shared" si="0"/>
        <v>3.2362459546925568E-3</v>
      </c>
      <c r="E54" s="570">
        <v>2</v>
      </c>
      <c r="F54" s="803">
        <f t="shared" si="1"/>
        <v>7.8431372549019607E-3</v>
      </c>
      <c r="G54" s="816">
        <v>0</v>
      </c>
      <c r="H54" s="817">
        <f t="shared" si="2"/>
        <v>0</v>
      </c>
      <c r="I54" s="818">
        <v>1</v>
      </c>
      <c r="J54" s="817">
        <f t="shared" si="3"/>
        <v>4.329004329004329E-3</v>
      </c>
      <c r="K54" s="818">
        <v>1</v>
      </c>
      <c r="L54" s="817">
        <v>3.5999999999999999E-3</v>
      </c>
    </row>
    <row r="55" spans="1:13" x14ac:dyDescent="0.15">
      <c r="A55" s="380" t="s">
        <v>2110</v>
      </c>
      <c r="B55" s="380" t="s">
        <v>2085</v>
      </c>
      <c r="C55" s="570">
        <v>0</v>
      </c>
      <c r="D55" s="803">
        <f t="shared" si="0"/>
        <v>0</v>
      </c>
      <c r="E55" s="570">
        <v>0</v>
      </c>
      <c r="F55" s="803">
        <f t="shared" si="1"/>
        <v>0</v>
      </c>
      <c r="G55" s="816">
        <v>0</v>
      </c>
      <c r="H55" s="817">
        <f t="shared" si="2"/>
        <v>0</v>
      </c>
      <c r="I55" s="818">
        <v>0</v>
      </c>
      <c r="J55" s="817">
        <f t="shared" si="3"/>
        <v>0</v>
      </c>
      <c r="K55" s="818" t="s">
        <v>193</v>
      </c>
      <c r="L55" s="817">
        <v>0</v>
      </c>
    </row>
    <row r="56" spans="1:13" x14ac:dyDescent="0.15">
      <c r="A56" s="380"/>
      <c r="B56" s="570"/>
      <c r="C56" s="570"/>
      <c r="D56" s="570"/>
      <c r="E56" s="570"/>
      <c r="F56" s="570"/>
      <c r="G56" s="816"/>
      <c r="H56" s="816"/>
      <c r="I56" s="819"/>
      <c r="J56" s="819"/>
      <c r="K56" s="820"/>
      <c r="L56" s="2183"/>
    </row>
    <row r="57" spans="1:13" ht="15" customHeight="1" x14ac:dyDescent="0.15">
      <c r="A57" s="2885" t="s">
        <v>20</v>
      </c>
      <c r="B57" s="2885"/>
      <c r="C57" s="2885"/>
      <c r="D57" s="2885"/>
      <c r="E57" s="2885"/>
      <c r="F57" s="2885"/>
      <c r="G57" s="2885"/>
      <c r="H57" s="2885"/>
      <c r="I57" s="2885"/>
      <c r="J57" s="2885"/>
      <c r="K57" s="2885"/>
      <c r="L57" s="2885"/>
    </row>
    <row r="58" spans="1:13" s="99" customFormat="1" ht="24" customHeight="1" x14ac:dyDescent="0.15">
      <c r="A58" s="2857" t="s">
        <v>2003</v>
      </c>
      <c r="B58" s="2857"/>
      <c r="C58" s="2857"/>
      <c r="D58" s="2857"/>
      <c r="E58" s="2857"/>
      <c r="F58" s="2857"/>
      <c r="G58" s="2857"/>
      <c r="H58" s="2857"/>
      <c r="I58" s="2857"/>
      <c r="J58" s="2857"/>
      <c r="K58" s="2857"/>
      <c r="L58" s="175"/>
      <c r="M58" s="175"/>
    </row>
    <row r="59" spans="1:13" x14ac:dyDescent="0.15">
      <c r="A59" s="2750" t="s">
        <v>2004</v>
      </c>
      <c r="B59" s="2750"/>
      <c r="C59" s="2750"/>
      <c r="D59" s="2750"/>
      <c r="E59" s="2750"/>
      <c r="F59" s="2750"/>
      <c r="G59" s="2750"/>
      <c r="H59" s="2750"/>
      <c r="I59" s="2750"/>
      <c r="J59" s="2750"/>
      <c r="K59" s="2750"/>
      <c r="L59" s="2750"/>
    </row>
    <row r="60" spans="1:13" x14ac:dyDescent="0.15">
      <c r="A60" s="2051"/>
      <c r="B60" s="2051"/>
      <c r="C60" s="2051"/>
      <c r="D60" s="2051"/>
      <c r="E60" s="2051"/>
      <c r="F60" s="2051"/>
      <c r="G60" s="2051"/>
      <c r="H60" s="2051"/>
      <c r="I60" s="2051"/>
      <c r="J60" s="2051"/>
      <c r="K60" s="2051"/>
      <c r="L60" s="2051"/>
    </row>
    <row r="61" spans="1:13" x14ac:dyDescent="0.15">
      <c r="A61" s="2051"/>
      <c r="B61" s="2051"/>
      <c r="C61" s="2051"/>
      <c r="D61" s="2051"/>
      <c r="E61" s="2051"/>
      <c r="F61" s="2051"/>
      <c r="G61" s="2051"/>
      <c r="H61" s="2051"/>
      <c r="I61" s="2051"/>
      <c r="J61" s="2051"/>
      <c r="K61" s="2051"/>
      <c r="L61" s="2051"/>
    </row>
    <row r="62" spans="1:13" x14ac:dyDescent="0.15">
      <c r="A62" s="2051"/>
      <c r="B62" s="2051"/>
      <c r="C62" s="2051"/>
      <c r="D62" s="2051"/>
      <c r="E62" s="2051"/>
      <c r="F62" s="2051"/>
      <c r="G62" s="2051"/>
      <c r="H62" s="2051"/>
      <c r="I62" s="2051"/>
      <c r="J62" s="2051"/>
      <c r="K62" s="2051"/>
      <c r="L62" s="2051"/>
    </row>
    <row r="63" spans="1:13" x14ac:dyDescent="0.15">
      <c r="A63" s="2051"/>
      <c r="B63" s="2051"/>
      <c r="C63" s="2051"/>
      <c r="D63" s="2051"/>
      <c r="E63" s="2051"/>
      <c r="F63" s="2051"/>
      <c r="G63" s="2051"/>
      <c r="H63" s="2051"/>
      <c r="I63" s="2051"/>
      <c r="J63" s="2051"/>
      <c r="K63" s="2051"/>
      <c r="L63" s="2051"/>
    </row>
    <row r="64" spans="1:13" x14ac:dyDescent="0.15">
      <c r="A64" s="2051"/>
      <c r="B64" s="2051"/>
      <c r="C64" s="2051"/>
      <c r="D64" s="2051"/>
      <c r="E64" s="2051"/>
      <c r="F64" s="2051"/>
      <c r="G64" s="2051"/>
      <c r="H64" s="2051"/>
      <c r="I64" s="2051"/>
      <c r="J64" s="2051"/>
      <c r="K64" s="2051"/>
      <c r="L64" s="2051"/>
    </row>
    <row r="65" spans="1:12" x14ac:dyDescent="0.15">
      <c r="A65" s="2051"/>
      <c r="B65" s="2051"/>
      <c r="C65" s="2051"/>
      <c r="D65" s="2051"/>
      <c r="E65" s="2051"/>
      <c r="F65" s="2051"/>
      <c r="G65" s="2051"/>
      <c r="H65" s="2051"/>
      <c r="I65" s="2051"/>
      <c r="J65" s="2051"/>
      <c r="K65" s="2051"/>
      <c r="L65" s="2051"/>
    </row>
    <row r="66" spans="1:12" x14ac:dyDescent="0.15">
      <c r="A66" s="2051"/>
      <c r="B66" s="2051"/>
      <c r="C66" s="2051"/>
      <c r="D66" s="2051"/>
      <c r="E66" s="2051"/>
      <c r="F66" s="2051"/>
      <c r="G66" s="2051"/>
      <c r="H66" s="2051"/>
      <c r="I66" s="2051"/>
      <c r="J66" s="2051"/>
      <c r="K66" s="2051"/>
      <c r="L66" s="2051"/>
    </row>
    <row r="67" spans="1:12" x14ac:dyDescent="0.15">
      <c r="A67" s="2051"/>
      <c r="B67" s="2051"/>
      <c r="C67" s="2051"/>
      <c r="D67" s="2051"/>
      <c r="E67" s="2051"/>
      <c r="F67" s="2051"/>
      <c r="G67" s="2051"/>
      <c r="H67" s="2051"/>
      <c r="I67" s="2051"/>
      <c r="J67" s="2051"/>
      <c r="K67" s="2051"/>
      <c r="L67" s="2051"/>
    </row>
  </sheetData>
  <mergeCells count="11">
    <mergeCell ref="A57:L57"/>
    <mergeCell ref="A58:K58"/>
    <mergeCell ref="A59:L59"/>
    <mergeCell ref="A2:L2"/>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N32"/>
  <sheetViews>
    <sheetView zoomScaleNormal="100" workbookViewId="0">
      <selection activeCell="F19" sqref="F19"/>
    </sheetView>
  </sheetViews>
  <sheetFormatPr baseColWidth="10" defaultColWidth="9.140625" defaultRowHeight="10.5" x14ac:dyDescent="0.15"/>
  <cols>
    <col min="1" max="1" width="31.28515625" style="97" customWidth="1"/>
    <col min="2" max="2" width="12" style="97" customWidth="1"/>
    <col min="3" max="3" width="15.5703125" style="97" customWidth="1"/>
    <col min="4" max="4" width="10.85546875" style="97" customWidth="1"/>
    <col min="5" max="5" width="12.5703125" style="97" customWidth="1"/>
    <col min="6" max="6" width="11.7109375" style="97" customWidth="1"/>
    <col min="7" max="7" width="12" style="97" customWidth="1"/>
    <col min="8" max="8" width="10.5703125" style="97" customWidth="1"/>
    <col min="9" max="9" width="14.140625" style="97" customWidth="1"/>
    <col min="10" max="10" width="11.7109375" style="97" customWidth="1"/>
    <col min="11" max="11" width="14.140625" style="97" customWidth="1"/>
    <col min="12" max="12" width="12" style="97" customWidth="1"/>
    <col min="13" max="13" width="13.5703125" style="97" customWidth="1"/>
    <col min="14" max="16384" width="9.140625" style="97"/>
  </cols>
  <sheetData>
    <row r="1" spans="1:14" ht="15" customHeight="1" x14ac:dyDescent="0.15"/>
    <row r="2" spans="1:14" s="99" customFormat="1" ht="18.75" customHeight="1" x14ac:dyDescent="0.15">
      <c r="A2" s="2858" t="s">
        <v>4257</v>
      </c>
      <c r="B2" s="2859"/>
      <c r="C2" s="2859"/>
      <c r="D2" s="2859"/>
      <c r="E2" s="2859"/>
      <c r="F2" s="2859"/>
      <c r="G2" s="2859"/>
      <c r="H2" s="2859"/>
      <c r="I2" s="2859"/>
      <c r="J2" s="2859"/>
      <c r="K2" s="2859"/>
      <c r="L2" s="759"/>
      <c r="M2" s="759"/>
      <c r="N2" s="759"/>
    </row>
    <row r="3" spans="1:14" ht="11.25" customHeight="1" x14ac:dyDescent="0.15">
      <c r="A3" s="115"/>
      <c r="B3" s="760"/>
      <c r="C3" s="760"/>
    </row>
    <row r="4" spans="1:14" ht="12.75" customHeight="1" x14ac:dyDescent="0.15">
      <c r="A4" s="2351" t="s">
        <v>1</v>
      </c>
      <c r="B4" s="2615">
        <v>2011</v>
      </c>
      <c r="C4" s="2615"/>
      <c r="D4" s="2615">
        <v>2012</v>
      </c>
      <c r="E4" s="2615"/>
      <c r="F4" s="2615">
        <v>2013</v>
      </c>
      <c r="G4" s="2615"/>
      <c r="H4" s="2615">
        <v>2014</v>
      </c>
      <c r="I4" s="2615"/>
      <c r="J4" s="2374">
        <v>2015</v>
      </c>
      <c r="K4" s="2375"/>
    </row>
    <row r="5" spans="1:14" ht="26.25" customHeight="1" x14ac:dyDescent="0.15">
      <c r="A5" s="2351"/>
      <c r="B5" s="2049" t="s">
        <v>2111</v>
      </c>
      <c r="C5" s="2049" t="s">
        <v>727</v>
      </c>
      <c r="D5" s="2049" t="s">
        <v>2111</v>
      </c>
      <c r="E5" s="2049" t="s">
        <v>727</v>
      </c>
      <c r="F5" s="2049" t="s">
        <v>2111</v>
      </c>
      <c r="G5" s="2049" t="s">
        <v>727</v>
      </c>
      <c r="H5" s="2049" t="s">
        <v>2111</v>
      </c>
      <c r="I5" s="2049" t="s">
        <v>727</v>
      </c>
      <c r="J5" s="2049" t="s">
        <v>2111</v>
      </c>
      <c r="K5" s="2049" t="s">
        <v>727</v>
      </c>
    </row>
    <row r="6" spans="1:14" x14ac:dyDescent="0.15">
      <c r="A6" s="2056" t="s">
        <v>141</v>
      </c>
      <c r="B6" s="821">
        <f t="shared" ref="B6:K6" si="0">SUM(B7:B21)</f>
        <v>108</v>
      </c>
      <c r="C6" s="637">
        <f t="shared" si="0"/>
        <v>1</v>
      </c>
      <c r="D6" s="821">
        <f t="shared" si="0"/>
        <v>122</v>
      </c>
      <c r="E6" s="637">
        <f t="shared" si="0"/>
        <v>1.0000000000000002</v>
      </c>
      <c r="F6" s="821">
        <f t="shared" si="0"/>
        <v>144</v>
      </c>
      <c r="G6" s="637">
        <f t="shared" si="0"/>
        <v>0.99999999999999989</v>
      </c>
      <c r="H6" s="821">
        <f t="shared" si="0"/>
        <v>148</v>
      </c>
      <c r="I6" s="637">
        <f t="shared" si="0"/>
        <v>1</v>
      </c>
      <c r="J6" s="821">
        <f t="shared" si="0"/>
        <v>172</v>
      </c>
      <c r="K6" s="637">
        <f t="shared" si="0"/>
        <v>1</v>
      </c>
      <c r="L6" s="2051"/>
      <c r="M6" s="2051"/>
    </row>
    <row r="7" spans="1:14" x14ac:dyDescent="0.15">
      <c r="A7" s="2059" t="s">
        <v>5</v>
      </c>
      <c r="B7" s="822">
        <v>1</v>
      </c>
      <c r="C7" s="823">
        <f t="shared" ref="C7:C21" si="1">B7/B$6</f>
        <v>9.2592592592592587E-3</v>
      </c>
      <c r="D7" s="822">
        <v>2</v>
      </c>
      <c r="E7" s="823">
        <f t="shared" ref="E7:E21" si="2">D7/D$6</f>
        <v>1.6393442622950821E-2</v>
      </c>
      <c r="F7" s="824">
        <v>2</v>
      </c>
      <c r="G7" s="823">
        <f t="shared" ref="G7:G21" si="3">F7/F$6</f>
        <v>1.3888888888888888E-2</v>
      </c>
      <c r="H7" s="824">
        <v>1</v>
      </c>
      <c r="I7" s="823">
        <f>H7/H$6</f>
        <v>6.7567567567567571E-3</v>
      </c>
      <c r="J7" s="438">
        <v>1</v>
      </c>
      <c r="K7" s="2182">
        <f t="shared" ref="K7:K21" si="4">J7/J$6</f>
        <v>5.8139534883720929E-3</v>
      </c>
      <c r="L7" s="2051"/>
      <c r="M7" s="2051"/>
    </row>
    <row r="8" spans="1:14" x14ac:dyDescent="0.15">
      <c r="A8" s="2059" t="s">
        <v>6</v>
      </c>
      <c r="B8" s="822">
        <v>0</v>
      </c>
      <c r="C8" s="823">
        <f t="shared" si="1"/>
        <v>0</v>
      </c>
      <c r="D8" s="822">
        <v>1</v>
      </c>
      <c r="E8" s="823">
        <f t="shared" si="2"/>
        <v>8.1967213114754103E-3</v>
      </c>
      <c r="F8" s="825">
        <v>0</v>
      </c>
      <c r="G8" s="823">
        <f t="shared" si="3"/>
        <v>0</v>
      </c>
      <c r="H8" s="825">
        <v>2</v>
      </c>
      <c r="I8" s="823">
        <f t="shared" ref="I8:I21" si="5">H8/H$6</f>
        <v>1.3513513513513514E-2</v>
      </c>
      <c r="J8" s="438">
        <v>0</v>
      </c>
      <c r="K8" s="2182">
        <f t="shared" si="4"/>
        <v>0</v>
      </c>
      <c r="L8" s="2051"/>
      <c r="M8" s="2051"/>
    </row>
    <row r="9" spans="1:14" x14ac:dyDescent="0.15">
      <c r="A9" s="2059" t="s">
        <v>7</v>
      </c>
      <c r="B9" s="822">
        <v>0</v>
      </c>
      <c r="C9" s="823">
        <f t="shared" si="1"/>
        <v>0</v>
      </c>
      <c r="D9" s="822">
        <v>1</v>
      </c>
      <c r="E9" s="823">
        <f t="shared" si="2"/>
        <v>8.1967213114754103E-3</v>
      </c>
      <c r="F9" s="824">
        <v>1</v>
      </c>
      <c r="G9" s="823">
        <f t="shared" si="3"/>
        <v>6.9444444444444441E-3</v>
      </c>
      <c r="H9" s="824">
        <v>3</v>
      </c>
      <c r="I9" s="823">
        <f t="shared" si="5"/>
        <v>2.0270270270270271E-2</v>
      </c>
      <c r="J9" s="438">
        <v>1</v>
      </c>
      <c r="K9" s="2182">
        <f t="shared" si="4"/>
        <v>5.8139534883720929E-3</v>
      </c>
      <c r="L9" s="2051"/>
      <c r="M9" s="2051"/>
    </row>
    <row r="10" spans="1:14" x14ac:dyDescent="0.15">
      <c r="A10" s="2059" t="s">
        <v>8</v>
      </c>
      <c r="B10" s="822">
        <v>2</v>
      </c>
      <c r="C10" s="823">
        <f t="shared" si="1"/>
        <v>1.8518518518518517E-2</v>
      </c>
      <c r="D10" s="822">
        <v>1</v>
      </c>
      <c r="E10" s="823">
        <f t="shared" si="2"/>
        <v>8.1967213114754103E-3</v>
      </c>
      <c r="F10" s="825">
        <v>0</v>
      </c>
      <c r="G10" s="823">
        <f t="shared" si="3"/>
        <v>0</v>
      </c>
      <c r="H10" s="825">
        <v>1</v>
      </c>
      <c r="I10" s="823">
        <f t="shared" si="5"/>
        <v>6.7567567567567571E-3</v>
      </c>
      <c r="J10" s="438">
        <v>2</v>
      </c>
      <c r="K10" s="2182">
        <f t="shared" si="4"/>
        <v>1.1627906976744186E-2</v>
      </c>
      <c r="L10" s="2051"/>
      <c r="M10" s="2051"/>
    </row>
    <row r="11" spans="1:14" x14ac:dyDescent="0.15">
      <c r="A11" s="2059" t="s">
        <v>9</v>
      </c>
      <c r="B11" s="822">
        <v>3</v>
      </c>
      <c r="C11" s="823">
        <f t="shared" si="1"/>
        <v>2.7777777777777776E-2</v>
      </c>
      <c r="D11" s="822">
        <v>3</v>
      </c>
      <c r="E11" s="823">
        <f t="shared" si="2"/>
        <v>2.4590163934426229E-2</v>
      </c>
      <c r="F11" s="824">
        <v>4</v>
      </c>
      <c r="G11" s="823">
        <f t="shared" si="3"/>
        <v>2.7777777777777776E-2</v>
      </c>
      <c r="H11" s="824">
        <v>4</v>
      </c>
      <c r="I11" s="823">
        <f t="shared" si="5"/>
        <v>2.7027027027027029E-2</v>
      </c>
      <c r="J11" s="438">
        <v>2</v>
      </c>
      <c r="K11" s="2182">
        <f t="shared" si="4"/>
        <v>1.1627906976744186E-2</v>
      </c>
      <c r="L11" s="2051"/>
      <c r="M11" s="2051"/>
    </row>
    <row r="12" spans="1:14" x14ac:dyDescent="0.15">
      <c r="A12" s="2059" t="s">
        <v>10</v>
      </c>
      <c r="B12" s="822">
        <v>5</v>
      </c>
      <c r="C12" s="823">
        <f t="shared" si="1"/>
        <v>4.6296296296296294E-2</v>
      </c>
      <c r="D12" s="822">
        <v>7</v>
      </c>
      <c r="E12" s="823">
        <f t="shared" si="2"/>
        <v>5.737704918032787E-2</v>
      </c>
      <c r="F12" s="824">
        <v>8</v>
      </c>
      <c r="G12" s="823">
        <f t="shared" si="3"/>
        <v>5.5555555555555552E-2</v>
      </c>
      <c r="H12" s="824">
        <v>13</v>
      </c>
      <c r="I12" s="823">
        <f t="shared" si="5"/>
        <v>8.7837837837837843E-2</v>
      </c>
      <c r="J12" s="438">
        <v>17</v>
      </c>
      <c r="K12" s="2182">
        <f t="shared" si="4"/>
        <v>9.8837209302325577E-2</v>
      </c>
      <c r="L12" s="2051"/>
      <c r="M12" s="2051"/>
    </row>
    <row r="13" spans="1:14" x14ac:dyDescent="0.15">
      <c r="A13" s="2059" t="s">
        <v>11</v>
      </c>
      <c r="B13" s="822">
        <v>82</v>
      </c>
      <c r="C13" s="823">
        <f t="shared" si="1"/>
        <v>0.7592592592592593</v>
      </c>
      <c r="D13" s="822">
        <v>91</v>
      </c>
      <c r="E13" s="823">
        <f t="shared" si="2"/>
        <v>0.74590163934426235</v>
      </c>
      <c r="F13" s="824">
        <v>113</v>
      </c>
      <c r="G13" s="823">
        <f t="shared" si="3"/>
        <v>0.78472222222222221</v>
      </c>
      <c r="H13" s="824">
        <v>108</v>
      </c>
      <c r="I13" s="823">
        <f t="shared" si="5"/>
        <v>0.72972972972972971</v>
      </c>
      <c r="J13" s="824">
        <v>124</v>
      </c>
      <c r="K13" s="2182">
        <f t="shared" si="4"/>
        <v>0.72093023255813948</v>
      </c>
      <c r="L13" s="2051"/>
      <c r="M13" s="2051"/>
    </row>
    <row r="14" spans="1:14" x14ac:dyDescent="0.15">
      <c r="A14" s="2059" t="s">
        <v>12</v>
      </c>
      <c r="B14" s="822">
        <v>3</v>
      </c>
      <c r="C14" s="823">
        <f t="shared" si="1"/>
        <v>2.7777777777777776E-2</v>
      </c>
      <c r="D14" s="822">
        <v>0</v>
      </c>
      <c r="E14" s="823">
        <f t="shared" si="2"/>
        <v>0</v>
      </c>
      <c r="F14" s="824">
        <v>2</v>
      </c>
      <c r="G14" s="823">
        <f t="shared" si="3"/>
        <v>1.3888888888888888E-2</v>
      </c>
      <c r="H14" s="824">
        <v>2</v>
      </c>
      <c r="I14" s="823">
        <f t="shared" si="5"/>
        <v>1.3513513513513514E-2</v>
      </c>
      <c r="J14" s="438">
        <v>3</v>
      </c>
      <c r="K14" s="2182">
        <f t="shared" si="4"/>
        <v>1.7441860465116279E-2</v>
      </c>
      <c r="L14" s="2051"/>
      <c r="M14" s="2051"/>
    </row>
    <row r="15" spans="1:14" x14ac:dyDescent="0.15">
      <c r="A15" s="2059" t="s">
        <v>13</v>
      </c>
      <c r="B15" s="822">
        <v>1</v>
      </c>
      <c r="C15" s="823">
        <f t="shared" si="1"/>
        <v>9.2592592592592587E-3</v>
      </c>
      <c r="D15" s="822">
        <v>1</v>
      </c>
      <c r="E15" s="823">
        <f t="shared" si="2"/>
        <v>8.1967213114754103E-3</v>
      </c>
      <c r="F15" s="824">
        <v>1</v>
      </c>
      <c r="G15" s="823">
        <f t="shared" si="3"/>
        <v>6.9444444444444441E-3</v>
      </c>
      <c r="H15" s="825">
        <v>0</v>
      </c>
      <c r="I15" s="823">
        <f t="shared" si="5"/>
        <v>0</v>
      </c>
      <c r="J15" s="438">
        <v>2</v>
      </c>
      <c r="K15" s="2182">
        <f t="shared" si="4"/>
        <v>1.1627906976744186E-2</v>
      </c>
      <c r="L15" s="2051"/>
      <c r="M15" s="2051"/>
    </row>
    <row r="16" spans="1:14" x14ac:dyDescent="0.15">
      <c r="A16" s="2059" t="s">
        <v>14</v>
      </c>
      <c r="B16" s="822">
        <v>2</v>
      </c>
      <c r="C16" s="823">
        <f t="shared" si="1"/>
        <v>1.8518518518518517E-2</v>
      </c>
      <c r="D16" s="822">
        <v>5</v>
      </c>
      <c r="E16" s="823">
        <f t="shared" si="2"/>
        <v>4.0983606557377046E-2</v>
      </c>
      <c r="F16" s="824">
        <v>4</v>
      </c>
      <c r="G16" s="823">
        <f t="shared" si="3"/>
        <v>2.7777777777777776E-2</v>
      </c>
      <c r="H16" s="825">
        <v>0</v>
      </c>
      <c r="I16" s="823">
        <f t="shared" si="5"/>
        <v>0</v>
      </c>
      <c r="J16" s="438">
        <v>5</v>
      </c>
      <c r="K16" s="2182">
        <f t="shared" si="4"/>
        <v>2.9069767441860465E-2</v>
      </c>
      <c r="L16" s="2051"/>
      <c r="M16" s="2051"/>
    </row>
    <row r="17" spans="1:13" x14ac:dyDescent="0.15">
      <c r="A17" s="2059" t="s">
        <v>15</v>
      </c>
      <c r="B17" s="822">
        <v>5</v>
      </c>
      <c r="C17" s="823">
        <f t="shared" si="1"/>
        <v>4.6296296296296294E-2</v>
      </c>
      <c r="D17" s="822">
        <v>3</v>
      </c>
      <c r="E17" s="823">
        <f t="shared" si="2"/>
        <v>2.4590163934426229E-2</v>
      </c>
      <c r="F17" s="824">
        <v>3</v>
      </c>
      <c r="G17" s="823">
        <f t="shared" si="3"/>
        <v>2.0833333333333332E-2</v>
      </c>
      <c r="H17" s="824">
        <v>4</v>
      </c>
      <c r="I17" s="823">
        <f t="shared" si="5"/>
        <v>2.7027027027027029E-2</v>
      </c>
      <c r="J17" s="438">
        <v>7</v>
      </c>
      <c r="K17" s="2182">
        <f t="shared" si="4"/>
        <v>4.0697674418604654E-2</v>
      </c>
      <c r="L17" s="2051"/>
      <c r="M17" s="2051"/>
    </row>
    <row r="18" spans="1:13" x14ac:dyDescent="0.15">
      <c r="A18" s="2059" t="s">
        <v>16</v>
      </c>
      <c r="B18" s="822">
        <v>2</v>
      </c>
      <c r="C18" s="823">
        <f t="shared" si="1"/>
        <v>1.8518518518518517E-2</v>
      </c>
      <c r="D18" s="822">
        <v>0</v>
      </c>
      <c r="E18" s="823">
        <f t="shared" si="2"/>
        <v>0</v>
      </c>
      <c r="F18" s="824">
        <v>1</v>
      </c>
      <c r="G18" s="823">
        <f t="shared" si="3"/>
        <v>6.9444444444444441E-3</v>
      </c>
      <c r="H18" s="824">
        <v>3</v>
      </c>
      <c r="I18" s="823">
        <f t="shared" si="5"/>
        <v>2.0270270270270271E-2</v>
      </c>
      <c r="J18" s="438">
        <v>5</v>
      </c>
      <c r="K18" s="2182">
        <f t="shared" si="4"/>
        <v>2.9069767441860465E-2</v>
      </c>
      <c r="L18" s="2051"/>
      <c r="M18" s="2051"/>
    </row>
    <row r="19" spans="1:13" x14ac:dyDescent="0.15">
      <c r="A19" s="2059" t="s">
        <v>17</v>
      </c>
      <c r="B19" s="822">
        <v>2</v>
      </c>
      <c r="C19" s="823">
        <f t="shared" si="1"/>
        <v>1.8518518518518517E-2</v>
      </c>
      <c r="D19" s="822">
        <v>4</v>
      </c>
      <c r="E19" s="823">
        <f t="shared" si="2"/>
        <v>3.2786885245901641E-2</v>
      </c>
      <c r="F19" s="824">
        <v>3</v>
      </c>
      <c r="G19" s="823">
        <f t="shared" si="3"/>
        <v>2.0833333333333332E-2</v>
      </c>
      <c r="H19" s="824">
        <v>6</v>
      </c>
      <c r="I19" s="823">
        <f t="shared" si="5"/>
        <v>4.0540540540540543E-2</v>
      </c>
      <c r="J19" s="438">
        <v>1</v>
      </c>
      <c r="K19" s="2182">
        <f t="shared" si="4"/>
        <v>5.8139534883720929E-3</v>
      </c>
      <c r="L19" s="2051"/>
      <c r="M19" s="2051"/>
    </row>
    <row r="20" spans="1:13" x14ac:dyDescent="0.15">
      <c r="A20" s="2059" t="s">
        <v>18</v>
      </c>
      <c r="B20" s="822">
        <v>0</v>
      </c>
      <c r="C20" s="823">
        <f t="shared" si="1"/>
        <v>0</v>
      </c>
      <c r="D20" s="822">
        <v>0</v>
      </c>
      <c r="E20" s="823">
        <f t="shared" si="2"/>
        <v>0</v>
      </c>
      <c r="F20" s="825">
        <v>0</v>
      </c>
      <c r="G20" s="823">
        <f t="shared" si="3"/>
        <v>0</v>
      </c>
      <c r="H20" s="825">
        <v>1</v>
      </c>
      <c r="I20" s="823">
        <f t="shared" si="5"/>
        <v>6.7567567567567571E-3</v>
      </c>
      <c r="J20" s="438">
        <v>0</v>
      </c>
      <c r="K20" s="2182">
        <f t="shared" si="4"/>
        <v>0</v>
      </c>
      <c r="L20" s="2051"/>
      <c r="M20" s="2051"/>
    </row>
    <row r="21" spans="1:13" x14ac:dyDescent="0.15">
      <c r="A21" s="2059" t="s">
        <v>19</v>
      </c>
      <c r="B21" s="822">
        <v>0</v>
      </c>
      <c r="C21" s="823">
        <f t="shared" si="1"/>
        <v>0</v>
      </c>
      <c r="D21" s="822">
        <v>3</v>
      </c>
      <c r="E21" s="823">
        <f t="shared" si="2"/>
        <v>2.4590163934426229E-2</v>
      </c>
      <c r="F21" s="824">
        <v>2</v>
      </c>
      <c r="G21" s="823">
        <f t="shared" si="3"/>
        <v>1.3888888888888888E-2</v>
      </c>
      <c r="H21" s="825">
        <v>0</v>
      </c>
      <c r="I21" s="823">
        <f t="shared" si="5"/>
        <v>0</v>
      </c>
      <c r="J21" s="438">
        <v>2</v>
      </c>
      <c r="K21" s="2182">
        <f t="shared" si="4"/>
        <v>1.1627906976744186E-2</v>
      </c>
      <c r="L21" s="2051"/>
      <c r="M21" s="2051"/>
    </row>
    <row r="22" spans="1:13" x14ac:dyDescent="0.15">
      <c r="A22" s="2050"/>
      <c r="B22" s="2050"/>
      <c r="C22" s="2050"/>
      <c r="D22" s="2051"/>
      <c r="E22" s="2051"/>
      <c r="F22" s="2051"/>
      <c r="G22" s="2051"/>
      <c r="H22" s="2051"/>
      <c r="I22" s="2051"/>
      <c r="J22" s="2051"/>
      <c r="K22" s="2051"/>
      <c r="L22" s="2051"/>
      <c r="M22" s="2051"/>
    </row>
    <row r="23" spans="1:13" x14ac:dyDescent="0.15">
      <c r="A23" s="2892" t="s">
        <v>20</v>
      </c>
      <c r="B23" s="2892"/>
      <c r="C23" s="2892"/>
      <c r="D23" s="2892"/>
      <c r="E23" s="2892"/>
      <c r="F23" s="2892"/>
      <c r="G23" s="2892"/>
      <c r="H23" s="2892"/>
      <c r="I23" s="2892"/>
      <c r="J23" s="2892"/>
      <c r="K23" s="2892"/>
      <c r="L23" s="2051"/>
      <c r="M23" s="2051"/>
    </row>
    <row r="24" spans="1:13" s="99" customFormat="1" ht="24" customHeight="1" x14ac:dyDescent="0.15">
      <c r="A24" s="2857" t="s">
        <v>2003</v>
      </c>
      <c r="B24" s="2857"/>
      <c r="C24" s="2857"/>
      <c r="D24" s="2857"/>
      <c r="E24" s="2857"/>
      <c r="F24" s="2857"/>
      <c r="G24" s="2857"/>
      <c r="H24" s="2857"/>
      <c r="I24" s="2857"/>
      <c r="J24" s="2857"/>
      <c r="K24" s="2857"/>
      <c r="L24" s="175"/>
      <c r="M24" s="175"/>
    </row>
    <row r="25" spans="1:13" ht="15" customHeight="1" x14ac:dyDescent="0.15">
      <c r="A25" s="2893" t="s">
        <v>2004</v>
      </c>
      <c r="B25" s="2893"/>
      <c r="C25" s="2893"/>
      <c r="D25" s="2893"/>
      <c r="E25" s="2893"/>
      <c r="F25" s="2893"/>
      <c r="G25" s="2893"/>
      <c r="H25" s="2893"/>
      <c r="I25" s="2893"/>
      <c r="J25" s="2893"/>
      <c r="K25" s="2893"/>
      <c r="L25" s="2051"/>
      <c r="M25" s="2051"/>
    </row>
    <row r="26" spans="1:13" x14ac:dyDescent="0.15">
      <c r="A26" s="2051"/>
      <c r="B26" s="2051"/>
      <c r="C26" s="2051"/>
      <c r="D26" s="2051"/>
      <c r="E26" s="2051"/>
      <c r="F26" s="2051"/>
      <c r="G26" s="2051"/>
      <c r="H26" s="2051"/>
      <c r="I26" s="2051"/>
      <c r="J26" s="2051"/>
      <c r="K26" s="2051"/>
      <c r="L26" s="2051"/>
      <c r="M26" s="2051"/>
    </row>
    <row r="27" spans="1:13" x14ac:dyDescent="0.15">
      <c r="A27" s="2051"/>
      <c r="B27" s="2051"/>
      <c r="C27" s="2051"/>
      <c r="D27" s="2051"/>
      <c r="E27" s="2051"/>
      <c r="F27" s="2051"/>
      <c r="G27" s="2051"/>
      <c r="H27" s="2051"/>
      <c r="I27" s="2051"/>
      <c r="J27" s="2051"/>
      <c r="K27" s="2051"/>
      <c r="L27" s="2051"/>
      <c r="M27" s="2051"/>
    </row>
    <row r="28" spans="1:13" x14ac:dyDescent="0.15">
      <c r="A28" s="2051"/>
      <c r="B28" s="2051"/>
      <c r="C28" s="2051"/>
      <c r="D28" s="2051"/>
      <c r="E28" s="2051"/>
      <c r="F28" s="2051"/>
      <c r="G28" s="2051"/>
      <c r="H28" s="2051"/>
      <c r="I28" s="2051"/>
      <c r="J28" s="2051"/>
      <c r="K28" s="2051"/>
      <c r="L28" s="2051"/>
      <c r="M28" s="2051"/>
    </row>
    <row r="29" spans="1:13" x14ac:dyDescent="0.15">
      <c r="A29" s="2051"/>
      <c r="B29" s="2051"/>
      <c r="C29" s="2051"/>
      <c r="D29" s="2051"/>
      <c r="E29" s="2051"/>
      <c r="F29" s="2051"/>
      <c r="G29" s="2051"/>
      <c r="H29" s="2051"/>
      <c r="I29" s="2051"/>
      <c r="J29" s="2051"/>
      <c r="K29" s="2051"/>
      <c r="L29" s="2051"/>
      <c r="M29" s="2051"/>
    </row>
    <row r="30" spans="1:13" x14ac:dyDescent="0.15">
      <c r="A30" s="2051"/>
      <c r="B30" s="2051"/>
      <c r="C30" s="2051"/>
      <c r="D30" s="2051"/>
      <c r="E30" s="2051"/>
      <c r="F30" s="2051"/>
      <c r="G30" s="2051"/>
      <c r="H30" s="2051"/>
      <c r="I30" s="2051"/>
      <c r="J30" s="2051"/>
      <c r="K30" s="2051"/>
      <c r="L30" s="2051"/>
      <c r="M30" s="2051"/>
    </row>
    <row r="31" spans="1:13" x14ac:dyDescent="0.15">
      <c r="A31" s="2051"/>
      <c r="B31" s="2051"/>
      <c r="C31" s="2051"/>
      <c r="D31" s="2051"/>
      <c r="E31" s="2051"/>
      <c r="F31" s="2051"/>
      <c r="G31" s="2051"/>
      <c r="H31" s="2051"/>
      <c r="I31" s="2051"/>
      <c r="J31" s="2051"/>
      <c r="K31" s="2051"/>
      <c r="L31" s="2051"/>
      <c r="M31" s="2051"/>
    </row>
    <row r="32" spans="1:13" x14ac:dyDescent="0.15">
      <c r="A32" s="2051"/>
      <c r="B32" s="2051"/>
      <c r="C32" s="2051"/>
      <c r="D32" s="2051"/>
      <c r="E32" s="2051"/>
      <c r="F32" s="2051"/>
      <c r="G32" s="2051"/>
      <c r="H32" s="2051"/>
      <c r="I32" s="2051"/>
      <c r="J32" s="2051"/>
      <c r="K32" s="2051"/>
      <c r="L32" s="2051"/>
      <c r="M32" s="2051"/>
    </row>
  </sheetData>
  <mergeCells count="10">
    <mergeCell ref="A23:K23"/>
    <mergeCell ref="A24:K24"/>
    <mergeCell ref="A25:K25"/>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N29"/>
  <sheetViews>
    <sheetView zoomScaleNormal="100" workbookViewId="0">
      <selection activeCell="D24" sqref="D24"/>
    </sheetView>
  </sheetViews>
  <sheetFormatPr baseColWidth="10" defaultColWidth="9.140625" defaultRowHeight="10.5" x14ac:dyDescent="0.15"/>
  <cols>
    <col min="1" max="1" width="20.5703125" style="97" customWidth="1"/>
    <col min="2" max="2" width="13.5703125" style="97" customWidth="1"/>
    <col min="3" max="3" width="15.5703125" style="97" customWidth="1"/>
    <col min="4" max="4" width="14.42578125" style="97" customWidth="1"/>
    <col min="5" max="5" width="12.42578125" style="97" customWidth="1"/>
    <col min="6" max="6" width="12.85546875" style="97" customWidth="1"/>
    <col min="7" max="7" width="12" style="97" customWidth="1"/>
    <col min="8" max="8" width="9.140625" style="97"/>
    <col min="9" max="9" width="11.42578125" style="97" customWidth="1"/>
    <col min="10" max="10" width="9.140625" style="97"/>
    <col min="11" max="11" width="12.5703125" style="97" customWidth="1"/>
    <col min="12" max="12" width="10.5703125" style="97" customWidth="1"/>
    <col min="13" max="13" width="12.7109375" style="97" customWidth="1"/>
    <col min="14" max="16384" width="9.140625" style="97"/>
  </cols>
  <sheetData>
    <row r="1" spans="1:14" ht="15" customHeight="1" x14ac:dyDescent="0.15"/>
    <row r="2" spans="1:14" s="99" customFormat="1" ht="24.75" customHeight="1" x14ac:dyDescent="0.15">
      <c r="A2" s="2895" t="s">
        <v>2112</v>
      </c>
      <c r="B2" s="2768"/>
      <c r="C2" s="2768"/>
      <c r="D2" s="2768"/>
      <c r="E2" s="2768"/>
      <c r="F2" s="2768"/>
      <c r="G2" s="2768"/>
      <c r="H2" s="2768"/>
      <c r="I2" s="2768"/>
      <c r="J2" s="2768"/>
      <c r="K2" s="2768"/>
      <c r="L2" s="826"/>
      <c r="M2" s="826"/>
      <c r="N2" s="826"/>
    </row>
    <row r="3" spans="1:14" ht="10.5" customHeight="1" x14ac:dyDescent="0.15">
      <c r="A3" s="789"/>
      <c r="B3" s="760"/>
      <c r="C3" s="760"/>
    </row>
    <row r="4" spans="1:14" ht="15" customHeight="1" x14ac:dyDescent="0.15">
      <c r="A4" s="2896" t="s">
        <v>2113</v>
      </c>
      <c r="B4" s="2615">
        <v>2011</v>
      </c>
      <c r="C4" s="2615"/>
      <c r="D4" s="2615">
        <v>2012</v>
      </c>
      <c r="E4" s="2615"/>
      <c r="F4" s="2615">
        <v>2013</v>
      </c>
      <c r="G4" s="2615"/>
      <c r="H4" s="2615">
        <v>2014</v>
      </c>
      <c r="I4" s="2615"/>
      <c r="J4" s="2879">
        <v>2015</v>
      </c>
      <c r="K4" s="2375"/>
    </row>
    <row r="5" spans="1:14" x14ac:dyDescent="0.15">
      <c r="A5" s="2897"/>
      <c r="B5" s="2072" t="s">
        <v>2002</v>
      </c>
      <c r="C5" s="2085" t="s">
        <v>727</v>
      </c>
      <c r="D5" s="2072" t="s">
        <v>2002</v>
      </c>
      <c r="E5" s="2085" t="s">
        <v>727</v>
      </c>
      <c r="F5" s="2072" t="s">
        <v>2002</v>
      </c>
      <c r="G5" s="2085" t="s">
        <v>727</v>
      </c>
      <c r="H5" s="2072" t="s">
        <v>2002</v>
      </c>
      <c r="I5" s="2085" t="s">
        <v>727</v>
      </c>
      <c r="J5" s="2085" t="s">
        <v>2002</v>
      </c>
      <c r="K5" s="2085" t="s">
        <v>727</v>
      </c>
    </row>
    <row r="6" spans="1:14" x14ac:dyDescent="0.15">
      <c r="A6" s="2082" t="s">
        <v>141</v>
      </c>
      <c r="B6" s="828">
        <f t="shared" ref="B6:I6" si="0">SUM(B7:B18)</f>
        <v>5720</v>
      </c>
      <c r="C6" s="2184">
        <f t="shared" si="0"/>
        <v>1</v>
      </c>
      <c r="D6" s="828">
        <f t="shared" si="0"/>
        <v>6045</v>
      </c>
      <c r="E6" s="2184">
        <f t="shared" si="0"/>
        <v>1</v>
      </c>
      <c r="F6" s="828">
        <f t="shared" si="0"/>
        <v>5944</v>
      </c>
      <c r="G6" s="2184">
        <f t="shared" si="0"/>
        <v>1</v>
      </c>
      <c r="H6" s="828">
        <f t="shared" si="0"/>
        <v>5702</v>
      </c>
      <c r="I6" s="2184">
        <f t="shared" si="0"/>
        <v>1</v>
      </c>
      <c r="J6" s="828">
        <v>6268</v>
      </c>
      <c r="K6" s="2184">
        <f>SUM(K7:K18)</f>
        <v>0.99999999999999989</v>
      </c>
      <c r="L6" s="2051"/>
    </row>
    <row r="7" spans="1:14" x14ac:dyDescent="0.15">
      <c r="A7" s="2058" t="s">
        <v>1586</v>
      </c>
      <c r="B7" s="809">
        <v>415</v>
      </c>
      <c r="C7" s="803">
        <f>B7/B$6</f>
        <v>7.2552447552447552E-2</v>
      </c>
      <c r="D7" s="809">
        <v>420</v>
      </c>
      <c r="E7" s="803">
        <f>D7/D$6</f>
        <v>6.9478908188585611E-2</v>
      </c>
      <c r="F7" s="829">
        <v>441</v>
      </c>
      <c r="G7" s="803">
        <f>F7/F$6</f>
        <v>7.419246298788694E-2</v>
      </c>
      <c r="H7" s="829">
        <v>542</v>
      </c>
      <c r="I7" s="803">
        <f>H7/H$6</f>
        <v>9.5054366888810943E-2</v>
      </c>
      <c r="J7" s="2178">
        <v>465</v>
      </c>
      <c r="K7" s="2177">
        <f>J7/J$6</f>
        <v>7.418634333120612E-2</v>
      </c>
      <c r="L7" s="2051"/>
    </row>
    <row r="8" spans="1:14" x14ac:dyDescent="0.15">
      <c r="A8" s="2058" t="s">
        <v>1587</v>
      </c>
      <c r="B8" s="809">
        <v>269</v>
      </c>
      <c r="C8" s="803">
        <f t="shared" ref="C8:C18" si="1">B8/B$6</f>
        <v>4.7027972027972029E-2</v>
      </c>
      <c r="D8" s="809">
        <v>473</v>
      </c>
      <c r="E8" s="803">
        <f t="shared" ref="E8:E18" si="2">D8/D$6</f>
        <v>7.8246484698097599E-2</v>
      </c>
      <c r="F8" s="829">
        <v>261</v>
      </c>
      <c r="G8" s="803">
        <f t="shared" ref="G8:G18" si="3">F8/F$6</f>
        <v>4.3909825033647376E-2</v>
      </c>
      <c r="H8" s="829">
        <v>263</v>
      </c>
      <c r="I8" s="803">
        <f t="shared" ref="I8:I18" si="4">H8/H$6</f>
        <v>4.6124166958961765E-2</v>
      </c>
      <c r="J8" s="2178">
        <v>308</v>
      </c>
      <c r="K8" s="2177">
        <f t="shared" ref="K8:K18" si="5">J8/J$6</f>
        <v>4.9138481174218249E-2</v>
      </c>
      <c r="L8" s="2051"/>
    </row>
    <row r="9" spans="1:14" x14ac:dyDescent="0.15">
      <c r="A9" s="2058" t="s">
        <v>1588</v>
      </c>
      <c r="B9" s="809">
        <v>465</v>
      </c>
      <c r="C9" s="803">
        <f t="shared" si="1"/>
        <v>8.1293706293706289E-2</v>
      </c>
      <c r="D9" s="809">
        <v>438</v>
      </c>
      <c r="E9" s="803">
        <f t="shared" si="2"/>
        <v>7.2456575682382132E-2</v>
      </c>
      <c r="F9" s="829">
        <v>420</v>
      </c>
      <c r="G9" s="803">
        <f t="shared" si="3"/>
        <v>7.0659488559892333E-2</v>
      </c>
      <c r="H9" s="829">
        <v>494</v>
      </c>
      <c r="I9" s="803">
        <f t="shared" si="4"/>
        <v>8.663626797614872E-2</v>
      </c>
      <c r="J9" s="2178">
        <v>538</v>
      </c>
      <c r="K9" s="2177">
        <f t="shared" si="5"/>
        <v>8.5832801531589023E-2</v>
      </c>
      <c r="L9" s="2051"/>
    </row>
    <row r="10" spans="1:14" x14ac:dyDescent="0.15">
      <c r="A10" s="2058" t="s">
        <v>1589</v>
      </c>
      <c r="B10" s="809">
        <v>427</v>
      </c>
      <c r="C10" s="803">
        <f t="shared" si="1"/>
        <v>7.4650349650349654E-2</v>
      </c>
      <c r="D10" s="809">
        <v>399</v>
      </c>
      <c r="E10" s="803">
        <f t="shared" si="2"/>
        <v>6.6004962779156323E-2</v>
      </c>
      <c r="F10" s="829">
        <v>463</v>
      </c>
      <c r="G10" s="803">
        <f t="shared" si="3"/>
        <v>7.7893674293405116E-2</v>
      </c>
      <c r="H10" s="829">
        <v>414</v>
      </c>
      <c r="I10" s="803">
        <f t="shared" si="4"/>
        <v>7.2606103121711674E-2</v>
      </c>
      <c r="J10" s="2178">
        <v>511</v>
      </c>
      <c r="K10" s="2177">
        <f t="shared" si="5"/>
        <v>8.152520740268028E-2</v>
      </c>
      <c r="L10" s="2051"/>
    </row>
    <row r="11" spans="1:14" x14ac:dyDescent="0.15">
      <c r="A11" s="2058" t="s">
        <v>1590</v>
      </c>
      <c r="B11" s="809">
        <v>512</v>
      </c>
      <c r="C11" s="803">
        <f t="shared" si="1"/>
        <v>8.951048951048951E-2</v>
      </c>
      <c r="D11" s="809">
        <v>504</v>
      </c>
      <c r="E11" s="803">
        <f t="shared" si="2"/>
        <v>8.3374689826302736E-2</v>
      </c>
      <c r="F11" s="829">
        <v>445</v>
      </c>
      <c r="G11" s="803">
        <f t="shared" si="3"/>
        <v>7.4865410497981164E-2</v>
      </c>
      <c r="H11" s="829">
        <v>418</v>
      </c>
      <c r="I11" s="803">
        <f t="shared" si="4"/>
        <v>7.3307611364433534E-2</v>
      </c>
      <c r="J11" s="2178">
        <v>402</v>
      </c>
      <c r="K11" s="2177">
        <f t="shared" si="5"/>
        <v>6.4135290363752387E-2</v>
      </c>
      <c r="L11" s="2051"/>
    </row>
    <row r="12" spans="1:14" x14ac:dyDescent="0.15">
      <c r="A12" s="2058" t="s">
        <v>1591</v>
      </c>
      <c r="B12" s="809">
        <v>488</v>
      </c>
      <c r="C12" s="803">
        <f t="shared" si="1"/>
        <v>8.5314685314685321E-2</v>
      </c>
      <c r="D12" s="809">
        <v>955</v>
      </c>
      <c r="E12" s="803">
        <f t="shared" si="2"/>
        <v>0.15798180314309346</v>
      </c>
      <c r="F12" s="829">
        <v>532</v>
      </c>
      <c r="G12" s="803">
        <f t="shared" si="3"/>
        <v>8.9502018842530284E-2</v>
      </c>
      <c r="H12" s="829">
        <v>458</v>
      </c>
      <c r="I12" s="803">
        <f t="shared" si="4"/>
        <v>8.032269379165205E-2</v>
      </c>
      <c r="J12" s="2178">
        <v>467</v>
      </c>
      <c r="K12" s="2177">
        <f t="shared" si="5"/>
        <v>7.4505424377791965E-2</v>
      </c>
      <c r="L12" s="2051"/>
    </row>
    <row r="13" spans="1:14" x14ac:dyDescent="0.15">
      <c r="A13" s="2058" t="s">
        <v>1592</v>
      </c>
      <c r="B13" s="809">
        <v>447</v>
      </c>
      <c r="C13" s="803">
        <f t="shared" si="1"/>
        <v>7.8146853146853143E-2</v>
      </c>
      <c r="D13" s="809">
        <v>420</v>
      </c>
      <c r="E13" s="803">
        <f t="shared" si="2"/>
        <v>6.9478908188585611E-2</v>
      </c>
      <c r="F13" s="829">
        <v>563</v>
      </c>
      <c r="G13" s="803">
        <f t="shared" si="3"/>
        <v>9.4717362045760436E-2</v>
      </c>
      <c r="H13" s="829">
        <v>489</v>
      </c>
      <c r="I13" s="803">
        <f t="shared" si="4"/>
        <v>8.5759382672746409E-2</v>
      </c>
      <c r="J13" s="2178">
        <v>464</v>
      </c>
      <c r="K13" s="2177">
        <f t="shared" si="5"/>
        <v>7.4026802807913211E-2</v>
      </c>
      <c r="L13" s="2051"/>
    </row>
    <row r="14" spans="1:14" x14ac:dyDescent="0.15">
      <c r="A14" s="2058" t="s">
        <v>1593</v>
      </c>
      <c r="B14" s="809">
        <v>618</v>
      </c>
      <c r="C14" s="803">
        <f t="shared" si="1"/>
        <v>0.10804195804195804</v>
      </c>
      <c r="D14" s="809">
        <v>489</v>
      </c>
      <c r="E14" s="803">
        <f t="shared" si="2"/>
        <v>8.0893300248138955E-2</v>
      </c>
      <c r="F14" s="829">
        <v>483</v>
      </c>
      <c r="G14" s="803">
        <f t="shared" si="3"/>
        <v>8.125841184387618E-2</v>
      </c>
      <c r="H14" s="829">
        <v>514</v>
      </c>
      <c r="I14" s="803">
        <f t="shared" si="4"/>
        <v>9.0143809189757979E-2</v>
      </c>
      <c r="J14" s="2178">
        <v>681</v>
      </c>
      <c r="K14" s="2177">
        <f t="shared" si="5"/>
        <v>0.10864709636247608</v>
      </c>
      <c r="L14" s="2051"/>
    </row>
    <row r="15" spans="1:14" x14ac:dyDescent="0.15">
      <c r="A15" s="2058" t="s">
        <v>1594</v>
      </c>
      <c r="B15" s="809">
        <v>589</v>
      </c>
      <c r="C15" s="803">
        <f t="shared" si="1"/>
        <v>0.10297202797202797</v>
      </c>
      <c r="D15" s="809">
        <v>371</v>
      </c>
      <c r="E15" s="803">
        <f t="shared" si="2"/>
        <v>6.1373035566583953E-2</v>
      </c>
      <c r="F15" s="829">
        <v>558</v>
      </c>
      <c r="G15" s="803">
        <f t="shared" si="3"/>
        <v>9.387617765814267E-2</v>
      </c>
      <c r="H15" s="829">
        <v>550</v>
      </c>
      <c r="I15" s="803">
        <f t="shared" si="4"/>
        <v>9.6457383374254649E-2</v>
      </c>
      <c r="J15" s="2178">
        <v>618</v>
      </c>
      <c r="K15" s="2177">
        <f t="shared" si="5"/>
        <v>9.8596043395022342E-2</v>
      </c>
      <c r="L15" s="2051"/>
    </row>
    <row r="16" spans="1:14" x14ac:dyDescent="0.15">
      <c r="A16" s="2058" t="s">
        <v>1595</v>
      </c>
      <c r="B16" s="809">
        <v>563</v>
      </c>
      <c r="C16" s="803">
        <f t="shared" si="1"/>
        <v>9.8426573426573433E-2</v>
      </c>
      <c r="D16" s="809">
        <v>609</v>
      </c>
      <c r="E16" s="803">
        <f t="shared" si="2"/>
        <v>0.10074441687344914</v>
      </c>
      <c r="F16" s="829">
        <v>608</v>
      </c>
      <c r="G16" s="803">
        <f t="shared" si="3"/>
        <v>0.10228802153432032</v>
      </c>
      <c r="H16" s="829">
        <v>639</v>
      </c>
      <c r="I16" s="803">
        <f t="shared" si="4"/>
        <v>0.11206594177481585</v>
      </c>
      <c r="J16" s="2178">
        <v>618</v>
      </c>
      <c r="K16" s="2177">
        <f t="shared" si="5"/>
        <v>9.8596043395022342E-2</v>
      </c>
      <c r="L16" s="2051"/>
    </row>
    <row r="17" spans="1:13" x14ac:dyDescent="0.15">
      <c r="A17" s="2058" t="s">
        <v>1596</v>
      </c>
      <c r="B17" s="809">
        <v>492</v>
      </c>
      <c r="C17" s="803">
        <f t="shared" si="1"/>
        <v>8.6013986013986007E-2</v>
      </c>
      <c r="D17" s="809">
        <v>502</v>
      </c>
      <c r="E17" s="803">
        <f t="shared" si="2"/>
        <v>8.3043837882547558E-2</v>
      </c>
      <c r="F17" s="829">
        <v>590</v>
      </c>
      <c r="G17" s="803">
        <f t="shared" si="3"/>
        <v>9.9259757738896365E-2</v>
      </c>
      <c r="H17" s="829">
        <v>529</v>
      </c>
      <c r="I17" s="803">
        <f t="shared" si="4"/>
        <v>9.2774465099964926E-2</v>
      </c>
      <c r="J17" s="2178">
        <v>734</v>
      </c>
      <c r="K17" s="2177">
        <f t="shared" si="5"/>
        <v>0.11710274409700064</v>
      </c>
      <c r="L17" s="2051"/>
    </row>
    <row r="18" spans="1:13" x14ac:dyDescent="0.15">
      <c r="A18" s="2058" t="s">
        <v>1597</v>
      </c>
      <c r="B18" s="809">
        <v>435</v>
      </c>
      <c r="C18" s="803">
        <f t="shared" si="1"/>
        <v>7.6048951048951055E-2</v>
      </c>
      <c r="D18" s="809">
        <v>465</v>
      </c>
      <c r="E18" s="803">
        <f t="shared" si="2"/>
        <v>7.6923076923076927E-2</v>
      </c>
      <c r="F18" s="829">
        <v>580</v>
      </c>
      <c r="G18" s="803">
        <f t="shared" si="3"/>
        <v>9.7577388963660833E-2</v>
      </c>
      <c r="H18" s="829">
        <v>392</v>
      </c>
      <c r="I18" s="803">
        <f t="shared" si="4"/>
        <v>6.8747807786741499E-2</v>
      </c>
      <c r="J18" s="2178">
        <v>462</v>
      </c>
      <c r="K18" s="2177">
        <f t="shared" si="5"/>
        <v>7.370772176132738E-2</v>
      </c>
      <c r="L18" s="2051"/>
    </row>
    <row r="19" spans="1:13" x14ac:dyDescent="0.15">
      <c r="A19" s="2086"/>
      <c r="B19" s="2051"/>
      <c r="C19" s="2051"/>
      <c r="D19" s="2051"/>
      <c r="E19" s="2051"/>
      <c r="F19" s="2051"/>
      <c r="G19" s="2051"/>
      <c r="H19" s="2051"/>
      <c r="I19" s="2051"/>
      <c r="J19" s="2051"/>
      <c r="K19" s="2051"/>
      <c r="L19" s="2051"/>
    </row>
    <row r="20" spans="1:13" s="99" customFormat="1" ht="24" customHeight="1" x14ac:dyDescent="0.15">
      <c r="A20" s="2894" t="s">
        <v>2003</v>
      </c>
      <c r="B20" s="2894"/>
      <c r="C20" s="2894"/>
      <c r="D20" s="2894"/>
      <c r="E20" s="2894"/>
      <c r="F20" s="2894"/>
      <c r="G20" s="2894"/>
      <c r="H20" s="2894"/>
      <c r="I20" s="2894"/>
      <c r="J20" s="2894"/>
      <c r="K20" s="2894"/>
      <c r="L20" s="793"/>
      <c r="M20" s="793"/>
    </row>
    <row r="21" spans="1:13" ht="15" customHeight="1" x14ac:dyDescent="0.15">
      <c r="A21" s="2440" t="s">
        <v>2004</v>
      </c>
      <c r="B21" s="2440"/>
      <c r="C21" s="2440"/>
      <c r="D21" s="2440"/>
      <c r="E21" s="2440"/>
      <c r="F21" s="2440"/>
      <c r="G21" s="2440"/>
      <c r="H21" s="2440"/>
      <c r="I21" s="2440"/>
      <c r="J21" s="2440"/>
      <c r="K21" s="2440"/>
      <c r="L21" s="2051"/>
    </row>
    <row r="22" spans="1:13" x14ac:dyDescent="0.15">
      <c r="A22" s="2051"/>
      <c r="B22" s="2051"/>
      <c r="C22" s="2051"/>
      <c r="D22" s="2051"/>
      <c r="E22" s="2051"/>
      <c r="F22" s="2051"/>
      <c r="G22" s="2051"/>
      <c r="H22" s="2051"/>
      <c r="I22" s="2051"/>
      <c r="J22" s="2051"/>
      <c r="K22" s="2051"/>
      <c r="L22" s="2051"/>
    </row>
    <row r="23" spans="1:13" x14ac:dyDescent="0.15">
      <c r="A23" s="2051"/>
      <c r="B23" s="2051"/>
      <c r="C23" s="2051"/>
      <c r="D23" s="2051"/>
      <c r="E23" s="2051"/>
      <c r="F23" s="2051"/>
      <c r="G23" s="2051"/>
      <c r="H23" s="2051"/>
      <c r="I23" s="2051"/>
      <c r="J23" s="2051"/>
      <c r="K23" s="2051"/>
      <c r="L23" s="2051"/>
    </row>
    <row r="24" spans="1:13" x14ac:dyDescent="0.15">
      <c r="A24" s="2051"/>
      <c r="B24" s="2051"/>
      <c r="C24" s="2051"/>
      <c r="D24" s="2051"/>
      <c r="E24" s="2051"/>
      <c r="F24" s="2051"/>
      <c r="G24" s="2051"/>
      <c r="H24" s="2051"/>
      <c r="I24" s="2051"/>
      <c r="J24" s="2051"/>
      <c r="K24" s="2051"/>
      <c r="L24" s="2051"/>
    </row>
    <row r="25" spans="1:13" x14ac:dyDescent="0.15">
      <c r="A25" s="2051"/>
      <c r="B25" s="2051"/>
      <c r="C25" s="2051"/>
      <c r="D25" s="2051"/>
      <c r="E25" s="2051"/>
      <c r="F25" s="2051"/>
      <c r="G25" s="2051"/>
      <c r="H25" s="2051"/>
      <c r="I25" s="2051"/>
      <c r="J25" s="2051"/>
      <c r="K25" s="2051"/>
      <c r="L25" s="2051"/>
    </row>
    <row r="26" spans="1:13" x14ac:dyDescent="0.15">
      <c r="A26" s="2051"/>
      <c r="B26" s="2051"/>
      <c r="C26" s="2051"/>
      <c r="D26" s="2051"/>
      <c r="E26" s="2051"/>
      <c r="F26" s="2051"/>
      <c r="G26" s="2051"/>
      <c r="H26" s="2051"/>
      <c r="I26" s="2051"/>
      <c r="J26" s="2051"/>
      <c r="K26" s="2051"/>
      <c r="L26" s="2051"/>
    </row>
    <row r="27" spans="1:13" x14ac:dyDescent="0.15">
      <c r="A27" s="2051"/>
      <c r="B27" s="2051"/>
      <c r="C27" s="2051"/>
      <c r="D27" s="2051"/>
      <c r="E27" s="2051"/>
      <c r="F27" s="2051"/>
      <c r="G27" s="2051"/>
      <c r="H27" s="2051"/>
      <c r="I27" s="2051"/>
      <c r="J27" s="2051"/>
      <c r="K27" s="2051"/>
      <c r="L27" s="2051"/>
    </row>
    <row r="28" spans="1:13" x14ac:dyDescent="0.15">
      <c r="A28" s="2051"/>
      <c r="B28" s="2051"/>
      <c r="C28" s="2051"/>
      <c r="D28" s="2051"/>
      <c r="E28" s="2051"/>
      <c r="F28" s="2051"/>
      <c r="G28" s="2051"/>
      <c r="H28" s="2051"/>
      <c r="I28" s="2051"/>
      <c r="J28" s="2051"/>
      <c r="K28" s="2051"/>
      <c r="L28" s="2051"/>
    </row>
    <row r="29" spans="1:13" x14ac:dyDescent="0.15">
      <c r="A29" s="2051"/>
      <c r="B29" s="2051"/>
      <c r="C29" s="2051"/>
      <c r="D29" s="2051"/>
      <c r="E29" s="2051"/>
      <c r="F29" s="2051"/>
      <c r="G29" s="2051"/>
      <c r="H29" s="2051"/>
      <c r="I29" s="2051"/>
      <c r="J29" s="2051"/>
      <c r="K29" s="2051"/>
      <c r="L29" s="2051"/>
    </row>
  </sheetData>
  <mergeCells count="9">
    <mergeCell ref="A20:K20"/>
    <mergeCell ref="A21:K21"/>
    <mergeCell ref="A2:K2"/>
    <mergeCell ref="B4:C4"/>
    <mergeCell ref="D4:E4"/>
    <mergeCell ref="F4:G4"/>
    <mergeCell ref="H4:I4"/>
    <mergeCell ref="J4:K4"/>
    <mergeCell ref="A4:A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2:M66"/>
  <sheetViews>
    <sheetView zoomScaleNormal="100" workbookViewId="0">
      <selection activeCell="B15" sqref="B15"/>
    </sheetView>
  </sheetViews>
  <sheetFormatPr baseColWidth="10" defaultColWidth="9.140625" defaultRowHeight="10.5" x14ac:dyDescent="0.15"/>
  <cols>
    <col min="1" max="1" width="24.140625" style="97" customWidth="1"/>
    <col min="2" max="2" width="13.42578125" style="97" customWidth="1"/>
    <col min="3" max="3" width="25.7109375" style="97" customWidth="1"/>
    <col min="4" max="4" width="19.5703125" style="97" customWidth="1"/>
    <col min="5" max="5" width="26.28515625" style="97" customWidth="1"/>
    <col min="6" max="6" width="19.5703125" style="97" customWidth="1"/>
    <col min="7" max="7" width="28.85546875" style="97" customWidth="1"/>
    <col min="8" max="8" width="19.5703125" style="97" customWidth="1"/>
    <col min="9" max="9" width="28.140625" style="97" customWidth="1"/>
    <col min="10" max="10" width="15.28515625" style="97" customWidth="1"/>
    <col min="11" max="16384" width="9.140625" style="97"/>
  </cols>
  <sheetData>
    <row r="2" spans="1:12" s="832" customFormat="1" ht="11.25" x14ac:dyDescent="0.15">
      <c r="A2" s="2899" t="s">
        <v>2114</v>
      </c>
      <c r="B2" s="2899"/>
      <c r="C2" s="2899"/>
      <c r="D2" s="2899"/>
      <c r="E2" s="2899"/>
      <c r="F2" s="2899"/>
      <c r="G2" s="2899"/>
      <c r="H2" s="2899"/>
      <c r="I2" s="2899"/>
      <c r="J2" s="2899"/>
      <c r="K2" s="830"/>
      <c r="L2" s="831"/>
    </row>
    <row r="3" spans="1:12" s="810" customFormat="1" x14ac:dyDescent="0.15">
      <c r="A3" s="833"/>
      <c r="B3" s="834"/>
      <c r="C3" s="833"/>
      <c r="D3" s="835"/>
      <c r="E3" s="833"/>
      <c r="F3" s="835"/>
      <c r="G3" s="836"/>
      <c r="H3" s="836"/>
      <c r="I3" s="836"/>
      <c r="J3" s="836"/>
      <c r="K3" s="836"/>
      <c r="L3" s="836"/>
    </row>
    <row r="4" spans="1:12" s="810" customFormat="1" x14ac:dyDescent="0.15">
      <c r="A4" s="2423">
        <v>2011</v>
      </c>
      <c r="B4" s="2423"/>
      <c r="C4" s="2900">
        <v>2012</v>
      </c>
      <c r="D4" s="2900"/>
      <c r="E4" s="2423">
        <v>2013</v>
      </c>
      <c r="F4" s="2423"/>
      <c r="G4" s="2900">
        <v>2014</v>
      </c>
      <c r="H4" s="2900"/>
      <c r="I4" s="2374">
        <v>2015</v>
      </c>
      <c r="J4" s="2375"/>
    </row>
    <row r="5" spans="1:12" s="810" customFormat="1" x14ac:dyDescent="0.15">
      <c r="A5" s="837" t="s">
        <v>2115</v>
      </c>
      <c r="B5" s="2057" t="s">
        <v>2116</v>
      </c>
      <c r="C5" s="837" t="s">
        <v>2115</v>
      </c>
      <c r="D5" s="174" t="s">
        <v>2116</v>
      </c>
      <c r="E5" s="837" t="s">
        <v>2115</v>
      </c>
      <c r="F5" s="174" t="s">
        <v>2116</v>
      </c>
      <c r="G5" s="838" t="s">
        <v>2115</v>
      </c>
      <c r="H5" s="2075" t="s">
        <v>2116</v>
      </c>
      <c r="I5" s="2052" t="s">
        <v>2115</v>
      </c>
      <c r="J5" s="2052" t="s">
        <v>2116</v>
      </c>
    </row>
    <row r="6" spans="1:12" s="810" customFormat="1" x14ac:dyDescent="0.15">
      <c r="A6" s="840" t="s">
        <v>141</v>
      </c>
      <c r="B6" s="841">
        <f>SUM(B7:B52)</f>
        <v>402</v>
      </c>
      <c r="C6" s="840" t="s">
        <v>141</v>
      </c>
      <c r="D6" s="2076">
        <f>SUM(D7:D46)</f>
        <v>506</v>
      </c>
      <c r="E6" s="840" t="s">
        <v>141</v>
      </c>
      <c r="F6" s="842">
        <f>SUM(F7:F52)</f>
        <v>609</v>
      </c>
      <c r="G6" s="830" t="s">
        <v>141</v>
      </c>
      <c r="H6" s="2076">
        <f>SUM(H7:H52)</f>
        <v>654</v>
      </c>
      <c r="I6" s="2056" t="s">
        <v>141</v>
      </c>
      <c r="J6" s="2076">
        <f>SUM(J7:J52)</f>
        <v>749</v>
      </c>
      <c r="K6" s="2183"/>
    </row>
    <row r="7" spans="1:12" s="810" customFormat="1" ht="21" x14ac:dyDescent="0.15">
      <c r="A7" s="836" t="s">
        <v>2117</v>
      </c>
      <c r="B7" s="843">
        <v>51</v>
      </c>
      <c r="C7" s="836" t="s">
        <v>2117</v>
      </c>
      <c r="D7" s="2078">
        <v>95</v>
      </c>
      <c r="E7" s="836" t="s">
        <v>2118</v>
      </c>
      <c r="F7" s="2078">
        <v>94</v>
      </c>
      <c r="G7" s="819" t="s">
        <v>2119</v>
      </c>
      <c r="H7" s="834">
        <v>102</v>
      </c>
      <c r="I7" s="819" t="s">
        <v>2120</v>
      </c>
      <c r="J7" s="844">
        <v>250</v>
      </c>
      <c r="K7" s="2183"/>
    </row>
    <row r="8" spans="1:12" s="810" customFormat="1" ht="21" x14ac:dyDescent="0.15">
      <c r="A8" s="836" t="s">
        <v>2121</v>
      </c>
      <c r="B8" s="843">
        <v>38</v>
      </c>
      <c r="C8" s="836" t="s">
        <v>2122</v>
      </c>
      <c r="D8" s="2078">
        <v>44</v>
      </c>
      <c r="E8" s="836" t="s">
        <v>2120</v>
      </c>
      <c r="F8" s="2078">
        <v>64</v>
      </c>
      <c r="G8" s="819" t="s">
        <v>2123</v>
      </c>
      <c r="H8" s="834">
        <v>77</v>
      </c>
      <c r="I8" s="819" t="s">
        <v>2121</v>
      </c>
      <c r="J8" s="844">
        <v>55</v>
      </c>
      <c r="K8" s="2183"/>
    </row>
    <row r="9" spans="1:12" s="810" customFormat="1" ht="31.5" x14ac:dyDescent="0.15">
      <c r="A9" s="836" t="s">
        <v>2122</v>
      </c>
      <c r="B9" s="843">
        <v>35</v>
      </c>
      <c r="C9" s="836" t="s">
        <v>2121</v>
      </c>
      <c r="D9" s="2078">
        <v>37</v>
      </c>
      <c r="E9" s="836" t="s">
        <v>2122</v>
      </c>
      <c r="F9" s="2078">
        <v>60</v>
      </c>
      <c r="G9" s="819" t="s">
        <v>2122</v>
      </c>
      <c r="H9" s="834">
        <v>53</v>
      </c>
      <c r="I9" s="819" t="s">
        <v>2124</v>
      </c>
      <c r="J9" s="844">
        <v>54</v>
      </c>
      <c r="K9" s="2183"/>
    </row>
    <row r="10" spans="1:12" s="810" customFormat="1" ht="31.5" x14ac:dyDescent="0.15">
      <c r="A10" s="836" t="s">
        <v>2124</v>
      </c>
      <c r="B10" s="843">
        <v>24</v>
      </c>
      <c r="C10" s="836" t="s">
        <v>2124</v>
      </c>
      <c r="D10" s="2078">
        <v>36</v>
      </c>
      <c r="E10" s="836" t="s">
        <v>2121</v>
      </c>
      <c r="F10" s="2078">
        <v>46</v>
      </c>
      <c r="G10" s="819" t="s">
        <v>2121</v>
      </c>
      <c r="H10" s="834">
        <v>50</v>
      </c>
      <c r="I10" s="819" t="s">
        <v>2123</v>
      </c>
      <c r="J10" s="844">
        <v>43</v>
      </c>
      <c r="K10" s="2183"/>
    </row>
    <row r="11" spans="1:12" s="810" customFormat="1" ht="31.5" x14ac:dyDescent="0.15">
      <c r="A11" s="836" t="s">
        <v>2125</v>
      </c>
      <c r="B11" s="843">
        <v>19</v>
      </c>
      <c r="C11" s="836" t="s">
        <v>2126</v>
      </c>
      <c r="D11" s="2078">
        <v>25</v>
      </c>
      <c r="E11" s="836" t="s">
        <v>2124</v>
      </c>
      <c r="F11" s="2078">
        <v>44</v>
      </c>
      <c r="G11" s="819" t="s">
        <v>2127</v>
      </c>
      <c r="H11" s="834">
        <v>47</v>
      </c>
      <c r="I11" s="819" t="s">
        <v>2118</v>
      </c>
      <c r="J11" s="844">
        <v>37</v>
      </c>
      <c r="K11" s="2183"/>
    </row>
    <row r="12" spans="1:12" s="810" customFormat="1" ht="21" x14ac:dyDescent="0.15">
      <c r="A12" s="836" t="s">
        <v>2128</v>
      </c>
      <c r="B12" s="843">
        <v>18</v>
      </c>
      <c r="C12" s="836" t="s">
        <v>2118</v>
      </c>
      <c r="D12" s="2078">
        <v>21</v>
      </c>
      <c r="E12" s="836" t="s">
        <v>2123</v>
      </c>
      <c r="F12" s="2078">
        <v>42</v>
      </c>
      <c r="G12" s="819" t="s">
        <v>2118</v>
      </c>
      <c r="H12" s="834">
        <v>46</v>
      </c>
      <c r="I12" s="819" t="s">
        <v>2122</v>
      </c>
      <c r="J12" s="844">
        <v>32</v>
      </c>
      <c r="K12" s="2183"/>
    </row>
    <row r="13" spans="1:12" s="810" customFormat="1" ht="21" x14ac:dyDescent="0.15">
      <c r="A13" s="836" t="s">
        <v>2118</v>
      </c>
      <c r="B13" s="843">
        <v>18</v>
      </c>
      <c r="C13" s="836" t="s">
        <v>2129</v>
      </c>
      <c r="D13" s="2078">
        <v>20</v>
      </c>
      <c r="E13" s="836" t="s">
        <v>2130</v>
      </c>
      <c r="F13" s="2078">
        <v>20</v>
      </c>
      <c r="G13" s="819" t="s">
        <v>2131</v>
      </c>
      <c r="H13" s="834">
        <v>25</v>
      </c>
      <c r="I13" s="819" t="s">
        <v>2131</v>
      </c>
      <c r="J13" s="844">
        <v>24</v>
      </c>
      <c r="K13" s="2183"/>
    </row>
    <row r="14" spans="1:12" s="810" customFormat="1" ht="21" x14ac:dyDescent="0.15">
      <c r="A14" s="2071" t="s">
        <v>2132</v>
      </c>
      <c r="B14" s="843">
        <v>13</v>
      </c>
      <c r="C14" s="836" t="s">
        <v>2133</v>
      </c>
      <c r="D14" s="2078">
        <v>19</v>
      </c>
      <c r="E14" s="836" t="s">
        <v>2126</v>
      </c>
      <c r="F14" s="2078">
        <v>19</v>
      </c>
      <c r="G14" s="819" t="s">
        <v>2134</v>
      </c>
      <c r="H14" s="834">
        <v>20</v>
      </c>
      <c r="I14" s="819" t="s">
        <v>2129</v>
      </c>
      <c r="J14" s="844">
        <v>20</v>
      </c>
      <c r="K14" s="2183"/>
    </row>
    <row r="15" spans="1:12" s="810" customFormat="1" ht="21" x14ac:dyDescent="0.15">
      <c r="A15" s="2071" t="s">
        <v>2130</v>
      </c>
      <c r="B15" s="843">
        <v>13</v>
      </c>
      <c r="C15" s="836" t="s">
        <v>2128</v>
      </c>
      <c r="D15" s="2078">
        <v>18</v>
      </c>
      <c r="E15" s="836" t="s">
        <v>2135</v>
      </c>
      <c r="F15" s="2078">
        <v>17</v>
      </c>
      <c r="G15" s="819" t="s">
        <v>2125</v>
      </c>
      <c r="H15" s="834">
        <v>17</v>
      </c>
      <c r="I15" s="819" t="s">
        <v>2133</v>
      </c>
      <c r="J15" s="844">
        <v>16</v>
      </c>
      <c r="K15" s="2183"/>
    </row>
    <row r="16" spans="1:12" s="810" customFormat="1" ht="21" x14ac:dyDescent="0.15">
      <c r="A16" s="836" t="s">
        <v>2126</v>
      </c>
      <c r="B16" s="843">
        <v>12</v>
      </c>
      <c r="C16" s="836" t="s">
        <v>2136</v>
      </c>
      <c r="D16" s="2078">
        <v>14</v>
      </c>
      <c r="E16" s="836" t="s">
        <v>2129</v>
      </c>
      <c r="F16" s="2078">
        <v>16</v>
      </c>
      <c r="G16" s="819" t="s">
        <v>2137</v>
      </c>
      <c r="H16" s="834">
        <v>17</v>
      </c>
      <c r="I16" s="819" t="s">
        <v>2126</v>
      </c>
      <c r="J16" s="844">
        <v>16</v>
      </c>
      <c r="K16" s="2183"/>
    </row>
    <row r="17" spans="1:11" s="810" customFormat="1" ht="21" x14ac:dyDescent="0.15">
      <c r="A17" s="836" t="s">
        <v>2129</v>
      </c>
      <c r="B17" s="843">
        <v>11</v>
      </c>
      <c r="C17" s="819" t="s">
        <v>2138</v>
      </c>
      <c r="D17" s="834">
        <v>13</v>
      </c>
      <c r="E17" s="836" t="s">
        <v>2139</v>
      </c>
      <c r="F17" s="2078">
        <v>15</v>
      </c>
      <c r="G17" s="819" t="s">
        <v>2129</v>
      </c>
      <c r="H17" s="834">
        <v>17</v>
      </c>
      <c r="I17" s="819" t="s">
        <v>2134</v>
      </c>
      <c r="J17" s="844">
        <v>15</v>
      </c>
      <c r="K17" s="2183"/>
    </row>
    <row r="18" spans="1:11" s="810" customFormat="1" x14ac:dyDescent="0.15">
      <c r="A18" s="836" t="s">
        <v>2140</v>
      </c>
      <c r="B18" s="843">
        <v>10</v>
      </c>
      <c r="C18" s="836" t="s">
        <v>2141</v>
      </c>
      <c r="D18" s="2078">
        <v>12</v>
      </c>
      <c r="E18" s="836" t="s">
        <v>2134</v>
      </c>
      <c r="F18" s="2078">
        <v>15</v>
      </c>
      <c r="G18" s="819" t="s">
        <v>2142</v>
      </c>
      <c r="H18" s="834">
        <v>15</v>
      </c>
      <c r="I18" s="819" t="s">
        <v>2143</v>
      </c>
      <c r="J18" s="844">
        <v>14</v>
      </c>
      <c r="K18" s="2183"/>
    </row>
    <row r="19" spans="1:11" s="810" customFormat="1" ht="21" x14ac:dyDescent="0.15">
      <c r="A19" s="2071" t="s">
        <v>2144</v>
      </c>
      <c r="B19" s="843">
        <v>10</v>
      </c>
      <c r="C19" s="2071" t="s">
        <v>2130</v>
      </c>
      <c r="D19" s="843">
        <v>12</v>
      </c>
      <c r="E19" s="836" t="s">
        <v>2136</v>
      </c>
      <c r="F19" s="2078">
        <v>13</v>
      </c>
      <c r="G19" s="819" t="s">
        <v>2145</v>
      </c>
      <c r="H19" s="834">
        <v>15</v>
      </c>
      <c r="I19" s="819" t="s">
        <v>2146</v>
      </c>
      <c r="J19" s="844">
        <v>12</v>
      </c>
      <c r="K19" s="2183"/>
    </row>
    <row r="20" spans="1:11" s="810" customFormat="1" x14ac:dyDescent="0.15">
      <c r="A20" s="2071" t="s">
        <v>2141</v>
      </c>
      <c r="B20" s="843">
        <v>9</v>
      </c>
      <c r="C20" s="2071" t="s">
        <v>2147</v>
      </c>
      <c r="D20" s="843">
        <v>11</v>
      </c>
      <c r="E20" s="836" t="s">
        <v>2143</v>
      </c>
      <c r="F20" s="2078">
        <v>12</v>
      </c>
      <c r="G20" s="819" t="s">
        <v>2143</v>
      </c>
      <c r="H20" s="834">
        <v>14</v>
      </c>
      <c r="I20" s="819" t="s">
        <v>2130</v>
      </c>
      <c r="J20" s="844">
        <v>12</v>
      </c>
      <c r="K20" s="2183"/>
    </row>
    <row r="21" spans="1:11" s="810" customFormat="1" x14ac:dyDescent="0.15">
      <c r="A21" s="2071" t="s">
        <v>2148</v>
      </c>
      <c r="B21" s="843">
        <v>9</v>
      </c>
      <c r="C21" s="2071" t="s">
        <v>2134</v>
      </c>
      <c r="D21" s="843">
        <v>11</v>
      </c>
      <c r="E21" s="836" t="s">
        <v>2133</v>
      </c>
      <c r="F21" s="2078">
        <v>11</v>
      </c>
      <c r="G21" s="819" t="s">
        <v>2126</v>
      </c>
      <c r="H21" s="834">
        <v>12</v>
      </c>
      <c r="I21" s="819" t="s">
        <v>2149</v>
      </c>
      <c r="J21" s="844">
        <v>12</v>
      </c>
      <c r="K21" s="2183"/>
    </row>
    <row r="22" spans="1:11" s="810" customFormat="1" ht="21" x14ac:dyDescent="0.15">
      <c r="A22" s="2071" t="s">
        <v>2143</v>
      </c>
      <c r="B22" s="843">
        <v>9</v>
      </c>
      <c r="C22" s="2071" t="s">
        <v>2125</v>
      </c>
      <c r="D22" s="843">
        <v>10</v>
      </c>
      <c r="E22" s="836" t="s">
        <v>2150</v>
      </c>
      <c r="F22" s="2078">
        <v>9</v>
      </c>
      <c r="G22" s="819" t="s">
        <v>2130</v>
      </c>
      <c r="H22" s="834">
        <v>11</v>
      </c>
      <c r="I22" s="819" t="s">
        <v>2151</v>
      </c>
      <c r="J22" s="844">
        <v>12</v>
      </c>
      <c r="K22" s="2183"/>
    </row>
    <row r="23" spans="1:11" s="810" customFormat="1" ht="21" x14ac:dyDescent="0.15">
      <c r="A23" s="836" t="s">
        <v>2152</v>
      </c>
      <c r="B23" s="843">
        <v>8</v>
      </c>
      <c r="C23" s="2071" t="s">
        <v>2153</v>
      </c>
      <c r="D23" s="843">
        <v>10</v>
      </c>
      <c r="E23" s="836" t="s">
        <v>2141</v>
      </c>
      <c r="F23" s="2078">
        <v>9</v>
      </c>
      <c r="G23" s="819" t="s">
        <v>2144</v>
      </c>
      <c r="H23" s="834">
        <v>10</v>
      </c>
      <c r="I23" s="819" t="s">
        <v>2147</v>
      </c>
      <c r="J23" s="844">
        <v>12</v>
      </c>
      <c r="K23" s="2183"/>
    </row>
    <row r="24" spans="1:11" s="810" customFormat="1" ht="21" x14ac:dyDescent="0.15">
      <c r="A24" s="2071" t="s">
        <v>2154</v>
      </c>
      <c r="B24" s="843">
        <v>7</v>
      </c>
      <c r="C24" s="2071" t="s">
        <v>2143</v>
      </c>
      <c r="D24" s="843">
        <v>9</v>
      </c>
      <c r="E24" s="836" t="s">
        <v>2155</v>
      </c>
      <c r="F24" s="2078">
        <v>9</v>
      </c>
      <c r="G24" s="819" t="s">
        <v>2150</v>
      </c>
      <c r="H24" s="834">
        <v>10</v>
      </c>
      <c r="I24" s="819" t="s">
        <v>2153</v>
      </c>
      <c r="J24" s="844">
        <v>11</v>
      </c>
      <c r="K24" s="2183"/>
    </row>
    <row r="25" spans="1:11" s="810" customFormat="1" ht="21" x14ac:dyDescent="0.15">
      <c r="A25" s="2071" t="s">
        <v>2134</v>
      </c>
      <c r="B25" s="843">
        <v>7</v>
      </c>
      <c r="C25" s="2071" t="s">
        <v>2156</v>
      </c>
      <c r="D25" s="843">
        <v>9</v>
      </c>
      <c r="E25" s="836" t="s">
        <v>2157</v>
      </c>
      <c r="F25" s="2078">
        <v>8</v>
      </c>
      <c r="G25" s="819" t="s">
        <v>2154</v>
      </c>
      <c r="H25" s="834">
        <v>8</v>
      </c>
      <c r="I25" s="819" t="s">
        <v>2144</v>
      </c>
      <c r="J25" s="844">
        <v>10</v>
      </c>
      <c r="K25" s="2183"/>
    </row>
    <row r="26" spans="1:11" s="810" customFormat="1" ht="21" x14ac:dyDescent="0.15">
      <c r="A26" s="2071" t="s">
        <v>2158</v>
      </c>
      <c r="B26" s="843">
        <v>6</v>
      </c>
      <c r="C26" s="2071" t="s">
        <v>2131</v>
      </c>
      <c r="D26" s="843">
        <v>9</v>
      </c>
      <c r="E26" s="836" t="s">
        <v>2159</v>
      </c>
      <c r="F26" s="2078">
        <v>7</v>
      </c>
      <c r="G26" s="819" t="s">
        <v>2148</v>
      </c>
      <c r="H26" s="834">
        <v>8</v>
      </c>
      <c r="I26" s="819" t="s">
        <v>2148</v>
      </c>
      <c r="J26" s="844">
        <v>9</v>
      </c>
      <c r="K26" s="2183"/>
    </row>
    <row r="27" spans="1:11" s="810" customFormat="1" x14ac:dyDescent="0.15">
      <c r="A27" s="2071" t="s">
        <v>2150</v>
      </c>
      <c r="B27" s="843">
        <v>6</v>
      </c>
      <c r="C27" s="2071" t="s">
        <v>2160</v>
      </c>
      <c r="D27" s="843">
        <v>7</v>
      </c>
      <c r="E27" s="836" t="s">
        <v>2156</v>
      </c>
      <c r="F27" s="2078">
        <v>7</v>
      </c>
      <c r="G27" s="819" t="s">
        <v>2161</v>
      </c>
      <c r="H27" s="834">
        <v>7</v>
      </c>
      <c r="I27" s="819" t="s">
        <v>2141</v>
      </c>
      <c r="J27" s="844">
        <v>9</v>
      </c>
      <c r="K27" s="2183"/>
    </row>
    <row r="28" spans="1:11" s="810" customFormat="1" x14ac:dyDescent="0.15">
      <c r="A28" s="2071" t="s">
        <v>2131</v>
      </c>
      <c r="B28" s="843">
        <v>6</v>
      </c>
      <c r="C28" s="2071" t="s">
        <v>2150</v>
      </c>
      <c r="D28" s="843">
        <v>7</v>
      </c>
      <c r="E28" s="836" t="s">
        <v>2158</v>
      </c>
      <c r="F28" s="2078">
        <v>6</v>
      </c>
      <c r="G28" s="819" t="s">
        <v>2141</v>
      </c>
      <c r="H28" s="834">
        <v>7</v>
      </c>
      <c r="I28" s="819" t="s">
        <v>2125</v>
      </c>
      <c r="J28" s="844">
        <v>8</v>
      </c>
      <c r="K28" s="2183"/>
    </row>
    <row r="29" spans="1:11" s="810" customFormat="1" x14ac:dyDescent="0.15">
      <c r="A29" s="2071" t="s">
        <v>2162</v>
      </c>
      <c r="B29" s="843">
        <v>6</v>
      </c>
      <c r="C29" s="2071" t="s">
        <v>2159</v>
      </c>
      <c r="D29" s="843">
        <v>7</v>
      </c>
      <c r="E29" s="2071" t="s">
        <v>2163</v>
      </c>
      <c r="F29" s="2078">
        <v>5</v>
      </c>
      <c r="G29" s="845" t="s">
        <v>2156</v>
      </c>
      <c r="H29" s="834">
        <v>7</v>
      </c>
      <c r="I29" s="819" t="s">
        <v>2138</v>
      </c>
      <c r="J29" s="844">
        <v>8</v>
      </c>
      <c r="K29" s="2183"/>
    </row>
    <row r="30" spans="1:11" s="810" customFormat="1" ht="21" x14ac:dyDescent="0.15">
      <c r="A30" s="2071" t="s">
        <v>2149</v>
      </c>
      <c r="B30" s="843">
        <v>5</v>
      </c>
      <c r="C30" s="2071" t="s">
        <v>2144</v>
      </c>
      <c r="D30" s="843">
        <v>7</v>
      </c>
      <c r="E30" s="2071" t="s">
        <v>2125</v>
      </c>
      <c r="F30" s="2078">
        <v>5</v>
      </c>
      <c r="G30" s="845" t="s">
        <v>2138</v>
      </c>
      <c r="H30" s="834">
        <v>6</v>
      </c>
      <c r="I30" s="819" t="s">
        <v>2164</v>
      </c>
      <c r="J30" s="844">
        <v>8</v>
      </c>
      <c r="K30" s="2183"/>
    </row>
    <row r="31" spans="1:11" s="810" customFormat="1" ht="21" x14ac:dyDescent="0.15">
      <c r="A31" s="2071" t="s">
        <v>2165</v>
      </c>
      <c r="B31" s="843">
        <v>5</v>
      </c>
      <c r="C31" s="836" t="s">
        <v>2158</v>
      </c>
      <c r="D31" s="2078">
        <v>6</v>
      </c>
      <c r="E31" s="2071" t="s">
        <v>2166</v>
      </c>
      <c r="F31" s="2078">
        <v>5</v>
      </c>
      <c r="G31" s="845" t="s">
        <v>2149</v>
      </c>
      <c r="H31" s="834">
        <v>6</v>
      </c>
      <c r="I31" s="819" t="s">
        <v>2150</v>
      </c>
      <c r="J31" s="844">
        <v>7</v>
      </c>
      <c r="K31" s="2183"/>
    </row>
    <row r="32" spans="1:11" s="810" customFormat="1" ht="21" x14ac:dyDescent="0.15">
      <c r="A32" s="2071" t="s">
        <v>2167</v>
      </c>
      <c r="B32" s="843">
        <v>5</v>
      </c>
      <c r="C32" s="2071" t="s">
        <v>2168</v>
      </c>
      <c r="D32" s="843">
        <v>5</v>
      </c>
      <c r="E32" s="2071" t="s">
        <v>2147</v>
      </c>
      <c r="F32" s="2078">
        <v>5</v>
      </c>
      <c r="G32" s="845" t="s">
        <v>2151</v>
      </c>
      <c r="H32" s="834">
        <v>6</v>
      </c>
      <c r="I32" s="819" t="s">
        <v>2169</v>
      </c>
      <c r="J32" s="844">
        <v>6</v>
      </c>
      <c r="K32" s="2183"/>
    </row>
    <row r="33" spans="1:11" s="810" customFormat="1" ht="31.5" x14ac:dyDescent="0.15">
      <c r="A33" s="2071" t="s">
        <v>2168</v>
      </c>
      <c r="B33" s="843">
        <v>4</v>
      </c>
      <c r="C33" s="2071" t="s">
        <v>2146</v>
      </c>
      <c r="D33" s="843">
        <v>5</v>
      </c>
      <c r="E33" s="836" t="s">
        <v>2146</v>
      </c>
      <c r="F33" s="2078">
        <v>4</v>
      </c>
      <c r="G33" s="819" t="s">
        <v>2158</v>
      </c>
      <c r="H33" s="834">
        <v>5</v>
      </c>
      <c r="I33" s="819" t="s">
        <v>2140</v>
      </c>
      <c r="J33" s="844">
        <v>6</v>
      </c>
      <c r="K33" s="2183"/>
    </row>
    <row r="34" spans="1:11" s="810" customFormat="1" ht="21" x14ac:dyDescent="0.15">
      <c r="A34" s="2071" t="s">
        <v>2166</v>
      </c>
      <c r="B34" s="843">
        <v>4</v>
      </c>
      <c r="C34" s="2071" t="s">
        <v>2148</v>
      </c>
      <c r="D34" s="843">
        <v>5</v>
      </c>
      <c r="E34" s="836" t="s">
        <v>2154</v>
      </c>
      <c r="F34" s="843">
        <v>4</v>
      </c>
      <c r="G34" s="819" t="s">
        <v>2169</v>
      </c>
      <c r="H34" s="844">
        <v>5</v>
      </c>
      <c r="I34" s="819" t="s">
        <v>2170</v>
      </c>
      <c r="J34" s="844">
        <v>5</v>
      </c>
      <c r="K34" s="2183"/>
    </row>
    <row r="35" spans="1:11" s="810" customFormat="1" ht="21" x14ac:dyDescent="0.15">
      <c r="A35" s="2071" t="s">
        <v>2138</v>
      </c>
      <c r="B35" s="843">
        <v>4</v>
      </c>
      <c r="C35" s="2071" t="s">
        <v>2154</v>
      </c>
      <c r="D35" s="843">
        <v>4</v>
      </c>
      <c r="E35" s="836" t="s">
        <v>2171</v>
      </c>
      <c r="F35" s="2078">
        <v>4</v>
      </c>
      <c r="G35" s="819" t="s">
        <v>2172</v>
      </c>
      <c r="H35" s="834">
        <v>4</v>
      </c>
      <c r="I35" s="819" t="s">
        <v>2158</v>
      </c>
      <c r="J35" s="844">
        <v>4</v>
      </c>
      <c r="K35" s="2183"/>
    </row>
    <row r="36" spans="1:11" s="810" customFormat="1" ht="21" x14ac:dyDescent="0.15">
      <c r="A36" s="2071" t="s">
        <v>2159</v>
      </c>
      <c r="B36" s="843">
        <v>4</v>
      </c>
      <c r="C36" s="2071" t="s">
        <v>2166</v>
      </c>
      <c r="D36" s="843">
        <v>4</v>
      </c>
      <c r="E36" s="836" t="s">
        <v>2160</v>
      </c>
      <c r="F36" s="2078">
        <v>3</v>
      </c>
      <c r="G36" s="819" t="s">
        <v>2159</v>
      </c>
      <c r="H36" s="834">
        <v>4</v>
      </c>
      <c r="I36" s="819" t="s">
        <v>2173</v>
      </c>
      <c r="J36" s="844">
        <v>3</v>
      </c>
      <c r="K36" s="2183"/>
    </row>
    <row r="37" spans="1:11" s="810" customFormat="1" ht="21" x14ac:dyDescent="0.15">
      <c r="A37" s="2071" t="s">
        <v>2174</v>
      </c>
      <c r="B37" s="843">
        <v>4</v>
      </c>
      <c r="C37" s="836" t="s">
        <v>2161</v>
      </c>
      <c r="D37" s="2078">
        <v>3</v>
      </c>
      <c r="E37" s="836" t="s">
        <v>2140</v>
      </c>
      <c r="F37" s="843">
        <v>3</v>
      </c>
      <c r="G37" s="819" t="s">
        <v>2170</v>
      </c>
      <c r="H37" s="844">
        <v>4</v>
      </c>
      <c r="I37" s="819" t="s">
        <v>2160</v>
      </c>
      <c r="J37" s="844">
        <v>3</v>
      </c>
      <c r="K37" s="2183"/>
    </row>
    <row r="38" spans="1:11" s="810" customFormat="1" ht="21" x14ac:dyDescent="0.15">
      <c r="A38" s="2071" t="s">
        <v>2175</v>
      </c>
      <c r="B38" s="843">
        <v>3</v>
      </c>
      <c r="C38" s="2071" t="s">
        <v>2151</v>
      </c>
      <c r="D38" s="843">
        <v>2</v>
      </c>
      <c r="E38" s="836" t="s">
        <v>2148</v>
      </c>
      <c r="F38" s="843">
        <v>3</v>
      </c>
      <c r="G38" s="819" t="s">
        <v>2173</v>
      </c>
      <c r="H38" s="844">
        <v>4</v>
      </c>
      <c r="I38" s="819" t="s">
        <v>2176</v>
      </c>
      <c r="J38" s="844">
        <v>3</v>
      </c>
      <c r="K38" s="2183"/>
    </row>
    <row r="39" spans="1:11" s="810" customFormat="1" ht="21" x14ac:dyDescent="0.15">
      <c r="A39" s="2071" t="s">
        <v>2137</v>
      </c>
      <c r="B39" s="843">
        <v>3</v>
      </c>
      <c r="C39" s="2071" t="s">
        <v>2169</v>
      </c>
      <c r="D39" s="843">
        <v>2</v>
      </c>
      <c r="E39" s="836" t="s">
        <v>2162</v>
      </c>
      <c r="F39" s="843">
        <v>3</v>
      </c>
      <c r="G39" s="819" t="s">
        <v>2140</v>
      </c>
      <c r="H39" s="844">
        <v>3</v>
      </c>
      <c r="I39" s="819" t="s">
        <v>2161</v>
      </c>
      <c r="J39" s="844">
        <v>2</v>
      </c>
      <c r="K39" s="2183"/>
    </row>
    <row r="40" spans="1:11" s="810" customFormat="1" ht="21" x14ac:dyDescent="0.15">
      <c r="A40" s="2071" t="s">
        <v>2160</v>
      </c>
      <c r="B40" s="843">
        <v>2</v>
      </c>
      <c r="C40" s="2071" t="s">
        <v>2163</v>
      </c>
      <c r="D40" s="843">
        <v>1</v>
      </c>
      <c r="E40" s="836" t="s">
        <v>2172</v>
      </c>
      <c r="F40" s="843">
        <v>2</v>
      </c>
      <c r="G40" s="819" t="s">
        <v>2160</v>
      </c>
      <c r="H40" s="844">
        <v>2</v>
      </c>
      <c r="I40" s="819" t="s">
        <v>2156</v>
      </c>
      <c r="J40" s="844">
        <v>2</v>
      </c>
      <c r="K40" s="2183"/>
    </row>
    <row r="41" spans="1:11" s="810" customFormat="1" ht="21" x14ac:dyDescent="0.15">
      <c r="A41" s="2071" t="s">
        <v>2177</v>
      </c>
      <c r="B41" s="843">
        <v>2</v>
      </c>
      <c r="C41" s="2071" t="s">
        <v>2178</v>
      </c>
      <c r="D41" s="843">
        <v>1</v>
      </c>
      <c r="E41" s="836" t="s">
        <v>2168</v>
      </c>
      <c r="F41" s="2078">
        <v>2</v>
      </c>
      <c r="G41" s="819" t="s">
        <v>2179</v>
      </c>
      <c r="H41" s="834">
        <v>2</v>
      </c>
      <c r="I41" s="819" t="s">
        <v>2159</v>
      </c>
      <c r="J41" s="844">
        <v>2</v>
      </c>
      <c r="K41" s="2183"/>
    </row>
    <row r="42" spans="1:11" s="810" customFormat="1" ht="21" x14ac:dyDescent="0.15">
      <c r="A42" s="2071" t="s">
        <v>2156</v>
      </c>
      <c r="B42" s="843">
        <v>2</v>
      </c>
      <c r="C42" s="2071" t="s">
        <v>2140</v>
      </c>
      <c r="D42" s="843">
        <v>1</v>
      </c>
      <c r="E42" s="836" t="s">
        <v>2180</v>
      </c>
      <c r="F42" s="843">
        <v>2</v>
      </c>
      <c r="G42" s="819" t="s">
        <v>2147</v>
      </c>
      <c r="H42" s="844">
        <v>2</v>
      </c>
      <c r="I42" s="819" t="s">
        <v>2165</v>
      </c>
      <c r="J42" s="844">
        <v>2</v>
      </c>
      <c r="K42" s="2183"/>
    </row>
    <row r="43" spans="1:11" s="810" customFormat="1" ht="21" x14ac:dyDescent="0.15">
      <c r="A43" s="2071" t="s">
        <v>2181</v>
      </c>
      <c r="B43" s="843">
        <v>1</v>
      </c>
      <c r="C43" s="2071" t="s">
        <v>2182</v>
      </c>
      <c r="D43" s="843">
        <v>1</v>
      </c>
      <c r="E43" s="836" t="s">
        <v>2138</v>
      </c>
      <c r="F43" s="2078">
        <v>2</v>
      </c>
      <c r="G43" s="819" t="s">
        <v>2165</v>
      </c>
      <c r="H43" s="834">
        <v>2</v>
      </c>
      <c r="I43" s="819" t="s">
        <v>2183</v>
      </c>
      <c r="J43" s="844">
        <v>2</v>
      </c>
      <c r="K43" s="2183"/>
    </row>
    <row r="44" spans="1:11" s="810" customFormat="1" ht="21" x14ac:dyDescent="0.15">
      <c r="A44" s="2071" t="s">
        <v>2163</v>
      </c>
      <c r="B44" s="843">
        <v>1</v>
      </c>
      <c r="C44" s="2071" t="s">
        <v>2184</v>
      </c>
      <c r="D44" s="843">
        <v>1</v>
      </c>
      <c r="E44" s="836" t="s">
        <v>2184</v>
      </c>
      <c r="F44" s="843">
        <v>2</v>
      </c>
      <c r="G44" s="819" t="s">
        <v>2178</v>
      </c>
      <c r="H44" s="844">
        <v>1</v>
      </c>
      <c r="I44" s="819" t="s">
        <v>2154</v>
      </c>
      <c r="J44" s="844">
        <v>1</v>
      </c>
      <c r="K44" s="2183"/>
    </row>
    <row r="45" spans="1:11" s="810" customFormat="1" ht="21" x14ac:dyDescent="0.15">
      <c r="A45" s="2071" t="s">
        <v>2172</v>
      </c>
      <c r="B45" s="843">
        <v>1</v>
      </c>
      <c r="C45" s="2071" t="s">
        <v>2177</v>
      </c>
      <c r="D45" s="843">
        <v>1</v>
      </c>
      <c r="E45" s="836" t="s">
        <v>2177</v>
      </c>
      <c r="F45" s="2078">
        <v>2</v>
      </c>
      <c r="G45" s="819" t="s">
        <v>2182</v>
      </c>
      <c r="H45" s="834">
        <v>1</v>
      </c>
      <c r="I45" s="819" t="s">
        <v>2172</v>
      </c>
      <c r="J45" s="844">
        <v>1</v>
      </c>
      <c r="K45" s="2183"/>
    </row>
    <row r="46" spans="1:11" s="810" customFormat="1" ht="21" x14ac:dyDescent="0.15">
      <c r="A46" s="2071" t="s">
        <v>2182</v>
      </c>
      <c r="B46" s="843">
        <v>1</v>
      </c>
      <c r="C46" s="2071" t="s">
        <v>2165</v>
      </c>
      <c r="D46" s="843">
        <v>1</v>
      </c>
      <c r="E46" s="836" t="s">
        <v>2170</v>
      </c>
      <c r="F46" s="843">
        <v>2</v>
      </c>
      <c r="G46" s="819" t="s">
        <v>2168</v>
      </c>
      <c r="H46" s="844">
        <v>1</v>
      </c>
      <c r="I46" s="819" t="s">
        <v>2185</v>
      </c>
      <c r="J46" s="844">
        <v>1</v>
      </c>
      <c r="K46" s="2183"/>
    </row>
    <row r="47" spans="1:11" s="810" customFormat="1" ht="31.5" x14ac:dyDescent="0.15">
      <c r="A47" s="2071" t="s">
        <v>2146</v>
      </c>
      <c r="B47" s="843">
        <v>1</v>
      </c>
      <c r="C47" s="836"/>
      <c r="D47" s="836"/>
      <c r="E47" s="836" t="s">
        <v>2165</v>
      </c>
      <c r="F47" s="2078">
        <v>2</v>
      </c>
      <c r="G47" s="819" t="s">
        <v>2176</v>
      </c>
      <c r="H47" s="834">
        <v>1</v>
      </c>
      <c r="I47" s="2183"/>
      <c r="J47" s="2183"/>
      <c r="K47" s="2183"/>
    </row>
    <row r="48" spans="1:11" s="810" customFormat="1" ht="21" x14ac:dyDescent="0.15">
      <c r="A48" s="2071" t="s">
        <v>2186</v>
      </c>
      <c r="B48" s="843">
        <v>1</v>
      </c>
      <c r="C48" s="836"/>
      <c r="D48" s="836"/>
      <c r="E48" s="836" t="s">
        <v>2187</v>
      </c>
      <c r="F48" s="843">
        <v>2</v>
      </c>
      <c r="G48" s="836"/>
      <c r="H48" s="843"/>
      <c r="I48" s="2183"/>
      <c r="J48" s="2183"/>
      <c r="K48" s="2183"/>
    </row>
    <row r="49" spans="1:13" s="810" customFormat="1" ht="21" x14ac:dyDescent="0.15">
      <c r="A49" s="2071" t="s">
        <v>2188</v>
      </c>
      <c r="B49" s="843">
        <v>1</v>
      </c>
      <c r="C49" s="836"/>
      <c r="D49" s="836"/>
      <c r="E49" s="836" t="s">
        <v>2175</v>
      </c>
      <c r="F49" s="843">
        <v>1</v>
      </c>
      <c r="G49" s="836"/>
      <c r="H49" s="843"/>
      <c r="I49" s="2183"/>
      <c r="J49" s="2183"/>
      <c r="K49" s="2183"/>
    </row>
    <row r="50" spans="1:13" s="810" customFormat="1" x14ac:dyDescent="0.15">
      <c r="A50" s="2071" t="s">
        <v>2184</v>
      </c>
      <c r="B50" s="843">
        <v>1</v>
      </c>
      <c r="C50" s="836"/>
      <c r="D50" s="836"/>
      <c r="E50" s="836" t="s">
        <v>2186</v>
      </c>
      <c r="F50" s="843">
        <v>1</v>
      </c>
      <c r="G50" s="836"/>
      <c r="H50" s="843"/>
      <c r="I50" s="2183"/>
      <c r="J50" s="2183"/>
      <c r="K50" s="2183"/>
    </row>
    <row r="51" spans="1:13" s="810" customFormat="1" x14ac:dyDescent="0.15">
      <c r="A51" s="2071" t="s">
        <v>2170</v>
      </c>
      <c r="B51" s="843">
        <v>1</v>
      </c>
      <c r="C51" s="836"/>
      <c r="D51" s="836"/>
      <c r="E51" s="836" t="s">
        <v>2188</v>
      </c>
      <c r="F51" s="843">
        <v>1</v>
      </c>
      <c r="G51" s="836"/>
      <c r="H51" s="843"/>
      <c r="I51" s="2183"/>
      <c r="J51" s="2183"/>
      <c r="K51" s="2183"/>
    </row>
    <row r="52" spans="1:13" s="810" customFormat="1" ht="21" x14ac:dyDescent="0.15">
      <c r="A52" s="2071" t="s">
        <v>2189</v>
      </c>
      <c r="B52" s="843">
        <v>1</v>
      </c>
      <c r="C52" s="836"/>
      <c r="D52" s="836"/>
      <c r="E52" s="836" t="s">
        <v>2190</v>
      </c>
      <c r="F52" s="2078">
        <v>1</v>
      </c>
      <c r="G52" s="836"/>
      <c r="H52" s="2078"/>
      <c r="I52" s="2183"/>
      <c r="J52" s="2183"/>
      <c r="K52" s="2183"/>
    </row>
    <row r="53" spans="1:13" s="810" customFormat="1" x14ac:dyDescent="0.15">
      <c r="A53" s="836"/>
      <c r="B53" s="844"/>
      <c r="C53" s="836"/>
      <c r="D53" s="843"/>
      <c r="E53" s="836"/>
      <c r="F53" s="843"/>
      <c r="G53" s="836"/>
      <c r="H53" s="836"/>
      <c r="I53" s="836"/>
      <c r="J53" s="2078"/>
      <c r="K53" s="836"/>
      <c r="L53" s="835"/>
    </row>
    <row r="54" spans="1:13" s="810" customFormat="1" ht="13.5" customHeight="1" x14ac:dyDescent="0.15">
      <c r="A54" s="2898" t="s">
        <v>2191</v>
      </c>
      <c r="B54" s="2898"/>
      <c r="C54" s="2898"/>
      <c r="D54" s="2898"/>
      <c r="E54" s="2898"/>
      <c r="F54" s="2898"/>
      <c r="G54" s="2898"/>
      <c r="H54" s="2898"/>
      <c r="I54" s="2898"/>
      <c r="J54" s="2898"/>
      <c r="K54" s="836"/>
      <c r="L54" s="836"/>
      <c r="M54" s="836"/>
    </row>
    <row r="55" spans="1:13" s="99" customFormat="1" x14ac:dyDescent="0.15">
      <c r="A55" s="2857" t="s">
        <v>2192</v>
      </c>
      <c r="B55" s="2857"/>
      <c r="C55" s="2857"/>
      <c r="D55" s="2857"/>
      <c r="E55" s="2857"/>
      <c r="F55" s="2857"/>
      <c r="G55" s="2857"/>
      <c r="H55" s="2857"/>
      <c r="I55" s="2857"/>
      <c r="J55" s="2857"/>
      <c r="K55" s="2857"/>
      <c r="L55" s="175"/>
      <c r="M55" s="175"/>
    </row>
    <row r="56" spans="1:13" s="810" customFormat="1" x14ac:dyDescent="0.15">
      <c r="A56" s="2750" t="s">
        <v>2004</v>
      </c>
      <c r="B56" s="2750"/>
      <c r="C56" s="2750"/>
      <c r="D56" s="2750"/>
      <c r="E56" s="2750"/>
      <c r="F56" s="2750"/>
      <c r="G56" s="2750"/>
      <c r="H56" s="2750"/>
      <c r="I56" s="2750"/>
      <c r="J56" s="2750"/>
      <c r="K56" s="396"/>
      <c r="L56" s="380"/>
    </row>
    <row r="57" spans="1:13" s="810" customFormat="1" x14ac:dyDescent="0.15">
      <c r="A57" s="833"/>
      <c r="B57" s="834"/>
      <c r="C57" s="833"/>
      <c r="D57" s="2078"/>
      <c r="E57" s="833"/>
      <c r="F57" s="2078"/>
      <c r="G57" s="836"/>
      <c r="H57" s="836"/>
      <c r="I57" s="836"/>
      <c r="J57" s="836"/>
      <c r="K57" s="836"/>
      <c r="L57" s="836"/>
    </row>
    <row r="58" spans="1:13" s="810" customFormat="1" x14ac:dyDescent="0.15">
      <c r="A58" s="2183"/>
      <c r="B58" s="2183"/>
      <c r="C58" s="2183"/>
      <c r="D58" s="2183"/>
      <c r="E58" s="2183"/>
      <c r="F58" s="2183"/>
      <c r="G58" s="2185"/>
      <c r="H58" s="2183"/>
      <c r="I58" s="2185"/>
      <c r="J58" s="2183"/>
      <c r="K58" s="2185"/>
    </row>
    <row r="59" spans="1:13" s="810" customFormat="1" x14ac:dyDescent="0.15">
      <c r="A59" s="2183"/>
      <c r="B59" s="2183"/>
      <c r="C59" s="2183"/>
      <c r="D59" s="2183"/>
      <c r="E59" s="2183"/>
      <c r="F59" s="2183"/>
      <c r="G59" s="2185"/>
      <c r="H59" s="2183"/>
      <c r="I59" s="2185"/>
      <c r="J59" s="2183"/>
      <c r="K59" s="2185"/>
    </row>
    <row r="60" spans="1:13" s="810" customFormat="1" x14ac:dyDescent="0.15">
      <c r="A60" s="2183"/>
      <c r="B60" s="2183"/>
      <c r="C60" s="2183"/>
      <c r="D60" s="2183"/>
      <c r="E60" s="2183"/>
      <c r="F60" s="2183"/>
      <c r="G60" s="2185"/>
      <c r="H60" s="2183"/>
      <c r="I60" s="2185"/>
      <c r="J60" s="2183"/>
      <c r="K60" s="2185"/>
    </row>
    <row r="61" spans="1:13" x14ac:dyDescent="0.15">
      <c r="A61" s="2051"/>
      <c r="B61" s="2051"/>
      <c r="C61" s="2051"/>
      <c r="D61" s="2051"/>
      <c r="E61" s="2051"/>
      <c r="F61" s="2051"/>
      <c r="G61" s="2051"/>
      <c r="H61" s="2051"/>
      <c r="I61" s="2051"/>
      <c r="J61" s="2051"/>
      <c r="K61" s="2051"/>
    </row>
    <row r="62" spans="1:13" x14ac:dyDescent="0.15">
      <c r="A62" s="2051"/>
      <c r="B62" s="2051"/>
      <c r="C62" s="2051"/>
      <c r="D62" s="2051"/>
      <c r="E62" s="2051"/>
      <c r="F62" s="2051"/>
      <c r="G62" s="2051"/>
      <c r="H62" s="2051"/>
      <c r="I62" s="2051"/>
      <c r="J62" s="2051"/>
      <c r="K62" s="2051"/>
    </row>
    <row r="63" spans="1:13" x14ac:dyDescent="0.15">
      <c r="A63" s="2051"/>
      <c r="B63" s="2051"/>
      <c r="C63" s="2051"/>
      <c r="D63" s="2051"/>
      <c r="E63" s="2051"/>
      <c r="F63" s="2051"/>
      <c r="G63" s="2051"/>
      <c r="H63" s="2051"/>
      <c r="I63" s="2051"/>
      <c r="J63" s="2051"/>
      <c r="K63" s="2051"/>
    </row>
    <row r="64" spans="1:13" x14ac:dyDescent="0.15">
      <c r="A64" s="2051"/>
      <c r="B64" s="2051"/>
      <c r="C64" s="2051"/>
      <c r="D64" s="2051"/>
      <c r="E64" s="2051"/>
      <c r="F64" s="2051"/>
      <c r="G64" s="2051"/>
      <c r="H64" s="2051"/>
      <c r="I64" s="2051"/>
      <c r="J64" s="2051"/>
      <c r="K64" s="2051"/>
    </row>
    <row r="65" spans="1:11" x14ac:dyDescent="0.15">
      <c r="A65" s="2051"/>
      <c r="B65" s="2051"/>
      <c r="C65" s="2051"/>
      <c r="D65" s="2051"/>
      <c r="E65" s="2051"/>
      <c r="F65" s="2051"/>
      <c r="G65" s="2051"/>
      <c r="H65" s="2051"/>
      <c r="I65" s="2051"/>
      <c r="J65" s="2051"/>
      <c r="K65" s="2051"/>
    </row>
    <row r="66" spans="1:11" x14ac:dyDescent="0.15">
      <c r="A66" s="2051"/>
      <c r="B66" s="2051"/>
      <c r="C66" s="2051"/>
      <c r="D66" s="2051"/>
      <c r="E66" s="2051"/>
      <c r="F66" s="2051"/>
      <c r="G66" s="2051"/>
      <c r="H66" s="2051"/>
      <c r="I66" s="2051"/>
      <c r="J66" s="2051"/>
      <c r="K66" s="2051"/>
    </row>
  </sheetData>
  <mergeCells count="9">
    <mergeCell ref="A54:J54"/>
    <mergeCell ref="A55:K55"/>
    <mergeCell ref="A56:J56"/>
    <mergeCell ref="A2:J2"/>
    <mergeCell ref="A4:B4"/>
    <mergeCell ref="C4:D4"/>
    <mergeCell ref="E4:F4"/>
    <mergeCell ref="G4:H4"/>
    <mergeCell ref="I4:J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I26"/>
  <sheetViews>
    <sheetView workbookViewId="0">
      <selection activeCell="D31" sqref="D31"/>
    </sheetView>
  </sheetViews>
  <sheetFormatPr baseColWidth="10" defaultColWidth="11.42578125" defaultRowHeight="10.5" x14ac:dyDescent="0.15"/>
  <cols>
    <col min="1" max="1" width="28.85546875" style="1" customWidth="1"/>
    <col min="2" max="2" width="11.85546875" style="1" bestFit="1" customWidth="1"/>
    <col min="3" max="3" width="14.140625" style="1" customWidth="1"/>
    <col min="4" max="5" width="11.5703125" style="1" bestFit="1" customWidth="1"/>
    <col min="6" max="6" width="15.28515625" style="1" customWidth="1"/>
    <col min="7" max="7" width="15.42578125" style="1" customWidth="1"/>
    <col min="8" max="16384" width="11.42578125" style="1"/>
  </cols>
  <sheetData>
    <row r="2" spans="1:9" s="29" customFormat="1" ht="23.25" customHeight="1" x14ac:dyDescent="0.15">
      <c r="A2" s="2313" t="s">
        <v>169</v>
      </c>
      <c r="B2" s="2313"/>
      <c r="C2" s="2313"/>
      <c r="D2" s="2313"/>
      <c r="E2" s="2313"/>
      <c r="F2" s="2313"/>
      <c r="G2" s="2313"/>
    </row>
    <row r="3" spans="1:9" ht="6.75" customHeight="1" x14ac:dyDescent="0.15"/>
    <row r="4" spans="1:9" ht="15.75" customHeight="1" x14ac:dyDescent="0.15">
      <c r="A4" s="2325" t="s">
        <v>1</v>
      </c>
      <c r="B4" s="2325" t="s">
        <v>69</v>
      </c>
      <c r="C4" s="2325" t="s">
        <v>170</v>
      </c>
      <c r="D4" s="2325"/>
      <c r="E4" s="2325"/>
      <c r="F4" s="2325"/>
      <c r="G4" s="2325"/>
    </row>
    <row r="5" spans="1:9" ht="37.5" customHeight="1" x14ac:dyDescent="0.15">
      <c r="A5" s="2325"/>
      <c r="B5" s="2325"/>
      <c r="C5" s="37" t="s">
        <v>150</v>
      </c>
      <c r="D5" s="37" t="s">
        <v>151</v>
      </c>
      <c r="E5" s="37" t="s">
        <v>167</v>
      </c>
      <c r="F5" s="37" t="s">
        <v>153</v>
      </c>
      <c r="G5" s="37" t="s">
        <v>154</v>
      </c>
    </row>
    <row r="6" spans="1:9" ht="11.25" customHeight="1" x14ac:dyDescent="0.15">
      <c r="A6" s="30" t="s">
        <v>4</v>
      </c>
      <c r="B6" s="88">
        <f t="shared" ref="B6:B21" si="0">SUM(C6:G6)</f>
        <v>10900</v>
      </c>
      <c r="C6" s="88">
        <f>SUM(C7:C21)</f>
        <v>10839</v>
      </c>
      <c r="D6" s="88">
        <f>SUM(D7:D21)</f>
        <v>6</v>
      </c>
      <c r="E6" s="88">
        <f>SUM(E7:E21)</f>
        <v>10</v>
      </c>
      <c r="F6" s="88">
        <f>SUM(F7:F21)</f>
        <v>18</v>
      </c>
      <c r="G6" s="88">
        <f>SUM(G7:G21)</f>
        <v>27</v>
      </c>
      <c r="I6" s="90"/>
    </row>
    <row r="7" spans="1:9" ht="11.25" customHeight="1" x14ac:dyDescent="0.15">
      <c r="A7" s="1" t="s">
        <v>5</v>
      </c>
      <c r="B7" s="88">
        <f t="shared" si="0"/>
        <v>0</v>
      </c>
      <c r="C7" s="20">
        <v>0</v>
      </c>
      <c r="D7" s="20">
        <v>0</v>
      </c>
      <c r="E7" s="20">
        <v>0</v>
      </c>
      <c r="F7" s="20">
        <v>0</v>
      </c>
      <c r="G7" s="20">
        <v>0</v>
      </c>
      <c r="I7" s="90"/>
    </row>
    <row r="8" spans="1:9" ht="11.25" customHeight="1" x14ac:dyDescent="0.15">
      <c r="A8" s="1" t="s">
        <v>6</v>
      </c>
      <c r="B8" s="88">
        <f t="shared" si="0"/>
        <v>0</v>
      </c>
      <c r="C8" s="20">
        <v>0</v>
      </c>
      <c r="D8" s="20">
        <v>0</v>
      </c>
      <c r="E8" s="20">
        <v>0</v>
      </c>
      <c r="F8" s="20">
        <v>0</v>
      </c>
      <c r="G8" s="20">
        <v>0</v>
      </c>
      <c r="I8" s="90"/>
    </row>
    <row r="9" spans="1:9" ht="11.25" customHeight="1" x14ac:dyDescent="0.15">
      <c r="A9" s="1" t="s">
        <v>7</v>
      </c>
      <c r="B9" s="88">
        <f t="shared" si="0"/>
        <v>0</v>
      </c>
      <c r="C9" s="20">
        <v>0</v>
      </c>
      <c r="D9" s="20">
        <v>0</v>
      </c>
      <c r="E9" s="20">
        <v>0</v>
      </c>
      <c r="F9" s="20">
        <v>0</v>
      </c>
      <c r="G9" s="20">
        <v>0</v>
      </c>
      <c r="I9" s="90"/>
    </row>
    <row r="10" spans="1:9" ht="11.25" customHeight="1" x14ac:dyDescent="0.15">
      <c r="A10" s="1" t="s">
        <v>8</v>
      </c>
      <c r="B10" s="88">
        <f t="shared" si="0"/>
        <v>0</v>
      </c>
      <c r="C10" s="20">
        <v>0</v>
      </c>
      <c r="D10" s="20">
        <v>0</v>
      </c>
      <c r="E10" s="20">
        <v>0</v>
      </c>
      <c r="F10" s="20">
        <v>0</v>
      </c>
      <c r="G10" s="20">
        <v>0</v>
      </c>
      <c r="I10" s="90"/>
    </row>
    <row r="11" spans="1:9" ht="11.25" customHeight="1" x14ac:dyDescent="0.15">
      <c r="A11" s="1" t="s">
        <v>9</v>
      </c>
      <c r="B11" s="88">
        <f t="shared" si="0"/>
        <v>21</v>
      </c>
      <c r="C11" s="20">
        <v>0</v>
      </c>
      <c r="D11" s="20">
        <v>0</v>
      </c>
      <c r="E11" s="20">
        <v>3</v>
      </c>
      <c r="F11" s="67">
        <v>18</v>
      </c>
      <c r="G11" s="20">
        <v>0</v>
      </c>
      <c r="I11" s="90"/>
    </row>
    <row r="12" spans="1:9" ht="11.25" customHeight="1" x14ac:dyDescent="0.15">
      <c r="A12" s="1" t="s">
        <v>171</v>
      </c>
      <c r="B12" s="88">
        <f>SUM(C12:F12)</f>
        <v>10839</v>
      </c>
      <c r="C12" s="17">
        <v>10839</v>
      </c>
      <c r="D12" s="20">
        <v>0</v>
      </c>
      <c r="E12" s="20">
        <v>0</v>
      </c>
      <c r="F12" s="20">
        <v>0</v>
      </c>
      <c r="G12" s="20">
        <v>0</v>
      </c>
      <c r="I12" s="90"/>
    </row>
    <row r="13" spans="1:9" ht="11.25" customHeight="1" x14ac:dyDescent="0.15">
      <c r="A13" s="1" t="s">
        <v>11</v>
      </c>
      <c r="B13" s="88">
        <f t="shared" si="0"/>
        <v>27</v>
      </c>
      <c r="C13" s="20">
        <v>0</v>
      </c>
      <c r="D13" s="20">
        <v>1</v>
      </c>
      <c r="E13" s="20">
        <v>3</v>
      </c>
      <c r="F13" s="20">
        <v>0</v>
      </c>
      <c r="G13" s="20">
        <v>23</v>
      </c>
      <c r="I13" s="90"/>
    </row>
    <row r="14" spans="1:9" ht="11.25" customHeight="1" x14ac:dyDescent="0.15">
      <c r="A14" s="1" t="s">
        <v>12</v>
      </c>
      <c r="B14" s="88">
        <f t="shared" si="0"/>
        <v>12</v>
      </c>
      <c r="C14" s="20">
        <v>0</v>
      </c>
      <c r="D14" s="20">
        <v>5</v>
      </c>
      <c r="E14" s="20">
        <v>4</v>
      </c>
      <c r="F14" s="20">
        <v>0</v>
      </c>
      <c r="G14" s="20">
        <v>3</v>
      </c>
      <c r="I14" s="90"/>
    </row>
    <row r="15" spans="1:9" ht="11.25" customHeight="1" x14ac:dyDescent="0.15">
      <c r="A15" s="1" t="s">
        <v>13</v>
      </c>
      <c r="B15" s="88">
        <f t="shared" si="0"/>
        <v>1</v>
      </c>
      <c r="C15" s="20">
        <v>0</v>
      </c>
      <c r="D15" s="20">
        <v>0</v>
      </c>
      <c r="E15" s="20">
        <v>0</v>
      </c>
      <c r="F15" s="20">
        <v>0</v>
      </c>
      <c r="G15" s="20">
        <v>1</v>
      </c>
      <c r="I15" s="90"/>
    </row>
    <row r="16" spans="1:9" ht="11.25" customHeight="1" x14ac:dyDescent="0.15">
      <c r="A16" s="1" t="s">
        <v>14</v>
      </c>
      <c r="B16" s="88">
        <f t="shared" si="0"/>
        <v>0</v>
      </c>
      <c r="C16" s="20">
        <v>0</v>
      </c>
      <c r="D16" s="20">
        <v>0</v>
      </c>
      <c r="E16" s="20">
        <v>0</v>
      </c>
      <c r="F16" s="20">
        <v>0</v>
      </c>
      <c r="G16" s="20">
        <v>0</v>
      </c>
      <c r="I16" s="90"/>
    </row>
    <row r="17" spans="1:9" ht="11.25" customHeight="1" x14ac:dyDescent="0.15">
      <c r="A17" s="1" t="s">
        <v>15</v>
      </c>
      <c r="B17" s="88">
        <f t="shared" si="0"/>
        <v>0</v>
      </c>
      <c r="C17" s="20">
        <v>0</v>
      </c>
      <c r="D17" s="20">
        <v>0</v>
      </c>
      <c r="E17" s="20">
        <v>0</v>
      </c>
      <c r="F17" s="20">
        <v>0</v>
      </c>
      <c r="G17" s="20">
        <v>0</v>
      </c>
      <c r="I17" s="90"/>
    </row>
    <row r="18" spans="1:9" ht="11.25" customHeight="1" x14ac:dyDescent="0.15">
      <c r="A18" s="1" t="s">
        <v>16</v>
      </c>
      <c r="B18" s="88">
        <f t="shared" si="0"/>
        <v>0</v>
      </c>
      <c r="C18" s="20">
        <v>0</v>
      </c>
      <c r="D18" s="20">
        <v>0</v>
      </c>
      <c r="E18" s="20">
        <v>0</v>
      </c>
      <c r="F18" s="20">
        <v>0</v>
      </c>
      <c r="G18" s="20">
        <v>0</v>
      </c>
      <c r="I18" s="90"/>
    </row>
    <row r="19" spans="1:9" ht="11.25" customHeight="1" x14ac:dyDescent="0.15">
      <c r="A19" s="1" t="s">
        <v>17</v>
      </c>
      <c r="B19" s="88">
        <f t="shared" si="0"/>
        <v>0</v>
      </c>
      <c r="C19" s="20">
        <v>0</v>
      </c>
      <c r="D19" s="20">
        <v>0</v>
      </c>
      <c r="E19" s="20">
        <v>0</v>
      </c>
      <c r="F19" s="20">
        <v>0</v>
      </c>
      <c r="G19" s="20">
        <v>0</v>
      </c>
      <c r="I19" s="90"/>
    </row>
    <row r="20" spans="1:9" ht="11.25" customHeight="1" x14ac:dyDescent="0.15">
      <c r="A20" s="1" t="s">
        <v>18</v>
      </c>
      <c r="B20" s="88">
        <f t="shared" si="0"/>
        <v>0</v>
      </c>
      <c r="C20" s="20">
        <v>0</v>
      </c>
      <c r="D20" s="20">
        <v>0</v>
      </c>
      <c r="E20" s="20">
        <v>0</v>
      </c>
      <c r="F20" s="20">
        <v>0</v>
      </c>
      <c r="G20" s="20">
        <v>0</v>
      </c>
      <c r="I20" s="90"/>
    </row>
    <row r="21" spans="1:9" ht="11.25" customHeight="1" x14ac:dyDescent="0.15">
      <c r="A21" s="1" t="s">
        <v>19</v>
      </c>
      <c r="B21" s="88">
        <f t="shared" si="0"/>
        <v>0</v>
      </c>
      <c r="C21" s="20">
        <v>0</v>
      </c>
      <c r="D21" s="20">
        <v>0</v>
      </c>
      <c r="E21" s="20">
        <v>0</v>
      </c>
      <c r="F21" s="20">
        <v>0</v>
      </c>
      <c r="G21" s="20">
        <v>0</v>
      </c>
      <c r="I21" s="90"/>
    </row>
    <row r="22" spans="1:9" ht="11.25" customHeight="1" x14ac:dyDescent="0.15">
      <c r="A22" s="2307"/>
      <c r="B22" s="2307"/>
      <c r="C22" s="2307"/>
      <c r="D22" s="2307"/>
      <c r="E22" s="2307"/>
      <c r="F22" s="2307"/>
      <c r="G22" s="2307"/>
    </row>
    <row r="23" spans="1:9" ht="30" customHeight="1" x14ac:dyDescent="0.15">
      <c r="A23" s="2318" t="s">
        <v>168</v>
      </c>
      <c r="B23" s="2318"/>
      <c r="C23" s="2318"/>
      <c r="D23" s="2318"/>
      <c r="E23" s="2318"/>
      <c r="F23" s="2318"/>
      <c r="G23" s="2318"/>
    </row>
    <row r="24" spans="1:9" x14ac:dyDescent="0.15">
      <c r="A24" s="2303" t="s">
        <v>20</v>
      </c>
      <c r="B24" s="2303"/>
      <c r="C24" s="2303"/>
      <c r="D24" s="2303"/>
      <c r="E24" s="2303"/>
      <c r="F24" s="2303"/>
      <c r="G24" s="2303"/>
    </row>
    <row r="25" spans="1:9" x14ac:dyDescent="0.15">
      <c r="A25" s="2303" t="s">
        <v>21</v>
      </c>
      <c r="B25" s="2303"/>
      <c r="C25" s="2303"/>
      <c r="D25" s="2303"/>
      <c r="E25" s="2303"/>
      <c r="F25" s="2303"/>
      <c r="G25" s="2303"/>
    </row>
    <row r="26" spans="1:9" x14ac:dyDescent="0.15">
      <c r="C26" s="27"/>
    </row>
  </sheetData>
  <mergeCells count="8">
    <mergeCell ref="A24:G24"/>
    <mergeCell ref="A25:G25"/>
    <mergeCell ref="A2:G2"/>
    <mergeCell ref="A4:A5"/>
    <mergeCell ref="B4:B5"/>
    <mergeCell ref="C4:G4"/>
    <mergeCell ref="A22:G22"/>
    <mergeCell ref="A23:G23"/>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2:H10"/>
  <sheetViews>
    <sheetView zoomScaleNormal="100" workbookViewId="0">
      <selection activeCell="C12" sqref="C12"/>
    </sheetView>
  </sheetViews>
  <sheetFormatPr baseColWidth="10" defaultColWidth="13" defaultRowHeight="15" x14ac:dyDescent="0.25"/>
  <cols>
    <col min="1" max="1" width="17.42578125" style="772" customWidth="1"/>
    <col min="2" max="2" width="13" style="772"/>
    <col min="3" max="3" width="14.5703125" style="772" customWidth="1"/>
    <col min="4" max="4" width="14.85546875" style="772" bestFit="1" customWidth="1"/>
    <col min="5" max="5" width="13.5703125" style="772" bestFit="1" customWidth="1"/>
    <col min="6" max="7" width="13" style="772"/>
    <col min="8" max="8" width="17.28515625" style="772" bestFit="1" customWidth="1"/>
    <col min="9" max="16384" width="13" style="772"/>
  </cols>
  <sheetData>
    <row r="2" spans="1:8" ht="22.5" customHeight="1" x14ac:dyDescent="0.25">
      <c r="A2" s="2901" t="s">
        <v>2193</v>
      </c>
      <c r="B2" s="2901"/>
      <c r="C2" s="2901"/>
      <c r="D2" s="2901"/>
      <c r="E2" s="2901"/>
      <c r="F2" s="2901"/>
    </row>
    <row r="3" spans="1:8" ht="11.25" customHeight="1" x14ac:dyDescent="0.25">
      <c r="A3" s="2902"/>
      <c r="B3" s="2902"/>
      <c r="C3" s="2902"/>
      <c r="D3" s="2902"/>
      <c r="E3" s="2902"/>
      <c r="F3" s="2902"/>
    </row>
    <row r="4" spans="1:8" x14ac:dyDescent="0.25">
      <c r="A4" s="2903" t="s">
        <v>1642</v>
      </c>
      <c r="B4" s="2905" t="s">
        <v>2</v>
      </c>
      <c r="C4" s="2905"/>
      <c r="D4" s="2905"/>
      <c r="E4" s="2905"/>
      <c r="F4" s="2905"/>
    </row>
    <row r="5" spans="1:8" x14ac:dyDescent="0.25">
      <c r="A5" s="2904"/>
      <c r="B5" s="681">
        <v>2011</v>
      </c>
      <c r="C5" s="681">
        <v>2012</v>
      </c>
      <c r="D5" s="681">
        <v>2013</v>
      </c>
      <c r="E5" s="681">
        <v>2014</v>
      </c>
      <c r="F5" s="681">
        <v>2015</v>
      </c>
    </row>
    <row r="6" spans="1:8" x14ac:dyDescent="0.25">
      <c r="A6" s="604" t="s">
        <v>141</v>
      </c>
      <c r="B6" s="846">
        <v>3360000</v>
      </c>
      <c r="C6" s="846">
        <v>5900000</v>
      </c>
      <c r="D6" s="847">
        <v>12000000</v>
      </c>
      <c r="E6" s="847">
        <v>9000000</v>
      </c>
      <c r="F6" s="847">
        <v>991715</v>
      </c>
      <c r="G6" s="847"/>
      <c r="H6" s="848"/>
    </row>
    <row r="7" spans="1:8" ht="11.25" customHeight="1" x14ac:dyDescent="0.25">
      <c r="A7" s="2906"/>
      <c r="B7" s="2906"/>
      <c r="C7" s="2906"/>
      <c r="D7" s="2906"/>
      <c r="E7" s="2906"/>
      <c r="F7" s="2906"/>
    </row>
    <row r="8" spans="1:8" x14ac:dyDescent="0.25">
      <c r="A8" s="2871" t="s">
        <v>2026</v>
      </c>
      <c r="B8" s="2871"/>
      <c r="C8" s="2871"/>
      <c r="D8" s="2871"/>
      <c r="E8" s="2871"/>
      <c r="F8" s="2871"/>
    </row>
    <row r="9" spans="1:8" x14ac:dyDescent="0.25">
      <c r="F9" s="849"/>
    </row>
    <row r="10" spans="1:8" x14ac:dyDescent="0.25">
      <c r="C10" s="850"/>
      <c r="D10" s="850"/>
      <c r="E10" s="850"/>
      <c r="F10" s="850"/>
    </row>
  </sheetData>
  <mergeCells count="6">
    <mergeCell ref="A8:F8"/>
    <mergeCell ref="A2:F2"/>
    <mergeCell ref="A3:F3"/>
    <mergeCell ref="A4:A5"/>
    <mergeCell ref="B4:F4"/>
    <mergeCell ref="A7:F7"/>
  </mergeCells>
  <pageMargins left="0.7" right="0.7" top="0.75" bottom="0.75" header="0.3" footer="0.3"/>
  <pageSetup paperSize="9" orientation="portrait" verticalDpi="599"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D25"/>
  <sheetViews>
    <sheetView workbookViewId="0">
      <selection activeCell="F27" sqref="F27"/>
    </sheetView>
  </sheetViews>
  <sheetFormatPr baseColWidth="10" defaultColWidth="13" defaultRowHeight="10.5" x14ac:dyDescent="0.15"/>
  <cols>
    <col min="1" max="1" width="19.140625" style="851" customWidth="1"/>
    <col min="2" max="4" width="22.140625" style="851" customWidth="1"/>
    <col min="5" max="16384" width="13" style="851"/>
  </cols>
  <sheetData>
    <row r="2" spans="1:4" ht="36.75" customHeight="1" x14ac:dyDescent="0.15">
      <c r="A2" s="2908" t="s">
        <v>2194</v>
      </c>
      <c r="B2" s="2908"/>
      <c r="C2" s="2908"/>
      <c r="D2" s="2908"/>
    </row>
    <row r="3" spans="1:4" x14ac:dyDescent="0.15">
      <c r="A3" s="2909"/>
      <c r="B3" s="2909"/>
      <c r="C3" s="2909"/>
      <c r="D3" s="2909"/>
    </row>
    <row r="4" spans="1:4" ht="21.75" x14ac:dyDescent="0.15">
      <c r="A4" s="13" t="s">
        <v>1</v>
      </c>
      <c r="B4" s="852" t="s">
        <v>2195</v>
      </c>
      <c r="C4" s="852" t="s">
        <v>2196</v>
      </c>
      <c r="D4" s="852" t="s">
        <v>2197</v>
      </c>
    </row>
    <row r="5" spans="1:4" ht="11.25" customHeight="1" x14ac:dyDescent="0.15">
      <c r="A5" s="853" t="s">
        <v>141</v>
      </c>
      <c r="B5" s="854">
        <f>SUM(C5:D5)</f>
        <v>419</v>
      </c>
      <c r="C5" s="855">
        <f>SUM(C6:C20)</f>
        <v>380</v>
      </c>
      <c r="D5" s="855">
        <f>SUM(D6:D20)</f>
        <v>39</v>
      </c>
    </row>
    <row r="6" spans="1:4" ht="11.25" customHeight="1" x14ac:dyDescent="0.15">
      <c r="A6" s="856" t="s">
        <v>5</v>
      </c>
      <c r="B6" s="854">
        <f>SUM(C6:D6)</f>
        <v>7</v>
      </c>
      <c r="C6" s="857">
        <v>7</v>
      </c>
      <c r="D6" s="857">
        <v>0</v>
      </c>
    </row>
    <row r="7" spans="1:4" ht="11.25" customHeight="1" x14ac:dyDescent="0.15">
      <c r="A7" s="856" t="s">
        <v>6</v>
      </c>
      <c r="B7" s="854">
        <f t="shared" ref="B7:B20" si="0">SUM(C7:D7)</f>
        <v>11</v>
      </c>
      <c r="C7" s="857">
        <v>11</v>
      </c>
      <c r="D7" s="857">
        <v>0</v>
      </c>
    </row>
    <row r="8" spans="1:4" ht="11.25" customHeight="1" x14ac:dyDescent="0.15">
      <c r="A8" s="856" t="s">
        <v>7</v>
      </c>
      <c r="B8" s="854">
        <f t="shared" si="0"/>
        <v>14</v>
      </c>
      <c r="C8" s="857">
        <v>13</v>
      </c>
      <c r="D8" s="857">
        <v>1</v>
      </c>
    </row>
    <row r="9" spans="1:4" ht="11.25" customHeight="1" x14ac:dyDescent="0.15">
      <c r="A9" s="856" t="s">
        <v>8</v>
      </c>
      <c r="B9" s="854">
        <f t="shared" si="0"/>
        <v>13</v>
      </c>
      <c r="C9" s="857">
        <v>10</v>
      </c>
      <c r="D9" s="857">
        <v>3</v>
      </c>
    </row>
    <row r="10" spans="1:4" ht="11.25" customHeight="1" x14ac:dyDescent="0.15">
      <c r="A10" s="856" t="s">
        <v>9</v>
      </c>
      <c r="B10" s="854">
        <f t="shared" si="0"/>
        <v>19</v>
      </c>
      <c r="C10" s="857">
        <v>15</v>
      </c>
      <c r="D10" s="857">
        <v>4</v>
      </c>
    </row>
    <row r="11" spans="1:4" ht="11.25" customHeight="1" x14ac:dyDescent="0.15">
      <c r="A11" s="856" t="s">
        <v>10</v>
      </c>
      <c r="B11" s="854">
        <f t="shared" si="0"/>
        <v>42</v>
      </c>
      <c r="C11" s="857">
        <v>42</v>
      </c>
      <c r="D11" s="857">
        <v>0</v>
      </c>
    </row>
    <row r="12" spans="1:4" ht="11.25" customHeight="1" x14ac:dyDescent="0.15">
      <c r="A12" s="856" t="s">
        <v>11</v>
      </c>
      <c r="B12" s="854">
        <f t="shared" si="0"/>
        <v>58</v>
      </c>
      <c r="C12" s="857">
        <v>57</v>
      </c>
      <c r="D12" s="857">
        <v>1</v>
      </c>
    </row>
    <row r="13" spans="1:4" ht="11.25" customHeight="1" x14ac:dyDescent="0.15">
      <c r="A13" s="856" t="s">
        <v>12</v>
      </c>
      <c r="B13" s="854">
        <f t="shared" si="0"/>
        <v>34</v>
      </c>
      <c r="C13" s="857">
        <v>34</v>
      </c>
      <c r="D13" s="857">
        <v>0</v>
      </c>
    </row>
    <row r="14" spans="1:4" ht="11.25" customHeight="1" x14ac:dyDescent="0.15">
      <c r="A14" s="856" t="s">
        <v>13</v>
      </c>
      <c r="B14" s="854">
        <f t="shared" si="0"/>
        <v>37</v>
      </c>
      <c r="C14" s="857">
        <v>36</v>
      </c>
      <c r="D14" s="857">
        <v>1</v>
      </c>
    </row>
    <row r="15" spans="1:4" ht="11.25" customHeight="1" x14ac:dyDescent="0.15">
      <c r="A15" s="856" t="s">
        <v>14</v>
      </c>
      <c r="B15" s="854">
        <f t="shared" si="0"/>
        <v>60</v>
      </c>
      <c r="C15" s="857">
        <v>54</v>
      </c>
      <c r="D15" s="857">
        <v>6</v>
      </c>
    </row>
    <row r="16" spans="1:4" ht="11.25" customHeight="1" x14ac:dyDescent="0.15">
      <c r="A16" s="856" t="s">
        <v>15</v>
      </c>
      <c r="B16" s="854">
        <f t="shared" si="0"/>
        <v>46</v>
      </c>
      <c r="C16" s="857">
        <v>33</v>
      </c>
      <c r="D16" s="857">
        <v>13</v>
      </c>
    </row>
    <row r="17" spans="1:4" ht="11.25" customHeight="1" x14ac:dyDescent="0.15">
      <c r="A17" s="856" t="s">
        <v>16</v>
      </c>
      <c r="B17" s="854">
        <f t="shared" si="0"/>
        <v>15</v>
      </c>
      <c r="C17" s="857">
        <v>15</v>
      </c>
      <c r="D17" s="857">
        <v>0</v>
      </c>
    </row>
    <row r="18" spans="1:4" ht="11.25" customHeight="1" x14ac:dyDescent="0.15">
      <c r="A18" s="856" t="s">
        <v>17</v>
      </c>
      <c r="B18" s="854">
        <f t="shared" si="0"/>
        <v>32</v>
      </c>
      <c r="C18" s="857">
        <v>30</v>
      </c>
      <c r="D18" s="857">
        <v>2</v>
      </c>
    </row>
    <row r="19" spans="1:4" ht="11.25" customHeight="1" x14ac:dyDescent="0.15">
      <c r="A19" s="856" t="s">
        <v>18</v>
      </c>
      <c r="B19" s="854">
        <f t="shared" si="0"/>
        <v>17</v>
      </c>
      <c r="C19" s="857">
        <v>9</v>
      </c>
      <c r="D19" s="857">
        <v>8</v>
      </c>
    </row>
    <row r="20" spans="1:4" ht="11.25" customHeight="1" x14ac:dyDescent="0.15">
      <c r="A20" s="856" t="s">
        <v>19</v>
      </c>
      <c r="B20" s="854">
        <f t="shared" si="0"/>
        <v>14</v>
      </c>
      <c r="C20" s="857">
        <v>14</v>
      </c>
      <c r="D20" s="857">
        <v>0</v>
      </c>
    </row>
    <row r="21" spans="1:4" ht="11.25" customHeight="1" x14ac:dyDescent="0.15">
      <c r="A21" s="2910"/>
      <c r="B21" s="2910"/>
      <c r="C21" s="2910"/>
      <c r="D21" s="2910"/>
    </row>
    <row r="22" spans="1:4" ht="33.75" customHeight="1" x14ac:dyDescent="0.15">
      <c r="A22" s="2911" t="s">
        <v>2198</v>
      </c>
      <c r="B22" s="2911"/>
      <c r="C22" s="2911"/>
      <c r="D22" s="2911"/>
    </row>
    <row r="23" spans="1:4" ht="22.5" customHeight="1" x14ac:dyDescent="0.15">
      <c r="A23" s="2911" t="s">
        <v>2199</v>
      </c>
      <c r="B23" s="2911"/>
      <c r="C23" s="2911"/>
      <c r="D23" s="2911"/>
    </row>
    <row r="24" spans="1:4" ht="11.25" customHeight="1" x14ac:dyDescent="0.15">
      <c r="A24" s="2912" t="s">
        <v>44</v>
      </c>
      <c r="B24" s="2912"/>
      <c r="C24" s="2912"/>
      <c r="D24" s="2912"/>
    </row>
    <row r="25" spans="1:4" ht="11.25" customHeight="1" x14ac:dyDescent="0.15">
      <c r="A25" s="2907" t="s">
        <v>21</v>
      </c>
      <c r="B25" s="2907"/>
      <c r="C25" s="2907"/>
      <c r="D25" s="2907"/>
    </row>
  </sheetData>
  <mergeCells count="7">
    <mergeCell ref="A25:D25"/>
    <mergeCell ref="A2:D2"/>
    <mergeCell ref="A3:D3"/>
    <mergeCell ref="A21:D21"/>
    <mergeCell ref="A22:D22"/>
    <mergeCell ref="A23:D23"/>
    <mergeCell ref="A24:D24"/>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2:F49"/>
  <sheetViews>
    <sheetView zoomScaleNormal="100" workbookViewId="0">
      <selection activeCell="G29" sqref="A4:G29"/>
    </sheetView>
  </sheetViews>
  <sheetFormatPr baseColWidth="10" defaultColWidth="13" defaultRowHeight="10.5" x14ac:dyDescent="0.15"/>
  <cols>
    <col min="1" max="1" width="19.85546875" style="851" customWidth="1"/>
    <col min="2" max="16384" width="13" style="851"/>
  </cols>
  <sheetData>
    <row r="2" spans="1:6" ht="22.5" customHeight="1" x14ac:dyDescent="0.15">
      <c r="A2" s="2915" t="s">
        <v>2200</v>
      </c>
      <c r="B2" s="2915"/>
      <c r="C2" s="2915"/>
      <c r="D2" s="2915"/>
      <c r="E2" s="2915"/>
      <c r="F2" s="2915"/>
    </row>
    <row r="3" spans="1:6" x14ac:dyDescent="0.15">
      <c r="A3" s="2909"/>
      <c r="B3" s="2909"/>
      <c r="C3" s="2909"/>
      <c r="D3" s="2909"/>
      <c r="E3" s="2909"/>
      <c r="F3" s="2909"/>
    </row>
    <row r="4" spans="1:6" ht="15" customHeight="1" x14ac:dyDescent="0.15">
      <c r="A4" s="2310" t="s">
        <v>1</v>
      </c>
      <c r="B4" s="2340" t="s">
        <v>2201</v>
      </c>
      <c r="C4" s="2340"/>
      <c r="D4" s="2340"/>
      <c r="E4" s="2340"/>
      <c r="F4" s="2340"/>
    </row>
    <row r="5" spans="1:6" x14ac:dyDescent="0.15">
      <c r="A5" s="2310"/>
      <c r="B5" s="13">
        <v>2011</v>
      </c>
      <c r="C5" s="13">
        <v>2012</v>
      </c>
      <c r="D5" s="13">
        <v>2013</v>
      </c>
      <c r="E5" s="13">
        <v>2014</v>
      </c>
      <c r="F5" s="13">
        <v>2015</v>
      </c>
    </row>
    <row r="6" spans="1:6" ht="11.25" customHeight="1" x14ac:dyDescent="0.15">
      <c r="A6" s="853" t="s">
        <v>141</v>
      </c>
      <c r="B6" s="76">
        <f>SUM(B7:B21)</f>
        <v>44</v>
      </c>
      <c r="C6" s="76">
        <f>SUM(C7:C21)</f>
        <v>51</v>
      </c>
      <c r="D6" s="76">
        <f>SUM(D7:D21)</f>
        <v>51</v>
      </c>
      <c r="E6" s="76">
        <f>SUM(E7:E21)</f>
        <v>45</v>
      </c>
      <c r="F6" s="858">
        <f>SUM(F7:F21)</f>
        <v>45</v>
      </c>
    </row>
    <row r="7" spans="1:6" ht="11.25" customHeight="1" x14ac:dyDescent="0.15">
      <c r="A7" s="859" t="s">
        <v>5</v>
      </c>
      <c r="B7" s="33">
        <v>0</v>
      </c>
      <c r="C7" s="33">
        <v>0</v>
      </c>
      <c r="D7" s="860" t="s">
        <v>193</v>
      </c>
      <c r="E7" s="860" t="s">
        <v>193</v>
      </c>
      <c r="F7" s="860">
        <v>0</v>
      </c>
    </row>
    <row r="8" spans="1:6" ht="11.25" customHeight="1" x14ac:dyDescent="0.15">
      <c r="A8" s="859" t="s">
        <v>6</v>
      </c>
      <c r="B8" s="33">
        <v>1</v>
      </c>
      <c r="C8" s="33">
        <v>0</v>
      </c>
      <c r="D8" s="860" t="s">
        <v>193</v>
      </c>
      <c r="E8" s="16">
        <v>1</v>
      </c>
      <c r="F8" s="860">
        <v>1</v>
      </c>
    </row>
    <row r="9" spans="1:6" ht="11.25" customHeight="1" x14ac:dyDescent="0.15">
      <c r="A9" s="859" t="s">
        <v>7</v>
      </c>
      <c r="B9" s="33">
        <v>0</v>
      </c>
      <c r="C9" s="33">
        <v>0</v>
      </c>
      <c r="D9" s="860" t="s">
        <v>193</v>
      </c>
      <c r="E9" s="860" t="s">
        <v>193</v>
      </c>
      <c r="F9" s="860">
        <v>0</v>
      </c>
    </row>
    <row r="10" spans="1:6" ht="11.25" customHeight="1" x14ac:dyDescent="0.15">
      <c r="A10" s="859" t="s">
        <v>8</v>
      </c>
      <c r="B10" s="33">
        <v>1</v>
      </c>
      <c r="C10" s="33">
        <v>0</v>
      </c>
      <c r="D10" s="860" t="s">
        <v>193</v>
      </c>
      <c r="E10" s="860" t="s">
        <v>193</v>
      </c>
      <c r="F10" s="860">
        <v>1</v>
      </c>
    </row>
    <row r="11" spans="1:6" ht="11.25" customHeight="1" x14ac:dyDescent="0.15">
      <c r="A11" s="859" t="s">
        <v>9</v>
      </c>
      <c r="B11" s="33">
        <v>1</v>
      </c>
      <c r="C11" s="33">
        <v>1</v>
      </c>
      <c r="D11" s="861">
        <v>1</v>
      </c>
      <c r="E11" s="16">
        <v>1</v>
      </c>
      <c r="F11" s="860">
        <v>1</v>
      </c>
    </row>
    <row r="12" spans="1:6" ht="11.25" customHeight="1" x14ac:dyDescent="0.15">
      <c r="A12" s="859" t="s">
        <v>10</v>
      </c>
      <c r="B12" s="33">
        <v>2</v>
      </c>
      <c r="C12" s="33">
        <v>0</v>
      </c>
      <c r="D12" s="861">
        <v>1</v>
      </c>
      <c r="E12" s="16">
        <v>1</v>
      </c>
      <c r="F12" s="860">
        <v>1</v>
      </c>
    </row>
    <row r="13" spans="1:6" ht="11.25" customHeight="1" x14ac:dyDescent="0.15">
      <c r="A13" s="859" t="s">
        <v>11</v>
      </c>
      <c r="B13" s="33">
        <v>5</v>
      </c>
      <c r="C13" s="33">
        <v>5</v>
      </c>
      <c r="D13" s="861">
        <v>9</v>
      </c>
      <c r="E13" s="16">
        <v>4</v>
      </c>
      <c r="F13" s="860">
        <v>6</v>
      </c>
    </row>
    <row r="14" spans="1:6" ht="11.25" customHeight="1" x14ac:dyDescent="0.15">
      <c r="A14" s="859" t="s">
        <v>12</v>
      </c>
      <c r="B14" s="33">
        <v>1</v>
      </c>
      <c r="C14" s="33">
        <v>1</v>
      </c>
      <c r="D14" s="861">
        <v>1</v>
      </c>
      <c r="E14" s="16">
        <v>1</v>
      </c>
      <c r="F14" s="860">
        <v>2</v>
      </c>
    </row>
    <row r="15" spans="1:6" ht="11.25" customHeight="1" x14ac:dyDescent="0.15">
      <c r="A15" s="859" t="s">
        <v>13</v>
      </c>
      <c r="B15" s="33">
        <v>3</v>
      </c>
      <c r="C15" s="33">
        <v>2</v>
      </c>
      <c r="D15" s="861">
        <v>3</v>
      </c>
      <c r="E15" s="16">
        <v>4</v>
      </c>
      <c r="F15" s="860">
        <v>5</v>
      </c>
    </row>
    <row r="16" spans="1:6" ht="11.25" customHeight="1" x14ac:dyDescent="0.15">
      <c r="A16" s="859" t="s">
        <v>14</v>
      </c>
      <c r="B16" s="33">
        <v>12</v>
      </c>
      <c r="C16" s="33">
        <v>15</v>
      </c>
      <c r="D16" s="861">
        <v>12</v>
      </c>
      <c r="E16" s="16">
        <v>15</v>
      </c>
      <c r="F16" s="860">
        <v>13</v>
      </c>
    </row>
    <row r="17" spans="1:6" ht="11.25" customHeight="1" x14ac:dyDescent="0.15">
      <c r="A17" s="859" t="s">
        <v>15</v>
      </c>
      <c r="B17" s="33">
        <v>13</v>
      </c>
      <c r="C17" s="33">
        <v>8</v>
      </c>
      <c r="D17" s="861">
        <v>6</v>
      </c>
      <c r="E17" s="16">
        <v>6</v>
      </c>
      <c r="F17" s="860">
        <v>6</v>
      </c>
    </row>
    <row r="18" spans="1:6" ht="11.25" customHeight="1" x14ac:dyDescent="0.15">
      <c r="A18" s="859" t="s">
        <v>16</v>
      </c>
      <c r="B18" s="33">
        <v>0</v>
      </c>
      <c r="C18" s="33">
        <v>9</v>
      </c>
      <c r="D18" s="861">
        <v>9</v>
      </c>
      <c r="E18" s="16">
        <v>10</v>
      </c>
      <c r="F18" s="860">
        <v>8</v>
      </c>
    </row>
    <row r="19" spans="1:6" ht="11.25" customHeight="1" x14ac:dyDescent="0.15">
      <c r="A19" s="859" t="s">
        <v>17</v>
      </c>
      <c r="B19" s="33">
        <v>4</v>
      </c>
      <c r="C19" s="33">
        <v>9</v>
      </c>
      <c r="D19" s="861">
        <v>6</v>
      </c>
      <c r="E19" s="16">
        <v>1</v>
      </c>
      <c r="F19" s="860">
        <v>0</v>
      </c>
    </row>
    <row r="20" spans="1:6" ht="11.25" customHeight="1" x14ac:dyDescent="0.15">
      <c r="A20" s="859" t="s">
        <v>18</v>
      </c>
      <c r="B20" s="33">
        <v>1</v>
      </c>
      <c r="C20" s="33">
        <v>1</v>
      </c>
      <c r="D20" s="860" t="s">
        <v>193</v>
      </c>
      <c r="E20" s="16">
        <v>1</v>
      </c>
      <c r="F20" s="860">
        <v>1</v>
      </c>
    </row>
    <row r="21" spans="1:6" ht="11.25" customHeight="1" x14ac:dyDescent="0.15">
      <c r="A21" s="859" t="s">
        <v>19</v>
      </c>
      <c r="B21" s="33">
        <v>0</v>
      </c>
      <c r="C21" s="33">
        <v>0</v>
      </c>
      <c r="D21" s="861">
        <v>3</v>
      </c>
      <c r="E21" s="860" t="s">
        <v>193</v>
      </c>
      <c r="F21" s="860">
        <v>0</v>
      </c>
    </row>
    <row r="22" spans="1:6" ht="11.25" customHeight="1" x14ac:dyDescent="0.15">
      <c r="A22" s="2910"/>
      <c r="B22" s="2910"/>
      <c r="C22" s="2910"/>
      <c r="D22" s="2910"/>
      <c r="E22" s="2910"/>
      <c r="F22" s="2910"/>
    </row>
    <row r="23" spans="1:6" s="862" customFormat="1" ht="11.25" customHeight="1" x14ac:dyDescent="0.15">
      <c r="A23" s="2913" t="s">
        <v>2202</v>
      </c>
      <c r="B23" s="2913"/>
      <c r="C23" s="2913"/>
      <c r="D23" s="2913"/>
      <c r="E23" s="2913"/>
      <c r="F23" s="2913"/>
    </row>
    <row r="24" spans="1:6" ht="11.25" customHeight="1" x14ac:dyDescent="0.15">
      <c r="A24" s="2913" t="s">
        <v>44</v>
      </c>
      <c r="B24" s="2913"/>
      <c r="C24" s="2913"/>
      <c r="D24" s="2913"/>
      <c r="E24" s="2913"/>
      <c r="F24" s="2913"/>
    </row>
    <row r="25" spans="1:6" ht="11.25" customHeight="1" x14ac:dyDescent="0.15">
      <c r="A25" s="2914" t="s">
        <v>21</v>
      </c>
      <c r="B25" s="2914"/>
      <c r="C25" s="2914"/>
      <c r="D25" s="2914"/>
      <c r="E25" s="2914"/>
      <c r="F25" s="2914"/>
    </row>
    <row r="28" spans="1:6" ht="15" customHeight="1" x14ac:dyDescent="0.15"/>
    <row r="49" ht="15" customHeight="1" x14ac:dyDescent="0.15"/>
  </sheetData>
  <mergeCells count="8">
    <mergeCell ref="A24:F24"/>
    <mergeCell ref="A25:F25"/>
    <mergeCell ref="A2:F2"/>
    <mergeCell ref="A3:F3"/>
    <mergeCell ref="A4:A5"/>
    <mergeCell ref="B4:F4"/>
    <mergeCell ref="A22:F22"/>
    <mergeCell ref="A23:F23"/>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2:B24"/>
  <sheetViews>
    <sheetView zoomScaleNormal="100" workbookViewId="0">
      <selection activeCell="F34" sqref="F34"/>
    </sheetView>
  </sheetViews>
  <sheetFormatPr baseColWidth="10" defaultColWidth="13" defaultRowHeight="10.5" x14ac:dyDescent="0.15"/>
  <cols>
    <col min="1" max="1" width="36.140625" style="851" customWidth="1"/>
    <col min="2" max="2" width="28.7109375" style="851" customWidth="1"/>
    <col min="3" max="16384" width="13" style="851"/>
  </cols>
  <sheetData>
    <row r="2" spans="1:2" ht="33.75" customHeight="1" x14ac:dyDescent="0.15">
      <c r="A2" s="2915" t="s">
        <v>2203</v>
      </c>
      <c r="B2" s="2915"/>
    </row>
    <row r="3" spans="1:2" ht="11.25" customHeight="1" x14ac:dyDescent="0.15">
      <c r="A3" s="2916"/>
      <c r="B3" s="2916"/>
    </row>
    <row r="4" spans="1:2" x14ac:dyDescent="0.15">
      <c r="A4" s="13" t="s">
        <v>1442</v>
      </c>
      <c r="B4" s="13" t="s">
        <v>2204</v>
      </c>
    </row>
    <row r="5" spans="1:2" ht="12.75" customHeight="1" x14ac:dyDescent="0.15">
      <c r="A5" s="24">
        <v>2011</v>
      </c>
      <c r="B5" s="863">
        <v>408</v>
      </c>
    </row>
    <row r="6" spans="1:2" ht="12.75" customHeight="1" x14ac:dyDescent="0.15">
      <c r="A6" s="24">
        <v>2012</v>
      </c>
      <c r="B6" s="863">
        <v>443</v>
      </c>
    </row>
    <row r="7" spans="1:2" ht="12.75" customHeight="1" x14ac:dyDescent="0.15">
      <c r="A7" s="24" t="s">
        <v>2205</v>
      </c>
      <c r="B7" s="864">
        <v>457</v>
      </c>
    </row>
    <row r="8" spans="1:2" ht="12.75" customHeight="1" x14ac:dyDescent="0.15">
      <c r="A8" s="24">
        <v>2014</v>
      </c>
      <c r="B8" s="864">
        <v>457</v>
      </c>
    </row>
    <row r="9" spans="1:2" ht="12.75" customHeight="1" x14ac:dyDescent="0.15">
      <c r="A9" s="24">
        <v>2015</v>
      </c>
      <c r="B9" s="864">
        <v>435</v>
      </c>
    </row>
    <row r="10" spans="1:2" ht="11.25" customHeight="1" x14ac:dyDescent="0.15">
      <c r="A10" s="2917"/>
      <c r="B10" s="2917"/>
    </row>
    <row r="11" spans="1:2" ht="54" customHeight="1" x14ac:dyDescent="0.15">
      <c r="A11" s="2918" t="s">
        <v>2206</v>
      </c>
      <c r="B11" s="2919"/>
    </row>
    <row r="12" spans="1:2" ht="12.75" customHeight="1" x14ac:dyDescent="0.15">
      <c r="A12" s="2920" t="s">
        <v>21</v>
      </c>
      <c r="B12" s="2920"/>
    </row>
    <row r="15" spans="1:2" ht="15" customHeight="1" x14ac:dyDescent="0.15"/>
    <row r="24" ht="15" customHeight="1" x14ac:dyDescent="0.15"/>
  </sheetData>
  <mergeCells count="5">
    <mergeCell ref="A2:B2"/>
    <mergeCell ref="A3:B3"/>
    <mergeCell ref="A10:B10"/>
    <mergeCell ref="A11:B11"/>
    <mergeCell ref="A12:B12"/>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2:F22"/>
  <sheetViews>
    <sheetView workbookViewId="0">
      <selection activeCell="F34" sqref="F34"/>
    </sheetView>
  </sheetViews>
  <sheetFormatPr baseColWidth="10" defaultColWidth="13" defaultRowHeight="10.5" x14ac:dyDescent="0.15"/>
  <cols>
    <col min="1" max="1" width="35.85546875" style="851" customWidth="1"/>
    <col min="2" max="6" width="13.5703125" style="851" customWidth="1"/>
    <col min="7" max="16384" width="13" style="851"/>
  </cols>
  <sheetData>
    <row r="2" spans="1:6" ht="33" customHeight="1" x14ac:dyDescent="0.15">
      <c r="A2" s="2915" t="s">
        <v>2207</v>
      </c>
      <c r="B2" s="2915"/>
      <c r="C2" s="2915"/>
      <c r="D2" s="2915"/>
      <c r="E2" s="2915"/>
      <c r="F2" s="2915"/>
    </row>
    <row r="3" spans="1:6" x14ac:dyDescent="0.15">
      <c r="A3" s="2924"/>
      <c r="B3" s="2924"/>
      <c r="C3" s="2924"/>
      <c r="D3" s="2924"/>
      <c r="E3" s="2924"/>
      <c r="F3" s="2924"/>
    </row>
    <row r="4" spans="1:6" ht="15" customHeight="1" x14ac:dyDescent="0.15">
      <c r="A4" s="2309" t="s">
        <v>2208</v>
      </c>
      <c r="B4" s="2925" t="s">
        <v>2209</v>
      </c>
      <c r="C4" s="2925"/>
      <c r="D4" s="2925"/>
      <c r="E4" s="2925"/>
      <c r="F4" s="2925"/>
    </row>
    <row r="5" spans="1:6" ht="11.25" x14ac:dyDescent="0.15">
      <c r="A5" s="2309"/>
      <c r="B5" s="865">
        <v>2011</v>
      </c>
      <c r="C5" s="865" t="s">
        <v>2210</v>
      </c>
      <c r="D5" s="865" t="s">
        <v>191</v>
      </c>
      <c r="E5" s="865" t="s">
        <v>2211</v>
      </c>
      <c r="F5" s="865" t="s">
        <v>1638</v>
      </c>
    </row>
    <row r="6" spans="1:6" x14ac:dyDescent="0.15">
      <c r="A6" s="369" t="s">
        <v>69</v>
      </c>
      <c r="B6" s="866">
        <v>415757</v>
      </c>
      <c r="C6" s="866">
        <v>329148</v>
      </c>
      <c r="D6" s="866">
        <v>307991</v>
      </c>
      <c r="E6" s="866">
        <v>318751</v>
      </c>
      <c r="F6" s="866">
        <v>368586</v>
      </c>
    </row>
    <row r="7" spans="1:6" x14ac:dyDescent="0.15">
      <c r="A7" s="867" t="s">
        <v>2212</v>
      </c>
      <c r="B7" s="868">
        <v>167364</v>
      </c>
      <c r="C7" s="868">
        <v>155902</v>
      </c>
      <c r="D7" s="868">
        <v>134994</v>
      </c>
      <c r="E7" s="868">
        <v>147360</v>
      </c>
      <c r="F7" s="869">
        <v>156662</v>
      </c>
    </row>
    <row r="8" spans="1:6" x14ac:dyDescent="0.15">
      <c r="A8" s="867" t="s">
        <v>2213</v>
      </c>
      <c r="B8" s="868">
        <v>72267</v>
      </c>
      <c r="C8" s="868">
        <v>55071</v>
      </c>
      <c r="D8" s="868">
        <v>43703</v>
      </c>
      <c r="E8" s="868">
        <v>45322</v>
      </c>
      <c r="F8" s="869">
        <v>42263</v>
      </c>
    </row>
    <row r="9" spans="1:6" x14ac:dyDescent="0.15">
      <c r="A9" s="867" t="s">
        <v>2214</v>
      </c>
      <c r="B9" s="868">
        <v>27812</v>
      </c>
      <c r="C9" s="868">
        <v>26543</v>
      </c>
      <c r="D9" s="868">
        <v>23921</v>
      </c>
      <c r="E9" s="868">
        <v>18430</v>
      </c>
      <c r="F9" s="869">
        <v>17863</v>
      </c>
    </row>
    <row r="10" spans="1:6" x14ac:dyDescent="0.15">
      <c r="A10" s="867" t="s">
        <v>2215</v>
      </c>
      <c r="B10" s="868">
        <v>56017</v>
      </c>
      <c r="C10" s="868">
        <v>37514</v>
      </c>
      <c r="D10" s="868">
        <v>29438</v>
      </c>
      <c r="E10" s="868">
        <v>36462</v>
      </c>
      <c r="F10" s="869">
        <v>35561</v>
      </c>
    </row>
    <row r="11" spans="1:6" x14ac:dyDescent="0.15">
      <c r="A11" s="867" t="s">
        <v>2216</v>
      </c>
      <c r="B11" s="868">
        <v>48657</v>
      </c>
      <c r="C11" s="868">
        <v>28557</v>
      </c>
      <c r="D11" s="868">
        <v>40515</v>
      </c>
      <c r="E11" s="868">
        <v>29249</v>
      </c>
      <c r="F11" s="869">
        <v>36418</v>
      </c>
    </row>
    <row r="12" spans="1:6" x14ac:dyDescent="0.15">
      <c r="A12" s="867" t="s">
        <v>2217</v>
      </c>
      <c r="B12" s="868">
        <v>699</v>
      </c>
      <c r="C12" s="868">
        <v>905</v>
      </c>
      <c r="D12" s="868">
        <v>3767</v>
      </c>
      <c r="E12" s="868">
        <v>863</v>
      </c>
      <c r="F12" s="869">
        <v>633</v>
      </c>
    </row>
    <row r="13" spans="1:6" x14ac:dyDescent="0.15">
      <c r="A13" s="867" t="s">
        <v>2218</v>
      </c>
      <c r="B13" s="868">
        <v>13099</v>
      </c>
      <c r="C13" s="868">
        <v>9616</v>
      </c>
      <c r="D13" s="868">
        <v>9797</v>
      </c>
      <c r="E13" s="868">
        <v>6606</v>
      </c>
      <c r="F13" s="869">
        <v>7205</v>
      </c>
    </row>
    <row r="14" spans="1:6" x14ac:dyDescent="0.15">
      <c r="A14" s="867" t="s">
        <v>2219</v>
      </c>
      <c r="B14" s="868">
        <v>781</v>
      </c>
      <c r="C14" s="868">
        <v>1508</v>
      </c>
      <c r="D14" s="868">
        <v>1936</v>
      </c>
      <c r="E14" s="868">
        <v>2732</v>
      </c>
      <c r="F14" s="869">
        <v>1226</v>
      </c>
    </row>
    <row r="15" spans="1:6" x14ac:dyDescent="0.15">
      <c r="A15" s="867" t="s">
        <v>2220</v>
      </c>
      <c r="B15" s="868">
        <v>2639</v>
      </c>
      <c r="C15" s="868">
        <v>9881</v>
      </c>
      <c r="D15" s="868">
        <v>11989</v>
      </c>
      <c r="E15" s="868">
        <v>21661</v>
      </c>
      <c r="F15" s="869">
        <v>45525</v>
      </c>
    </row>
    <row r="16" spans="1:6" x14ac:dyDescent="0.15">
      <c r="A16" s="867" t="s">
        <v>2221</v>
      </c>
      <c r="B16" s="868">
        <v>26422</v>
      </c>
      <c r="C16" s="868">
        <v>3651</v>
      </c>
      <c r="D16" s="868">
        <v>7931</v>
      </c>
      <c r="E16" s="868">
        <v>10066</v>
      </c>
      <c r="F16" s="869">
        <v>25230</v>
      </c>
    </row>
    <row r="17" spans="1:6" x14ac:dyDescent="0.15">
      <c r="A17" s="867"/>
      <c r="B17" s="868"/>
      <c r="C17" s="868"/>
      <c r="D17" s="868"/>
      <c r="E17" s="868"/>
    </row>
    <row r="18" spans="1:6" x14ac:dyDescent="0.15">
      <c r="A18" s="2923" t="s">
        <v>2222</v>
      </c>
      <c r="B18" s="2923"/>
      <c r="C18" s="2923"/>
      <c r="D18" s="2923"/>
      <c r="E18" s="2923"/>
      <c r="F18" s="2923"/>
    </row>
    <row r="19" spans="1:6" x14ac:dyDescent="0.15">
      <c r="A19" s="2923" t="s">
        <v>2223</v>
      </c>
      <c r="B19" s="2923"/>
      <c r="C19" s="2923"/>
      <c r="D19" s="2923"/>
      <c r="E19" s="2923"/>
      <c r="F19" s="2923"/>
    </row>
    <row r="20" spans="1:6" s="870" customFormat="1" x14ac:dyDescent="0.15">
      <c r="A20" s="2921" t="s">
        <v>2224</v>
      </c>
      <c r="B20" s="2921"/>
      <c r="C20" s="2921"/>
      <c r="D20" s="2921"/>
      <c r="E20" s="2921"/>
      <c r="F20" s="2921"/>
    </row>
    <row r="21" spans="1:6" x14ac:dyDescent="0.15">
      <c r="A21" s="2922" t="s">
        <v>60</v>
      </c>
      <c r="B21" s="2922"/>
      <c r="C21" s="2922"/>
      <c r="D21" s="2922"/>
      <c r="E21" s="2922"/>
      <c r="F21" s="2922"/>
    </row>
    <row r="22" spans="1:6" x14ac:dyDescent="0.15">
      <c r="A22" s="2923" t="s">
        <v>21</v>
      </c>
      <c r="B22" s="2923"/>
      <c r="C22" s="2923"/>
      <c r="D22" s="2923"/>
      <c r="E22" s="2923"/>
      <c r="F22" s="2923"/>
    </row>
  </sheetData>
  <mergeCells count="9">
    <mergeCell ref="A20:F20"/>
    <mergeCell ref="A21:F21"/>
    <mergeCell ref="A22:F22"/>
    <mergeCell ref="A2:F2"/>
    <mergeCell ref="A3:F3"/>
    <mergeCell ref="A4:A5"/>
    <mergeCell ref="B4:F4"/>
    <mergeCell ref="A18:F18"/>
    <mergeCell ref="A19:F19"/>
  </mergeCells>
  <pageMargins left="0.70866141732283472" right="0.70866141732283472" top="0.74803149606299213" bottom="0.74803149606299213" header="0.31496062992125984" footer="0.31496062992125984"/>
  <pageSetup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F19"/>
  <sheetViews>
    <sheetView workbookViewId="0">
      <selection activeCell="F34" sqref="F34"/>
    </sheetView>
  </sheetViews>
  <sheetFormatPr baseColWidth="10" defaultColWidth="13" defaultRowHeight="10.5" x14ac:dyDescent="0.15"/>
  <cols>
    <col min="1" max="1" width="28.42578125" style="851" customWidth="1"/>
    <col min="2" max="16384" width="13" style="851"/>
  </cols>
  <sheetData>
    <row r="2" spans="1:6" ht="22.5" customHeight="1" x14ac:dyDescent="0.15">
      <c r="A2" s="2915" t="s">
        <v>2225</v>
      </c>
      <c r="B2" s="2915"/>
      <c r="C2" s="2915"/>
      <c r="D2" s="2915"/>
      <c r="E2" s="2915"/>
      <c r="F2" s="2915"/>
    </row>
    <row r="3" spans="1:6" x14ac:dyDescent="0.15">
      <c r="A3" s="2909"/>
      <c r="B3" s="2909"/>
      <c r="C3" s="2909"/>
      <c r="D3" s="2909"/>
      <c r="E3" s="2909"/>
      <c r="F3" s="2909"/>
    </row>
    <row r="4" spans="1:6" ht="15" customHeight="1" x14ac:dyDescent="0.15">
      <c r="A4" s="2310" t="s">
        <v>2034</v>
      </c>
      <c r="B4" s="2925" t="s">
        <v>2226</v>
      </c>
      <c r="C4" s="2925"/>
      <c r="D4" s="2925"/>
      <c r="E4" s="2925"/>
      <c r="F4" s="2925"/>
    </row>
    <row r="5" spans="1:6" ht="15" customHeight="1" x14ac:dyDescent="0.15">
      <c r="A5" s="2310"/>
      <c r="B5" s="13">
        <v>2011</v>
      </c>
      <c r="C5" s="13">
        <v>2012</v>
      </c>
      <c r="D5" s="13">
        <v>2013</v>
      </c>
      <c r="E5" s="13">
        <v>2014</v>
      </c>
      <c r="F5" s="871">
        <v>2015</v>
      </c>
    </row>
    <row r="6" spans="1:6" x14ac:dyDescent="0.15">
      <c r="A6" s="853" t="s">
        <v>141</v>
      </c>
      <c r="B6" s="872">
        <f>SUM(B7:B16)</f>
        <v>2411109</v>
      </c>
      <c r="C6" s="872">
        <f>SUM(C7:C16)</f>
        <v>2502699</v>
      </c>
      <c r="D6" s="872">
        <f>SUM(D7:D16)</f>
        <v>2793829</v>
      </c>
      <c r="E6" s="872">
        <f>SUM(E7:E16)</f>
        <v>3001072</v>
      </c>
      <c r="F6" s="872">
        <f>SUM(F7:F16)</f>
        <v>3358144</v>
      </c>
    </row>
    <row r="7" spans="1:6" x14ac:dyDescent="0.15">
      <c r="A7" s="16" t="s">
        <v>2227</v>
      </c>
      <c r="B7" s="873">
        <v>179766</v>
      </c>
      <c r="C7" s="48">
        <v>197899</v>
      </c>
      <c r="D7" s="868">
        <v>233240</v>
      </c>
      <c r="E7" s="868">
        <v>262715</v>
      </c>
      <c r="F7" s="874">
        <v>314646</v>
      </c>
    </row>
    <row r="8" spans="1:6" x14ac:dyDescent="0.15">
      <c r="A8" s="16" t="s">
        <v>2228</v>
      </c>
      <c r="B8" s="873">
        <v>87459</v>
      </c>
      <c r="C8" s="48">
        <v>93547</v>
      </c>
      <c r="D8" s="868">
        <v>104987</v>
      </c>
      <c r="E8" s="868">
        <v>113378</v>
      </c>
      <c r="F8" s="874">
        <v>126227</v>
      </c>
    </row>
    <row r="9" spans="1:6" x14ac:dyDescent="0.15">
      <c r="A9" s="16" t="s">
        <v>2229</v>
      </c>
      <c r="B9" s="873">
        <v>277440</v>
      </c>
      <c r="C9" s="48">
        <v>289402</v>
      </c>
      <c r="D9" s="868">
        <v>318732</v>
      </c>
      <c r="E9" s="868">
        <v>339810</v>
      </c>
      <c r="F9" s="874">
        <v>379103</v>
      </c>
    </row>
    <row r="10" spans="1:6" x14ac:dyDescent="0.15">
      <c r="A10" s="875" t="s">
        <v>2230</v>
      </c>
      <c r="B10" s="873">
        <v>63656</v>
      </c>
      <c r="C10" s="48">
        <v>63371</v>
      </c>
      <c r="D10" s="868">
        <v>71175</v>
      </c>
      <c r="E10" s="868">
        <v>77122</v>
      </c>
      <c r="F10" s="874">
        <v>84344</v>
      </c>
    </row>
    <row r="11" spans="1:6" x14ac:dyDescent="0.15">
      <c r="A11" s="16" t="s">
        <v>2231</v>
      </c>
      <c r="B11" s="873">
        <v>68123</v>
      </c>
      <c r="C11" s="48">
        <v>73531</v>
      </c>
      <c r="D11" s="868">
        <v>79438</v>
      </c>
      <c r="E11" s="868">
        <v>88655</v>
      </c>
      <c r="F11" s="874">
        <v>97853</v>
      </c>
    </row>
    <row r="12" spans="1:6" x14ac:dyDescent="0.15">
      <c r="A12" s="16" t="s">
        <v>2232</v>
      </c>
      <c r="B12" s="873">
        <v>208372</v>
      </c>
      <c r="C12" s="48">
        <v>215164</v>
      </c>
      <c r="D12" s="868">
        <v>236093</v>
      </c>
      <c r="E12" s="868">
        <v>245873</v>
      </c>
      <c r="F12" s="874">
        <v>280798</v>
      </c>
    </row>
    <row r="13" spans="1:6" x14ac:dyDescent="0.15">
      <c r="A13" s="16" t="s">
        <v>2233</v>
      </c>
      <c r="B13" s="873">
        <v>24657</v>
      </c>
      <c r="C13" s="48">
        <v>25941</v>
      </c>
      <c r="D13" s="868">
        <v>28391</v>
      </c>
      <c r="E13" s="868">
        <v>29816</v>
      </c>
      <c r="F13" s="874">
        <v>31220</v>
      </c>
    </row>
    <row r="14" spans="1:6" x14ac:dyDescent="0.15">
      <c r="A14" s="16" t="s">
        <v>2234</v>
      </c>
      <c r="B14" s="873">
        <v>1316411</v>
      </c>
      <c r="C14" s="48">
        <v>1351923</v>
      </c>
      <c r="D14" s="868">
        <v>1507202</v>
      </c>
      <c r="E14" s="868">
        <v>1605131</v>
      </c>
      <c r="F14" s="874">
        <v>1797217</v>
      </c>
    </row>
    <row r="15" spans="1:6" x14ac:dyDescent="0.15">
      <c r="A15" s="16" t="s">
        <v>2235</v>
      </c>
      <c r="B15" s="873">
        <v>36892</v>
      </c>
      <c r="C15" s="48">
        <v>37396</v>
      </c>
      <c r="D15" s="868">
        <v>40608</v>
      </c>
      <c r="E15" s="868">
        <v>45092</v>
      </c>
      <c r="F15" s="874">
        <v>47495</v>
      </c>
    </row>
    <row r="16" spans="1:6" x14ac:dyDescent="0.15">
      <c r="A16" s="16" t="s">
        <v>2236</v>
      </c>
      <c r="B16" s="873">
        <v>148333</v>
      </c>
      <c r="C16" s="48">
        <v>154525</v>
      </c>
      <c r="D16" s="868">
        <v>173963</v>
      </c>
      <c r="E16" s="868">
        <v>193480</v>
      </c>
      <c r="F16" s="874">
        <v>199241</v>
      </c>
    </row>
    <row r="17" spans="1:6" x14ac:dyDescent="0.15">
      <c r="A17" s="2917"/>
      <c r="B17" s="2917"/>
      <c r="C17" s="2917"/>
      <c r="D17" s="2917"/>
      <c r="E17" s="2917"/>
      <c r="F17" s="2917"/>
    </row>
    <row r="18" spans="1:6" ht="20.25" customHeight="1" x14ac:dyDescent="0.15">
      <c r="A18" s="2926" t="s">
        <v>2237</v>
      </c>
      <c r="B18" s="2926"/>
      <c r="C18" s="2926"/>
      <c r="D18" s="2926"/>
      <c r="E18" s="2926"/>
      <c r="F18" s="2926"/>
    </row>
    <row r="19" spans="1:6" x14ac:dyDescent="0.15">
      <c r="A19" s="2914" t="s">
        <v>21</v>
      </c>
      <c r="B19" s="2914"/>
      <c r="C19" s="2914"/>
      <c r="D19" s="2914"/>
      <c r="E19" s="2914"/>
      <c r="F19" s="2914"/>
    </row>
  </sheetData>
  <mergeCells count="7">
    <mergeCell ref="A19:F19"/>
    <mergeCell ref="A2:F2"/>
    <mergeCell ref="A3:F3"/>
    <mergeCell ref="A4:A5"/>
    <mergeCell ref="B4:F4"/>
    <mergeCell ref="A17:F17"/>
    <mergeCell ref="A18:F18"/>
  </mergeCells>
  <pageMargins left="0.7" right="0.7" top="0.75" bottom="0.75" header="0.3" footer="0.3"/>
  <pageSetup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F19"/>
  <sheetViews>
    <sheetView workbookViewId="0">
      <selection activeCell="F34" sqref="F34"/>
    </sheetView>
  </sheetViews>
  <sheetFormatPr baseColWidth="10" defaultColWidth="13" defaultRowHeight="10.5" x14ac:dyDescent="0.15"/>
  <cols>
    <col min="1" max="1" width="41.85546875" style="851" customWidth="1"/>
    <col min="2" max="16384" width="13" style="851"/>
  </cols>
  <sheetData>
    <row r="2" spans="1:6" ht="22.5" customHeight="1" x14ac:dyDescent="0.15">
      <c r="A2" s="2915" t="s">
        <v>2238</v>
      </c>
      <c r="B2" s="2915"/>
      <c r="C2" s="2915"/>
      <c r="D2" s="2915"/>
      <c r="E2" s="2915"/>
      <c r="F2" s="2915"/>
    </row>
    <row r="3" spans="1:6" x14ac:dyDescent="0.15">
      <c r="A3" s="2909"/>
      <c r="B3" s="2909"/>
      <c r="C3" s="2909"/>
      <c r="D3" s="2909"/>
      <c r="E3" s="2909"/>
      <c r="F3" s="2909"/>
    </row>
    <row r="4" spans="1:6" ht="15" customHeight="1" x14ac:dyDescent="0.15">
      <c r="A4" s="2927" t="s">
        <v>98</v>
      </c>
      <c r="B4" s="2925" t="s">
        <v>2226</v>
      </c>
      <c r="C4" s="2925"/>
      <c r="D4" s="2925"/>
      <c r="E4" s="2925"/>
      <c r="F4" s="2925"/>
    </row>
    <row r="5" spans="1:6" ht="10.5" customHeight="1" x14ac:dyDescent="0.15">
      <c r="A5" s="2928"/>
      <c r="B5" s="13">
        <v>2011</v>
      </c>
      <c r="C5" s="13" t="s">
        <v>190</v>
      </c>
      <c r="D5" s="13" t="s">
        <v>2239</v>
      </c>
      <c r="E5" s="13" t="s">
        <v>1637</v>
      </c>
      <c r="F5" s="13" t="s">
        <v>2240</v>
      </c>
    </row>
    <row r="6" spans="1:6" x14ac:dyDescent="0.15">
      <c r="A6" s="853" t="s">
        <v>141</v>
      </c>
      <c r="B6" s="872">
        <v>2066622</v>
      </c>
      <c r="C6" s="872">
        <v>2358993</v>
      </c>
      <c r="D6" s="872">
        <v>2666984</v>
      </c>
      <c r="E6" s="872">
        <v>2985735</v>
      </c>
      <c r="F6" s="872">
        <v>3354321</v>
      </c>
    </row>
    <row r="7" spans="1:6" x14ac:dyDescent="0.15">
      <c r="A7" s="16" t="s">
        <v>2212</v>
      </c>
      <c r="B7" s="48">
        <v>929643</v>
      </c>
      <c r="C7" s="48">
        <v>1109077</v>
      </c>
      <c r="D7" s="876">
        <v>1244071</v>
      </c>
      <c r="E7" s="876">
        <v>1391431</v>
      </c>
      <c r="F7" s="877">
        <v>1548093</v>
      </c>
    </row>
    <row r="8" spans="1:6" x14ac:dyDescent="0.15">
      <c r="A8" s="16" t="s">
        <v>2213</v>
      </c>
      <c r="B8" s="48">
        <v>314543</v>
      </c>
      <c r="C8" s="48">
        <v>342549</v>
      </c>
      <c r="D8" s="876">
        <v>386252</v>
      </c>
      <c r="E8" s="876">
        <v>431574</v>
      </c>
      <c r="F8" s="877">
        <v>473837</v>
      </c>
    </row>
    <row r="9" spans="1:6" x14ac:dyDescent="0.15">
      <c r="A9" s="16" t="s">
        <v>2214</v>
      </c>
      <c r="B9" s="48">
        <v>129296</v>
      </c>
      <c r="C9" s="48">
        <v>151073</v>
      </c>
      <c r="D9" s="876">
        <v>174994</v>
      </c>
      <c r="E9" s="876">
        <v>193424</v>
      </c>
      <c r="F9" s="877">
        <v>211287</v>
      </c>
    </row>
    <row r="10" spans="1:6" x14ac:dyDescent="0.15">
      <c r="A10" s="875" t="s">
        <v>2215</v>
      </c>
      <c r="B10" s="48">
        <v>280067</v>
      </c>
      <c r="C10" s="48">
        <v>306361</v>
      </c>
      <c r="D10" s="876">
        <v>335799</v>
      </c>
      <c r="E10" s="876">
        <v>372261</v>
      </c>
      <c r="F10" s="877">
        <v>407822</v>
      </c>
    </row>
    <row r="11" spans="1:6" x14ac:dyDescent="0.15">
      <c r="A11" s="16" t="s">
        <v>2216</v>
      </c>
      <c r="B11" s="48">
        <v>235847</v>
      </c>
      <c r="C11" s="48">
        <v>277688</v>
      </c>
      <c r="D11" s="876">
        <v>318203</v>
      </c>
      <c r="E11" s="876">
        <v>347452</v>
      </c>
      <c r="F11" s="877">
        <v>383870</v>
      </c>
    </row>
    <row r="12" spans="1:6" x14ac:dyDescent="0.15">
      <c r="A12" s="16" t="s">
        <v>2217</v>
      </c>
      <c r="B12" s="48">
        <v>77779</v>
      </c>
      <c r="C12" s="48">
        <v>4245</v>
      </c>
      <c r="D12" s="876">
        <v>8012</v>
      </c>
      <c r="E12" s="876">
        <v>8875</v>
      </c>
      <c r="F12" s="877">
        <v>9508</v>
      </c>
    </row>
    <row r="13" spans="1:6" x14ac:dyDescent="0.15">
      <c r="A13" s="16" t="s">
        <v>2218</v>
      </c>
      <c r="B13" s="48">
        <v>70750</v>
      </c>
      <c r="C13" s="48">
        <v>116584</v>
      </c>
      <c r="D13" s="876">
        <v>126381</v>
      </c>
      <c r="E13" s="876">
        <v>132987</v>
      </c>
      <c r="F13" s="877">
        <v>140192</v>
      </c>
    </row>
    <row r="14" spans="1:6" x14ac:dyDescent="0.15">
      <c r="A14" s="16" t="s">
        <v>2219</v>
      </c>
      <c r="B14" s="48">
        <v>14464</v>
      </c>
      <c r="C14" s="48">
        <v>8458</v>
      </c>
      <c r="D14" s="876">
        <v>10394</v>
      </c>
      <c r="E14" s="876">
        <v>13126</v>
      </c>
      <c r="F14" s="877">
        <v>14352</v>
      </c>
    </row>
    <row r="15" spans="1:6" x14ac:dyDescent="0.15">
      <c r="A15" s="16" t="s">
        <v>2241</v>
      </c>
      <c r="B15" s="48">
        <v>14233</v>
      </c>
      <c r="C15" s="48">
        <v>42958</v>
      </c>
      <c r="D15" s="876">
        <v>62878</v>
      </c>
      <c r="E15" s="876">
        <v>94605</v>
      </c>
      <c r="F15" s="877">
        <v>165360</v>
      </c>
    </row>
    <row r="16" spans="1:6" x14ac:dyDescent="0.15">
      <c r="A16" s="16"/>
      <c r="B16" s="48"/>
      <c r="C16" s="48"/>
      <c r="D16" s="876"/>
      <c r="E16" s="876"/>
    </row>
    <row r="17" spans="1:6" ht="11.25" customHeight="1" x14ac:dyDescent="0.15">
      <c r="A17" s="2929" t="s">
        <v>2242</v>
      </c>
      <c r="B17" s="2929"/>
      <c r="C17" s="2929"/>
      <c r="D17" s="2929"/>
      <c r="E17" s="2929"/>
      <c r="F17" s="2929"/>
    </row>
    <row r="18" spans="1:6" s="870" customFormat="1" x14ac:dyDescent="0.15">
      <c r="A18" s="2921" t="s">
        <v>2243</v>
      </c>
      <c r="B18" s="2921"/>
      <c r="C18" s="2921"/>
      <c r="D18" s="2921"/>
      <c r="E18" s="2921"/>
      <c r="F18" s="2921"/>
    </row>
    <row r="19" spans="1:6" x14ac:dyDescent="0.15">
      <c r="A19" s="2914" t="s">
        <v>21</v>
      </c>
      <c r="B19" s="2914"/>
      <c r="C19" s="2914"/>
      <c r="D19" s="2914"/>
      <c r="E19" s="2914"/>
      <c r="F19" s="2914"/>
    </row>
  </sheetData>
  <mergeCells count="7">
    <mergeCell ref="A19:F19"/>
    <mergeCell ref="A2:F2"/>
    <mergeCell ref="A3:F3"/>
    <mergeCell ref="A4:A5"/>
    <mergeCell ref="B4:F4"/>
    <mergeCell ref="A17:F17"/>
    <mergeCell ref="A18:F18"/>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B9"/>
  <sheetViews>
    <sheetView workbookViewId="0">
      <selection activeCell="A16" sqref="A16"/>
    </sheetView>
  </sheetViews>
  <sheetFormatPr baseColWidth="10" defaultColWidth="13" defaultRowHeight="10.5" x14ac:dyDescent="0.15"/>
  <cols>
    <col min="1" max="1" width="84.42578125" style="851" customWidth="1"/>
    <col min="2" max="16384" width="13" style="851"/>
  </cols>
  <sheetData>
    <row r="2" spans="1:2" ht="15" customHeight="1" x14ac:dyDescent="0.15">
      <c r="A2" s="2930" t="s">
        <v>2244</v>
      </c>
      <c r="B2" s="2930"/>
    </row>
    <row r="3" spans="1:2" x14ac:dyDescent="0.15">
      <c r="A3" s="2931"/>
      <c r="B3" s="2931"/>
    </row>
    <row r="4" spans="1:2" ht="28.5" customHeight="1" x14ac:dyDescent="0.15">
      <c r="A4" s="878" t="s">
        <v>2245</v>
      </c>
      <c r="B4" s="871">
        <v>2015</v>
      </c>
    </row>
    <row r="5" spans="1:2" ht="15" customHeight="1" x14ac:dyDescent="0.15">
      <c r="A5" s="879" t="s">
        <v>2246</v>
      </c>
      <c r="B5" s="880">
        <v>206145</v>
      </c>
    </row>
    <row r="6" spans="1:2" x14ac:dyDescent="0.15">
      <c r="A6" s="2932"/>
      <c r="B6" s="2932"/>
    </row>
    <row r="7" spans="1:2" ht="52.5" customHeight="1" x14ac:dyDescent="0.15">
      <c r="A7" s="2933" t="s">
        <v>2247</v>
      </c>
      <c r="B7" s="2933"/>
    </row>
    <row r="8" spans="1:2" x14ac:dyDescent="0.15">
      <c r="A8" s="2934" t="s">
        <v>2248</v>
      </c>
      <c r="B8" s="2934"/>
    </row>
    <row r="9" spans="1:2" x14ac:dyDescent="0.15">
      <c r="A9" s="2311" t="s">
        <v>21</v>
      </c>
      <c r="B9" s="2311"/>
    </row>
  </sheetData>
  <mergeCells count="6">
    <mergeCell ref="A9:B9"/>
    <mergeCell ref="A2:B2"/>
    <mergeCell ref="A3:B3"/>
    <mergeCell ref="A6:B6"/>
    <mergeCell ref="A7:B7"/>
    <mergeCell ref="A8:B8"/>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1:F16"/>
  <sheetViews>
    <sheetView zoomScaleNormal="100" workbookViewId="0">
      <selection activeCell="F23" sqref="F23"/>
    </sheetView>
  </sheetViews>
  <sheetFormatPr baseColWidth="10" defaultColWidth="13" defaultRowHeight="10.5" x14ac:dyDescent="0.15"/>
  <cols>
    <col min="1" max="1" width="40.85546875" style="851" customWidth="1"/>
    <col min="2" max="6" width="14.42578125" style="851" customWidth="1"/>
    <col min="7" max="16384" width="13" style="851"/>
  </cols>
  <sheetData>
    <row r="1" spans="1:6" x14ac:dyDescent="0.15">
      <c r="C1" s="881"/>
      <c r="D1" s="870"/>
      <c r="E1" s="870"/>
      <c r="F1" s="870"/>
    </row>
    <row r="2" spans="1:6" ht="15" customHeight="1" x14ac:dyDescent="0.15">
      <c r="A2" s="2936" t="s">
        <v>2249</v>
      </c>
      <c r="B2" s="2936"/>
      <c r="C2" s="2936"/>
      <c r="D2" s="2936"/>
      <c r="E2" s="2936"/>
      <c r="F2" s="2936"/>
    </row>
    <row r="3" spans="1:6" ht="11.25" customHeight="1" x14ac:dyDescent="0.15">
      <c r="A3" s="2916"/>
      <c r="B3" s="2916"/>
      <c r="C3" s="2916"/>
      <c r="D3" s="2916"/>
      <c r="E3" s="2916"/>
      <c r="F3" s="2916"/>
    </row>
    <row r="4" spans="1:6" x14ac:dyDescent="0.15">
      <c r="A4" s="2309" t="s">
        <v>2250</v>
      </c>
      <c r="B4" s="2310" t="s">
        <v>1723</v>
      </c>
      <c r="C4" s="2310"/>
      <c r="D4" s="2310"/>
      <c r="E4" s="2310"/>
      <c r="F4" s="2310"/>
    </row>
    <row r="5" spans="1:6" ht="11.25" x14ac:dyDescent="0.15">
      <c r="A5" s="2309"/>
      <c r="B5" s="13" t="s">
        <v>189</v>
      </c>
      <c r="C5" s="13" t="s">
        <v>1469</v>
      </c>
      <c r="D5" s="13" t="s">
        <v>1399</v>
      </c>
      <c r="E5" s="13" t="s">
        <v>450</v>
      </c>
      <c r="F5" s="13" t="s">
        <v>166</v>
      </c>
    </row>
    <row r="6" spans="1:6" ht="26.25" customHeight="1" x14ac:dyDescent="0.15">
      <c r="A6" s="875" t="s">
        <v>2251</v>
      </c>
      <c r="B6" s="48">
        <v>107358</v>
      </c>
      <c r="C6" s="48">
        <v>115315</v>
      </c>
      <c r="D6" s="48">
        <v>124713</v>
      </c>
      <c r="E6" s="48">
        <v>126225</v>
      </c>
      <c r="F6" s="48">
        <v>111192</v>
      </c>
    </row>
    <row r="7" spans="1:6" ht="26.25" customHeight="1" x14ac:dyDescent="0.15">
      <c r="A7" s="875" t="s">
        <v>2252</v>
      </c>
      <c r="B7" s="48">
        <f>358675+B6</f>
        <v>466033</v>
      </c>
      <c r="C7" s="48">
        <f>B7+C6</f>
        <v>581348</v>
      </c>
      <c r="D7" s="48">
        <f t="shared" ref="D7:F7" si="0">C7+D6</f>
        <v>706061</v>
      </c>
      <c r="E7" s="48">
        <f t="shared" si="0"/>
        <v>832286</v>
      </c>
      <c r="F7" s="48">
        <f t="shared" si="0"/>
        <v>943478</v>
      </c>
    </row>
    <row r="8" spans="1:6" ht="26.25" customHeight="1" x14ac:dyDescent="0.15">
      <c r="A8" s="875" t="s">
        <v>2253</v>
      </c>
      <c r="B8" s="48">
        <v>128653</v>
      </c>
      <c r="C8" s="48">
        <f>C9-B9</f>
        <v>108948</v>
      </c>
      <c r="D8" s="48">
        <f t="shared" ref="D8:F8" si="1">D9-C9</f>
        <v>190732</v>
      </c>
      <c r="E8" s="48">
        <f t="shared" si="1"/>
        <v>69012</v>
      </c>
      <c r="F8" s="48">
        <f t="shared" si="1"/>
        <v>118450</v>
      </c>
    </row>
    <row r="9" spans="1:6" ht="26.25" customHeight="1" x14ac:dyDescent="0.15">
      <c r="A9" s="875" t="s">
        <v>2254</v>
      </c>
      <c r="B9" s="48">
        <v>1267591</v>
      </c>
      <c r="C9" s="48">
        <v>1376539</v>
      </c>
      <c r="D9" s="48">
        <v>1567271</v>
      </c>
      <c r="E9" s="48">
        <v>1636283</v>
      </c>
      <c r="F9" s="48">
        <v>1754733</v>
      </c>
    </row>
    <row r="10" spans="1:6" x14ac:dyDescent="0.15">
      <c r="A10" s="2917"/>
      <c r="B10" s="2917"/>
      <c r="C10" s="2917"/>
      <c r="D10" s="2917"/>
      <c r="E10" s="2917"/>
      <c r="F10" s="2917"/>
    </row>
    <row r="11" spans="1:6" x14ac:dyDescent="0.15">
      <c r="A11" s="2937" t="s">
        <v>2255</v>
      </c>
      <c r="B11" s="2937"/>
      <c r="C11" s="2937"/>
      <c r="D11" s="2937"/>
      <c r="E11" s="2937"/>
      <c r="F11" s="2937"/>
    </row>
    <row r="12" spans="1:6" x14ac:dyDescent="0.15">
      <c r="A12" s="2912" t="s">
        <v>2256</v>
      </c>
      <c r="B12" s="2912"/>
      <c r="C12" s="2912"/>
      <c r="D12" s="2912"/>
      <c r="E12" s="2912"/>
      <c r="F12" s="2912"/>
    </row>
    <row r="13" spans="1:6" x14ac:dyDescent="0.15">
      <c r="A13" s="2935" t="s">
        <v>2257</v>
      </c>
      <c r="B13" s="2935"/>
      <c r="C13" s="2935"/>
      <c r="D13" s="2935"/>
      <c r="E13" s="2935"/>
      <c r="F13" s="2935"/>
    </row>
    <row r="14" spans="1:6" x14ac:dyDescent="0.15">
      <c r="A14" s="2907" t="s">
        <v>2258</v>
      </c>
      <c r="B14" s="2907"/>
      <c r="C14" s="2907"/>
      <c r="D14" s="2907"/>
      <c r="E14" s="2907"/>
      <c r="F14" s="2907"/>
    </row>
    <row r="15" spans="1:6" x14ac:dyDescent="0.15">
      <c r="A15" s="2907" t="s">
        <v>21</v>
      </c>
      <c r="B15" s="2907"/>
      <c r="C15" s="2907"/>
      <c r="D15" s="2907"/>
      <c r="E15" s="2907"/>
      <c r="F15" s="2907"/>
    </row>
    <row r="16" spans="1:6" x14ac:dyDescent="0.15">
      <c r="A16" s="882"/>
      <c r="B16" s="882"/>
      <c r="C16" s="882"/>
      <c r="D16" s="882"/>
      <c r="E16" s="16"/>
    </row>
  </sheetData>
  <mergeCells count="10">
    <mergeCell ref="A12:F12"/>
    <mergeCell ref="A13:F13"/>
    <mergeCell ref="A14:F14"/>
    <mergeCell ref="A15:F15"/>
    <mergeCell ref="A2:F2"/>
    <mergeCell ref="A3:F3"/>
    <mergeCell ref="A4:A5"/>
    <mergeCell ref="B4:F4"/>
    <mergeCell ref="A10:F10"/>
    <mergeCell ref="A11:F11"/>
  </mergeCells>
  <pageMargins left="0.7" right="0.7" top="0.75" bottom="0.75" header="0.3" footer="0.3"/>
  <pageSetup orientation="portrait" horizontalDpi="0"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F10"/>
  <sheetViews>
    <sheetView workbookViewId="0">
      <selection activeCell="F34" sqref="F34"/>
    </sheetView>
  </sheetViews>
  <sheetFormatPr baseColWidth="10" defaultColWidth="13" defaultRowHeight="10.5" x14ac:dyDescent="0.15"/>
  <cols>
    <col min="1" max="1" width="18.5703125" style="851" customWidth="1"/>
    <col min="2" max="5" width="16.140625" style="851" customWidth="1"/>
    <col min="6" max="6" width="14.7109375" style="851" bestFit="1" customWidth="1"/>
    <col min="7" max="16384" width="13" style="851"/>
  </cols>
  <sheetData>
    <row r="2" spans="1:6" ht="33.75" customHeight="1" x14ac:dyDescent="0.15">
      <c r="A2" s="2915" t="s">
        <v>2259</v>
      </c>
      <c r="B2" s="2915"/>
      <c r="C2" s="2915"/>
      <c r="D2" s="2915"/>
      <c r="E2" s="2915"/>
      <c r="F2" s="2915"/>
    </row>
    <row r="3" spans="1:6" x14ac:dyDescent="0.15">
      <c r="A3" s="2916"/>
      <c r="B3" s="2916"/>
      <c r="C3" s="2916"/>
      <c r="D3" s="2916"/>
      <c r="E3" s="2916"/>
      <c r="F3" s="2916"/>
    </row>
    <row r="4" spans="1:6" ht="24.75" customHeight="1" x14ac:dyDescent="0.15">
      <c r="A4" s="2939" t="s">
        <v>2260</v>
      </c>
      <c r="B4" s="2941" t="s">
        <v>1723</v>
      </c>
      <c r="C4" s="2942"/>
      <c r="D4" s="2942"/>
      <c r="E4" s="2942"/>
      <c r="F4" s="2943"/>
    </row>
    <row r="5" spans="1:6" ht="27" customHeight="1" x14ac:dyDescent="0.15">
      <c r="A5" s="2940"/>
      <c r="B5" s="871">
        <v>2011</v>
      </c>
      <c r="C5" s="871">
        <v>2012</v>
      </c>
      <c r="D5" s="13">
        <v>2013</v>
      </c>
      <c r="E5" s="871">
        <v>2014</v>
      </c>
      <c r="F5" s="871">
        <v>2015</v>
      </c>
    </row>
    <row r="6" spans="1:6" ht="15" customHeight="1" x14ac:dyDescent="0.15">
      <c r="A6" s="883" t="s">
        <v>141</v>
      </c>
      <c r="B6" s="866">
        <v>2554595</v>
      </c>
      <c r="C6" s="866">
        <v>2314502</v>
      </c>
      <c r="D6" s="689">
        <v>2724740</v>
      </c>
      <c r="E6" s="689">
        <v>4229170</v>
      </c>
      <c r="F6" s="689">
        <v>4622803</v>
      </c>
    </row>
    <row r="7" spans="1:6" x14ac:dyDescent="0.15">
      <c r="A7" s="2917"/>
      <c r="B7" s="2917"/>
      <c r="C7" s="2917"/>
      <c r="D7" s="2917"/>
      <c r="E7" s="2917"/>
      <c r="F7" s="2917"/>
    </row>
    <row r="8" spans="1:6" ht="21.75" customHeight="1" x14ac:dyDescent="0.15">
      <c r="A8" s="2938" t="s">
        <v>2261</v>
      </c>
      <c r="B8" s="2938"/>
      <c r="C8" s="2938"/>
      <c r="D8" s="2938"/>
      <c r="E8" s="2938"/>
      <c r="F8" s="2938"/>
    </row>
    <row r="9" spans="1:6" ht="10.5" customHeight="1" x14ac:dyDescent="0.15">
      <c r="A9" s="2938" t="s">
        <v>2262</v>
      </c>
      <c r="B9" s="2938"/>
      <c r="C9" s="2938"/>
      <c r="D9" s="2938"/>
      <c r="E9" s="2938"/>
      <c r="F9" s="2938"/>
    </row>
    <row r="10" spans="1:6" x14ac:dyDescent="0.15">
      <c r="A10" s="2907" t="s">
        <v>21</v>
      </c>
      <c r="B10" s="2907"/>
      <c r="C10" s="2907"/>
      <c r="D10" s="2907"/>
      <c r="E10" s="2907"/>
      <c r="F10" s="2907"/>
    </row>
  </sheetData>
  <mergeCells count="8">
    <mergeCell ref="A9:F9"/>
    <mergeCell ref="A10:F10"/>
    <mergeCell ref="A2:F2"/>
    <mergeCell ref="A3:F3"/>
    <mergeCell ref="A4:A5"/>
    <mergeCell ref="B4:F4"/>
    <mergeCell ref="A7:F7"/>
    <mergeCell ref="A8:F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F25"/>
  <sheetViews>
    <sheetView workbookViewId="0"/>
  </sheetViews>
  <sheetFormatPr baseColWidth="10" defaultColWidth="11.42578125" defaultRowHeight="10.5" x14ac:dyDescent="0.15"/>
  <cols>
    <col min="1" max="1" width="36.140625" style="1" customWidth="1"/>
    <col min="2" max="2" width="13.140625" style="1" bestFit="1" customWidth="1"/>
    <col min="3" max="3" width="13" style="1" customWidth="1"/>
    <col min="4" max="4" width="11.85546875" style="1" bestFit="1" customWidth="1"/>
    <col min="5" max="6" width="14.28515625" style="1" customWidth="1"/>
    <col min="7" max="16384" width="11.42578125" style="1"/>
  </cols>
  <sheetData>
    <row r="2" spans="1:6" ht="26.25" customHeight="1" x14ac:dyDescent="0.15">
      <c r="A2" s="2322" t="s">
        <v>4184</v>
      </c>
      <c r="B2" s="2322"/>
      <c r="C2" s="2322"/>
      <c r="D2" s="2322"/>
      <c r="E2" s="2322"/>
      <c r="F2" s="2322"/>
    </row>
    <row r="4" spans="1:6" x14ac:dyDescent="0.15">
      <c r="A4" s="2325" t="s">
        <v>172</v>
      </c>
      <c r="B4" s="2325" t="s">
        <v>69</v>
      </c>
      <c r="C4" s="2325" t="s">
        <v>70</v>
      </c>
      <c r="D4" s="2325"/>
      <c r="E4" s="2325"/>
      <c r="F4" s="2325"/>
    </row>
    <row r="5" spans="1:6" ht="54" customHeight="1" x14ac:dyDescent="0.15">
      <c r="A5" s="2325"/>
      <c r="B5" s="2325"/>
      <c r="C5" s="37" t="s">
        <v>71</v>
      </c>
      <c r="D5" s="37" t="s">
        <v>88</v>
      </c>
      <c r="E5" s="37" t="s">
        <v>73</v>
      </c>
      <c r="F5" s="37" t="s">
        <v>89</v>
      </c>
    </row>
    <row r="6" spans="1:6" s="30" customFormat="1" x14ac:dyDescent="0.15">
      <c r="A6" s="30" t="s">
        <v>4</v>
      </c>
      <c r="B6" s="88">
        <f>SUM(C6:F6)</f>
        <v>2215679</v>
      </c>
      <c r="C6" s="88">
        <f>SUM(C7:C8)</f>
        <v>197262</v>
      </c>
      <c r="D6" s="88">
        <f t="shared" ref="D6:F6" si="0">SUM(D7:D8)</f>
        <v>608112</v>
      </c>
      <c r="E6" s="88">
        <f t="shared" si="0"/>
        <v>297496</v>
      </c>
      <c r="F6" s="88">
        <f t="shared" si="0"/>
        <v>1112809</v>
      </c>
    </row>
    <row r="7" spans="1:6" ht="12.75" customHeight="1" x14ac:dyDescent="0.15">
      <c r="A7" s="1" t="s">
        <v>173</v>
      </c>
      <c r="B7" s="88">
        <f>SUM(C7:F7)</f>
        <v>107245</v>
      </c>
      <c r="C7" s="20">
        <v>4350</v>
      </c>
      <c r="D7" s="20">
        <v>11507</v>
      </c>
      <c r="E7" s="20">
        <v>16857</v>
      </c>
      <c r="F7" s="20">
        <v>74531</v>
      </c>
    </row>
    <row r="8" spans="1:6" x14ac:dyDescent="0.15">
      <c r="A8" s="1" t="s">
        <v>174</v>
      </c>
      <c r="B8" s="88">
        <f>SUM(C8:F8)</f>
        <v>2108434</v>
      </c>
      <c r="C8" s="20">
        <v>192912</v>
      </c>
      <c r="D8" s="20">
        <v>596605</v>
      </c>
      <c r="E8" s="20">
        <v>280639</v>
      </c>
      <c r="F8" s="20">
        <v>1038278</v>
      </c>
    </row>
    <row r="9" spans="1:6" ht="10.5" customHeight="1" x14ac:dyDescent="0.15">
      <c r="C9" s="28"/>
      <c r="D9" s="28"/>
      <c r="E9" s="28"/>
      <c r="F9" s="28"/>
    </row>
    <row r="10" spans="1:6" ht="22.5" customHeight="1" x14ac:dyDescent="0.15">
      <c r="A10" s="2318" t="s">
        <v>175</v>
      </c>
      <c r="B10" s="2318"/>
      <c r="C10" s="2318"/>
      <c r="D10" s="2318"/>
      <c r="E10" s="2318"/>
      <c r="F10" s="2318"/>
    </row>
    <row r="11" spans="1:6" ht="33.75" customHeight="1" x14ac:dyDescent="0.15">
      <c r="A11" s="2318" t="s">
        <v>176</v>
      </c>
      <c r="B11" s="2318"/>
      <c r="C11" s="2318"/>
      <c r="D11" s="2318"/>
      <c r="E11" s="2318"/>
      <c r="F11" s="2318"/>
    </row>
    <row r="12" spans="1:6" x14ac:dyDescent="0.15">
      <c r="A12" s="2303" t="s">
        <v>21</v>
      </c>
      <c r="B12" s="2303"/>
      <c r="C12" s="2303"/>
      <c r="D12" s="2303"/>
      <c r="E12" s="2303"/>
      <c r="F12" s="2303"/>
    </row>
    <row r="13" spans="1:6" ht="11.25" customHeight="1" x14ac:dyDescent="0.15"/>
    <row r="16" spans="1:6" x14ac:dyDescent="0.15">
      <c r="D16" s="91"/>
    </row>
    <row r="17" spans="1:2" x14ac:dyDescent="0.15">
      <c r="B17" s="92"/>
    </row>
    <row r="18" spans="1:2" x14ac:dyDescent="0.15">
      <c r="B18" s="92"/>
    </row>
    <row r="25" spans="1:2" x14ac:dyDescent="0.15">
      <c r="A25" s="93"/>
    </row>
  </sheetData>
  <mergeCells count="7">
    <mergeCell ref="A12:F12"/>
    <mergeCell ref="A2:F2"/>
    <mergeCell ref="A4:A5"/>
    <mergeCell ref="B4:B5"/>
    <mergeCell ref="C4:F4"/>
    <mergeCell ref="A10:F10"/>
    <mergeCell ref="A11:F11"/>
  </mergeCells>
  <pageMargins left="0.7" right="0.7" top="0.75" bottom="0.75" header="0.3" footer="0.3"/>
  <pageSetup paperSize="9" orientation="portrait" verticalDpi="599"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F18"/>
  <sheetViews>
    <sheetView workbookViewId="0">
      <selection activeCell="F34" sqref="F34"/>
    </sheetView>
  </sheetViews>
  <sheetFormatPr baseColWidth="10" defaultColWidth="13" defaultRowHeight="10.5" x14ac:dyDescent="0.15"/>
  <cols>
    <col min="1" max="1" width="17.42578125" style="851" customWidth="1"/>
    <col min="2" max="2" width="16.85546875" style="851" customWidth="1"/>
    <col min="3" max="3" width="18.42578125" style="851" customWidth="1"/>
    <col min="4" max="16384" width="13" style="851"/>
  </cols>
  <sheetData>
    <row r="2" spans="1:6" ht="14.25" customHeight="1" x14ac:dyDescent="0.15">
      <c r="A2" s="2915" t="s">
        <v>2263</v>
      </c>
      <c r="B2" s="2915"/>
      <c r="C2" s="2915"/>
      <c r="D2" s="2915"/>
      <c r="E2" s="2915"/>
      <c r="F2" s="2915"/>
    </row>
    <row r="3" spans="1:6" x14ac:dyDescent="0.15">
      <c r="A3" s="883"/>
      <c r="B3" s="14"/>
      <c r="C3" s="14"/>
      <c r="D3" s="14"/>
      <c r="E3" s="14"/>
    </row>
    <row r="4" spans="1:6" x14ac:dyDescent="0.15">
      <c r="A4" s="2939" t="s">
        <v>2264</v>
      </c>
      <c r="B4" s="2310" t="s">
        <v>1723</v>
      </c>
      <c r="C4" s="2310"/>
      <c r="D4" s="2310"/>
      <c r="E4" s="2310"/>
      <c r="F4" s="2310"/>
    </row>
    <row r="5" spans="1:6" s="862" customFormat="1" ht="27" customHeight="1" x14ac:dyDescent="0.25">
      <c r="A5" s="2940"/>
      <c r="B5" s="871">
        <v>2011</v>
      </c>
      <c r="C5" s="871">
        <v>2012</v>
      </c>
      <c r="D5" s="75">
        <v>2013</v>
      </c>
      <c r="E5" s="871">
        <v>2014</v>
      </c>
      <c r="F5" s="871">
        <v>2015</v>
      </c>
    </row>
    <row r="6" spans="1:6" x14ac:dyDescent="0.15">
      <c r="A6" s="883" t="s">
        <v>141</v>
      </c>
      <c r="B6" s="689">
        <v>3276063</v>
      </c>
      <c r="C6" s="689">
        <v>2204724</v>
      </c>
      <c r="D6" s="884">
        <v>2371506</v>
      </c>
      <c r="E6" s="884">
        <v>2485984</v>
      </c>
      <c r="F6" s="884">
        <v>3095726</v>
      </c>
    </row>
    <row r="7" spans="1:6" x14ac:dyDescent="0.15">
      <c r="A7" s="2921"/>
      <c r="B7" s="2921"/>
      <c r="C7" s="2921"/>
      <c r="D7" s="2921"/>
      <c r="E7" s="2921"/>
      <c r="F7" s="2921"/>
    </row>
    <row r="8" spans="1:6" ht="22.5" customHeight="1" x14ac:dyDescent="0.15">
      <c r="A8" s="2945" t="s">
        <v>2265</v>
      </c>
      <c r="B8" s="2945"/>
      <c r="C8" s="2945"/>
      <c r="D8" s="2945"/>
      <c r="E8" s="2945"/>
      <c r="F8" s="2945"/>
    </row>
    <row r="9" spans="1:6" ht="11.25" customHeight="1" x14ac:dyDescent="0.15">
      <c r="A9" s="2945" t="s">
        <v>21</v>
      </c>
      <c r="B9" s="2945"/>
      <c r="C9" s="2945"/>
      <c r="D9" s="2945"/>
      <c r="E9" s="2945"/>
      <c r="F9" s="2945"/>
    </row>
    <row r="11" spans="1:6" x14ac:dyDescent="0.15">
      <c r="B11" s="2944"/>
    </row>
    <row r="12" spans="1:6" x14ac:dyDescent="0.15">
      <c r="B12" s="2944"/>
    </row>
    <row r="13" spans="1:6" x14ac:dyDescent="0.15">
      <c r="B13" s="885"/>
    </row>
    <row r="17" ht="15" customHeight="1" x14ac:dyDescent="0.15"/>
    <row r="18" ht="15" customHeight="1" x14ac:dyDescent="0.15"/>
  </sheetData>
  <mergeCells count="7">
    <mergeCell ref="B11:B12"/>
    <mergeCell ref="A2:F2"/>
    <mergeCell ref="A4:A5"/>
    <mergeCell ref="B4:F4"/>
    <mergeCell ref="A7:F7"/>
    <mergeCell ref="A8:F8"/>
    <mergeCell ref="A9:F9"/>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21"/>
  <sheetViews>
    <sheetView workbookViewId="0">
      <selection activeCell="E31" sqref="E31"/>
    </sheetView>
  </sheetViews>
  <sheetFormatPr baseColWidth="10" defaultColWidth="13" defaultRowHeight="10.5" x14ac:dyDescent="0.15"/>
  <cols>
    <col min="1" max="1" width="62" style="851" customWidth="1"/>
    <col min="2" max="6" width="14.7109375" style="851" customWidth="1"/>
    <col min="7" max="16384" width="13" style="851"/>
  </cols>
  <sheetData>
    <row r="2" spans="1:6" ht="24.75" customHeight="1" x14ac:dyDescent="0.15">
      <c r="A2" s="2915" t="s">
        <v>2266</v>
      </c>
      <c r="B2" s="2915"/>
      <c r="C2" s="2915"/>
      <c r="D2" s="2915"/>
      <c r="E2" s="2915"/>
      <c r="F2" s="2915"/>
    </row>
    <row r="3" spans="1:6" ht="10.5" customHeight="1" x14ac:dyDescent="0.15">
      <c r="A3" s="2916"/>
      <c r="B3" s="2916"/>
      <c r="C3" s="2916"/>
      <c r="D3" s="2916"/>
      <c r="E3" s="2916"/>
      <c r="F3" s="2916"/>
    </row>
    <row r="4" spans="1:6" x14ac:dyDescent="0.15">
      <c r="A4" s="2340" t="s">
        <v>2267</v>
      </c>
      <c r="B4" s="2309" t="s">
        <v>2268</v>
      </c>
      <c r="C4" s="2309"/>
      <c r="D4" s="2309"/>
      <c r="E4" s="2309"/>
      <c r="F4" s="2309"/>
    </row>
    <row r="5" spans="1:6" ht="11.25" x14ac:dyDescent="0.15">
      <c r="A5" s="2340"/>
      <c r="B5" s="871">
        <v>2011</v>
      </c>
      <c r="C5" s="871">
        <v>2012</v>
      </c>
      <c r="D5" s="871" t="s">
        <v>2239</v>
      </c>
      <c r="E5" s="871" t="s">
        <v>1637</v>
      </c>
      <c r="F5" s="871">
        <v>2015</v>
      </c>
    </row>
    <row r="6" spans="1:6" x14ac:dyDescent="0.15">
      <c r="A6" s="886" t="s">
        <v>141</v>
      </c>
      <c r="B6" s="887">
        <v>35777674</v>
      </c>
      <c r="C6" s="887">
        <v>22636361</v>
      </c>
      <c r="D6" s="887">
        <v>884092</v>
      </c>
      <c r="E6" s="887">
        <v>3562852</v>
      </c>
      <c r="F6" s="888">
        <v>5251064</v>
      </c>
    </row>
    <row r="7" spans="1:6" ht="11.25" x14ac:dyDescent="0.15">
      <c r="A7" s="889" t="s">
        <v>2269</v>
      </c>
      <c r="B7" s="890">
        <v>0</v>
      </c>
      <c r="C7" s="890">
        <v>0</v>
      </c>
      <c r="D7" s="890">
        <v>0</v>
      </c>
      <c r="E7" s="891">
        <v>413559</v>
      </c>
      <c r="F7" s="891">
        <v>651975</v>
      </c>
    </row>
    <row r="8" spans="1:6" ht="11.25" x14ac:dyDescent="0.15">
      <c r="A8" s="889" t="s">
        <v>2270</v>
      </c>
      <c r="B8" s="890">
        <v>0</v>
      </c>
      <c r="C8" s="890">
        <v>0</v>
      </c>
      <c r="D8" s="890">
        <v>0</v>
      </c>
      <c r="E8" s="891">
        <v>1861027</v>
      </c>
      <c r="F8" s="891">
        <v>3082157</v>
      </c>
    </row>
    <row r="9" spans="1:6" ht="11.25" x14ac:dyDescent="0.15">
      <c r="A9" s="889" t="s">
        <v>2271</v>
      </c>
      <c r="B9" s="890">
        <v>1173498</v>
      </c>
      <c r="C9" s="890">
        <v>975068</v>
      </c>
      <c r="D9" s="892">
        <v>9039</v>
      </c>
      <c r="E9" s="892">
        <v>188082</v>
      </c>
      <c r="F9" s="891">
        <v>243337</v>
      </c>
    </row>
    <row r="10" spans="1:6" ht="11.25" x14ac:dyDescent="0.15">
      <c r="A10" s="889" t="s">
        <v>2272</v>
      </c>
      <c r="B10" s="890">
        <v>57585</v>
      </c>
      <c r="C10" s="890">
        <v>43321</v>
      </c>
      <c r="D10" s="892">
        <v>5257</v>
      </c>
      <c r="E10" s="892">
        <v>30210</v>
      </c>
      <c r="F10" s="891">
        <v>58568</v>
      </c>
    </row>
    <row r="11" spans="1:6" ht="11.25" x14ac:dyDescent="0.15">
      <c r="A11" s="889" t="s">
        <v>2273</v>
      </c>
      <c r="B11" s="890">
        <v>2597889</v>
      </c>
      <c r="C11" s="890">
        <v>974626</v>
      </c>
      <c r="D11" s="892">
        <v>673582</v>
      </c>
      <c r="E11" s="892">
        <v>822653</v>
      </c>
      <c r="F11" s="891">
        <v>962034</v>
      </c>
    </row>
    <row r="12" spans="1:6" s="870" customFormat="1" ht="11.25" x14ac:dyDescent="0.15">
      <c r="A12" s="893" t="s">
        <v>2274</v>
      </c>
      <c r="B12" s="894">
        <v>31948702</v>
      </c>
      <c r="C12" s="894">
        <v>20643346</v>
      </c>
      <c r="D12" s="892">
        <v>196214</v>
      </c>
      <c r="E12" s="892">
        <v>247321</v>
      </c>
      <c r="F12" s="891">
        <v>252993</v>
      </c>
    </row>
    <row r="13" spans="1:6" x14ac:dyDescent="0.15">
      <c r="A13" s="16"/>
      <c r="B13" s="33"/>
      <c r="C13" s="33"/>
      <c r="D13" s="876"/>
      <c r="E13" s="895"/>
      <c r="F13" s="870"/>
    </row>
    <row r="14" spans="1:6" x14ac:dyDescent="0.15">
      <c r="A14" s="2947" t="s">
        <v>2275</v>
      </c>
      <c r="B14" s="2947"/>
      <c r="C14" s="2947"/>
      <c r="D14" s="2947"/>
      <c r="E14" s="2947"/>
      <c r="F14" s="2947"/>
    </row>
    <row r="15" spans="1:6" s="870" customFormat="1" x14ac:dyDescent="0.15">
      <c r="A15" s="2948" t="s">
        <v>2276</v>
      </c>
      <c r="B15" s="2948"/>
      <c r="C15" s="2948"/>
      <c r="D15" s="2948"/>
      <c r="E15" s="2948"/>
      <c r="F15" s="2948"/>
    </row>
    <row r="16" spans="1:6" x14ac:dyDescent="0.15">
      <c r="A16" s="2311" t="s">
        <v>2277</v>
      </c>
      <c r="B16" s="2311"/>
      <c r="C16" s="2311"/>
      <c r="D16" s="2311"/>
      <c r="E16" s="2311"/>
      <c r="F16" s="2311"/>
    </row>
    <row r="17" spans="1:6" x14ac:dyDescent="0.15">
      <c r="A17" s="2311" t="s">
        <v>2278</v>
      </c>
      <c r="B17" s="2311"/>
      <c r="C17" s="2311"/>
      <c r="D17" s="2311"/>
      <c r="E17" s="2311"/>
      <c r="F17" s="2311"/>
    </row>
    <row r="18" spans="1:6" x14ac:dyDescent="0.15">
      <c r="A18" s="2311" t="s">
        <v>2279</v>
      </c>
      <c r="B18" s="2311"/>
      <c r="C18" s="2311"/>
      <c r="D18" s="2311"/>
      <c r="E18" s="2311"/>
      <c r="F18" s="2311"/>
    </row>
    <row r="19" spans="1:6" x14ac:dyDescent="0.15">
      <c r="A19" s="2311" t="s">
        <v>2280</v>
      </c>
      <c r="B19" s="2311"/>
      <c r="C19" s="2311"/>
      <c r="D19" s="2311"/>
      <c r="E19" s="2311"/>
      <c r="F19" s="2311"/>
    </row>
    <row r="20" spans="1:6" x14ac:dyDescent="0.15">
      <c r="A20" s="2949" t="s">
        <v>60</v>
      </c>
      <c r="B20" s="2949"/>
      <c r="C20" s="2949"/>
      <c r="D20" s="2949"/>
      <c r="E20" s="2949"/>
      <c r="F20" s="2949"/>
    </row>
    <row r="21" spans="1:6" x14ac:dyDescent="0.15">
      <c r="A21" s="2946" t="s">
        <v>21</v>
      </c>
      <c r="B21" s="2946"/>
      <c r="C21" s="2946"/>
      <c r="D21" s="2946"/>
      <c r="E21" s="2946"/>
      <c r="F21" s="2946"/>
    </row>
  </sheetData>
  <mergeCells count="12">
    <mergeCell ref="A21:F21"/>
    <mergeCell ref="A2:F2"/>
    <mergeCell ref="A3:F3"/>
    <mergeCell ref="A4:A5"/>
    <mergeCell ref="B4:F4"/>
    <mergeCell ref="A14:F14"/>
    <mergeCell ref="A15:F15"/>
    <mergeCell ref="A16:F16"/>
    <mergeCell ref="A17:F17"/>
    <mergeCell ref="A18:F18"/>
    <mergeCell ref="A19:F19"/>
    <mergeCell ref="A20:F20"/>
  </mergeCells>
  <pageMargins left="0.70866141732283472" right="0.70866141732283472" top="0.74803149606299213" bottom="0.74803149606299213" header="0.31496062992125984" footer="0.31496062992125984"/>
  <pageSetup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K23"/>
  <sheetViews>
    <sheetView workbookViewId="0">
      <selection activeCell="F35" sqref="F35"/>
    </sheetView>
  </sheetViews>
  <sheetFormatPr baseColWidth="10" defaultColWidth="13" defaultRowHeight="10.5" x14ac:dyDescent="0.15"/>
  <cols>
    <col min="1" max="1" width="33.42578125" style="851" customWidth="1"/>
    <col min="2" max="2" width="13" style="851"/>
    <col min="3" max="3" width="15" style="851" customWidth="1"/>
    <col min="4" max="4" width="13" style="851"/>
    <col min="5" max="5" width="15" style="851" customWidth="1"/>
    <col min="6" max="6" width="13" style="851"/>
    <col min="7" max="7" width="15" style="851" customWidth="1"/>
    <col min="8" max="8" width="13" style="851"/>
    <col min="9" max="9" width="15" style="851" customWidth="1"/>
    <col min="10" max="10" width="13" style="851" customWidth="1"/>
    <col min="11" max="11" width="15" style="851" bestFit="1" customWidth="1"/>
    <col min="12" max="16384" width="13" style="851"/>
  </cols>
  <sheetData>
    <row r="2" spans="1:11" ht="22.5" customHeight="1" x14ac:dyDescent="0.15">
      <c r="A2" s="2951" t="s">
        <v>2281</v>
      </c>
      <c r="B2" s="2951"/>
      <c r="C2" s="2951"/>
      <c r="D2" s="2951"/>
      <c r="E2" s="2951"/>
      <c r="F2" s="2951"/>
      <c r="G2" s="2951"/>
      <c r="H2" s="2951"/>
      <c r="I2" s="2951"/>
      <c r="J2" s="2951"/>
      <c r="K2" s="2951"/>
    </row>
    <row r="3" spans="1:11" ht="11.25" customHeight="1" x14ac:dyDescent="0.15">
      <c r="A3" s="2952"/>
      <c r="B3" s="2952"/>
      <c r="C3" s="2952"/>
      <c r="D3" s="2952"/>
      <c r="E3" s="2952"/>
      <c r="F3" s="2952"/>
      <c r="G3" s="2952"/>
      <c r="H3" s="2952"/>
      <c r="I3" s="2952"/>
      <c r="J3" s="2952"/>
      <c r="K3" s="2952"/>
    </row>
    <row r="4" spans="1:11" ht="11.25" x14ac:dyDescent="0.15">
      <c r="A4" s="2340" t="s">
        <v>2267</v>
      </c>
      <c r="B4" s="2310">
        <v>2011</v>
      </c>
      <c r="C4" s="2310"/>
      <c r="D4" s="2310">
        <v>2012</v>
      </c>
      <c r="E4" s="2310"/>
      <c r="F4" s="2310" t="s">
        <v>1399</v>
      </c>
      <c r="G4" s="2310"/>
      <c r="H4" s="2310" t="s">
        <v>450</v>
      </c>
      <c r="I4" s="2310"/>
      <c r="J4" s="2310">
        <v>2015</v>
      </c>
      <c r="K4" s="2310"/>
    </row>
    <row r="5" spans="1:11" ht="21" x14ac:dyDescent="0.15">
      <c r="A5" s="2340"/>
      <c r="B5" s="75" t="s">
        <v>2282</v>
      </c>
      <c r="C5" s="75" t="s">
        <v>2283</v>
      </c>
      <c r="D5" s="75" t="s">
        <v>2282</v>
      </c>
      <c r="E5" s="75" t="s">
        <v>2283</v>
      </c>
      <c r="F5" s="75" t="s">
        <v>2282</v>
      </c>
      <c r="G5" s="75" t="s">
        <v>2283</v>
      </c>
      <c r="H5" s="75" t="s">
        <v>2282</v>
      </c>
      <c r="I5" s="75" t="s">
        <v>2283</v>
      </c>
      <c r="J5" s="75" t="s">
        <v>2282</v>
      </c>
      <c r="K5" s="75" t="s">
        <v>2283</v>
      </c>
    </row>
    <row r="6" spans="1:11" ht="11.25" x14ac:dyDescent="0.15">
      <c r="A6" s="896" t="s">
        <v>2284</v>
      </c>
      <c r="B6" s="48">
        <v>2158666</v>
      </c>
      <c r="C6" s="48">
        <v>15403761</v>
      </c>
      <c r="D6" s="48">
        <v>3920306</v>
      </c>
      <c r="E6" s="48">
        <v>23753860</v>
      </c>
      <c r="F6" s="876">
        <v>3795013</v>
      </c>
      <c r="G6" s="876">
        <v>24254820</v>
      </c>
      <c r="H6" s="897">
        <v>3073562</v>
      </c>
      <c r="I6" s="876">
        <v>3419626</v>
      </c>
      <c r="J6" s="898">
        <v>4446076</v>
      </c>
      <c r="K6" s="898">
        <v>3378395</v>
      </c>
    </row>
    <row r="7" spans="1:11" ht="11.25" x14ac:dyDescent="0.15">
      <c r="A7" s="896" t="s">
        <v>2285</v>
      </c>
      <c r="B7" s="48">
        <v>1220575</v>
      </c>
      <c r="C7" s="48">
        <v>29290</v>
      </c>
      <c r="D7" s="48">
        <v>1213131</v>
      </c>
      <c r="E7" s="48">
        <v>22343</v>
      </c>
      <c r="F7" s="48">
        <v>824362</v>
      </c>
      <c r="G7" s="48">
        <v>13026</v>
      </c>
      <c r="H7" s="899">
        <v>222917</v>
      </c>
      <c r="I7" s="61">
        <v>5219</v>
      </c>
      <c r="J7" s="898">
        <v>202974</v>
      </c>
      <c r="K7" s="898">
        <v>7492</v>
      </c>
    </row>
    <row r="8" spans="1:11" ht="11.25" x14ac:dyDescent="0.15">
      <c r="A8" s="896" t="s">
        <v>2286</v>
      </c>
      <c r="B8" s="48">
        <v>395786</v>
      </c>
      <c r="C8" s="900" t="s">
        <v>2287</v>
      </c>
      <c r="D8" s="48">
        <v>310691</v>
      </c>
      <c r="E8" s="900" t="s">
        <v>181</v>
      </c>
      <c r="F8" s="861">
        <v>142637</v>
      </c>
      <c r="G8" s="900" t="s">
        <v>181</v>
      </c>
      <c r="H8" s="897">
        <v>175971</v>
      </c>
      <c r="I8" s="900" t="s">
        <v>181</v>
      </c>
      <c r="J8" s="898">
        <v>174216</v>
      </c>
      <c r="K8" s="901" t="s">
        <v>181</v>
      </c>
    </row>
    <row r="9" spans="1:11" ht="11.25" x14ac:dyDescent="0.15">
      <c r="A9" s="896" t="s">
        <v>2288</v>
      </c>
      <c r="B9" s="48">
        <v>444554</v>
      </c>
      <c r="C9" s="900" t="s">
        <v>2287</v>
      </c>
      <c r="D9" s="48">
        <v>342042</v>
      </c>
      <c r="E9" s="900" t="s">
        <v>181</v>
      </c>
      <c r="F9" s="861">
        <v>10929</v>
      </c>
      <c r="G9" s="900" t="s">
        <v>181</v>
      </c>
      <c r="H9" s="897">
        <v>15460</v>
      </c>
      <c r="I9" s="900" t="s">
        <v>181</v>
      </c>
      <c r="J9" s="898">
        <v>178855</v>
      </c>
      <c r="K9" s="901" t="s">
        <v>181</v>
      </c>
    </row>
    <row r="10" spans="1:11" ht="11.25" x14ac:dyDescent="0.15">
      <c r="A10" s="896" t="s">
        <v>2289</v>
      </c>
      <c r="B10" s="48">
        <v>16306</v>
      </c>
      <c r="C10" s="900" t="s">
        <v>2287</v>
      </c>
      <c r="D10" s="48">
        <v>20830</v>
      </c>
      <c r="E10" s="900" t="s">
        <v>181</v>
      </c>
      <c r="F10" s="861">
        <v>9507</v>
      </c>
      <c r="G10" s="900" t="s">
        <v>181</v>
      </c>
      <c r="H10" s="897">
        <v>5054</v>
      </c>
      <c r="I10" s="900" t="s">
        <v>181</v>
      </c>
      <c r="J10" s="898">
        <v>11454</v>
      </c>
      <c r="K10" s="901" t="s">
        <v>181</v>
      </c>
    </row>
    <row r="11" spans="1:11" ht="11.25" x14ac:dyDescent="0.15">
      <c r="A11" s="896" t="s">
        <v>2290</v>
      </c>
      <c r="B11" s="48">
        <v>12910</v>
      </c>
      <c r="C11" s="900" t="s">
        <v>2287</v>
      </c>
      <c r="D11" s="48">
        <v>22024</v>
      </c>
      <c r="E11" s="900" t="s">
        <v>181</v>
      </c>
      <c r="F11" s="861">
        <v>1308</v>
      </c>
      <c r="G11" s="900" t="s">
        <v>181</v>
      </c>
      <c r="H11" s="897">
        <v>1445</v>
      </c>
      <c r="I11" s="900" t="s">
        <v>181</v>
      </c>
      <c r="J11" s="898">
        <v>925</v>
      </c>
      <c r="K11" s="901" t="s">
        <v>181</v>
      </c>
    </row>
    <row r="12" spans="1:11" x14ac:dyDescent="0.15">
      <c r="A12" s="2932"/>
      <c r="B12" s="2932"/>
      <c r="C12" s="2932"/>
      <c r="D12" s="2932"/>
      <c r="E12" s="2932"/>
      <c r="F12" s="2932"/>
      <c r="G12" s="2932"/>
      <c r="H12" s="2932"/>
      <c r="I12" s="2932"/>
      <c r="J12" s="2932"/>
      <c r="K12" s="2932"/>
    </row>
    <row r="13" spans="1:11" s="870" customFormat="1" x14ac:dyDescent="0.15">
      <c r="A13" s="2950" t="s">
        <v>2255</v>
      </c>
      <c r="B13" s="2950"/>
      <c r="C13" s="2950"/>
      <c r="D13" s="2950"/>
      <c r="E13" s="2950"/>
      <c r="F13" s="2950"/>
      <c r="G13" s="2950"/>
      <c r="H13" s="2950"/>
      <c r="I13" s="2950"/>
      <c r="J13" s="2950"/>
      <c r="K13" s="2950"/>
    </row>
    <row r="14" spans="1:11" ht="11.25" customHeight="1" x14ac:dyDescent="0.15">
      <c r="A14" s="2950" t="s">
        <v>2291</v>
      </c>
      <c r="B14" s="2950"/>
      <c r="C14" s="2950"/>
      <c r="D14" s="2950"/>
      <c r="E14" s="2950"/>
      <c r="F14" s="2950"/>
      <c r="G14" s="2950"/>
      <c r="H14" s="2950"/>
      <c r="I14" s="2950"/>
      <c r="J14" s="2950"/>
      <c r="K14" s="2950"/>
    </row>
    <row r="15" spans="1:11" ht="11.25" customHeight="1" x14ac:dyDescent="0.15">
      <c r="A15" s="2950" t="s">
        <v>2292</v>
      </c>
      <c r="B15" s="2950"/>
      <c r="C15" s="2950"/>
      <c r="D15" s="2950"/>
      <c r="E15" s="2950"/>
      <c r="F15" s="2950"/>
      <c r="G15" s="2950"/>
      <c r="H15" s="2950"/>
      <c r="I15" s="2950"/>
      <c r="J15" s="2950"/>
      <c r="K15" s="2950"/>
    </row>
    <row r="16" spans="1:11" ht="11.25" customHeight="1" x14ac:dyDescent="0.15">
      <c r="A16" s="2950" t="s">
        <v>2293</v>
      </c>
      <c r="B16" s="2950"/>
      <c r="C16" s="2950"/>
      <c r="D16" s="2950"/>
      <c r="E16" s="2950"/>
      <c r="F16" s="2950"/>
      <c r="G16" s="2950"/>
      <c r="H16" s="2950"/>
      <c r="I16" s="2950"/>
      <c r="J16" s="2950"/>
      <c r="K16" s="2950"/>
    </row>
    <row r="17" spans="1:11" ht="11.25" customHeight="1" x14ac:dyDescent="0.15">
      <c r="A17" s="2950" t="s">
        <v>2294</v>
      </c>
      <c r="B17" s="2950"/>
      <c r="C17" s="2950"/>
      <c r="D17" s="2950"/>
      <c r="E17" s="2950"/>
      <c r="F17" s="2950"/>
      <c r="G17" s="2950"/>
      <c r="H17" s="2950"/>
      <c r="I17" s="2950"/>
      <c r="J17" s="2950"/>
      <c r="K17" s="2950"/>
    </row>
    <row r="18" spans="1:11" ht="11.25" customHeight="1" x14ac:dyDescent="0.15">
      <c r="A18" s="2950" t="s">
        <v>2295</v>
      </c>
      <c r="B18" s="2950"/>
      <c r="C18" s="2950"/>
      <c r="D18" s="2950"/>
      <c r="E18" s="2950"/>
      <c r="F18" s="2950"/>
      <c r="G18" s="2950"/>
      <c r="H18" s="2950"/>
      <c r="I18" s="2950"/>
      <c r="J18" s="2950"/>
      <c r="K18" s="2950"/>
    </row>
    <row r="19" spans="1:11" ht="11.25" customHeight="1" x14ac:dyDescent="0.15">
      <c r="A19" s="2950" t="s">
        <v>2296</v>
      </c>
      <c r="B19" s="2950"/>
      <c r="C19" s="2950"/>
      <c r="D19" s="2950"/>
      <c r="E19" s="2950"/>
      <c r="F19" s="2950"/>
      <c r="G19" s="2950"/>
      <c r="H19" s="2950"/>
      <c r="I19" s="2950"/>
      <c r="J19" s="2950"/>
      <c r="K19" s="2950"/>
    </row>
    <row r="20" spans="1:11" ht="11.25" customHeight="1" x14ac:dyDescent="0.15">
      <c r="A20" s="2953" t="s">
        <v>44</v>
      </c>
      <c r="B20" s="2953"/>
      <c r="C20" s="2953"/>
      <c r="D20" s="2953"/>
      <c r="E20" s="2953"/>
      <c r="F20" s="2953"/>
      <c r="G20" s="2953"/>
      <c r="H20" s="2953"/>
      <c r="I20" s="2953"/>
      <c r="J20" s="2953"/>
      <c r="K20" s="2953"/>
    </row>
    <row r="21" spans="1:11" ht="11.25" customHeight="1" x14ac:dyDescent="0.15">
      <c r="A21" s="2954" t="s">
        <v>731</v>
      </c>
      <c r="B21" s="2954"/>
      <c r="C21" s="2954"/>
      <c r="D21" s="2954"/>
      <c r="E21" s="2954"/>
      <c r="F21" s="2954"/>
      <c r="G21" s="2954"/>
      <c r="H21" s="2954"/>
      <c r="I21" s="2954"/>
      <c r="J21" s="2954"/>
      <c r="K21" s="2954"/>
    </row>
    <row r="22" spans="1:11" ht="11.25" customHeight="1" x14ac:dyDescent="0.15">
      <c r="A22" s="2955" t="s">
        <v>21</v>
      </c>
      <c r="B22" s="2955"/>
      <c r="C22" s="2955"/>
      <c r="D22" s="2955"/>
      <c r="E22" s="2955"/>
      <c r="F22" s="2955"/>
      <c r="G22" s="2955"/>
      <c r="H22" s="2955"/>
      <c r="I22" s="2955"/>
      <c r="J22" s="2955"/>
      <c r="K22" s="2955"/>
    </row>
    <row r="23" spans="1:11" ht="15" customHeight="1" x14ac:dyDescent="0.15"/>
  </sheetData>
  <mergeCells count="19">
    <mergeCell ref="A18:K18"/>
    <mergeCell ref="A19:K19"/>
    <mergeCell ref="A20:K20"/>
    <mergeCell ref="A21:K21"/>
    <mergeCell ref="A22:K22"/>
    <mergeCell ref="A17:K17"/>
    <mergeCell ref="A2:K2"/>
    <mergeCell ref="A3:K3"/>
    <mergeCell ref="A4:A5"/>
    <mergeCell ref="B4:C4"/>
    <mergeCell ref="D4:E4"/>
    <mergeCell ref="F4:G4"/>
    <mergeCell ref="H4:I4"/>
    <mergeCell ref="J4:K4"/>
    <mergeCell ref="A12:K12"/>
    <mergeCell ref="A13:K13"/>
    <mergeCell ref="A14:K14"/>
    <mergeCell ref="A15:K15"/>
    <mergeCell ref="A16:K16"/>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G27"/>
  <sheetViews>
    <sheetView workbookViewId="0">
      <selection activeCell="F35" sqref="F35"/>
    </sheetView>
  </sheetViews>
  <sheetFormatPr baseColWidth="10" defaultColWidth="13" defaultRowHeight="10.5" x14ac:dyDescent="0.15"/>
  <cols>
    <col min="1" max="1" width="27.85546875" style="851" customWidth="1"/>
    <col min="2" max="6" width="13" style="851"/>
    <col min="7" max="7" width="16.28515625" style="851" customWidth="1"/>
    <col min="8" max="8" width="9.42578125" style="851" customWidth="1"/>
    <col min="9" max="16384" width="13" style="851"/>
  </cols>
  <sheetData>
    <row r="2" spans="1:7" ht="26.25" customHeight="1" x14ac:dyDescent="0.15">
      <c r="A2" s="2930" t="s">
        <v>2297</v>
      </c>
      <c r="B2" s="2930"/>
      <c r="C2" s="2930"/>
      <c r="D2" s="2930"/>
      <c r="E2" s="2930"/>
      <c r="F2" s="2930"/>
      <c r="G2" s="2930"/>
    </row>
    <row r="3" spans="1:7" ht="11.25" customHeight="1" x14ac:dyDescent="0.15">
      <c r="A3" s="2958"/>
      <c r="B3" s="2958"/>
      <c r="C3" s="2958"/>
      <c r="D3" s="2958"/>
      <c r="E3" s="2958"/>
      <c r="F3" s="2958"/>
      <c r="G3" s="2958"/>
    </row>
    <row r="4" spans="1:7" ht="21.75" x14ac:dyDescent="0.15">
      <c r="A4" s="13" t="s">
        <v>1</v>
      </c>
      <c r="B4" s="13" t="s">
        <v>2298</v>
      </c>
      <c r="C4" s="13" t="s">
        <v>2299</v>
      </c>
      <c r="D4" s="13" t="s">
        <v>2300</v>
      </c>
      <c r="E4" s="13" t="s">
        <v>2301</v>
      </c>
      <c r="F4" s="75" t="s">
        <v>2302</v>
      </c>
      <c r="G4" s="75" t="s">
        <v>2303</v>
      </c>
    </row>
    <row r="5" spans="1:7" x14ac:dyDescent="0.15">
      <c r="A5" s="883" t="s">
        <v>4</v>
      </c>
      <c r="B5" s="872">
        <f>SUM(B6:B21)</f>
        <v>200907</v>
      </c>
      <c r="C5" s="872">
        <f>SUM(C6:C21)</f>
        <v>22911</v>
      </c>
      <c r="D5" s="872">
        <f t="shared" ref="D5:G5" si="0">SUM(D6:D21)</f>
        <v>66145</v>
      </c>
      <c r="E5" s="872">
        <f t="shared" si="0"/>
        <v>85228</v>
      </c>
      <c r="F5" s="872">
        <f t="shared" si="0"/>
        <v>26551</v>
      </c>
      <c r="G5" s="872">
        <f t="shared" si="0"/>
        <v>72</v>
      </c>
    </row>
    <row r="6" spans="1:7" x14ac:dyDescent="0.15">
      <c r="A6" s="902" t="s">
        <v>5</v>
      </c>
      <c r="B6" s="884">
        <f>SUM(C6:G6)</f>
        <v>1978</v>
      </c>
      <c r="C6" s="903">
        <v>356</v>
      </c>
      <c r="D6" s="903">
        <v>549</v>
      </c>
      <c r="E6" s="903">
        <v>820</v>
      </c>
      <c r="F6" s="903">
        <v>252</v>
      </c>
      <c r="G6" s="903">
        <v>1</v>
      </c>
    </row>
    <row r="7" spans="1:7" x14ac:dyDescent="0.15">
      <c r="A7" s="902" t="s">
        <v>6</v>
      </c>
      <c r="B7" s="884">
        <f t="shared" ref="B7:B21" si="1">SUM(C7:G7)</f>
        <v>1320</v>
      </c>
      <c r="C7" s="903">
        <v>134</v>
      </c>
      <c r="D7" s="903">
        <v>298</v>
      </c>
      <c r="E7" s="903">
        <v>629</v>
      </c>
      <c r="F7" s="903">
        <v>259</v>
      </c>
      <c r="G7" s="903">
        <v>0</v>
      </c>
    </row>
    <row r="8" spans="1:7" x14ac:dyDescent="0.15">
      <c r="A8" s="902" t="s">
        <v>7</v>
      </c>
      <c r="B8" s="884">
        <f t="shared" si="1"/>
        <v>6695</v>
      </c>
      <c r="C8" s="903">
        <v>870</v>
      </c>
      <c r="D8" s="903">
        <v>2448</v>
      </c>
      <c r="E8" s="903">
        <v>2699</v>
      </c>
      <c r="F8" s="903">
        <v>678</v>
      </c>
      <c r="G8" s="903">
        <v>0</v>
      </c>
    </row>
    <row r="9" spans="1:7" x14ac:dyDescent="0.15">
      <c r="A9" s="902" t="s">
        <v>8</v>
      </c>
      <c r="B9" s="884">
        <f t="shared" si="1"/>
        <v>2616</v>
      </c>
      <c r="C9" s="903">
        <v>260</v>
      </c>
      <c r="D9" s="903">
        <v>836</v>
      </c>
      <c r="E9" s="903">
        <v>1256</v>
      </c>
      <c r="F9" s="903">
        <v>264</v>
      </c>
      <c r="G9" s="903">
        <v>0</v>
      </c>
    </row>
    <row r="10" spans="1:7" x14ac:dyDescent="0.15">
      <c r="A10" s="902" t="s">
        <v>9</v>
      </c>
      <c r="B10" s="884">
        <f t="shared" si="1"/>
        <v>4560</v>
      </c>
      <c r="C10" s="903">
        <v>499</v>
      </c>
      <c r="D10" s="903">
        <v>1228</v>
      </c>
      <c r="E10" s="903">
        <v>2093</v>
      </c>
      <c r="F10" s="903">
        <v>738</v>
      </c>
      <c r="G10" s="903">
        <v>2</v>
      </c>
    </row>
    <row r="11" spans="1:7" x14ac:dyDescent="0.15">
      <c r="A11" s="902" t="s">
        <v>10</v>
      </c>
      <c r="B11" s="884">
        <f t="shared" si="1"/>
        <v>13255</v>
      </c>
      <c r="C11" s="903">
        <v>1695</v>
      </c>
      <c r="D11" s="903">
        <v>3917</v>
      </c>
      <c r="E11" s="903">
        <v>5076</v>
      </c>
      <c r="F11" s="903">
        <v>2560</v>
      </c>
      <c r="G11" s="903">
        <v>7</v>
      </c>
    </row>
    <row r="12" spans="1:7" x14ac:dyDescent="0.15">
      <c r="A12" s="902" t="s">
        <v>11</v>
      </c>
      <c r="B12" s="884">
        <f t="shared" si="1"/>
        <v>81545</v>
      </c>
      <c r="C12" s="903">
        <v>4423</v>
      </c>
      <c r="D12" s="903">
        <v>27495</v>
      </c>
      <c r="E12" s="903">
        <v>37453</v>
      </c>
      <c r="F12" s="903">
        <v>12143</v>
      </c>
      <c r="G12" s="903">
        <v>31</v>
      </c>
    </row>
    <row r="13" spans="1:7" x14ac:dyDescent="0.15">
      <c r="A13" s="902" t="s">
        <v>12</v>
      </c>
      <c r="B13" s="884">
        <f t="shared" si="1"/>
        <v>12002</v>
      </c>
      <c r="C13" s="903">
        <v>2363</v>
      </c>
      <c r="D13" s="903">
        <v>3377</v>
      </c>
      <c r="E13" s="903">
        <v>4543</v>
      </c>
      <c r="F13" s="903">
        <v>1715</v>
      </c>
      <c r="G13" s="903">
        <v>4</v>
      </c>
    </row>
    <row r="14" spans="1:7" x14ac:dyDescent="0.15">
      <c r="A14" s="902" t="s">
        <v>13</v>
      </c>
      <c r="B14" s="884">
        <f t="shared" si="1"/>
        <v>7901</v>
      </c>
      <c r="C14" s="903">
        <v>1247</v>
      </c>
      <c r="D14" s="903">
        <v>2743</v>
      </c>
      <c r="E14" s="903">
        <v>2903</v>
      </c>
      <c r="F14" s="903">
        <v>1004</v>
      </c>
      <c r="G14" s="903">
        <v>4</v>
      </c>
    </row>
    <row r="15" spans="1:7" x14ac:dyDescent="0.15">
      <c r="A15" s="902" t="s">
        <v>14</v>
      </c>
      <c r="B15" s="884">
        <f t="shared" si="1"/>
        <v>16390</v>
      </c>
      <c r="C15" s="903">
        <v>2378</v>
      </c>
      <c r="D15" s="903">
        <v>5457</v>
      </c>
      <c r="E15" s="903">
        <v>6680</v>
      </c>
      <c r="F15" s="903">
        <v>1868</v>
      </c>
      <c r="G15" s="903">
        <v>7</v>
      </c>
    </row>
    <row r="16" spans="1:7" x14ac:dyDescent="0.15">
      <c r="A16" s="902" t="s">
        <v>15</v>
      </c>
      <c r="B16" s="884">
        <f t="shared" si="1"/>
        <v>21535</v>
      </c>
      <c r="C16" s="903">
        <v>3674</v>
      </c>
      <c r="D16" s="903">
        <v>7216</v>
      </c>
      <c r="E16" s="903">
        <v>8803</v>
      </c>
      <c r="F16" s="903">
        <v>1834</v>
      </c>
      <c r="G16" s="903">
        <v>8</v>
      </c>
    </row>
    <row r="17" spans="1:7" x14ac:dyDescent="0.15">
      <c r="A17" s="902" t="s">
        <v>16</v>
      </c>
      <c r="B17" s="884">
        <f t="shared" si="1"/>
        <v>9804</v>
      </c>
      <c r="C17" s="903">
        <v>1496</v>
      </c>
      <c r="D17" s="903">
        <v>3441</v>
      </c>
      <c r="E17" s="903">
        <v>3788</v>
      </c>
      <c r="F17" s="903">
        <v>1075</v>
      </c>
      <c r="G17" s="903">
        <v>4</v>
      </c>
    </row>
    <row r="18" spans="1:7" x14ac:dyDescent="0.15">
      <c r="A18" s="902" t="s">
        <v>17</v>
      </c>
      <c r="B18" s="884">
        <f t="shared" si="1"/>
        <v>10615</v>
      </c>
      <c r="C18" s="903">
        <v>1347</v>
      </c>
      <c r="D18" s="903">
        <v>3774</v>
      </c>
      <c r="E18" s="903">
        <v>4506</v>
      </c>
      <c r="F18" s="903">
        <v>985</v>
      </c>
      <c r="G18" s="903">
        <v>3</v>
      </c>
    </row>
    <row r="19" spans="1:7" x14ac:dyDescent="0.15">
      <c r="A19" s="902" t="s">
        <v>18</v>
      </c>
      <c r="B19" s="884">
        <f t="shared" si="1"/>
        <v>5800</v>
      </c>
      <c r="C19" s="903">
        <v>1382</v>
      </c>
      <c r="D19" s="903">
        <v>2113</v>
      </c>
      <c r="E19" s="903">
        <v>1865</v>
      </c>
      <c r="F19" s="903">
        <v>439</v>
      </c>
      <c r="G19" s="903">
        <v>1</v>
      </c>
    </row>
    <row r="20" spans="1:7" x14ac:dyDescent="0.15">
      <c r="A20" s="902" t="s">
        <v>19</v>
      </c>
      <c r="B20" s="884">
        <f t="shared" si="1"/>
        <v>3526</v>
      </c>
      <c r="C20" s="903">
        <v>569</v>
      </c>
      <c r="D20" s="903">
        <v>1047</v>
      </c>
      <c r="E20" s="903">
        <v>1521</v>
      </c>
      <c r="F20" s="903">
        <v>389</v>
      </c>
      <c r="G20" s="903">
        <v>0</v>
      </c>
    </row>
    <row r="21" spans="1:7" ht="11.25" x14ac:dyDescent="0.15">
      <c r="A21" s="904" t="s">
        <v>2304</v>
      </c>
      <c r="B21" s="884">
        <f t="shared" si="1"/>
        <v>1365</v>
      </c>
      <c r="C21" s="903">
        <v>218</v>
      </c>
      <c r="D21" s="903">
        <v>206</v>
      </c>
      <c r="E21" s="903">
        <v>593</v>
      </c>
      <c r="F21" s="903">
        <v>348</v>
      </c>
      <c r="G21" s="903">
        <v>0</v>
      </c>
    </row>
    <row r="22" spans="1:7" x14ac:dyDescent="0.15">
      <c r="A22" s="2959"/>
      <c r="B22" s="2959"/>
      <c r="C22" s="2959"/>
      <c r="D22" s="2959"/>
      <c r="E22" s="2959"/>
      <c r="F22" s="2959"/>
      <c r="G22" s="2959"/>
    </row>
    <row r="23" spans="1:7" s="870" customFormat="1" ht="14.25" customHeight="1" x14ac:dyDescent="0.15">
      <c r="A23" s="2960" t="s">
        <v>2305</v>
      </c>
      <c r="B23" s="2960"/>
      <c r="C23" s="2960"/>
      <c r="D23" s="2960"/>
      <c r="E23" s="2960"/>
      <c r="F23" s="2960"/>
      <c r="G23" s="2960"/>
    </row>
    <row r="24" spans="1:7" ht="22.5" customHeight="1" x14ac:dyDescent="0.15">
      <c r="A24" s="2956" t="s">
        <v>2306</v>
      </c>
      <c r="B24" s="2956"/>
      <c r="C24" s="2956"/>
      <c r="D24" s="2956"/>
      <c r="E24" s="2956"/>
      <c r="F24" s="2956"/>
      <c r="G24" s="2956"/>
    </row>
    <row r="25" spans="1:7" s="870" customFormat="1" ht="34.5" customHeight="1" x14ac:dyDescent="0.15">
      <c r="A25" s="2957" t="s">
        <v>2307</v>
      </c>
      <c r="B25" s="2957"/>
      <c r="C25" s="2957"/>
      <c r="D25" s="2957"/>
      <c r="E25" s="2957"/>
      <c r="F25" s="2957"/>
      <c r="G25" s="2957"/>
    </row>
    <row r="26" spans="1:7" s="870" customFormat="1" ht="23.25" customHeight="1" x14ac:dyDescent="0.15">
      <c r="A26" s="2956" t="s">
        <v>2308</v>
      </c>
      <c r="B26" s="2956"/>
      <c r="C26" s="2956"/>
      <c r="D26" s="2956"/>
      <c r="E26" s="2956"/>
      <c r="F26" s="2956"/>
      <c r="G26" s="2956"/>
    </row>
    <row r="27" spans="1:7" x14ac:dyDescent="0.15">
      <c r="A27" s="2957" t="s">
        <v>21</v>
      </c>
      <c r="B27" s="2957"/>
      <c r="C27" s="2957"/>
      <c r="D27" s="2957"/>
      <c r="E27" s="2957"/>
      <c r="F27" s="2957"/>
      <c r="G27" s="2957"/>
    </row>
  </sheetData>
  <mergeCells count="8">
    <mergeCell ref="A26:G26"/>
    <mergeCell ref="A27:G27"/>
    <mergeCell ref="A2:G2"/>
    <mergeCell ref="A3:G3"/>
    <mergeCell ref="A22:G22"/>
    <mergeCell ref="A23:G23"/>
    <mergeCell ref="A24:G24"/>
    <mergeCell ref="A25:G25"/>
  </mergeCell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2:G27"/>
  <sheetViews>
    <sheetView workbookViewId="0">
      <selection activeCell="K14" sqref="K14"/>
    </sheetView>
  </sheetViews>
  <sheetFormatPr baseColWidth="10" defaultColWidth="13" defaultRowHeight="10.5" x14ac:dyDescent="0.15"/>
  <cols>
    <col min="1" max="1" width="27.85546875" style="851" customWidth="1"/>
    <col min="2" max="6" width="13" style="851"/>
    <col min="7" max="7" width="16.28515625" style="851" customWidth="1"/>
    <col min="8" max="8" width="9.42578125" style="851" customWidth="1"/>
    <col min="9" max="16384" width="13" style="851"/>
  </cols>
  <sheetData>
    <row r="2" spans="1:7" ht="25.5" customHeight="1" x14ac:dyDescent="0.15">
      <c r="A2" s="2961" t="s">
        <v>2309</v>
      </c>
      <c r="B2" s="2961"/>
      <c r="C2" s="2961"/>
      <c r="D2" s="2961"/>
      <c r="E2" s="2961"/>
      <c r="F2" s="2961"/>
      <c r="G2" s="2961"/>
    </row>
    <row r="3" spans="1:7" x14ac:dyDescent="0.15">
      <c r="A3" s="2073"/>
      <c r="B3" s="2073"/>
      <c r="C3" s="2073"/>
      <c r="D3" s="2073"/>
      <c r="E3" s="2073"/>
      <c r="F3" s="2073"/>
      <c r="G3" s="2073"/>
    </row>
    <row r="4" spans="1:7" ht="21.75" x14ac:dyDescent="0.15">
      <c r="A4" s="13" t="s">
        <v>1</v>
      </c>
      <c r="B4" s="13" t="s">
        <v>2298</v>
      </c>
      <c r="C4" s="13" t="s">
        <v>2299</v>
      </c>
      <c r="D4" s="13" t="s">
        <v>2300</v>
      </c>
      <c r="E4" s="13" t="s">
        <v>2301</v>
      </c>
      <c r="F4" s="75" t="s">
        <v>2302</v>
      </c>
      <c r="G4" s="75" t="s">
        <v>2303</v>
      </c>
    </row>
    <row r="5" spans="1:7" x14ac:dyDescent="0.15">
      <c r="A5" s="883" t="s">
        <v>4</v>
      </c>
      <c r="B5" s="872">
        <f>SUM(B6:B21)</f>
        <v>205746</v>
      </c>
      <c r="C5" s="872">
        <f>SUM(C6:C21)</f>
        <v>20120</v>
      </c>
      <c r="D5" s="872">
        <f t="shared" ref="D5:G5" si="0">SUM(D6:D21)</f>
        <v>69046</v>
      </c>
      <c r="E5" s="872">
        <f t="shared" si="0"/>
        <v>88774</v>
      </c>
      <c r="F5" s="872">
        <f t="shared" si="0"/>
        <v>27737</v>
      </c>
      <c r="G5" s="872">
        <f t="shared" si="0"/>
        <v>69</v>
      </c>
    </row>
    <row r="6" spans="1:7" x14ac:dyDescent="0.15">
      <c r="A6" s="902" t="s">
        <v>5</v>
      </c>
      <c r="B6" s="884">
        <f>SUM(C6:G6)</f>
        <v>1963</v>
      </c>
      <c r="C6" s="876">
        <v>311</v>
      </c>
      <c r="D6" s="876">
        <v>611</v>
      </c>
      <c r="E6" s="876">
        <v>827</v>
      </c>
      <c r="F6" s="876">
        <v>213</v>
      </c>
      <c r="G6" s="876">
        <v>1</v>
      </c>
    </row>
    <row r="7" spans="1:7" x14ac:dyDescent="0.15">
      <c r="A7" s="902" t="s">
        <v>6</v>
      </c>
      <c r="B7" s="884">
        <f t="shared" ref="B7:B21" si="1">SUM(C7:G7)</f>
        <v>1244</v>
      </c>
      <c r="C7" s="876">
        <v>92</v>
      </c>
      <c r="D7" s="876">
        <v>299</v>
      </c>
      <c r="E7" s="876">
        <v>616</v>
      </c>
      <c r="F7" s="876">
        <v>237</v>
      </c>
      <c r="G7" s="876">
        <v>0</v>
      </c>
    </row>
    <row r="8" spans="1:7" x14ac:dyDescent="0.15">
      <c r="A8" s="902" t="s">
        <v>7</v>
      </c>
      <c r="B8" s="884">
        <f>SUM(C8:G8)</f>
        <v>8045</v>
      </c>
      <c r="C8" s="876">
        <v>1107</v>
      </c>
      <c r="D8" s="876">
        <v>2855</v>
      </c>
      <c r="E8" s="876">
        <v>3281</v>
      </c>
      <c r="F8" s="876">
        <v>801</v>
      </c>
      <c r="G8" s="876">
        <v>1</v>
      </c>
    </row>
    <row r="9" spans="1:7" x14ac:dyDescent="0.15">
      <c r="A9" s="902" t="s">
        <v>8</v>
      </c>
      <c r="B9" s="884">
        <f t="shared" si="1"/>
        <v>2980</v>
      </c>
      <c r="C9" s="876">
        <v>227</v>
      </c>
      <c r="D9" s="876">
        <v>986</v>
      </c>
      <c r="E9" s="876">
        <v>1454</v>
      </c>
      <c r="F9" s="876">
        <v>311</v>
      </c>
      <c r="G9" s="876">
        <v>2</v>
      </c>
    </row>
    <row r="10" spans="1:7" x14ac:dyDescent="0.15">
      <c r="A10" s="902" t="s">
        <v>9</v>
      </c>
      <c r="B10" s="884">
        <f t="shared" si="1"/>
        <v>4356</v>
      </c>
      <c r="C10" s="876">
        <v>364</v>
      </c>
      <c r="D10" s="876">
        <v>1148</v>
      </c>
      <c r="E10" s="876">
        <v>2127</v>
      </c>
      <c r="F10" s="876">
        <v>715</v>
      </c>
      <c r="G10" s="876">
        <v>2</v>
      </c>
    </row>
    <row r="11" spans="1:7" x14ac:dyDescent="0.15">
      <c r="A11" s="902" t="s">
        <v>10</v>
      </c>
      <c r="B11" s="884">
        <f t="shared" si="1"/>
        <v>11919</v>
      </c>
      <c r="C11" s="876">
        <v>1134</v>
      </c>
      <c r="D11" s="876">
        <v>3651</v>
      </c>
      <c r="E11" s="876">
        <v>4704</v>
      </c>
      <c r="F11" s="876">
        <v>2424</v>
      </c>
      <c r="G11" s="876">
        <v>6</v>
      </c>
    </row>
    <row r="12" spans="1:7" x14ac:dyDescent="0.15">
      <c r="A12" s="902" t="s">
        <v>11</v>
      </c>
      <c r="B12" s="884">
        <f t="shared" si="1"/>
        <v>84808</v>
      </c>
      <c r="C12" s="876">
        <v>3652</v>
      </c>
      <c r="D12" s="876">
        <v>28694</v>
      </c>
      <c r="E12" s="876">
        <v>39444</v>
      </c>
      <c r="F12" s="876">
        <v>12994</v>
      </c>
      <c r="G12" s="876">
        <v>24</v>
      </c>
    </row>
    <row r="13" spans="1:7" x14ac:dyDescent="0.15">
      <c r="A13" s="902" t="s">
        <v>12</v>
      </c>
      <c r="B13" s="884">
        <f t="shared" si="1"/>
        <v>11244</v>
      </c>
      <c r="C13" s="876">
        <v>1829</v>
      </c>
      <c r="D13" s="876">
        <v>3222</v>
      </c>
      <c r="E13" s="876">
        <v>4479</v>
      </c>
      <c r="F13" s="876">
        <v>1713</v>
      </c>
      <c r="G13" s="876">
        <v>1</v>
      </c>
    </row>
    <row r="14" spans="1:7" x14ac:dyDescent="0.15">
      <c r="A14" s="902" t="s">
        <v>13</v>
      </c>
      <c r="B14" s="884">
        <f t="shared" si="1"/>
        <v>7544</v>
      </c>
      <c r="C14" s="876">
        <v>1060</v>
      </c>
      <c r="D14" s="876">
        <v>2764</v>
      </c>
      <c r="E14" s="876">
        <v>2746</v>
      </c>
      <c r="F14" s="876">
        <v>970</v>
      </c>
      <c r="G14" s="876">
        <v>4</v>
      </c>
    </row>
    <row r="15" spans="1:7" x14ac:dyDescent="0.15">
      <c r="A15" s="902" t="s">
        <v>14</v>
      </c>
      <c r="B15" s="884">
        <f t="shared" si="1"/>
        <v>16315</v>
      </c>
      <c r="C15" s="876">
        <v>1915</v>
      </c>
      <c r="D15" s="876">
        <v>5578</v>
      </c>
      <c r="E15" s="876">
        <v>6938</v>
      </c>
      <c r="F15" s="876">
        <v>1878</v>
      </c>
      <c r="G15" s="876">
        <v>6</v>
      </c>
    </row>
    <row r="16" spans="1:7" x14ac:dyDescent="0.15">
      <c r="A16" s="902" t="s">
        <v>15</v>
      </c>
      <c r="B16" s="884">
        <f t="shared" si="1"/>
        <v>23482</v>
      </c>
      <c r="C16" s="876">
        <v>3594</v>
      </c>
      <c r="D16" s="876">
        <v>8221</v>
      </c>
      <c r="E16" s="876">
        <v>9536</v>
      </c>
      <c r="F16" s="876">
        <v>2121</v>
      </c>
      <c r="G16" s="876">
        <v>10</v>
      </c>
    </row>
    <row r="17" spans="1:7" x14ac:dyDescent="0.15">
      <c r="A17" s="902" t="s">
        <v>16</v>
      </c>
      <c r="B17" s="884">
        <f t="shared" si="1"/>
        <v>10219</v>
      </c>
      <c r="C17" s="876">
        <v>1501</v>
      </c>
      <c r="D17" s="876">
        <v>3524</v>
      </c>
      <c r="E17" s="876">
        <v>4075</v>
      </c>
      <c r="F17" s="876">
        <v>1114</v>
      </c>
      <c r="G17" s="876">
        <v>5</v>
      </c>
    </row>
    <row r="18" spans="1:7" x14ac:dyDescent="0.15">
      <c r="A18" s="902" t="s">
        <v>17</v>
      </c>
      <c r="B18" s="884">
        <f t="shared" si="1"/>
        <v>10114</v>
      </c>
      <c r="C18" s="876">
        <v>1174</v>
      </c>
      <c r="D18" s="876">
        <v>3667</v>
      </c>
      <c r="E18" s="876">
        <v>4267</v>
      </c>
      <c r="F18" s="876">
        <v>1002</v>
      </c>
      <c r="G18" s="876">
        <v>4</v>
      </c>
    </row>
    <row r="19" spans="1:7" x14ac:dyDescent="0.15">
      <c r="A19" s="902" t="s">
        <v>18</v>
      </c>
      <c r="B19" s="884">
        <f t="shared" si="1"/>
        <v>6255</v>
      </c>
      <c r="C19" s="876">
        <v>1493</v>
      </c>
      <c r="D19" s="876">
        <v>2423</v>
      </c>
      <c r="E19" s="876">
        <v>1931</v>
      </c>
      <c r="F19" s="876">
        <v>405</v>
      </c>
      <c r="G19" s="876">
        <v>3</v>
      </c>
    </row>
    <row r="20" spans="1:7" x14ac:dyDescent="0.15">
      <c r="A20" s="902" t="s">
        <v>19</v>
      </c>
      <c r="B20" s="884">
        <f t="shared" si="1"/>
        <v>3654</v>
      </c>
      <c r="C20" s="876">
        <v>522</v>
      </c>
      <c r="D20" s="876">
        <v>1119</v>
      </c>
      <c r="E20" s="876">
        <v>1595</v>
      </c>
      <c r="F20" s="876">
        <v>418</v>
      </c>
      <c r="G20" s="876">
        <v>0</v>
      </c>
    </row>
    <row r="21" spans="1:7" ht="11.25" x14ac:dyDescent="0.15">
      <c r="A21" s="904" t="s">
        <v>2304</v>
      </c>
      <c r="B21" s="884">
        <f t="shared" si="1"/>
        <v>1604</v>
      </c>
      <c r="C21" s="876">
        <v>145</v>
      </c>
      <c r="D21" s="876">
        <v>284</v>
      </c>
      <c r="E21" s="905">
        <v>754</v>
      </c>
      <c r="F21" s="876">
        <v>421</v>
      </c>
      <c r="G21" s="876">
        <v>0</v>
      </c>
    </row>
    <row r="22" spans="1:7" x14ac:dyDescent="0.15">
      <c r="C22" s="906"/>
    </row>
    <row r="23" spans="1:7" s="870" customFormat="1" ht="11.25" customHeight="1" x14ac:dyDescent="0.15">
      <c r="A23" s="2960" t="s">
        <v>2310</v>
      </c>
      <c r="B23" s="2960"/>
      <c r="C23" s="2960"/>
      <c r="D23" s="2960"/>
      <c r="E23" s="2960"/>
      <c r="F23" s="2960"/>
      <c r="G23" s="2960"/>
    </row>
    <row r="24" spans="1:7" ht="22.5" customHeight="1" x14ac:dyDescent="0.15">
      <c r="A24" s="2956" t="s">
        <v>2311</v>
      </c>
      <c r="B24" s="2956"/>
      <c r="C24" s="2956"/>
      <c r="D24" s="2956"/>
      <c r="E24" s="2956"/>
      <c r="F24" s="2956"/>
      <c r="G24" s="2956"/>
    </row>
    <row r="25" spans="1:7" s="870" customFormat="1" ht="45" customHeight="1" x14ac:dyDescent="0.15">
      <c r="A25" s="2957" t="s">
        <v>2307</v>
      </c>
      <c r="B25" s="2957"/>
      <c r="C25" s="2957"/>
      <c r="D25" s="2957"/>
      <c r="E25" s="2957"/>
      <c r="F25" s="2957"/>
      <c r="G25" s="2957"/>
    </row>
    <row r="26" spans="1:7" s="870" customFormat="1" ht="22.5" customHeight="1" x14ac:dyDescent="0.15">
      <c r="A26" s="2956" t="s">
        <v>2308</v>
      </c>
      <c r="B26" s="2956"/>
      <c r="C26" s="2956"/>
      <c r="D26" s="2956"/>
      <c r="E26" s="2956"/>
      <c r="F26" s="2956"/>
      <c r="G26" s="2956"/>
    </row>
    <row r="27" spans="1:7" ht="10.5" customHeight="1" x14ac:dyDescent="0.15">
      <c r="A27" s="2957" t="s">
        <v>21</v>
      </c>
      <c r="B27" s="2957"/>
      <c r="C27" s="2957"/>
      <c r="D27" s="2957"/>
      <c r="E27" s="2957"/>
      <c r="F27" s="2957"/>
      <c r="G27" s="2957"/>
    </row>
  </sheetData>
  <mergeCells count="6">
    <mergeCell ref="A27:G27"/>
    <mergeCell ref="A2:G2"/>
    <mergeCell ref="A23:G23"/>
    <mergeCell ref="A24:G24"/>
    <mergeCell ref="A25:G25"/>
    <mergeCell ref="A26:G26"/>
  </mergeCell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F13"/>
  <sheetViews>
    <sheetView workbookViewId="0">
      <selection activeCell="F35" sqref="F35"/>
    </sheetView>
  </sheetViews>
  <sheetFormatPr baseColWidth="10" defaultColWidth="13" defaultRowHeight="10.5" x14ac:dyDescent="0.15"/>
  <cols>
    <col min="1" max="1" width="35.140625" style="851" customWidth="1"/>
    <col min="2" max="16384" width="13" style="851"/>
  </cols>
  <sheetData>
    <row r="2" spans="1:6" ht="22.5" customHeight="1" x14ac:dyDescent="0.15">
      <c r="A2" s="2915" t="s">
        <v>2312</v>
      </c>
      <c r="B2" s="2915"/>
      <c r="C2" s="2915"/>
      <c r="D2" s="2915"/>
      <c r="E2" s="2915"/>
      <c r="F2" s="2915"/>
    </row>
    <row r="3" spans="1:6" ht="11.25" customHeight="1" x14ac:dyDescent="0.15">
      <c r="A3" s="2952"/>
      <c r="B3" s="2952"/>
      <c r="C3" s="2952"/>
      <c r="D3" s="2952"/>
      <c r="E3" s="2952"/>
      <c r="F3" s="2952"/>
    </row>
    <row r="4" spans="1:6" ht="15" customHeight="1" x14ac:dyDescent="0.15">
      <c r="A4" s="2310" t="s">
        <v>49</v>
      </c>
      <c r="B4" s="2310" t="s">
        <v>2313</v>
      </c>
      <c r="C4" s="2310"/>
      <c r="D4" s="2310"/>
      <c r="E4" s="2310"/>
      <c r="F4" s="2310"/>
    </row>
    <row r="5" spans="1:6" ht="10.5" customHeight="1" x14ac:dyDescent="0.15">
      <c r="A5" s="2310"/>
      <c r="B5" s="13">
        <v>2011</v>
      </c>
      <c r="C5" s="13">
        <v>2012</v>
      </c>
      <c r="D5" s="13">
        <v>2013</v>
      </c>
      <c r="E5" s="13">
        <v>2014</v>
      </c>
      <c r="F5" s="871">
        <v>2015</v>
      </c>
    </row>
    <row r="6" spans="1:6" ht="22.5" customHeight="1" x14ac:dyDescent="0.15">
      <c r="A6" s="907" t="s">
        <v>2314</v>
      </c>
      <c r="B6" s="908">
        <v>315396</v>
      </c>
      <c r="C6" s="909">
        <v>268852</v>
      </c>
      <c r="D6" s="908">
        <v>221273</v>
      </c>
      <c r="E6" s="910">
        <v>504282</v>
      </c>
      <c r="F6" s="910">
        <v>592335</v>
      </c>
    </row>
    <row r="7" spans="1:6" ht="38.25" customHeight="1" x14ac:dyDescent="0.15">
      <c r="A7" s="911" t="s">
        <v>2315</v>
      </c>
      <c r="B7" s="48">
        <v>108625</v>
      </c>
      <c r="C7" s="912">
        <v>89182</v>
      </c>
      <c r="D7" s="48">
        <v>17366</v>
      </c>
      <c r="E7" s="913">
        <v>19219</v>
      </c>
      <c r="F7" s="910">
        <v>19226</v>
      </c>
    </row>
    <row r="8" spans="1:6" ht="22.5" customHeight="1" x14ac:dyDescent="0.15">
      <c r="A8" s="911" t="s">
        <v>2316</v>
      </c>
      <c r="B8" s="48">
        <v>743578</v>
      </c>
      <c r="C8" s="912">
        <v>733497</v>
      </c>
      <c r="D8" s="912">
        <v>679923</v>
      </c>
      <c r="E8" s="48">
        <v>694690</v>
      </c>
      <c r="F8" s="910">
        <v>801406</v>
      </c>
    </row>
    <row r="9" spans="1:6" ht="22.5" customHeight="1" x14ac:dyDescent="0.15">
      <c r="A9" s="911" t="s">
        <v>2317</v>
      </c>
      <c r="B9" s="48">
        <v>55694</v>
      </c>
      <c r="C9" s="912">
        <v>54472</v>
      </c>
      <c r="D9" s="912">
        <v>56962</v>
      </c>
      <c r="E9" s="61">
        <v>50000</v>
      </c>
      <c r="F9" s="910">
        <v>45731</v>
      </c>
    </row>
    <row r="10" spans="1:6" x14ac:dyDescent="0.15">
      <c r="A10" s="16"/>
      <c r="B10" s="16"/>
      <c r="C10" s="16"/>
      <c r="D10" s="16"/>
      <c r="E10" s="16"/>
    </row>
    <row r="11" spans="1:6" ht="43.5" customHeight="1" x14ac:dyDescent="0.15">
      <c r="A11" s="2962" t="s">
        <v>2318</v>
      </c>
      <c r="B11" s="2962"/>
      <c r="C11" s="2962"/>
      <c r="D11" s="2962"/>
      <c r="E11" s="2962"/>
      <c r="F11" s="2962"/>
    </row>
    <row r="12" spans="1:6" ht="33.75" customHeight="1" x14ac:dyDescent="0.15">
      <c r="A12" s="2962" t="s">
        <v>2319</v>
      </c>
      <c r="B12" s="2962"/>
      <c r="C12" s="2962"/>
      <c r="D12" s="2962"/>
      <c r="E12" s="2962"/>
      <c r="F12" s="2962"/>
    </row>
    <row r="13" spans="1:6" ht="13.5" customHeight="1" x14ac:dyDescent="0.15">
      <c r="A13" s="2914" t="s">
        <v>21</v>
      </c>
      <c r="B13" s="2914"/>
      <c r="C13" s="2914"/>
      <c r="D13" s="2914"/>
      <c r="E13" s="2914"/>
      <c r="F13" s="2914"/>
    </row>
  </sheetData>
  <mergeCells count="7">
    <mergeCell ref="A13:F13"/>
    <mergeCell ref="A2:F2"/>
    <mergeCell ref="A3:F3"/>
    <mergeCell ref="A4:A5"/>
    <mergeCell ref="B4:F4"/>
    <mergeCell ref="A11:F11"/>
    <mergeCell ref="A12:F12"/>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2:I28"/>
  <sheetViews>
    <sheetView workbookViewId="0">
      <selection activeCell="F35" sqref="F35"/>
    </sheetView>
  </sheetViews>
  <sheetFormatPr baseColWidth="10" defaultColWidth="13" defaultRowHeight="10.5" x14ac:dyDescent="0.15"/>
  <cols>
    <col min="1" max="1" width="27.7109375" style="851" customWidth="1"/>
    <col min="2" max="6" width="14.7109375" style="851" customWidth="1"/>
    <col min="7" max="16384" width="13" style="851"/>
  </cols>
  <sheetData>
    <row r="2" spans="1:9" ht="33.75" customHeight="1" x14ac:dyDescent="0.15">
      <c r="A2" s="2915" t="s">
        <v>2320</v>
      </c>
      <c r="B2" s="2915"/>
      <c r="C2" s="2915"/>
      <c r="D2" s="2915"/>
      <c r="E2" s="2915"/>
      <c r="F2" s="2915"/>
    </row>
    <row r="3" spans="1:9" x14ac:dyDescent="0.15">
      <c r="A3" s="2952"/>
      <c r="B3" s="2952"/>
      <c r="C3" s="2952"/>
      <c r="D3" s="2952"/>
      <c r="E3" s="2952"/>
      <c r="F3" s="2952"/>
    </row>
    <row r="4" spans="1:9" x14ac:dyDescent="0.15">
      <c r="A4" s="2965" t="s">
        <v>1</v>
      </c>
      <c r="B4" s="2310" t="s">
        <v>2</v>
      </c>
      <c r="C4" s="2310"/>
      <c r="D4" s="2310"/>
      <c r="E4" s="2310"/>
      <c r="F4" s="2310"/>
    </row>
    <row r="5" spans="1:9" ht="11.25" x14ac:dyDescent="0.15">
      <c r="A5" s="2966"/>
      <c r="B5" s="871" t="s">
        <v>2321</v>
      </c>
      <c r="C5" s="871" t="s">
        <v>190</v>
      </c>
      <c r="D5" s="871" t="s">
        <v>2239</v>
      </c>
      <c r="E5" s="871" t="s">
        <v>1637</v>
      </c>
      <c r="F5" s="871">
        <v>2015</v>
      </c>
    </row>
    <row r="6" spans="1:9" x14ac:dyDescent="0.15">
      <c r="A6" s="883" t="s">
        <v>69</v>
      </c>
      <c r="B6" s="872">
        <f>SUM(B7:B22)</f>
        <v>1436407</v>
      </c>
      <c r="C6" s="872">
        <f t="shared" ref="C6:F6" si="0">SUM(C7:C22)</f>
        <v>1726023</v>
      </c>
      <c r="D6" s="872">
        <f t="shared" si="0"/>
        <v>1813397</v>
      </c>
      <c r="E6" s="872">
        <f t="shared" si="0"/>
        <v>1919354</v>
      </c>
      <c r="F6" s="872">
        <f t="shared" si="0"/>
        <v>1877280</v>
      </c>
    </row>
    <row r="7" spans="1:9" x14ac:dyDescent="0.15">
      <c r="A7" s="914" t="s">
        <v>5</v>
      </c>
      <c r="B7" s="873">
        <v>6179</v>
      </c>
      <c r="C7" s="873">
        <v>8304</v>
      </c>
      <c r="D7" s="873">
        <v>11649</v>
      </c>
      <c r="E7" s="868">
        <v>13216</v>
      </c>
      <c r="F7" s="903">
        <v>15124</v>
      </c>
      <c r="I7" s="914"/>
    </row>
    <row r="8" spans="1:9" x14ac:dyDescent="0.15">
      <c r="A8" s="914" t="s">
        <v>6</v>
      </c>
      <c r="B8" s="873">
        <v>4615</v>
      </c>
      <c r="C8" s="873">
        <v>7897</v>
      </c>
      <c r="D8" s="873">
        <v>10472</v>
      </c>
      <c r="E8" s="868">
        <v>12006</v>
      </c>
      <c r="F8" s="903">
        <v>14870</v>
      </c>
      <c r="I8" s="914"/>
    </row>
    <row r="9" spans="1:9" x14ac:dyDescent="0.15">
      <c r="A9" s="914" t="s">
        <v>7</v>
      </c>
      <c r="B9" s="873">
        <v>1638</v>
      </c>
      <c r="C9" s="873">
        <v>2157</v>
      </c>
      <c r="D9" s="873">
        <v>9644</v>
      </c>
      <c r="E9" s="868">
        <v>58317</v>
      </c>
      <c r="F9" s="903">
        <v>44133</v>
      </c>
      <c r="I9" s="914"/>
    </row>
    <row r="10" spans="1:9" x14ac:dyDescent="0.15">
      <c r="A10" s="914" t="s">
        <v>8</v>
      </c>
      <c r="B10" s="873">
        <v>19808</v>
      </c>
      <c r="C10" s="873">
        <v>18626</v>
      </c>
      <c r="D10" s="873">
        <v>23433</v>
      </c>
      <c r="E10" s="868">
        <v>25849</v>
      </c>
      <c r="F10" s="903">
        <v>22429</v>
      </c>
      <c r="I10" s="914"/>
    </row>
    <row r="11" spans="1:9" x14ac:dyDescent="0.15">
      <c r="A11" s="914" t="s">
        <v>9</v>
      </c>
      <c r="B11" s="873">
        <v>16411</v>
      </c>
      <c r="C11" s="873">
        <v>17538</v>
      </c>
      <c r="D11" s="873">
        <v>32629</v>
      </c>
      <c r="E11" s="873">
        <v>30157</v>
      </c>
      <c r="F11" s="903">
        <v>33408</v>
      </c>
      <c r="I11" s="914"/>
    </row>
    <row r="12" spans="1:9" x14ac:dyDescent="0.15">
      <c r="A12" s="914" t="s">
        <v>10</v>
      </c>
      <c r="B12" s="873">
        <v>31165</v>
      </c>
      <c r="C12" s="873">
        <v>66371</v>
      </c>
      <c r="D12" s="873">
        <v>82354</v>
      </c>
      <c r="E12" s="868">
        <v>108001</v>
      </c>
      <c r="F12" s="903">
        <v>114915</v>
      </c>
      <c r="I12" s="914"/>
    </row>
    <row r="13" spans="1:9" x14ac:dyDescent="0.15">
      <c r="A13" s="914" t="s">
        <v>11</v>
      </c>
      <c r="B13" s="873">
        <v>945949</v>
      </c>
      <c r="C13" s="873">
        <v>1070390</v>
      </c>
      <c r="D13" s="873">
        <v>1008998</v>
      </c>
      <c r="E13" s="873">
        <v>943196</v>
      </c>
      <c r="F13" s="903">
        <v>881297</v>
      </c>
      <c r="I13" s="914"/>
    </row>
    <row r="14" spans="1:9" x14ac:dyDescent="0.15">
      <c r="A14" s="914" t="s">
        <v>12</v>
      </c>
      <c r="B14" s="873">
        <v>40922</v>
      </c>
      <c r="C14" s="873">
        <v>56367</v>
      </c>
      <c r="D14" s="873">
        <v>57008</v>
      </c>
      <c r="E14" s="868">
        <v>75229</v>
      </c>
      <c r="F14" s="903">
        <v>96016</v>
      </c>
      <c r="I14" s="914"/>
    </row>
    <row r="15" spans="1:9" x14ac:dyDescent="0.15">
      <c r="A15" s="914" t="s">
        <v>13</v>
      </c>
      <c r="B15" s="873">
        <v>19375</v>
      </c>
      <c r="C15" s="873">
        <v>32012</v>
      </c>
      <c r="D15" s="873">
        <v>41833</v>
      </c>
      <c r="E15" s="873">
        <v>56313</v>
      </c>
      <c r="F15" s="903">
        <v>62632</v>
      </c>
      <c r="I15" s="914"/>
    </row>
    <row r="16" spans="1:9" x14ac:dyDescent="0.15">
      <c r="A16" s="914" t="s">
        <v>14</v>
      </c>
      <c r="B16" s="873">
        <v>89358</v>
      </c>
      <c r="C16" s="873">
        <v>110675</v>
      </c>
      <c r="D16" s="873">
        <v>134143</v>
      </c>
      <c r="E16" s="868">
        <v>147754</v>
      </c>
      <c r="F16" s="903">
        <v>170682</v>
      </c>
      <c r="I16" s="914"/>
    </row>
    <row r="17" spans="1:9" x14ac:dyDescent="0.15">
      <c r="A17" s="914" t="s">
        <v>15</v>
      </c>
      <c r="B17" s="873">
        <v>94885</v>
      </c>
      <c r="C17" s="873">
        <v>148005</v>
      </c>
      <c r="D17" s="873">
        <v>154529</v>
      </c>
      <c r="E17" s="868">
        <v>202905</v>
      </c>
      <c r="F17" s="903">
        <v>185541</v>
      </c>
      <c r="I17" s="914"/>
    </row>
    <row r="18" spans="1:9" x14ac:dyDescent="0.15">
      <c r="A18" s="914" t="s">
        <v>16</v>
      </c>
      <c r="B18" s="873">
        <v>50967</v>
      </c>
      <c r="C18" s="873">
        <v>63716</v>
      </c>
      <c r="D18" s="873">
        <v>75935</v>
      </c>
      <c r="E18" s="873">
        <v>65711</v>
      </c>
      <c r="F18" s="903">
        <v>65039</v>
      </c>
      <c r="I18" s="914"/>
    </row>
    <row r="19" spans="1:9" x14ac:dyDescent="0.15">
      <c r="A19" s="914" t="s">
        <v>17</v>
      </c>
      <c r="B19" s="873">
        <v>49359</v>
      </c>
      <c r="C19" s="873">
        <v>55417</v>
      </c>
      <c r="D19" s="873">
        <v>80812</v>
      </c>
      <c r="E19" s="873">
        <v>85503</v>
      </c>
      <c r="F19" s="903">
        <v>83909</v>
      </c>
      <c r="I19" s="914"/>
    </row>
    <row r="20" spans="1:9" x14ac:dyDescent="0.15">
      <c r="A20" s="914" t="s">
        <v>18</v>
      </c>
      <c r="B20" s="873">
        <v>34161</v>
      </c>
      <c r="C20" s="873">
        <v>31624</v>
      </c>
      <c r="D20" s="873">
        <v>43180</v>
      </c>
      <c r="E20" s="868">
        <v>42875</v>
      </c>
      <c r="F20" s="903">
        <v>38642</v>
      </c>
      <c r="I20" s="914"/>
    </row>
    <row r="21" spans="1:9" x14ac:dyDescent="0.15">
      <c r="A21" s="914" t="s">
        <v>19</v>
      </c>
      <c r="B21" s="873">
        <v>31615</v>
      </c>
      <c r="C21" s="873">
        <v>34791</v>
      </c>
      <c r="D21" s="873">
        <v>38670</v>
      </c>
      <c r="E21" s="868">
        <v>42720</v>
      </c>
      <c r="F21" s="903">
        <v>41706</v>
      </c>
      <c r="I21" s="914"/>
    </row>
    <row r="22" spans="1:9" ht="11.25" x14ac:dyDescent="0.15">
      <c r="A22" s="915" t="s">
        <v>2322</v>
      </c>
      <c r="B22" s="873">
        <v>0</v>
      </c>
      <c r="C22" s="873">
        <v>2133</v>
      </c>
      <c r="D22" s="873">
        <v>8108</v>
      </c>
      <c r="E22" s="873">
        <v>9602</v>
      </c>
      <c r="F22" s="903">
        <v>6937</v>
      </c>
    </row>
    <row r="23" spans="1:9" x14ac:dyDescent="0.15">
      <c r="A23" s="2910"/>
      <c r="B23" s="2910"/>
      <c r="C23" s="2910"/>
      <c r="D23" s="2910"/>
      <c r="E23" s="2910"/>
      <c r="F23" s="2910"/>
    </row>
    <row r="24" spans="1:9" s="870" customFormat="1" ht="45" customHeight="1" x14ac:dyDescent="0.15">
      <c r="A24" s="2957" t="s">
        <v>2323</v>
      </c>
      <c r="B24" s="2957"/>
      <c r="C24" s="2957"/>
      <c r="D24" s="2957"/>
      <c r="E24" s="2957"/>
      <c r="F24" s="2957"/>
    </row>
    <row r="25" spans="1:9" s="870" customFormat="1" ht="13.5" customHeight="1" x14ac:dyDescent="0.15">
      <c r="A25" s="2950" t="s">
        <v>2243</v>
      </c>
      <c r="B25" s="2950"/>
      <c r="C25" s="2950"/>
      <c r="D25" s="2950"/>
      <c r="E25" s="2950"/>
      <c r="F25" s="2950"/>
    </row>
    <row r="26" spans="1:9" s="870" customFormat="1" ht="16.5" customHeight="1" x14ac:dyDescent="0.15">
      <c r="A26" s="2963" t="s">
        <v>2324</v>
      </c>
      <c r="B26" s="2963"/>
      <c r="C26" s="2963"/>
      <c r="D26" s="2963"/>
      <c r="E26" s="2963"/>
      <c r="F26" s="2963"/>
    </row>
    <row r="27" spans="1:9" s="870" customFormat="1" x14ac:dyDescent="0.15">
      <c r="A27" s="2964" t="s">
        <v>44</v>
      </c>
      <c r="B27" s="2964"/>
      <c r="C27" s="2964"/>
      <c r="D27" s="2964"/>
      <c r="E27" s="2964"/>
      <c r="F27" s="2964"/>
    </row>
    <row r="28" spans="1:9" x14ac:dyDescent="0.15">
      <c r="A28" s="2914" t="s">
        <v>21</v>
      </c>
      <c r="B28" s="2914"/>
      <c r="C28" s="2914"/>
      <c r="D28" s="2914"/>
      <c r="E28" s="2914"/>
      <c r="F28" s="2914"/>
    </row>
  </sheetData>
  <mergeCells count="10">
    <mergeCell ref="A25:F25"/>
    <mergeCell ref="A26:F26"/>
    <mergeCell ref="A27:F27"/>
    <mergeCell ref="A28:F28"/>
    <mergeCell ref="A2:F2"/>
    <mergeCell ref="A3:F3"/>
    <mergeCell ref="A4:A5"/>
    <mergeCell ref="B4:F4"/>
    <mergeCell ref="A23:F23"/>
    <mergeCell ref="A24:F24"/>
  </mergeCells>
  <pageMargins left="0.7" right="0.7" top="0.75" bottom="0.75" header="0.3" footer="0.3"/>
  <pageSetup paperSize="9" orientation="portrait" verticalDpi="599"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2:F23"/>
  <sheetViews>
    <sheetView workbookViewId="0">
      <selection activeCell="F35" sqref="F35"/>
    </sheetView>
  </sheetViews>
  <sheetFormatPr baseColWidth="10" defaultColWidth="13" defaultRowHeight="10.5" x14ac:dyDescent="0.15"/>
  <cols>
    <col min="1" max="1" width="15.5703125" style="851" customWidth="1"/>
    <col min="2" max="6" width="16.28515625" style="851" customWidth="1"/>
    <col min="7" max="16384" width="13" style="851"/>
  </cols>
  <sheetData>
    <row r="2" spans="1:6" ht="37.5" customHeight="1" x14ac:dyDescent="0.15">
      <c r="A2" s="2915" t="s">
        <v>2325</v>
      </c>
      <c r="B2" s="2915"/>
      <c r="C2" s="2915"/>
      <c r="D2" s="2915"/>
      <c r="E2" s="2915"/>
      <c r="F2" s="2915"/>
    </row>
    <row r="3" spans="1:6" x14ac:dyDescent="0.15">
      <c r="A3" s="2952"/>
      <c r="B3" s="2952"/>
      <c r="C3" s="2952"/>
      <c r="D3" s="2952"/>
      <c r="E3" s="2952"/>
      <c r="F3" s="2952"/>
    </row>
    <row r="4" spans="1:6" ht="10.5" customHeight="1" x14ac:dyDescent="0.15">
      <c r="A4" s="2310" t="s">
        <v>2113</v>
      </c>
      <c r="B4" s="2310" t="s">
        <v>2</v>
      </c>
      <c r="C4" s="2310"/>
      <c r="D4" s="2310"/>
      <c r="E4" s="2310"/>
      <c r="F4" s="2310"/>
    </row>
    <row r="5" spans="1:6" ht="11.25" x14ac:dyDescent="0.15">
      <c r="A5" s="2310"/>
      <c r="B5" s="871" t="s">
        <v>2321</v>
      </c>
      <c r="C5" s="871" t="s">
        <v>190</v>
      </c>
      <c r="D5" s="871" t="s">
        <v>2239</v>
      </c>
      <c r="E5" s="13">
        <v>2014</v>
      </c>
      <c r="F5" s="871">
        <v>2015</v>
      </c>
    </row>
    <row r="6" spans="1:6" x14ac:dyDescent="0.15">
      <c r="A6" s="883" t="s">
        <v>4</v>
      </c>
      <c r="B6" s="872">
        <f t="shared" ref="B6:F6" si="0">SUM(B7:B18)</f>
        <v>1436407</v>
      </c>
      <c r="C6" s="872">
        <f t="shared" si="0"/>
        <v>1726023</v>
      </c>
      <c r="D6" s="872">
        <f t="shared" si="0"/>
        <v>1813397</v>
      </c>
      <c r="E6" s="872">
        <f t="shared" si="0"/>
        <v>1919354</v>
      </c>
      <c r="F6" s="884">
        <f t="shared" si="0"/>
        <v>1877280</v>
      </c>
    </row>
    <row r="7" spans="1:6" x14ac:dyDescent="0.15">
      <c r="A7" s="16" t="s">
        <v>1586</v>
      </c>
      <c r="B7" s="868">
        <v>92167</v>
      </c>
      <c r="C7" s="868">
        <v>111376</v>
      </c>
      <c r="D7" s="868">
        <v>132023</v>
      </c>
      <c r="E7" s="868">
        <v>136400</v>
      </c>
      <c r="F7" s="903">
        <v>134778</v>
      </c>
    </row>
    <row r="8" spans="1:6" x14ac:dyDescent="0.15">
      <c r="A8" s="16" t="s">
        <v>1587</v>
      </c>
      <c r="B8" s="868">
        <v>80879</v>
      </c>
      <c r="C8" s="868">
        <v>103078</v>
      </c>
      <c r="D8" s="868">
        <v>109098</v>
      </c>
      <c r="E8" s="868">
        <v>119856</v>
      </c>
      <c r="F8" s="903">
        <v>120621</v>
      </c>
    </row>
    <row r="9" spans="1:6" x14ac:dyDescent="0.15">
      <c r="A9" s="16" t="s">
        <v>1588</v>
      </c>
      <c r="B9" s="868">
        <v>123673</v>
      </c>
      <c r="C9" s="868">
        <v>142568</v>
      </c>
      <c r="D9" s="868">
        <v>140992</v>
      </c>
      <c r="E9" s="868">
        <v>157462</v>
      </c>
      <c r="F9" s="903">
        <v>169482</v>
      </c>
    </row>
    <row r="10" spans="1:6" x14ac:dyDescent="0.15">
      <c r="A10" s="16" t="s">
        <v>1589</v>
      </c>
      <c r="B10" s="868">
        <v>123963</v>
      </c>
      <c r="C10" s="868">
        <v>147721</v>
      </c>
      <c r="D10" s="868">
        <v>178877</v>
      </c>
      <c r="E10" s="868">
        <v>176033</v>
      </c>
      <c r="F10" s="903">
        <v>177830</v>
      </c>
    </row>
    <row r="11" spans="1:6" x14ac:dyDescent="0.15">
      <c r="A11" s="16" t="s">
        <v>1590</v>
      </c>
      <c r="B11" s="868">
        <v>135600</v>
      </c>
      <c r="C11" s="868">
        <v>166672</v>
      </c>
      <c r="D11" s="868">
        <v>175583</v>
      </c>
      <c r="E11" s="868">
        <v>169949</v>
      </c>
      <c r="F11" s="903">
        <v>154323</v>
      </c>
    </row>
    <row r="12" spans="1:6" x14ac:dyDescent="0.15">
      <c r="A12" s="16" t="s">
        <v>1591</v>
      </c>
      <c r="B12" s="868">
        <v>130251</v>
      </c>
      <c r="C12" s="868">
        <v>159735</v>
      </c>
      <c r="D12" s="868">
        <v>164119</v>
      </c>
      <c r="E12" s="868">
        <v>168347</v>
      </c>
      <c r="F12" s="903">
        <v>173465</v>
      </c>
    </row>
    <row r="13" spans="1:6" x14ac:dyDescent="0.15">
      <c r="A13" s="16" t="s">
        <v>1592</v>
      </c>
      <c r="B13" s="868">
        <v>137758</v>
      </c>
      <c r="C13" s="868">
        <v>169026</v>
      </c>
      <c r="D13" s="868">
        <v>187395</v>
      </c>
      <c r="E13" s="868">
        <v>193418</v>
      </c>
      <c r="F13" s="903">
        <v>193144</v>
      </c>
    </row>
    <row r="14" spans="1:6" x14ac:dyDescent="0.15">
      <c r="A14" s="16" t="s">
        <v>1593</v>
      </c>
      <c r="B14" s="868">
        <v>137126</v>
      </c>
      <c r="C14" s="868">
        <v>181525</v>
      </c>
      <c r="D14" s="868">
        <v>184148</v>
      </c>
      <c r="E14" s="868">
        <v>184519</v>
      </c>
      <c r="F14" s="903">
        <v>175914</v>
      </c>
    </row>
    <row r="15" spans="1:6" x14ac:dyDescent="0.15">
      <c r="A15" s="16" t="s">
        <v>1594</v>
      </c>
      <c r="B15" s="868">
        <v>128709</v>
      </c>
      <c r="C15" s="868">
        <v>138339</v>
      </c>
      <c r="D15" s="868">
        <v>151806</v>
      </c>
      <c r="E15" s="868">
        <v>168332</v>
      </c>
      <c r="F15" s="903">
        <v>163032</v>
      </c>
    </row>
    <row r="16" spans="1:6" x14ac:dyDescent="0.15">
      <c r="A16" s="16" t="s">
        <v>1595</v>
      </c>
      <c r="B16" s="868">
        <v>124333</v>
      </c>
      <c r="C16" s="868">
        <v>170269</v>
      </c>
      <c r="D16" s="868">
        <v>162340</v>
      </c>
      <c r="E16" s="868">
        <v>180010</v>
      </c>
      <c r="F16" s="903">
        <v>168438</v>
      </c>
    </row>
    <row r="17" spans="1:6" x14ac:dyDescent="0.15">
      <c r="A17" s="16" t="s">
        <v>1596</v>
      </c>
      <c r="B17" s="868">
        <v>121579</v>
      </c>
      <c r="C17" s="868">
        <v>133455</v>
      </c>
      <c r="D17" s="868">
        <v>107542</v>
      </c>
      <c r="E17" s="868">
        <v>141862</v>
      </c>
      <c r="F17" s="903">
        <v>146221</v>
      </c>
    </row>
    <row r="18" spans="1:6" x14ac:dyDescent="0.15">
      <c r="A18" s="16" t="s">
        <v>1597</v>
      </c>
      <c r="B18" s="868">
        <v>100369</v>
      </c>
      <c r="C18" s="868">
        <v>102259</v>
      </c>
      <c r="D18" s="868">
        <v>119474</v>
      </c>
      <c r="E18" s="868">
        <v>123166</v>
      </c>
      <c r="F18" s="903">
        <v>100032</v>
      </c>
    </row>
    <row r="19" spans="1:6" x14ac:dyDescent="0.15">
      <c r="A19" s="2917"/>
      <c r="B19" s="2917"/>
      <c r="C19" s="2917"/>
      <c r="D19" s="2917"/>
      <c r="E19" s="2917"/>
      <c r="F19" s="2917"/>
    </row>
    <row r="20" spans="1:6" ht="43.5" customHeight="1" x14ac:dyDescent="0.15">
      <c r="A20" s="2957" t="s">
        <v>2326</v>
      </c>
      <c r="B20" s="2957"/>
      <c r="C20" s="2957"/>
      <c r="D20" s="2957"/>
      <c r="E20" s="2957"/>
      <c r="F20" s="2957"/>
    </row>
    <row r="21" spans="1:6" ht="11.25" customHeight="1" x14ac:dyDescent="0.15">
      <c r="A21" s="2957" t="s">
        <v>2243</v>
      </c>
      <c r="B21" s="2957"/>
      <c r="C21" s="2957"/>
      <c r="D21" s="2957"/>
      <c r="E21" s="2957"/>
      <c r="F21" s="2957"/>
    </row>
    <row r="22" spans="1:6" ht="11.25" customHeight="1" x14ac:dyDescent="0.15">
      <c r="A22" s="2914" t="s">
        <v>21</v>
      </c>
      <c r="B22" s="2914"/>
      <c r="C22" s="2914"/>
      <c r="D22" s="2914"/>
      <c r="E22" s="2914"/>
      <c r="F22" s="2914"/>
    </row>
    <row r="23" spans="1:6" ht="15" customHeight="1" x14ac:dyDescent="0.15"/>
  </sheetData>
  <mergeCells count="8">
    <mergeCell ref="A21:F21"/>
    <mergeCell ref="A22:F22"/>
    <mergeCell ref="A2:F2"/>
    <mergeCell ref="A3:F3"/>
    <mergeCell ref="A4:A5"/>
    <mergeCell ref="B4:F4"/>
    <mergeCell ref="A19:F19"/>
    <mergeCell ref="A20:F20"/>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2:B10"/>
  <sheetViews>
    <sheetView workbookViewId="0">
      <selection activeCell="A14" sqref="A14"/>
    </sheetView>
  </sheetViews>
  <sheetFormatPr baseColWidth="10" defaultColWidth="13" defaultRowHeight="10.5" x14ac:dyDescent="0.15"/>
  <cols>
    <col min="1" max="1" width="34.7109375" style="851" customWidth="1"/>
    <col min="2" max="2" width="39.5703125" style="851" customWidth="1"/>
    <col min="3" max="16384" width="13" style="851"/>
  </cols>
  <sheetData>
    <row r="2" spans="1:2" ht="26.25" customHeight="1" x14ac:dyDescent="0.15">
      <c r="A2" s="2967" t="s">
        <v>2327</v>
      </c>
      <c r="B2" s="2967"/>
    </row>
    <row r="3" spans="1:2" x14ac:dyDescent="0.15">
      <c r="A3" s="916"/>
      <c r="B3" s="916"/>
    </row>
    <row r="4" spans="1:2" x14ac:dyDescent="0.15">
      <c r="A4" s="2968" t="s">
        <v>2328</v>
      </c>
      <c r="B4" s="2970" t="s">
        <v>69</v>
      </c>
    </row>
    <row r="5" spans="1:2" x14ac:dyDescent="0.15">
      <c r="A5" s="2969"/>
      <c r="B5" s="2971"/>
    </row>
    <row r="6" spans="1:2" x14ac:dyDescent="0.15">
      <c r="A6" s="917" t="s">
        <v>4</v>
      </c>
      <c r="B6" s="918">
        <v>15888</v>
      </c>
    </row>
    <row r="7" spans="1:2" x14ac:dyDescent="0.15">
      <c r="A7" s="917"/>
      <c r="B7" s="919"/>
    </row>
    <row r="8" spans="1:2" ht="22.5" customHeight="1" x14ac:dyDescent="0.15">
      <c r="A8" s="2972" t="s">
        <v>2329</v>
      </c>
      <c r="B8" s="2972"/>
    </row>
    <row r="9" spans="1:2" ht="22.5" customHeight="1" x14ac:dyDescent="0.15">
      <c r="A9" s="2972" t="s">
        <v>2330</v>
      </c>
      <c r="B9" s="2972"/>
    </row>
    <row r="10" spans="1:2" x14ac:dyDescent="0.15">
      <c r="A10" s="462" t="s">
        <v>21</v>
      </c>
      <c r="B10" s="920"/>
    </row>
  </sheetData>
  <mergeCells count="5">
    <mergeCell ref="A2:B2"/>
    <mergeCell ref="A4:A5"/>
    <mergeCell ref="B4:B5"/>
    <mergeCell ref="A8:B8"/>
    <mergeCell ref="A9:B9"/>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F26"/>
  <sheetViews>
    <sheetView workbookViewId="0">
      <selection activeCell="D33" sqref="D33"/>
    </sheetView>
  </sheetViews>
  <sheetFormatPr baseColWidth="10" defaultColWidth="9.140625" defaultRowHeight="12.75" x14ac:dyDescent="0.2"/>
  <cols>
    <col min="1" max="1" width="34.140625" style="757" customWidth="1"/>
    <col min="2" max="2" width="17.85546875" style="757" customWidth="1"/>
    <col min="3" max="3" width="19.5703125" style="757" customWidth="1"/>
    <col min="4" max="4" width="19.7109375" style="757" customWidth="1"/>
    <col min="5" max="5" width="19.85546875" style="757" customWidth="1"/>
    <col min="6" max="7" width="9.140625" style="757" customWidth="1"/>
    <col min="8" max="16384" width="9.140625" style="757"/>
  </cols>
  <sheetData>
    <row r="2" spans="1:6" x14ac:dyDescent="0.2">
      <c r="A2" s="2842" t="s">
        <v>2331</v>
      </c>
      <c r="B2" s="2849"/>
      <c r="C2" s="2849"/>
      <c r="D2" s="2849"/>
      <c r="E2" s="2849"/>
    </row>
    <row r="3" spans="1:6" ht="11.25" customHeight="1" x14ac:dyDescent="0.2">
      <c r="A3" s="2844"/>
      <c r="B3" s="2845"/>
      <c r="C3" s="2845"/>
      <c r="D3" s="2845"/>
      <c r="E3" s="2845"/>
    </row>
    <row r="4" spans="1:6" x14ac:dyDescent="0.2">
      <c r="A4" s="2973" t="s">
        <v>1442</v>
      </c>
      <c r="B4" s="2973" t="s">
        <v>1472</v>
      </c>
      <c r="C4" s="2976" t="s">
        <v>2332</v>
      </c>
      <c r="D4" s="2977"/>
      <c r="E4" s="2978"/>
    </row>
    <row r="5" spans="1:6" x14ac:dyDescent="0.2">
      <c r="A5" s="2974"/>
      <c r="B5" s="2974"/>
      <c r="C5" s="2973" t="s">
        <v>2333</v>
      </c>
      <c r="D5" s="2976" t="s">
        <v>2334</v>
      </c>
      <c r="E5" s="2978"/>
    </row>
    <row r="6" spans="1:6" ht="21" x14ac:dyDescent="0.2">
      <c r="A6" s="2975"/>
      <c r="B6" s="2975"/>
      <c r="C6" s="2975"/>
      <c r="D6" s="921" t="s">
        <v>2335</v>
      </c>
      <c r="E6" s="921" t="s">
        <v>2336</v>
      </c>
    </row>
    <row r="7" spans="1:6" x14ac:dyDescent="0.2">
      <c r="A7" s="922">
        <v>2011</v>
      </c>
      <c r="B7" s="923">
        <v>231</v>
      </c>
      <c r="C7" s="924">
        <f>SUM(D7:E7)</f>
        <v>26599</v>
      </c>
      <c r="D7" s="925">
        <v>1749</v>
      </c>
      <c r="E7" s="925">
        <v>24850</v>
      </c>
    </row>
    <row r="8" spans="1:6" x14ac:dyDescent="0.2">
      <c r="A8" s="922">
        <v>2012</v>
      </c>
      <c r="B8" s="923">
        <v>272</v>
      </c>
      <c r="C8" s="924">
        <f>SUM(D8:E8)</f>
        <v>25501</v>
      </c>
      <c r="D8" s="925">
        <v>1595</v>
      </c>
      <c r="E8" s="925">
        <v>23906</v>
      </c>
    </row>
    <row r="9" spans="1:6" x14ac:dyDescent="0.2">
      <c r="A9" s="922">
        <v>2013</v>
      </c>
      <c r="B9" s="923">
        <v>182</v>
      </c>
      <c r="C9" s="924">
        <f>SUM(D9:E9)</f>
        <v>17037</v>
      </c>
      <c r="D9" s="925">
        <v>120</v>
      </c>
      <c r="E9" s="925">
        <v>16917</v>
      </c>
      <c r="F9" s="2170"/>
    </row>
    <row r="10" spans="1:6" x14ac:dyDescent="0.2">
      <c r="A10" s="922">
        <v>2014</v>
      </c>
      <c r="B10" s="926">
        <v>152</v>
      </c>
      <c r="C10" s="924">
        <f>SUM(D10:E10)</f>
        <v>10933</v>
      </c>
      <c r="D10" s="927">
        <v>1068</v>
      </c>
      <c r="E10" s="927">
        <v>9865</v>
      </c>
      <c r="F10" s="2170"/>
    </row>
    <row r="11" spans="1:6" x14ac:dyDescent="0.2">
      <c r="A11" s="922">
        <v>2015</v>
      </c>
      <c r="B11" s="928">
        <v>107</v>
      </c>
      <c r="C11" s="924">
        <f>SUM(D11:E11)</f>
        <v>9442</v>
      </c>
      <c r="D11" s="928">
        <v>704</v>
      </c>
      <c r="E11" s="929">
        <v>8738</v>
      </c>
      <c r="F11" s="2170"/>
    </row>
    <row r="12" spans="1:6" ht="11.25" customHeight="1" x14ac:dyDescent="0.2">
      <c r="A12" s="2846"/>
      <c r="B12" s="2847"/>
      <c r="C12" s="2847"/>
      <c r="D12" s="2847"/>
      <c r="E12" s="2847"/>
      <c r="F12" s="2170"/>
    </row>
    <row r="13" spans="1:6" ht="22.5" customHeight="1" x14ac:dyDescent="0.2">
      <c r="A13" s="2848" t="s">
        <v>1755</v>
      </c>
      <c r="B13" s="2841"/>
      <c r="C13" s="2841"/>
      <c r="D13" s="2841"/>
      <c r="E13" s="2841"/>
      <c r="F13" s="2170"/>
    </row>
    <row r="14" spans="1:6" x14ac:dyDescent="0.2">
      <c r="A14" s="2840" t="s">
        <v>1483</v>
      </c>
      <c r="B14" s="2841"/>
      <c r="C14" s="2841"/>
      <c r="D14" s="2841"/>
      <c r="E14" s="2841"/>
      <c r="F14" s="2170"/>
    </row>
    <row r="15" spans="1:6" x14ac:dyDescent="0.2">
      <c r="A15" s="2170"/>
      <c r="B15" s="2170"/>
      <c r="C15" s="2170"/>
      <c r="D15" s="2170"/>
      <c r="E15" s="2170"/>
      <c r="F15" s="2170"/>
    </row>
    <row r="16" spans="1:6" x14ac:dyDescent="0.2">
      <c r="A16" s="2170"/>
      <c r="B16" s="2170"/>
      <c r="C16" s="2170"/>
      <c r="D16" s="2170"/>
      <c r="E16" s="2170"/>
      <c r="F16" s="2170"/>
    </row>
    <row r="17" spans="1:6" x14ac:dyDescent="0.2">
      <c r="A17" s="2170"/>
      <c r="B17" s="2170"/>
      <c r="C17" s="2170"/>
      <c r="D17" s="2170"/>
      <c r="E17" s="2170"/>
      <c r="F17" s="2170"/>
    </row>
    <row r="18" spans="1:6" x14ac:dyDescent="0.2">
      <c r="A18" s="2170"/>
      <c r="B18" s="2170"/>
      <c r="C18" s="2170"/>
      <c r="D18" s="2170"/>
      <c r="E18" s="2170"/>
      <c r="F18" s="2170"/>
    </row>
    <row r="19" spans="1:6" x14ac:dyDescent="0.2">
      <c r="A19" s="2170"/>
      <c r="B19" s="2170"/>
      <c r="C19" s="2170"/>
      <c r="D19" s="2170"/>
      <c r="E19" s="2170"/>
      <c r="F19" s="2170"/>
    </row>
    <row r="20" spans="1:6" x14ac:dyDescent="0.2">
      <c r="A20" s="2170"/>
      <c r="B20" s="2170"/>
      <c r="C20" s="2170"/>
      <c r="D20" s="2170"/>
      <c r="E20" s="2170"/>
      <c r="F20" s="2170"/>
    </row>
    <row r="21" spans="1:6" x14ac:dyDescent="0.2">
      <c r="A21" s="2170"/>
      <c r="B21" s="2170"/>
      <c r="C21" s="2170"/>
      <c r="D21" s="2170"/>
      <c r="E21" s="2170"/>
      <c r="F21" s="2170"/>
    </row>
    <row r="22" spans="1:6" x14ac:dyDescent="0.2">
      <c r="A22" s="2170"/>
      <c r="B22" s="2170"/>
      <c r="C22" s="2170"/>
      <c r="D22" s="2170"/>
      <c r="E22" s="2170"/>
      <c r="F22" s="2170"/>
    </row>
    <row r="23" spans="1:6" x14ac:dyDescent="0.2">
      <c r="A23" s="2170"/>
      <c r="B23" s="2170"/>
      <c r="C23" s="2170"/>
      <c r="D23" s="2170"/>
      <c r="E23" s="2170"/>
      <c r="F23" s="2170"/>
    </row>
    <row r="24" spans="1:6" x14ac:dyDescent="0.2">
      <c r="A24" s="2170"/>
      <c r="B24" s="2170"/>
      <c r="C24" s="2170"/>
      <c r="D24" s="2170"/>
      <c r="E24" s="2170"/>
      <c r="F24" s="2170"/>
    </row>
    <row r="25" spans="1:6" x14ac:dyDescent="0.2">
      <c r="A25" s="2170"/>
      <c r="B25" s="2170"/>
      <c r="C25" s="2170"/>
      <c r="D25" s="2170"/>
      <c r="E25" s="2170"/>
      <c r="F25" s="2170"/>
    </row>
    <row r="26" spans="1:6" x14ac:dyDescent="0.2">
      <c r="A26" s="2170"/>
      <c r="B26" s="2170"/>
      <c r="C26" s="2170"/>
      <c r="D26" s="2170"/>
      <c r="E26" s="2170"/>
      <c r="F26" s="2170"/>
    </row>
  </sheetData>
  <mergeCells count="10">
    <mergeCell ref="A12:E12"/>
    <mergeCell ref="A13:E13"/>
    <mergeCell ref="A14:E14"/>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F18"/>
  <sheetViews>
    <sheetView zoomScaleNormal="100" workbookViewId="0">
      <selection activeCell="E34" sqref="E34"/>
    </sheetView>
  </sheetViews>
  <sheetFormatPr baseColWidth="10" defaultColWidth="11.42578125" defaultRowHeight="10.5" x14ac:dyDescent="0.15"/>
  <cols>
    <col min="1" max="1" width="23" style="1" customWidth="1"/>
    <col min="2" max="2" width="12.5703125" style="1" bestFit="1" customWidth="1"/>
    <col min="3" max="3" width="15" style="1" customWidth="1"/>
    <col min="4" max="4" width="17" style="1" customWidth="1"/>
    <col min="5" max="5" width="15" style="1" customWidth="1"/>
    <col min="6" max="6" width="18.85546875" style="1" customWidth="1"/>
    <col min="7" max="16384" width="11.42578125" style="1"/>
  </cols>
  <sheetData>
    <row r="2" spans="1:6" ht="24" customHeight="1" x14ac:dyDescent="0.15">
      <c r="A2" s="2313" t="s">
        <v>177</v>
      </c>
      <c r="B2" s="2313"/>
      <c r="C2" s="2313"/>
      <c r="D2" s="2313"/>
      <c r="E2" s="2313"/>
      <c r="F2" s="2313"/>
    </row>
    <row r="3" spans="1:6" x14ac:dyDescent="0.15">
      <c r="A3" s="1974"/>
      <c r="B3" s="1974"/>
      <c r="C3" s="1974"/>
      <c r="D3" s="1974"/>
      <c r="E3" s="1974"/>
      <c r="F3" s="1974"/>
    </row>
    <row r="4" spans="1:6" x14ac:dyDescent="0.15">
      <c r="A4" s="2340" t="s">
        <v>4172</v>
      </c>
      <c r="B4" s="2340" t="s">
        <v>69</v>
      </c>
      <c r="C4" s="2340" t="s">
        <v>70</v>
      </c>
      <c r="D4" s="2340"/>
      <c r="E4" s="2340"/>
      <c r="F4" s="2340"/>
    </row>
    <row r="5" spans="1:6" ht="42.75" x14ac:dyDescent="0.15">
      <c r="A5" s="2340"/>
      <c r="B5" s="2340"/>
      <c r="C5" s="1975" t="s">
        <v>4173</v>
      </c>
      <c r="D5" s="1975" t="s">
        <v>72</v>
      </c>
      <c r="E5" s="1975" t="s">
        <v>4174</v>
      </c>
      <c r="F5" s="1975" t="s">
        <v>74</v>
      </c>
    </row>
    <row r="6" spans="1:6" x14ac:dyDescent="0.15">
      <c r="A6" s="14" t="s">
        <v>4</v>
      </c>
      <c r="B6" s="94">
        <f>SUM(C6:F6)</f>
        <v>310500</v>
      </c>
      <c r="C6" s="95">
        <f>SUM(C7:C9)</f>
        <v>158685</v>
      </c>
      <c r="D6" s="95">
        <f>SUM(D7:D9)</f>
        <v>60427</v>
      </c>
      <c r="E6" s="95">
        <f>SUM(E7:E9)</f>
        <v>16857</v>
      </c>
      <c r="F6" s="95">
        <f>SUM(F7:F9)</f>
        <v>74531</v>
      </c>
    </row>
    <row r="7" spans="1:6" ht="11.25" x14ac:dyDescent="0.15">
      <c r="A7" s="1976" t="s">
        <v>4175</v>
      </c>
      <c r="B7" s="94">
        <f>SUM(C7:F7)</f>
        <v>75112</v>
      </c>
      <c r="C7" s="96">
        <v>37633</v>
      </c>
      <c r="D7" s="96">
        <v>17946</v>
      </c>
      <c r="E7" s="96">
        <v>4734</v>
      </c>
      <c r="F7" s="96">
        <v>14799</v>
      </c>
    </row>
    <row r="8" spans="1:6" ht="11.25" x14ac:dyDescent="0.15">
      <c r="A8" s="1976" t="s">
        <v>4176</v>
      </c>
      <c r="B8" s="94">
        <f>SUM(C8:F8)</f>
        <v>222000</v>
      </c>
      <c r="C8" s="96">
        <v>121052</v>
      </c>
      <c r="D8" s="96">
        <v>41006</v>
      </c>
      <c r="E8" s="96">
        <v>12123</v>
      </c>
      <c r="F8" s="96">
        <v>47819</v>
      </c>
    </row>
    <row r="9" spans="1:6" ht="11.25" x14ac:dyDescent="0.15">
      <c r="A9" s="1976" t="s">
        <v>4177</v>
      </c>
      <c r="B9" s="94">
        <f>SUM(C9:F9)</f>
        <v>13388</v>
      </c>
      <c r="C9" s="96">
        <v>0</v>
      </c>
      <c r="D9" s="96">
        <v>1475</v>
      </c>
      <c r="E9" s="96">
        <v>0</v>
      </c>
      <c r="F9" s="96">
        <v>11913</v>
      </c>
    </row>
    <row r="10" spans="1:6" x14ac:dyDescent="0.15">
      <c r="A10" s="1976"/>
      <c r="B10" s="1976"/>
      <c r="C10" s="1976"/>
      <c r="D10" s="1976"/>
      <c r="E10" s="1976"/>
      <c r="F10" s="1976"/>
    </row>
    <row r="11" spans="1:6" s="1987" customFormat="1" x14ac:dyDescent="0.15">
      <c r="A11" s="2341" t="s">
        <v>4178</v>
      </c>
      <c r="B11" s="2341"/>
      <c r="C11" s="2341"/>
      <c r="D11" s="2341"/>
      <c r="E11" s="2341"/>
      <c r="F11" s="2341"/>
    </row>
    <row r="12" spans="1:6" s="1987" customFormat="1" x14ac:dyDescent="0.15">
      <c r="A12" s="2341" t="s">
        <v>4179</v>
      </c>
      <c r="B12" s="2341"/>
      <c r="C12" s="2341"/>
      <c r="D12" s="2341"/>
      <c r="E12" s="2341"/>
      <c r="F12" s="2341"/>
    </row>
    <row r="13" spans="1:6" s="1987" customFormat="1" x14ac:dyDescent="0.15">
      <c r="A13" s="2341" t="s">
        <v>4180</v>
      </c>
      <c r="B13" s="2341"/>
      <c r="C13" s="2341"/>
      <c r="D13" s="2341"/>
      <c r="E13" s="2341"/>
      <c r="F13" s="2341"/>
    </row>
    <row r="14" spans="1:6" s="1987" customFormat="1" x14ac:dyDescent="0.15">
      <c r="A14" s="2342" t="s">
        <v>4181</v>
      </c>
      <c r="B14" s="2342"/>
      <c r="C14" s="2342"/>
      <c r="D14" s="2342"/>
      <c r="E14" s="2342"/>
      <c r="F14" s="2342"/>
    </row>
    <row r="15" spans="1:6" s="1987" customFormat="1" x14ac:dyDescent="0.15">
      <c r="A15" s="2341" t="s">
        <v>4182</v>
      </c>
      <c r="B15" s="2341"/>
      <c r="C15" s="2341"/>
      <c r="D15" s="2341"/>
      <c r="E15" s="2341"/>
      <c r="F15" s="2341"/>
    </row>
    <row r="16" spans="1:6" s="1987" customFormat="1" x14ac:dyDescent="0.15">
      <c r="A16" s="2341" t="s">
        <v>21</v>
      </c>
      <c r="B16" s="2341"/>
      <c r="C16" s="2341"/>
      <c r="D16" s="2341"/>
      <c r="E16" s="2341"/>
      <c r="F16" s="2341"/>
    </row>
    <row r="17" s="1987" customFormat="1" x14ac:dyDescent="0.15"/>
    <row r="18" s="1987" customFormat="1" x14ac:dyDescent="0.15"/>
  </sheetData>
  <mergeCells count="10">
    <mergeCell ref="A16:F16"/>
    <mergeCell ref="A12:F12"/>
    <mergeCell ref="A13:F13"/>
    <mergeCell ref="A14:F14"/>
    <mergeCell ref="A15:F15"/>
    <mergeCell ref="A2:F2"/>
    <mergeCell ref="A4:A5"/>
    <mergeCell ref="B4:B5"/>
    <mergeCell ref="C4:F4"/>
    <mergeCell ref="A11:F11"/>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P32"/>
  <sheetViews>
    <sheetView workbookViewId="0">
      <selection activeCell="P31" sqref="H11:P31"/>
    </sheetView>
  </sheetViews>
  <sheetFormatPr baseColWidth="10" defaultColWidth="9.140625" defaultRowHeight="12.75" x14ac:dyDescent="0.2"/>
  <cols>
    <col min="1" max="1" width="34.140625" style="757" customWidth="1"/>
    <col min="2" max="2" width="17.85546875" style="757" customWidth="1"/>
    <col min="3" max="5" width="19.85546875" style="757" customWidth="1"/>
    <col min="6" max="6" width="9.140625" style="757" customWidth="1"/>
    <col min="7" max="7" width="12.5703125" style="757" customWidth="1"/>
    <col min="8" max="256" width="9.140625" style="757"/>
    <col min="257" max="257" width="34.140625" style="757" customWidth="1"/>
    <col min="258" max="258" width="17.85546875" style="757" customWidth="1"/>
    <col min="259" max="261" width="19.85546875" style="757" customWidth="1"/>
    <col min="262" max="262" width="0" style="757" hidden="1" customWidth="1"/>
    <col min="263" max="263" width="114.85546875" style="757" customWidth="1"/>
    <col min="264" max="512" width="9.140625" style="757"/>
    <col min="513" max="513" width="34.140625" style="757" customWidth="1"/>
    <col min="514" max="514" width="17.85546875" style="757" customWidth="1"/>
    <col min="515" max="517" width="19.85546875" style="757" customWidth="1"/>
    <col min="518" max="518" width="0" style="757" hidden="1" customWidth="1"/>
    <col min="519" max="519" width="114.85546875" style="757" customWidth="1"/>
    <col min="520" max="768" width="9.140625" style="757"/>
    <col min="769" max="769" width="34.140625" style="757" customWidth="1"/>
    <col min="770" max="770" width="17.85546875" style="757" customWidth="1"/>
    <col min="771" max="773" width="19.85546875" style="757" customWidth="1"/>
    <col min="774" max="774" width="0" style="757" hidden="1" customWidth="1"/>
    <col min="775" max="775" width="114.85546875" style="757" customWidth="1"/>
    <col min="776" max="1024" width="9.140625" style="757"/>
    <col min="1025" max="1025" width="34.140625" style="757" customWidth="1"/>
    <col min="1026" max="1026" width="17.85546875" style="757" customWidth="1"/>
    <col min="1027" max="1029" width="19.85546875" style="757" customWidth="1"/>
    <col min="1030" max="1030" width="0" style="757" hidden="1" customWidth="1"/>
    <col min="1031" max="1031" width="114.85546875" style="757" customWidth="1"/>
    <col min="1032" max="1280" width="9.140625" style="757"/>
    <col min="1281" max="1281" width="34.140625" style="757" customWidth="1"/>
    <col min="1282" max="1282" width="17.85546875" style="757" customWidth="1"/>
    <col min="1283" max="1285" width="19.85546875" style="757" customWidth="1"/>
    <col min="1286" max="1286" width="0" style="757" hidden="1" customWidth="1"/>
    <col min="1287" max="1287" width="114.85546875" style="757" customWidth="1"/>
    <col min="1288" max="1536" width="9.140625" style="757"/>
    <col min="1537" max="1537" width="34.140625" style="757" customWidth="1"/>
    <col min="1538" max="1538" width="17.85546875" style="757" customWidth="1"/>
    <col min="1539" max="1541" width="19.85546875" style="757" customWidth="1"/>
    <col min="1542" max="1542" width="0" style="757" hidden="1" customWidth="1"/>
    <col min="1543" max="1543" width="114.85546875" style="757" customWidth="1"/>
    <col min="1544" max="1792" width="9.140625" style="757"/>
    <col min="1793" max="1793" width="34.140625" style="757" customWidth="1"/>
    <col min="1794" max="1794" width="17.85546875" style="757" customWidth="1"/>
    <col min="1795" max="1797" width="19.85546875" style="757" customWidth="1"/>
    <col min="1798" max="1798" width="0" style="757" hidden="1" customWidth="1"/>
    <col min="1799" max="1799" width="114.85546875" style="757" customWidth="1"/>
    <col min="1800" max="2048" width="9.140625" style="757"/>
    <col min="2049" max="2049" width="34.140625" style="757" customWidth="1"/>
    <col min="2050" max="2050" width="17.85546875" style="757" customWidth="1"/>
    <col min="2051" max="2053" width="19.85546875" style="757" customWidth="1"/>
    <col min="2054" max="2054" width="0" style="757" hidden="1" customWidth="1"/>
    <col min="2055" max="2055" width="114.85546875" style="757" customWidth="1"/>
    <col min="2056" max="2304" width="9.140625" style="757"/>
    <col min="2305" max="2305" width="34.140625" style="757" customWidth="1"/>
    <col min="2306" max="2306" width="17.85546875" style="757" customWidth="1"/>
    <col min="2307" max="2309" width="19.85546875" style="757" customWidth="1"/>
    <col min="2310" max="2310" width="0" style="757" hidden="1" customWidth="1"/>
    <col min="2311" max="2311" width="114.85546875" style="757" customWidth="1"/>
    <col min="2312" max="2560" width="9.140625" style="757"/>
    <col min="2561" max="2561" width="34.140625" style="757" customWidth="1"/>
    <col min="2562" max="2562" width="17.85546875" style="757" customWidth="1"/>
    <col min="2563" max="2565" width="19.85546875" style="757" customWidth="1"/>
    <col min="2566" max="2566" width="0" style="757" hidden="1" customWidth="1"/>
    <col min="2567" max="2567" width="114.85546875" style="757" customWidth="1"/>
    <col min="2568" max="2816" width="9.140625" style="757"/>
    <col min="2817" max="2817" width="34.140625" style="757" customWidth="1"/>
    <col min="2818" max="2818" width="17.85546875" style="757" customWidth="1"/>
    <col min="2819" max="2821" width="19.85546875" style="757" customWidth="1"/>
    <col min="2822" max="2822" width="0" style="757" hidden="1" customWidth="1"/>
    <col min="2823" max="2823" width="114.85546875" style="757" customWidth="1"/>
    <col min="2824" max="3072" width="9.140625" style="757"/>
    <col min="3073" max="3073" width="34.140625" style="757" customWidth="1"/>
    <col min="3074" max="3074" width="17.85546875" style="757" customWidth="1"/>
    <col min="3075" max="3077" width="19.85546875" style="757" customWidth="1"/>
    <col min="3078" max="3078" width="0" style="757" hidden="1" customWidth="1"/>
    <col min="3079" max="3079" width="114.85546875" style="757" customWidth="1"/>
    <col min="3080" max="3328" width="9.140625" style="757"/>
    <col min="3329" max="3329" width="34.140625" style="757" customWidth="1"/>
    <col min="3330" max="3330" width="17.85546875" style="757" customWidth="1"/>
    <col min="3331" max="3333" width="19.85546875" style="757" customWidth="1"/>
    <col min="3334" max="3334" width="0" style="757" hidden="1" customWidth="1"/>
    <col min="3335" max="3335" width="114.85546875" style="757" customWidth="1"/>
    <col min="3336" max="3584" width="9.140625" style="757"/>
    <col min="3585" max="3585" width="34.140625" style="757" customWidth="1"/>
    <col min="3586" max="3586" width="17.85546875" style="757" customWidth="1"/>
    <col min="3587" max="3589" width="19.85546875" style="757" customWidth="1"/>
    <col min="3590" max="3590" width="0" style="757" hidden="1" customWidth="1"/>
    <col min="3591" max="3591" width="114.85546875" style="757" customWidth="1"/>
    <col min="3592" max="3840" width="9.140625" style="757"/>
    <col min="3841" max="3841" width="34.140625" style="757" customWidth="1"/>
    <col min="3842" max="3842" width="17.85546875" style="757" customWidth="1"/>
    <col min="3843" max="3845" width="19.85546875" style="757" customWidth="1"/>
    <col min="3846" max="3846" width="0" style="757" hidden="1" customWidth="1"/>
    <col min="3847" max="3847" width="114.85546875" style="757" customWidth="1"/>
    <col min="3848" max="4096" width="9.140625" style="757"/>
    <col min="4097" max="4097" width="34.140625" style="757" customWidth="1"/>
    <col min="4098" max="4098" width="17.85546875" style="757" customWidth="1"/>
    <col min="4099" max="4101" width="19.85546875" style="757" customWidth="1"/>
    <col min="4102" max="4102" width="0" style="757" hidden="1" customWidth="1"/>
    <col min="4103" max="4103" width="114.85546875" style="757" customWidth="1"/>
    <col min="4104" max="4352" width="9.140625" style="757"/>
    <col min="4353" max="4353" width="34.140625" style="757" customWidth="1"/>
    <col min="4354" max="4354" width="17.85546875" style="757" customWidth="1"/>
    <col min="4355" max="4357" width="19.85546875" style="757" customWidth="1"/>
    <col min="4358" max="4358" width="0" style="757" hidden="1" customWidth="1"/>
    <col min="4359" max="4359" width="114.85546875" style="757" customWidth="1"/>
    <col min="4360" max="4608" width="9.140625" style="757"/>
    <col min="4609" max="4609" width="34.140625" style="757" customWidth="1"/>
    <col min="4610" max="4610" width="17.85546875" style="757" customWidth="1"/>
    <col min="4611" max="4613" width="19.85546875" style="757" customWidth="1"/>
    <col min="4614" max="4614" width="0" style="757" hidden="1" customWidth="1"/>
    <col min="4615" max="4615" width="114.85546875" style="757" customWidth="1"/>
    <col min="4616" max="4864" width="9.140625" style="757"/>
    <col min="4865" max="4865" width="34.140625" style="757" customWidth="1"/>
    <col min="4866" max="4866" width="17.85546875" style="757" customWidth="1"/>
    <col min="4867" max="4869" width="19.85546875" style="757" customWidth="1"/>
    <col min="4870" max="4870" width="0" style="757" hidden="1" customWidth="1"/>
    <col min="4871" max="4871" width="114.85546875" style="757" customWidth="1"/>
    <col min="4872" max="5120" width="9.140625" style="757"/>
    <col min="5121" max="5121" width="34.140625" style="757" customWidth="1"/>
    <col min="5122" max="5122" width="17.85546875" style="757" customWidth="1"/>
    <col min="5123" max="5125" width="19.85546875" style="757" customWidth="1"/>
    <col min="5126" max="5126" width="0" style="757" hidden="1" customWidth="1"/>
    <col min="5127" max="5127" width="114.85546875" style="757" customWidth="1"/>
    <col min="5128" max="5376" width="9.140625" style="757"/>
    <col min="5377" max="5377" width="34.140625" style="757" customWidth="1"/>
    <col min="5378" max="5378" width="17.85546875" style="757" customWidth="1"/>
    <col min="5379" max="5381" width="19.85546875" style="757" customWidth="1"/>
    <col min="5382" max="5382" width="0" style="757" hidden="1" customWidth="1"/>
    <col min="5383" max="5383" width="114.85546875" style="757" customWidth="1"/>
    <col min="5384" max="5632" width="9.140625" style="757"/>
    <col min="5633" max="5633" width="34.140625" style="757" customWidth="1"/>
    <col min="5634" max="5634" width="17.85546875" style="757" customWidth="1"/>
    <col min="5635" max="5637" width="19.85546875" style="757" customWidth="1"/>
    <col min="5638" max="5638" width="0" style="757" hidden="1" customWidth="1"/>
    <col min="5639" max="5639" width="114.85546875" style="757" customWidth="1"/>
    <col min="5640" max="5888" width="9.140625" style="757"/>
    <col min="5889" max="5889" width="34.140625" style="757" customWidth="1"/>
    <col min="5890" max="5890" width="17.85546875" style="757" customWidth="1"/>
    <col min="5891" max="5893" width="19.85546875" style="757" customWidth="1"/>
    <col min="5894" max="5894" width="0" style="757" hidden="1" customWidth="1"/>
    <col min="5895" max="5895" width="114.85546875" style="757" customWidth="1"/>
    <col min="5896" max="6144" width="9.140625" style="757"/>
    <col min="6145" max="6145" width="34.140625" style="757" customWidth="1"/>
    <col min="6146" max="6146" width="17.85546875" style="757" customWidth="1"/>
    <col min="6147" max="6149" width="19.85546875" style="757" customWidth="1"/>
    <col min="6150" max="6150" width="0" style="757" hidden="1" customWidth="1"/>
    <col min="6151" max="6151" width="114.85546875" style="757" customWidth="1"/>
    <col min="6152" max="6400" width="9.140625" style="757"/>
    <col min="6401" max="6401" width="34.140625" style="757" customWidth="1"/>
    <col min="6402" max="6402" width="17.85546875" style="757" customWidth="1"/>
    <col min="6403" max="6405" width="19.85546875" style="757" customWidth="1"/>
    <col min="6406" max="6406" width="0" style="757" hidden="1" customWidth="1"/>
    <col min="6407" max="6407" width="114.85546875" style="757" customWidth="1"/>
    <col min="6408" max="6656" width="9.140625" style="757"/>
    <col min="6657" max="6657" width="34.140625" style="757" customWidth="1"/>
    <col min="6658" max="6658" width="17.85546875" style="757" customWidth="1"/>
    <col min="6659" max="6661" width="19.85546875" style="757" customWidth="1"/>
    <col min="6662" max="6662" width="0" style="757" hidden="1" customWidth="1"/>
    <col min="6663" max="6663" width="114.85546875" style="757" customWidth="1"/>
    <col min="6664" max="6912" width="9.140625" style="757"/>
    <col min="6913" max="6913" width="34.140625" style="757" customWidth="1"/>
    <col min="6914" max="6914" width="17.85546875" style="757" customWidth="1"/>
    <col min="6915" max="6917" width="19.85546875" style="757" customWidth="1"/>
    <col min="6918" max="6918" width="0" style="757" hidden="1" customWidth="1"/>
    <col min="6919" max="6919" width="114.85546875" style="757" customWidth="1"/>
    <col min="6920" max="7168" width="9.140625" style="757"/>
    <col min="7169" max="7169" width="34.140625" style="757" customWidth="1"/>
    <col min="7170" max="7170" width="17.85546875" style="757" customWidth="1"/>
    <col min="7171" max="7173" width="19.85546875" style="757" customWidth="1"/>
    <col min="7174" max="7174" width="0" style="757" hidden="1" customWidth="1"/>
    <col min="7175" max="7175" width="114.85546875" style="757" customWidth="1"/>
    <col min="7176" max="7424" width="9.140625" style="757"/>
    <col min="7425" max="7425" width="34.140625" style="757" customWidth="1"/>
    <col min="7426" max="7426" width="17.85546875" style="757" customWidth="1"/>
    <col min="7427" max="7429" width="19.85546875" style="757" customWidth="1"/>
    <col min="7430" max="7430" width="0" style="757" hidden="1" customWidth="1"/>
    <col min="7431" max="7431" width="114.85546875" style="757" customWidth="1"/>
    <col min="7432" max="7680" width="9.140625" style="757"/>
    <col min="7681" max="7681" width="34.140625" style="757" customWidth="1"/>
    <col min="7682" max="7682" width="17.85546875" style="757" customWidth="1"/>
    <col min="7683" max="7685" width="19.85546875" style="757" customWidth="1"/>
    <col min="7686" max="7686" width="0" style="757" hidden="1" customWidth="1"/>
    <col min="7687" max="7687" width="114.85546875" style="757" customWidth="1"/>
    <col min="7688" max="7936" width="9.140625" style="757"/>
    <col min="7937" max="7937" width="34.140625" style="757" customWidth="1"/>
    <col min="7938" max="7938" width="17.85546875" style="757" customWidth="1"/>
    <col min="7939" max="7941" width="19.85546875" style="757" customWidth="1"/>
    <col min="7942" max="7942" width="0" style="757" hidden="1" customWidth="1"/>
    <col min="7943" max="7943" width="114.85546875" style="757" customWidth="1"/>
    <col min="7944" max="8192" width="9.140625" style="757"/>
    <col min="8193" max="8193" width="34.140625" style="757" customWidth="1"/>
    <col min="8194" max="8194" width="17.85546875" style="757" customWidth="1"/>
    <col min="8195" max="8197" width="19.85546875" style="757" customWidth="1"/>
    <col min="8198" max="8198" width="0" style="757" hidden="1" customWidth="1"/>
    <col min="8199" max="8199" width="114.85546875" style="757" customWidth="1"/>
    <col min="8200" max="8448" width="9.140625" style="757"/>
    <col min="8449" max="8449" width="34.140625" style="757" customWidth="1"/>
    <col min="8450" max="8450" width="17.85546875" style="757" customWidth="1"/>
    <col min="8451" max="8453" width="19.85546875" style="757" customWidth="1"/>
    <col min="8454" max="8454" width="0" style="757" hidden="1" customWidth="1"/>
    <col min="8455" max="8455" width="114.85546875" style="757" customWidth="1"/>
    <col min="8456" max="8704" width="9.140625" style="757"/>
    <col min="8705" max="8705" width="34.140625" style="757" customWidth="1"/>
    <col min="8706" max="8706" width="17.85546875" style="757" customWidth="1"/>
    <col min="8707" max="8709" width="19.85546875" style="757" customWidth="1"/>
    <col min="8710" max="8710" width="0" style="757" hidden="1" customWidth="1"/>
    <col min="8711" max="8711" width="114.85546875" style="757" customWidth="1"/>
    <col min="8712" max="8960" width="9.140625" style="757"/>
    <col min="8961" max="8961" width="34.140625" style="757" customWidth="1"/>
    <col min="8962" max="8962" width="17.85546875" style="757" customWidth="1"/>
    <col min="8963" max="8965" width="19.85546875" style="757" customWidth="1"/>
    <col min="8966" max="8966" width="0" style="757" hidden="1" customWidth="1"/>
    <col min="8967" max="8967" width="114.85546875" style="757" customWidth="1"/>
    <col min="8968" max="9216" width="9.140625" style="757"/>
    <col min="9217" max="9217" width="34.140625" style="757" customWidth="1"/>
    <col min="9218" max="9218" width="17.85546875" style="757" customWidth="1"/>
    <col min="9219" max="9221" width="19.85546875" style="757" customWidth="1"/>
    <col min="9222" max="9222" width="0" style="757" hidden="1" customWidth="1"/>
    <col min="9223" max="9223" width="114.85546875" style="757" customWidth="1"/>
    <col min="9224" max="9472" width="9.140625" style="757"/>
    <col min="9473" max="9473" width="34.140625" style="757" customWidth="1"/>
    <col min="9474" max="9474" width="17.85546875" style="757" customWidth="1"/>
    <col min="9475" max="9477" width="19.85546875" style="757" customWidth="1"/>
    <col min="9478" max="9478" width="0" style="757" hidden="1" customWidth="1"/>
    <col min="9479" max="9479" width="114.85546875" style="757" customWidth="1"/>
    <col min="9480" max="9728" width="9.140625" style="757"/>
    <col min="9729" max="9729" width="34.140625" style="757" customWidth="1"/>
    <col min="9730" max="9730" width="17.85546875" style="757" customWidth="1"/>
    <col min="9731" max="9733" width="19.85546875" style="757" customWidth="1"/>
    <col min="9734" max="9734" width="0" style="757" hidden="1" customWidth="1"/>
    <col min="9735" max="9735" width="114.85546875" style="757" customWidth="1"/>
    <col min="9736" max="9984" width="9.140625" style="757"/>
    <col min="9985" max="9985" width="34.140625" style="757" customWidth="1"/>
    <col min="9986" max="9986" width="17.85546875" style="757" customWidth="1"/>
    <col min="9987" max="9989" width="19.85546875" style="757" customWidth="1"/>
    <col min="9990" max="9990" width="0" style="757" hidden="1" customWidth="1"/>
    <col min="9991" max="9991" width="114.85546875" style="757" customWidth="1"/>
    <col min="9992" max="10240" width="9.140625" style="757"/>
    <col min="10241" max="10241" width="34.140625" style="757" customWidth="1"/>
    <col min="10242" max="10242" width="17.85546875" style="757" customWidth="1"/>
    <col min="10243" max="10245" width="19.85546875" style="757" customWidth="1"/>
    <col min="10246" max="10246" width="0" style="757" hidden="1" customWidth="1"/>
    <col min="10247" max="10247" width="114.85546875" style="757" customWidth="1"/>
    <col min="10248" max="10496" width="9.140625" style="757"/>
    <col min="10497" max="10497" width="34.140625" style="757" customWidth="1"/>
    <col min="10498" max="10498" width="17.85546875" style="757" customWidth="1"/>
    <col min="10499" max="10501" width="19.85546875" style="757" customWidth="1"/>
    <col min="10502" max="10502" width="0" style="757" hidden="1" customWidth="1"/>
    <col min="10503" max="10503" width="114.85546875" style="757" customWidth="1"/>
    <col min="10504" max="10752" width="9.140625" style="757"/>
    <col min="10753" max="10753" width="34.140625" style="757" customWidth="1"/>
    <col min="10754" max="10754" width="17.85546875" style="757" customWidth="1"/>
    <col min="10755" max="10757" width="19.85546875" style="757" customWidth="1"/>
    <col min="10758" max="10758" width="0" style="757" hidden="1" customWidth="1"/>
    <col min="10759" max="10759" width="114.85546875" style="757" customWidth="1"/>
    <col min="10760" max="11008" width="9.140625" style="757"/>
    <col min="11009" max="11009" width="34.140625" style="757" customWidth="1"/>
    <col min="11010" max="11010" width="17.85546875" style="757" customWidth="1"/>
    <col min="11011" max="11013" width="19.85546875" style="757" customWidth="1"/>
    <col min="11014" max="11014" width="0" style="757" hidden="1" customWidth="1"/>
    <col min="11015" max="11015" width="114.85546875" style="757" customWidth="1"/>
    <col min="11016" max="11264" width="9.140625" style="757"/>
    <col min="11265" max="11265" width="34.140625" style="757" customWidth="1"/>
    <col min="11266" max="11266" width="17.85546875" style="757" customWidth="1"/>
    <col min="11267" max="11269" width="19.85546875" style="757" customWidth="1"/>
    <col min="11270" max="11270" width="0" style="757" hidden="1" customWidth="1"/>
    <col min="11271" max="11271" width="114.85546875" style="757" customWidth="1"/>
    <col min="11272" max="11520" width="9.140625" style="757"/>
    <col min="11521" max="11521" width="34.140625" style="757" customWidth="1"/>
    <col min="11522" max="11522" width="17.85546875" style="757" customWidth="1"/>
    <col min="11523" max="11525" width="19.85546875" style="757" customWidth="1"/>
    <col min="11526" max="11526" width="0" style="757" hidden="1" customWidth="1"/>
    <col min="11527" max="11527" width="114.85546875" style="757" customWidth="1"/>
    <col min="11528" max="11776" width="9.140625" style="757"/>
    <col min="11777" max="11777" width="34.140625" style="757" customWidth="1"/>
    <col min="11778" max="11778" width="17.85546875" style="757" customWidth="1"/>
    <col min="11779" max="11781" width="19.85546875" style="757" customWidth="1"/>
    <col min="11782" max="11782" width="0" style="757" hidden="1" customWidth="1"/>
    <col min="11783" max="11783" width="114.85546875" style="757" customWidth="1"/>
    <col min="11784" max="12032" width="9.140625" style="757"/>
    <col min="12033" max="12033" width="34.140625" style="757" customWidth="1"/>
    <col min="12034" max="12034" width="17.85546875" style="757" customWidth="1"/>
    <col min="12035" max="12037" width="19.85546875" style="757" customWidth="1"/>
    <col min="12038" max="12038" width="0" style="757" hidden="1" customWidth="1"/>
    <col min="12039" max="12039" width="114.85546875" style="757" customWidth="1"/>
    <col min="12040" max="12288" width="9.140625" style="757"/>
    <col min="12289" max="12289" width="34.140625" style="757" customWidth="1"/>
    <col min="12290" max="12290" width="17.85546875" style="757" customWidth="1"/>
    <col min="12291" max="12293" width="19.85546875" style="757" customWidth="1"/>
    <col min="12294" max="12294" width="0" style="757" hidden="1" customWidth="1"/>
    <col min="12295" max="12295" width="114.85546875" style="757" customWidth="1"/>
    <col min="12296" max="12544" width="9.140625" style="757"/>
    <col min="12545" max="12545" width="34.140625" style="757" customWidth="1"/>
    <col min="12546" max="12546" width="17.85546875" style="757" customWidth="1"/>
    <col min="12547" max="12549" width="19.85546875" style="757" customWidth="1"/>
    <col min="12550" max="12550" width="0" style="757" hidden="1" customWidth="1"/>
    <col min="12551" max="12551" width="114.85546875" style="757" customWidth="1"/>
    <col min="12552" max="12800" width="9.140625" style="757"/>
    <col min="12801" max="12801" width="34.140625" style="757" customWidth="1"/>
    <col min="12802" max="12802" width="17.85546875" style="757" customWidth="1"/>
    <col min="12803" max="12805" width="19.85546875" style="757" customWidth="1"/>
    <col min="12806" max="12806" width="0" style="757" hidden="1" customWidth="1"/>
    <col min="12807" max="12807" width="114.85546875" style="757" customWidth="1"/>
    <col min="12808" max="13056" width="9.140625" style="757"/>
    <col min="13057" max="13057" width="34.140625" style="757" customWidth="1"/>
    <col min="13058" max="13058" width="17.85546875" style="757" customWidth="1"/>
    <col min="13059" max="13061" width="19.85546875" style="757" customWidth="1"/>
    <col min="13062" max="13062" width="0" style="757" hidden="1" customWidth="1"/>
    <col min="13063" max="13063" width="114.85546875" style="757" customWidth="1"/>
    <col min="13064" max="13312" width="9.140625" style="757"/>
    <col min="13313" max="13313" width="34.140625" style="757" customWidth="1"/>
    <col min="13314" max="13314" width="17.85546875" style="757" customWidth="1"/>
    <col min="13315" max="13317" width="19.85546875" style="757" customWidth="1"/>
    <col min="13318" max="13318" width="0" style="757" hidden="1" customWidth="1"/>
    <col min="13319" max="13319" width="114.85546875" style="757" customWidth="1"/>
    <col min="13320" max="13568" width="9.140625" style="757"/>
    <col min="13569" max="13569" width="34.140625" style="757" customWidth="1"/>
    <col min="13570" max="13570" width="17.85546875" style="757" customWidth="1"/>
    <col min="13571" max="13573" width="19.85546875" style="757" customWidth="1"/>
    <col min="13574" max="13574" width="0" style="757" hidden="1" customWidth="1"/>
    <col min="13575" max="13575" width="114.85546875" style="757" customWidth="1"/>
    <col min="13576" max="13824" width="9.140625" style="757"/>
    <col min="13825" max="13825" width="34.140625" style="757" customWidth="1"/>
    <col min="13826" max="13826" width="17.85546875" style="757" customWidth="1"/>
    <col min="13827" max="13829" width="19.85546875" style="757" customWidth="1"/>
    <col min="13830" max="13830" width="0" style="757" hidden="1" customWidth="1"/>
    <col min="13831" max="13831" width="114.85546875" style="757" customWidth="1"/>
    <col min="13832" max="14080" width="9.140625" style="757"/>
    <col min="14081" max="14081" width="34.140625" style="757" customWidth="1"/>
    <col min="14082" max="14082" width="17.85546875" style="757" customWidth="1"/>
    <col min="14083" max="14085" width="19.85546875" style="757" customWidth="1"/>
    <col min="14086" max="14086" width="0" style="757" hidden="1" customWidth="1"/>
    <col min="14087" max="14087" width="114.85546875" style="757" customWidth="1"/>
    <col min="14088" max="14336" width="9.140625" style="757"/>
    <col min="14337" max="14337" width="34.140625" style="757" customWidth="1"/>
    <col min="14338" max="14338" width="17.85546875" style="757" customWidth="1"/>
    <col min="14339" max="14341" width="19.85546875" style="757" customWidth="1"/>
    <col min="14342" max="14342" width="0" style="757" hidden="1" customWidth="1"/>
    <col min="14343" max="14343" width="114.85546875" style="757" customWidth="1"/>
    <col min="14344" max="14592" width="9.140625" style="757"/>
    <col min="14593" max="14593" width="34.140625" style="757" customWidth="1"/>
    <col min="14594" max="14594" width="17.85546875" style="757" customWidth="1"/>
    <col min="14595" max="14597" width="19.85546875" style="757" customWidth="1"/>
    <col min="14598" max="14598" width="0" style="757" hidden="1" customWidth="1"/>
    <col min="14599" max="14599" width="114.85546875" style="757" customWidth="1"/>
    <col min="14600" max="14848" width="9.140625" style="757"/>
    <col min="14849" max="14849" width="34.140625" style="757" customWidth="1"/>
    <col min="14850" max="14850" width="17.85546875" style="757" customWidth="1"/>
    <col min="14851" max="14853" width="19.85546875" style="757" customWidth="1"/>
    <col min="14854" max="14854" width="0" style="757" hidden="1" customWidth="1"/>
    <col min="14855" max="14855" width="114.85546875" style="757" customWidth="1"/>
    <col min="14856" max="15104" width="9.140625" style="757"/>
    <col min="15105" max="15105" width="34.140625" style="757" customWidth="1"/>
    <col min="15106" max="15106" width="17.85546875" style="757" customWidth="1"/>
    <col min="15107" max="15109" width="19.85546875" style="757" customWidth="1"/>
    <col min="15110" max="15110" width="0" style="757" hidden="1" customWidth="1"/>
    <col min="15111" max="15111" width="114.85546875" style="757" customWidth="1"/>
    <col min="15112" max="15360" width="9.140625" style="757"/>
    <col min="15361" max="15361" width="34.140625" style="757" customWidth="1"/>
    <col min="15362" max="15362" width="17.85546875" style="757" customWidth="1"/>
    <col min="15363" max="15365" width="19.85546875" style="757" customWidth="1"/>
    <col min="15366" max="15366" width="0" style="757" hidden="1" customWidth="1"/>
    <col min="15367" max="15367" width="114.85546875" style="757" customWidth="1"/>
    <col min="15368" max="15616" width="9.140625" style="757"/>
    <col min="15617" max="15617" width="34.140625" style="757" customWidth="1"/>
    <col min="15618" max="15618" width="17.85546875" style="757" customWidth="1"/>
    <col min="15619" max="15621" width="19.85546875" style="757" customWidth="1"/>
    <col min="15622" max="15622" width="0" style="757" hidden="1" customWidth="1"/>
    <col min="15623" max="15623" width="114.85546875" style="757" customWidth="1"/>
    <col min="15624" max="15872" width="9.140625" style="757"/>
    <col min="15873" max="15873" width="34.140625" style="757" customWidth="1"/>
    <col min="15874" max="15874" width="17.85546875" style="757" customWidth="1"/>
    <col min="15875" max="15877" width="19.85546875" style="757" customWidth="1"/>
    <col min="15878" max="15878" width="0" style="757" hidden="1" customWidth="1"/>
    <col min="15879" max="15879" width="114.85546875" style="757" customWidth="1"/>
    <col min="15880" max="16128" width="9.140625" style="757"/>
    <col min="16129" max="16129" width="34.140625" style="757" customWidth="1"/>
    <col min="16130" max="16130" width="17.85546875" style="757" customWidth="1"/>
    <col min="16131" max="16133" width="19.85546875" style="757" customWidth="1"/>
    <col min="16134" max="16134" width="0" style="757" hidden="1" customWidth="1"/>
    <col min="16135" max="16135" width="114.85546875" style="757" customWidth="1"/>
    <col min="16136" max="16384" width="9.140625" style="757"/>
  </cols>
  <sheetData>
    <row r="2" spans="1:16" x14ac:dyDescent="0.2">
      <c r="A2" s="2842" t="s">
        <v>2337</v>
      </c>
      <c r="B2" s="2849"/>
      <c r="C2" s="2849"/>
      <c r="D2" s="2849"/>
      <c r="E2" s="2849"/>
    </row>
    <row r="3" spans="1:16" ht="11.25" customHeight="1" x14ac:dyDescent="0.2">
      <c r="A3" s="2844"/>
      <c r="B3" s="2845"/>
      <c r="C3" s="2845"/>
      <c r="D3" s="2845"/>
      <c r="E3" s="2845"/>
    </row>
    <row r="4" spans="1:16" x14ac:dyDescent="0.2">
      <c r="A4" s="2973" t="s">
        <v>1</v>
      </c>
      <c r="B4" s="2973" t="s">
        <v>1472</v>
      </c>
      <c r="C4" s="2976" t="s">
        <v>2338</v>
      </c>
      <c r="D4" s="2977"/>
      <c r="E4" s="2978"/>
    </row>
    <row r="5" spans="1:16" x14ac:dyDescent="0.2">
      <c r="A5" s="2974"/>
      <c r="B5" s="2974"/>
      <c r="C5" s="2973" t="s">
        <v>69</v>
      </c>
      <c r="D5" s="2976" t="s">
        <v>2334</v>
      </c>
      <c r="E5" s="2978"/>
    </row>
    <row r="6" spans="1:16" x14ac:dyDescent="0.2">
      <c r="A6" s="2975"/>
      <c r="B6" s="2975"/>
      <c r="C6" s="2975"/>
      <c r="D6" s="921" t="s">
        <v>2339</v>
      </c>
      <c r="E6" s="921" t="s">
        <v>2340</v>
      </c>
    </row>
    <row r="7" spans="1:16" x14ac:dyDescent="0.2">
      <c r="A7" s="930" t="s">
        <v>141</v>
      </c>
      <c r="B7" s="931">
        <f>SUM(B8:B22)</f>
        <v>107</v>
      </c>
      <c r="C7" s="931">
        <f>SUM(C8:C22)</f>
        <v>9442</v>
      </c>
      <c r="D7" s="931">
        <f>SUM(D8:D22)</f>
        <v>704</v>
      </c>
      <c r="E7" s="931">
        <f>SUM(E8:E22)</f>
        <v>8738</v>
      </c>
    </row>
    <row r="8" spans="1:16" x14ac:dyDescent="0.2">
      <c r="A8" s="932" t="s">
        <v>5</v>
      </c>
      <c r="B8" s="478">
        <v>0</v>
      </c>
      <c r="C8" s="477">
        <v>0</v>
      </c>
      <c r="D8" s="478">
        <v>0</v>
      </c>
      <c r="E8" s="478">
        <v>0</v>
      </c>
    </row>
    <row r="9" spans="1:16" x14ac:dyDescent="0.2">
      <c r="A9" s="932" t="s">
        <v>6</v>
      </c>
      <c r="B9" s="478">
        <v>0</v>
      </c>
      <c r="C9" s="477">
        <v>0</v>
      </c>
      <c r="D9" s="478">
        <v>0</v>
      </c>
      <c r="E9" s="478">
        <v>0</v>
      </c>
    </row>
    <row r="10" spans="1:16" x14ac:dyDescent="0.2">
      <c r="A10" s="932" t="s">
        <v>1485</v>
      </c>
      <c r="B10" s="478">
        <v>0</v>
      </c>
      <c r="C10" s="477">
        <v>0</v>
      </c>
      <c r="D10" s="478">
        <v>0</v>
      </c>
      <c r="E10" s="478">
        <v>0</v>
      </c>
      <c r="F10" s="2170"/>
      <c r="G10" s="2170"/>
      <c r="H10" s="2170"/>
      <c r="I10" s="2170"/>
    </row>
    <row r="11" spans="1:16" x14ac:dyDescent="0.2">
      <c r="A11" s="932" t="s">
        <v>1486</v>
      </c>
      <c r="B11" s="478">
        <v>13</v>
      </c>
      <c r="C11" s="477">
        <v>1273</v>
      </c>
      <c r="D11" s="478">
        <v>0</v>
      </c>
      <c r="E11" s="478">
        <v>1273</v>
      </c>
      <c r="F11" s="2170"/>
      <c r="G11" s="2170"/>
      <c r="H11" s="2170"/>
      <c r="I11" s="2170"/>
      <c r="J11" s="2170"/>
      <c r="K11" s="2170"/>
      <c r="L11" s="2170"/>
      <c r="M11" s="2170"/>
      <c r="N11" s="2170"/>
      <c r="O11" s="2170"/>
      <c r="P11" s="2170"/>
    </row>
    <row r="12" spans="1:16" x14ac:dyDescent="0.2">
      <c r="A12" s="932" t="s">
        <v>1487</v>
      </c>
      <c r="B12" s="478">
        <v>26</v>
      </c>
      <c r="C12" s="477">
        <v>1464</v>
      </c>
      <c r="D12" s="478">
        <v>254</v>
      </c>
      <c r="E12" s="478">
        <v>1210</v>
      </c>
      <c r="F12" s="2170"/>
      <c r="G12" s="2170"/>
      <c r="H12" s="2170"/>
      <c r="I12" s="2170"/>
      <c r="J12" s="2170"/>
      <c r="K12" s="2170"/>
      <c r="L12" s="2170"/>
      <c r="M12" s="2170"/>
      <c r="N12" s="2170"/>
      <c r="O12" s="2170"/>
      <c r="P12" s="2170"/>
    </row>
    <row r="13" spans="1:16" x14ac:dyDescent="0.2">
      <c r="A13" s="932" t="s">
        <v>1488</v>
      </c>
      <c r="B13" s="478">
        <v>4</v>
      </c>
      <c r="C13" s="477">
        <v>420</v>
      </c>
      <c r="D13" s="478">
        <v>0</v>
      </c>
      <c r="E13" s="478">
        <v>420</v>
      </c>
      <c r="F13" s="2170"/>
      <c r="G13" s="2170"/>
      <c r="H13" s="2170"/>
      <c r="I13" s="2170"/>
      <c r="J13" s="2170"/>
      <c r="K13" s="2170"/>
      <c r="L13" s="2170"/>
      <c r="M13" s="2170"/>
      <c r="N13" s="2170"/>
      <c r="O13" s="2170"/>
      <c r="P13" s="2170"/>
    </row>
    <row r="14" spans="1:16" x14ac:dyDescent="0.2">
      <c r="A14" s="932" t="s">
        <v>11</v>
      </c>
      <c r="B14" s="433">
        <v>16</v>
      </c>
      <c r="C14" s="931">
        <v>2200</v>
      </c>
      <c r="D14" s="433"/>
      <c r="E14" s="433">
        <v>2200</v>
      </c>
      <c r="F14" s="2170"/>
      <c r="G14" s="2170"/>
      <c r="H14" s="2170"/>
      <c r="I14" s="2170"/>
      <c r="J14" s="2170"/>
      <c r="K14" s="2170"/>
      <c r="L14" s="2170"/>
      <c r="M14" s="2170"/>
      <c r="N14" s="2170"/>
      <c r="O14" s="2170"/>
      <c r="P14" s="2170"/>
    </row>
    <row r="15" spans="1:16" x14ac:dyDescent="0.2">
      <c r="A15" s="932" t="s">
        <v>12</v>
      </c>
      <c r="B15" s="478">
        <v>4</v>
      </c>
      <c r="C15" s="477">
        <v>710</v>
      </c>
      <c r="D15" s="478">
        <v>450</v>
      </c>
      <c r="E15" s="478">
        <v>260</v>
      </c>
      <c r="F15" s="2170"/>
      <c r="G15" s="2170"/>
      <c r="H15" s="2170"/>
      <c r="I15" s="2170"/>
      <c r="J15" s="2170"/>
      <c r="K15" s="2170"/>
      <c r="L15" s="2170"/>
      <c r="M15" s="2170"/>
      <c r="N15" s="2170"/>
      <c r="O15" s="2170"/>
      <c r="P15" s="2170"/>
    </row>
    <row r="16" spans="1:16" x14ac:dyDescent="0.2">
      <c r="A16" s="932" t="s">
        <v>13</v>
      </c>
      <c r="B16" s="478">
        <v>5</v>
      </c>
      <c r="C16" s="477">
        <v>570</v>
      </c>
      <c r="D16" s="478">
        <v>0</v>
      </c>
      <c r="E16" s="478">
        <v>570</v>
      </c>
      <c r="F16" s="2170"/>
      <c r="G16" s="2170"/>
      <c r="H16" s="2170"/>
      <c r="I16" s="2170"/>
      <c r="J16" s="2170"/>
      <c r="K16" s="2170"/>
      <c r="L16" s="2170"/>
      <c r="M16" s="2170"/>
      <c r="N16" s="2170"/>
      <c r="O16" s="2170"/>
      <c r="P16" s="2170"/>
    </row>
    <row r="17" spans="1:16" x14ac:dyDescent="0.2">
      <c r="A17" s="932" t="s">
        <v>14</v>
      </c>
      <c r="B17" s="478">
        <v>14</v>
      </c>
      <c r="C17" s="477">
        <v>840</v>
      </c>
      <c r="D17" s="478">
        <v>0</v>
      </c>
      <c r="E17" s="478">
        <v>840</v>
      </c>
      <c r="F17" s="2170"/>
      <c r="G17" s="2170"/>
      <c r="H17" s="2170"/>
      <c r="I17" s="2170"/>
      <c r="J17" s="2170"/>
      <c r="K17" s="2170"/>
      <c r="L17" s="2170"/>
      <c r="M17" s="2170"/>
      <c r="N17" s="2170"/>
      <c r="O17" s="2170"/>
      <c r="P17" s="2170"/>
    </row>
    <row r="18" spans="1:16" x14ac:dyDescent="0.2">
      <c r="A18" s="932" t="s">
        <v>15</v>
      </c>
      <c r="B18" s="478">
        <v>7</v>
      </c>
      <c r="C18" s="477">
        <v>570</v>
      </c>
      <c r="D18" s="478">
        <v>0</v>
      </c>
      <c r="E18" s="478">
        <v>570</v>
      </c>
      <c r="F18" s="2170"/>
      <c r="G18" s="2170"/>
      <c r="H18" s="2170"/>
      <c r="I18" s="2170"/>
      <c r="J18" s="2170"/>
      <c r="K18" s="2170"/>
      <c r="L18" s="2170"/>
      <c r="M18" s="2170"/>
      <c r="N18" s="2170"/>
      <c r="O18" s="2170"/>
      <c r="P18" s="2170"/>
    </row>
    <row r="19" spans="1:16" x14ac:dyDescent="0.2">
      <c r="A19" s="932" t="s">
        <v>16</v>
      </c>
      <c r="B19" s="478">
        <v>8</v>
      </c>
      <c r="C19" s="477">
        <v>568</v>
      </c>
      <c r="D19" s="478">
        <v>0</v>
      </c>
      <c r="E19" s="478">
        <v>568</v>
      </c>
      <c r="F19" s="2170"/>
      <c r="G19" s="2170"/>
      <c r="H19" s="2170"/>
      <c r="I19" s="2170"/>
      <c r="J19" s="2170"/>
      <c r="K19" s="2170"/>
      <c r="L19" s="2170"/>
      <c r="M19" s="2170"/>
      <c r="N19" s="2170"/>
      <c r="O19" s="2170"/>
      <c r="P19" s="2170"/>
    </row>
    <row r="20" spans="1:16" x14ac:dyDescent="0.2">
      <c r="A20" s="932" t="s">
        <v>17</v>
      </c>
      <c r="B20" s="478">
        <v>9</v>
      </c>
      <c r="C20" s="477">
        <v>800</v>
      </c>
      <c r="D20" s="478">
        <v>0</v>
      </c>
      <c r="E20" s="478">
        <v>800</v>
      </c>
      <c r="F20" s="2170"/>
      <c r="G20" s="2170"/>
      <c r="H20" s="2170"/>
      <c r="I20" s="2170"/>
      <c r="J20" s="2170"/>
      <c r="K20" s="2170"/>
      <c r="L20" s="2170"/>
      <c r="M20" s="2170"/>
      <c r="N20" s="2170"/>
      <c r="O20" s="2170"/>
      <c r="P20" s="2170"/>
    </row>
    <row r="21" spans="1:16" x14ac:dyDescent="0.2">
      <c r="A21" s="932" t="s">
        <v>18</v>
      </c>
      <c r="B21" s="478">
        <v>1</v>
      </c>
      <c r="C21" s="477">
        <v>27</v>
      </c>
      <c r="D21" s="478">
        <v>0</v>
      </c>
      <c r="E21" s="478">
        <v>27</v>
      </c>
      <c r="F21" s="2170"/>
      <c r="G21" s="2170"/>
      <c r="H21" s="2170"/>
      <c r="I21" s="2170"/>
      <c r="J21" s="2170"/>
      <c r="K21" s="2170"/>
      <c r="L21" s="2170"/>
      <c r="M21" s="2170"/>
      <c r="N21" s="2170"/>
      <c r="O21" s="2170"/>
      <c r="P21" s="2170"/>
    </row>
    <row r="22" spans="1:16" x14ac:dyDescent="0.2">
      <c r="A22" s="932" t="s">
        <v>19</v>
      </c>
      <c r="B22" s="478">
        <v>0</v>
      </c>
      <c r="C22" s="477">
        <v>0</v>
      </c>
      <c r="D22" s="478">
        <v>0</v>
      </c>
      <c r="E22" s="478">
        <v>0</v>
      </c>
      <c r="F22" s="2170"/>
      <c r="G22" s="2170"/>
      <c r="H22" s="2170"/>
      <c r="I22" s="2170"/>
      <c r="J22" s="2170"/>
      <c r="K22" s="2170"/>
      <c r="L22" s="2170"/>
      <c r="M22" s="2170"/>
      <c r="N22" s="2170"/>
      <c r="O22" s="2170"/>
      <c r="P22" s="2170"/>
    </row>
    <row r="23" spans="1:16" ht="12" customHeight="1" x14ac:dyDescent="0.2">
      <c r="A23" s="2846"/>
      <c r="B23" s="2847"/>
      <c r="C23" s="2847"/>
      <c r="D23" s="2847"/>
      <c r="E23" s="2847"/>
      <c r="F23" s="2170"/>
      <c r="G23" s="2170"/>
      <c r="H23" s="2170"/>
      <c r="I23" s="2170"/>
      <c r="J23" s="2170"/>
      <c r="K23" s="2170"/>
      <c r="L23" s="2170"/>
      <c r="M23" s="2170"/>
      <c r="N23" s="2170"/>
      <c r="O23" s="2170"/>
      <c r="P23" s="2170"/>
    </row>
    <row r="24" spans="1:16" ht="24" customHeight="1" x14ac:dyDescent="0.2">
      <c r="A24" s="2848" t="s">
        <v>1755</v>
      </c>
      <c r="B24" s="2841"/>
      <c r="C24" s="2841"/>
      <c r="D24" s="2841"/>
      <c r="E24" s="2841"/>
      <c r="F24" s="2170"/>
      <c r="G24" s="2170"/>
      <c r="H24" s="2170"/>
      <c r="I24" s="2170"/>
      <c r="J24" s="2170"/>
      <c r="K24" s="2170"/>
      <c r="L24" s="2170"/>
      <c r="M24" s="2170"/>
      <c r="N24" s="2170"/>
      <c r="O24" s="2170"/>
      <c r="P24" s="2170"/>
    </row>
    <row r="25" spans="1:16" x14ac:dyDescent="0.2">
      <c r="A25" s="2840" t="s">
        <v>1489</v>
      </c>
      <c r="B25" s="2840"/>
      <c r="C25" s="2840"/>
      <c r="D25" s="2840"/>
      <c r="E25" s="2840"/>
      <c r="F25" s="2186"/>
      <c r="G25" s="2186"/>
      <c r="H25" s="2186"/>
      <c r="I25" s="2186"/>
      <c r="J25" s="2186"/>
      <c r="K25" s="2186"/>
      <c r="L25" s="2186"/>
      <c r="M25" s="2186"/>
      <c r="N25" s="2186"/>
      <c r="O25" s="2170"/>
      <c r="P25" s="2170"/>
    </row>
    <row r="26" spans="1:16" x14ac:dyDescent="0.2">
      <c r="A26" s="930" t="s">
        <v>1490</v>
      </c>
      <c r="B26" s="2187"/>
      <c r="C26" s="2187"/>
      <c r="D26" s="2187"/>
      <c r="E26" s="2187"/>
      <c r="F26" s="2187"/>
      <c r="G26" s="2187"/>
      <c r="H26" s="2187"/>
      <c r="I26" s="2187"/>
      <c r="J26" s="2170"/>
      <c r="K26" s="2170"/>
      <c r="L26" s="2170"/>
      <c r="M26" s="2170"/>
      <c r="N26" s="2170"/>
      <c r="O26" s="2170"/>
      <c r="P26" s="2170"/>
    </row>
    <row r="27" spans="1:16" x14ac:dyDescent="0.2">
      <c r="A27" s="2840" t="s">
        <v>1483</v>
      </c>
      <c r="B27" s="2841"/>
      <c r="C27" s="2841"/>
      <c r="D27" s="2841"/>
      <c r="E27" s="2841"/>
      <c r="F27" s="2170"/>
      <c r="G27" s="2170"/>
      <c r="H27" s="2170"/>
      <c r="I27" s="2170"/>
      <c r="J27" s="2170"/>
      <c r="K27" s="2170"/>
      <c r="L27" s="2170"/>
      <c r="M27" s="2170"/>
      <c r="N27" s="2170"/>
      <c r="O27" s="2170"/>
      <c r="P27" s="2170"/>
    </row>
    <row r="28" spans="1:16" x14ac:dyDescent="0.2">
      <c r="A28" s="2170"/>
      <c r="B28" s="2170"/>
      <c r="C28" s="2170"/>
      <c r="D28" s="2170"/>
      <c r="E28" s="2170"/>
      <c r="F28" s="2170"/>
      <c r="G28" s="2170"/>
      <c r="H28" s="2170"/>
      <c r="I28" s="2170"/>
      <c r="J28" s="2170"/>
      <c r="K28" s="2170"/>
      <c r="L28" s="2170"/>
      <c r="M28" s="2170"/>
      <c r="N28" s="2170"/>
      <c r="O28" s="2170"/>
      <c r="P28" s="2170"/>
    </row>
    <row r="29" spans="1:16" x14ac:dyDescent="0.2">
      <c r="A29" s="2170"/>
      <c r="B29" s="2170"/>
      <c r="C29" s="2170"/>
      <c r="D29" s="2170"/>
      <c r="E29" s="2170"/>
      <c r="F29" s="2170"/>
      <c r="G29" s="2170"/>
      <c r="H29" s="2170"/>
      <c r="I29" s="2170"/>
      <c r="J29" s="2170"/>
      <c r="K29" s="2170"/>
      <c r="L29" s="2170"/>
      <c r="M29" s="2170"/>
      <c r="N29" s="2170"/>
      <c r="O29" s="2170"/>
      <c r="P29" s="2170"/>
    </row>
    <row r="30" spans="1:16" x14ac:dyDescent="0.2">
      <c r="A30" s="2170"/>
      <c r="B30" s="2170"/>
      <c r="C30" s="2170"/>
      <c r="D30" s="2170"/>
      <c r="E30" s="2170"/>
      <c r="F30" s="2170"/>
      <c r="G30" s="2170"/>
      <c r="H30" s="2170"/>
      <c r="I30" s="2170"/>
      <c r="J30" s="2170"/>
      <c r="K30" s="2170"/>
      <c r="L30" s="2170"/>
      <c r="M30" s="2170"/>
      <c r="N30" s="2170"/>
      <c r="O30" s="2170"/>
      <c r="P30" s="2170"/>
    </row>
    <row r="31" spans="1:16" x14ac:dyDescent="0.2">
      <c r="A31" s="2170"/>
      <c r="B31" s="2170"/>
      <c r="C31" s="2170"/>
      <c r="D31" s="2170"/>
      <c r="E31" s="2170"/>
      <c r="F31" s="2170"/>
      <c r="G31" s="2170"/>
      <c r="H31" s="2170"/>
      <c r="I31" s="2170"/>
      <c r="J31" s="2170"/>
      <c r="K31" s="2170"/>
      <c r="L31" s="2170"/>
      <c r="M31" s="2170"/>
      <c r="N31" s="2170"/>
      <c r="O31" s="2170"/>
      <c r="P31" s="2170"/>
    </row>
    <row r="32" spans="1:16" x14ac:dyDescent="0.2">
      <c r="A32" s="2170"/>
      <c r="B32" s="2170"/>
      <c r="C32" s="2170"/>
      <c r="D32" s="2170"/>
      <c r="E32" s="2170"/>
      <c r="F32" s="2170"/>
      <c r="G32" s="2170"/>
      <c r="H32" s="2170"/>
      <c r="I32" s="2170"/>
    </row>
  </sheetData>
  <mergeCells count="11">
    <mergeCell ref="A23:E23"/>
    <mergeCell ref="A24:E24"/>
    <mergeCell ref="A25:E25"/>
    <mergeCell ref="A27:E27"/>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O30"/>
  <sheetViews>
    <sheetView workbookViewId="0">
      <selection activeCell="E15" sqref="E15"/>
    </sheetView>
  </sheetViews>
  <sheetFormatPr baseColWidth="10" defaultColWidth="9.140625" defaultRowHeight="12.75" x14ac:dyDescent="0.2"/>
  <cols>
    <col min="1" max="1" width="16.140625" style="757" customWidth="1"/>
    <col min="2" max="2" width="11.140625" style="757" customWidth="1"/>
    <col min="3" max="3" width="10.7109375" style="757" customWidth="1"/>
    <col min="4" max="4" width="11.140625" style="757" customWidth="1"/>
    <col min="5" max="5" width="10.140625" style="757" customWidth="1"/>
    <col min="6" max="6" width="9.85546875" style="757" customWidth="1"/>
    <col min="7" max="7" width="9.42578125" style="757" customWidth="1"/>
    <col min="8" max="8" width="9" style="757" customWidth="1"/>
    <col min="9" max="9" width="8.42578125" style="757" customWidth="1"/>
    <col min="10" max="10" width="10.140625" style="757" customWidth="1"/>
    <col min="11" max="11" width="12.28515625" style="757" customWidth="1"/>
    <col min="12" max="12" width="11.28515625" style="757" customWidth="1"/>
    <col min="13" max="13" width="11.42578125" style="757" customWidth="1"/>
    <col min="14" max="14" width="10.5703125" style="757" customWidth="1"/>
    <col min="15" max="15" width="15" style="757" customWidth="1"/>
    <col min="16" max="256" width="9.140625" style="757"/>
    <col min="257" max="257" width="16.140625" style="757" customWidth="1"/>
    <col min="258" max="258" width="11.140625" style="757" customWidth="1"/>
    <col min="259" max="259" width="10.7109375" style="757" customWidth="1"/>
    <col min="260" max="260" width="11.140625" style="757" customWidth="1"/>
    <col min="261" max="261" width="10.140625" style="757" customWidth="1"/>
    <col min="262" max="262" width="9.85546875" style="757" customWidth="1"/>
    <col min="263" max="263" width="9.42578125" style="757" customWidth="1"/>
    <col min="264" max="264" width="9" style="757" customWidth="1"/>
    <col min="265" max="265" width="8.42578125" style="757" customWidth="1"/>
    <col min="266" max="266" width="10.140625" style="757" customWidth="1"/>
    <col min="267" max="267" width="12.28515625" style="757" customWidth="1"/>
    <col min="268" max="268" width="11.28515625" style="757" customWidth="1"/>
    <col min="269" max="269" width="11.42578125" style="757" customWidth="1"/>
    <col min="270" max="270" width="10.5703125" style="757" customWidth="1"/>
    <col min="271" max="271" width="15" style="757" customWidth="1"/>
    <col min="272" max="512" width="9.140625" style="757"/>
    <col min="513" max="513" width="16.140625" style="757" customWidth="1"/>
    <col min="514" max="514" width="11.140625" style="757" customWidth="1"/>
    <col min="515" max="515" width="10.7109375" style="757" customWidth="1"/>
    <col min="516" max="516" width="11.140625" style="757" customWidth="1"/>
    <col min="517" max="517" width="10.140625" style="757" customWidth="1"/>
    <col min="518" max="518" width="9.85546875" style="757" customWidth="1"/>
    <col min="519" max="519" width="9.42578125" style="757" customWidth="1"/>
    <col min="520" max="520" width="9" style="757" customWidth="1"/>
    <col min="521" max="521" width="8.42578125" style="757" customWidth="1"/>
    <col min="522" max="522" width="10.140625" style="757" customWidth="1"/>
    <col min="523" max="523" width="12.28515625" style="757" customWidth="1"/>
    <col min="524" max="524" width="11.28515625" style="757" customWidth="1"/>
    <col min="525" max="525" width="11.42578125" style="757" customWidth="1"/>
    <col min="526" max="526" width="10.5703125" style="757" customWidth="1"/>
    <col min="527" max="527" width="15" style="757" customWidth="1"/>
    <col min="528" max="768" width="9.140625" style="757"/>
    <col min="769" max="769" width="16.140625" style="757" customWidth="1"/>
    <col min="770" max="770" width="11.140625" style="757" customWidth="1"/>
    <col min="771" max="771" width="10.7109375" style="757" customWidth="1"/>
    <col min="772" max="772" width="11.140625" style="757" customWidth="1"/>
    <col min="773" max="773" width="10.140625" style="757" customWidth="1"/>
    <col min="774" max="774" width="9.85546875" style="757" customWidth="1"/>
    <col min="775" max="775" width="9.42578125" style="757" customWidth="1"/>
    <col min="776" max="776" width="9" style="757" customWidth="1"/>
    <col min="777" max="777" width="8.42578125" style="757" customWidth="1"/>
    <col min="778" max="778" width="10.140625" style="757" customWidth="1"/>
    <col min="779" max="779" width="12.28515625" style="757" customWidth="1"/>
    <col min="780" max="780" width="11.28515625" style="757" customWidth="1"/>
    <col min="781" max="781" width="11.42578125" style="757" customWidth="1"/>
    <col min="782" max="782" width="10.5703125" style="757" customWidth="1"/>
    <col min="783" max="783" width="15" style="757" customWidth="1"/>
    <col min="784" max="1024" width="9.140625" style="757"/>
    <col min="1025" max="1025" width="16.140625" style="757" customWidth="1"/>
    <col min="1026" max="1026" width="11.140625" style="757" customWidth="1"/>
    <col min="1027" max="1027" width="10.7109375" style="757" customWidth="1"/>
    <col min="1028" max="1028" width="11.140625" style="757" customWidth="1"/>
    <col min="1029" max="1029" width="10.140625" style="757" customWidth="1"/>
    <col min="1030" max="1030" width="9.85546875" style="757" customWidth="1"/>
    <col min="1031" max="1031" width="9.42578125" style="757" customWidth="1"/>
    <col min="1032" max="1032" width="9" style="757" customWidth="1"/>
    <col min="1033" max="1033" width="8.42578125" style="757" customWidth="1"/>
    <col min="1034" max="1034" width="10.140625" style="757" customWidth="1"/>
    <col min="1035" max="1035" width="12.28515625" style="757" customWidth="1"/>
    <col min="1036" max="1036" width="11.28515625" style="757" customWidth="1"/>
    <col min="1037" max="1037" width="11.42578125" style="757" customWidth="1"/>
    <col min="1038" max="1038" width="10.5703125" style="757" customWidth="1"/>
    <col min="1039" max="1039" width="15" style="757" customWidth="1"/>
    <col min="1040" max="1280" width="9.140625" style="757"/>
    <col min="1281" max="1281" width="16.140625" style="757" customWidth="1"/>
    <col min="1282" max="1282" width="11.140625" style="757" customWidth="1"/>
    <col min="1283" max="1283" width="10.7109375" style="757" customWidth="1"/>
    <col min="1284" max="1284" width="11.140625" style="757" customWidth="1"/>
    <col min="1285" max="1285" width="10.140625" style="757" customWidth="1"/>
    <col min="1286" max="1286" width="9.85546875" style="757" customWidth="1"/>
    <col min="1287" max="1287" width="9.42578125" style="757" customWidth="1"/>
    <col min="1288" max="1288" width="9" style="757" customWidth="1"/>
    <col min="1289" max="1289" width="8.42578125" style="757" customWidth="1"/>
    <col min="1290" max="1290" width="10.140625" style="757" customWidth="1"/>
    <col min="1291" max="1291" width="12.28515625" style="757" customWidth="1"/>
    <col min="1292" max="1292" width="11.28515625" style="757" customWidth="1"/>
    <col min="1293" max="1293" width="11.42578125" style="757" customWidth="1"/>
    <col min="1294" max="1294" width="10.5703125" style="757" customWidth="1"/>
    <col min="1295" max="1295" width="15" style="757" customWidth="1"/>
    <col min="1296" max="1536" width="9.140625" style="757"/>
    <col min="1537" max="1537" width="16.140625" style="757" customWidth="1"/>
    <col min="1538" max="1538" width="11.140625" style="757" customWidth="1"/>
    <col min="1539" max="1539" width="10.7109375" style="757" customWidth="1"/>
    <col min="1540" max="1540" width="11.140625" style="757" customWidth="1"/>
    <col min="1541" max="1541" width="10.140625" style="757" customWidth="1"/>
    <col min="1542" max="1542" width="9.85546875" style="757" customWidth="1"/>
    <col min="1543" max="1543" width="9.42578125" style="757" customWidth="1"/>
    <col min="1544" max="1544" width="9" style="757" customWidth="1"/>
    <col min="1545" max="1545" width="8.42578125" style="757" customWidth="1"/>
    <col min="1546" max="1546" width="10.140625" style="757" customWidth="1"/>
    <col min="1547" max="1547" width="12.28515625" style="757" customWidth="1"/>
    <col min="1548" max="1548" width="11.28515625" style="757" customWidth="1"/>
    <col min="1549" max="1549" width="11.42578125" style="757" customWidth="1"/>
    <col min="1550" max="1550" width="10.5703125" style="757" customWidth="1"/>
    <col min="1551" max="1551" width="15" style="757" customWidth="1"/>
    <col min="1552" max="1792" width="9.140625" style="757"/>
    <col min="1793" max="1793" width="16.140625" style="757" customWidth="1"/>
    <col min="1794" max="1794" width="11.140625" style="757" customWidth="1"/>
    <col min="1795" max="1795" width="10.7109375" style="757" customWidth="1"/>
    <col min="1796" max="1796" width="11.140625" style="757" customWidth="1"/>
    <col min="1797" max="1797" width="10.140625" style="757" customWidth="1"/>
    <col min="1798" max="1798" width="9.85546875" style="757" customWidth="1"/>
    <col min="1799" max="1799" width="9.42578125" style="757" customWidth="1"/>
    <col min="1800" max="1800" width="9" style="757" customWidth="1"/>
    <col min="1801" max="1801" width="8.42578125" style="757" customWidth="1"/>
    <col min="1802" max="1802" width="10.140625" style="757" customWidth="1"/>
    <col min="1803" max="1803" width="12.28515625" style="757" customWidth="1"/>
    <col min="1804" max="1804" width="11.28515625" style="757" customWidth="1"/>
    <col min="1805" max="1805" width="11.42578125" style="757" customWidth="1"/>
    <col min="1806" max="1806" width="10.5703125" style="757" customWidth="1"/>
    <col min="1807" max="1807" width="15" style="757" customWidth="1"/>
    <col min="1808" max="2048" width="9.140625" style="757"/>
    <col min="2049" max="2049" width="16.140625" style="757" customWidth="1"/>
    <col min="2050" max="2050" width="11.140625" style="757" customWidth="1"/>
    <col min="2051" max="2051" width="10.7109375" style="757" customWidth="1"/>
    <col min="2052" max="2052" width="11.140625" style="757" customWidth="1"/>
    <col min="2053" max="2053" width="10.140625" style="757" customWidth="1"/>
    <col min="2054" max="2054" width="9.85546875" style="757" customWidth="1"/>
    <col min="2055" max="2055" width="9.42578125" style="757" customWidth="1"/>
    <col min="2056" max="2056" width="9" style="757" customWidth="1"/>
    <col min="2057" max="2057" width="8.42578125" style="757" customWidth="1"/>
    <col min="2058" max="2058" width="10.140625" style="757" customWidth="1"/>
    <col min="2059" max="2059" width="12.28515625" style="757" customWidth="1"/>
    <col min="2060" max="2060" width="11.28515625" style="757" customWidth="1"/>
    <col min="2061" max="2061" width="11.42578125" style="757" customWidth="1"/>
    <col min="2062" max="2062" width="10.5703125" style="757" customWidth="1"/>
    <col min="2063" max="2063" width="15" style="757" customWidth="1"/>
    <col min="2064" max="2304" width="9.140625" style="757"/>
    <col min="2305" max="2305" width="16.140625" style="757" customWidth="1"/>
    <col min="2306" max="2306" width="11.140625" style="757" customWidth="1"/>
    <col min="2307" max="2307" width="10.7109375" style="757" customWidth="1"/>
    <col min="2308" max="2308" width="11.140625" style="757" customWidth="1"/>
    <col min="2309" max="2309" width="10.140625" style="757" customWidth="1"/>
    <col min="2310" max="2310" width="9.85546875" style="757" customWidth="1"/>
    <col min="2311" max="2311" width="9.42578125" style="757" customWidth="1"/>
    <col min="2312" max="2312" width="9" style="757" customWidth="1"/>
    <col min="2313" max="2313" width="8.42578125" style="757" customWidth="1"/>
    <col min="2314" max="2314" width="10.140625" style="757" customWidth="1"/>
    <col min="2315" max="2315" width="12.28515625" style="757" customWidth="1"/>
    <col min="2316" max="2316" width="11.28515625" style="757" customWidth="1"/>
    <col min="2317" max="2317" width="11.42578125" style="757" customWidth="1"/>
    <col min="2318" max="2318" width="10.5703125" style="757" customWidth="1"/>
    <col min="2319" max="2319" width="15" style="757" customWidth="1"/>
    <col min="2320" max="2560" width="9.140625" style="757"/>
    <col min="2561" max="2561" width="16.140625" style="757" customWidth="1"/>
    <col min="2562" max="2562" width="11.140625" style="757" customWidth="1"/>
    <col min="2563" max="2563" width="10.7109375" style="757" customWidth="1"/>
    <col min="2564" max="2564" width="11.140625" style="757" customWidth="1"/>
    <col min="2565" max="2565" width="10.140625" style="757" customWidth="1"/>
    <col min="2566" max="2566" width="9.85546875" style="757" customWidth="1"/>
    <col min="2567" max="2567" width="9.42578125" style="757" customWidth="1"/>
    <col min="2568" max="2568" width="9" style="757" customWidth="1"/>
    <col min="2569" max="2569" width="8.42578125" style="757" customWidth="1"/>
    <col min="2570" max="2570" width="10.140625" style="757" customWidth="1"/>
    <col min="2571" max="2571" width="12.28515625" style="757" customWidth="1"/>
    <col min="2572" max="2572" width="11.28515625" style="757" customWidth="1"/>
    <col min="2573" max="2573" width="11.42578125" style="757" customWidth="1"/>
    <col min="2574" max="2574" width="10.5703125" style="757" customWidth="1"/>
    <col min="2575" max="2575" width="15" style="757" customWidth="1"/>
    <col min="2576" max="2816" width="9.140625" style="757"/>
    <col min="2817" max="2817" width="16.140625" style="757" customWidth="1"/>
    <col min="2818" max="2818" width="11.140625" style="757" customWidth="1"/>
    <col min="2819" max="2819" width="10.7109375" style="757" customWidth="1"/>
    <col min="2820" max="2820" width="11.140625" style="757" customWidth="1"/>
    <col min="2821" max="2821" width="10.140625" style="757" customWidth="1"/>
    <col min="2822" max="2822" width="9.85546875" style="757" customWidth="1"/>
    <col min="2823" max="2823" width="9.42578125" style="757" customWidth="1"/>
    <col min="2824" max="2824" width="9" style="757" customWidth="1"/>
    <col min="2825" max="2825" width="8.42578125" style="757" customWidth="1"/>
    <col min="2826" max="2826" width="10.140625" style="757" customWidth="1"/>
    <col min="2827" max="2827" width="12.28515625" style="757" customWidth="1"/>
    <col min="2828" max="2828" width="11.28515625" style="757" customWidth="1"/>
    <col min="2829" max="2829" width="11.42578125" style="757" customWidth="1"/>
    <col min="2830" max="2830" width="10.5703125" style="757" customWidth="1"/>
    <col min="2831" max="2831" width="15" style="757" customWidth="1"/>
    <col min="2832" max="3072" width="9.140625" style="757"/>
    <col min="3073" max="3073" width="16.140625" style="757" customWidth="1"/>
    <col min="3074" max="3074" width="11.140625" style="757" customWidth="1"/>
    <col min="3075" max="3075" width="10.7109375" style="757" customWidth="1"/>
    <col min="3076" max="3076" width="11.140625" style="757" customWidth="1"/>
    <col min="3077" max="3077" width="10.140625" style="757" customWidth="1"/>
    <col min="3078" max="3078" width="9.85546875" style="757" customWidth="1"/>
    <col min="3079" max="3079" width="9.42578125" style="757" customWidth="1"/>
    <col min="3080" max="3080" width="9" style="757" customWidth="1"/>
    <col min="3081" max="3081" width="8.42578125" style="757" customWidth="1"/>
    <col min="3082" max="3082" width="10.140625" style="757" customWidth="1"/>
    <col min="3083" max="3083" width="12.28515625" style="757" customWidth="1"/>
    <col min="3084" max="3084" width="11.28515625" style="757" customWidth="1"/>
    <col min="3085" max="3085" width="11.42578125" style="757" customWidth="1"/>
    <col min="3086" max="3086" width="10.5703125" style="757" customWidth="1"/>
    <col min="3087" max="3087" width="15" style="757" customWidth="1"/>
    <col min="3088" max="3328" width="9.140625" style="757"/>
    <col min="3329" max="3329" width="16.140625" style="757" customWidth="1"/>
    <col min="3330" max="3330" width="11.140625" style="757" customWidth="1"/>
    <col min="3331" max="3331" width="10.7109375" style="757" customWidth="1"/>
    <col min="3332" max="3332" width="11.140625" style="757" customWidth="1"/>
    <col min="3333" max="3333" width="10.140625" style="757" customWidth="1"/>
    <col min="3334" max="3334" width="9.85546875" style="757" customWidth="1"/>
    <col min="3335" max="3335" width="9.42578125" style="757" customWidth="1"/>
    <col min="3336" max="3336" width="9" style="757" customWidth="1"/>
    <col min="3337" max="3337" width="8.42578125" style="757" customWidth="1"/>
    <col min="3338" max="3338" width="10.140625" style="757" customWidth="1"/>
    <col min="3339" max="3339" width="12.28515625" style="757" customWidth="1"/>
    <col min="3340" max="3340" width="11.28515625" style="757" customWidth="1"/>
    <col min="3341" max="3341" width="11.42578125" style="757" customWidth="1"/>
    <col min="3342" max="3342" width="10.5703125" style="757" customWidth="1"/>
    <col min="3343" max="3343" width="15" style="757" customWidth="1"/>
    <col min="3344" max="3584" width="9.140625" style="757"/>
    <col min="3585" max="3585" width="16.140625" style="757" customWidth="1"/>
    <col min="3586" max="3586" width="11.140625" style="757" customWidth="1"/>
    <col min="3587" max="3587" width="10.7109375" style="757" customWidth="1"/>
    <col min="3588" max="3588" width="11.140625" style="757" customWidth="1"/>
    <col min="3589" max="3589" width="10.140625" style="757" customWidth="1"/>
    <col min="3590" max="3590" width="9.85546875" style="757" customWidth="1"/>
    <col min="3591" max="3591" width="9.42578125" style="757" customWidth="1"/>
    <col min="3592" max="3592" width="9" style="757" customWidth="1"/>
    <col min="3593" max="3593" width="8.42578125" style="757" customWidth="1"/>
    <col min="3594" max="3594" width="10.140625" style="757" customWidth="1"/>
    <col min="3595" max="3595" width="12.28515625" style="757" customWidth="1"/>
    <col min="3596" max="3596" width="11.28515625" style="757" customWidth="1"/>
    <col min="3597" max="3597" width="11.42578125" style="757" customWidth="1"/>
    <col min="3598" max="3598" width="10.5703125" style="757" customWidth="1"/>
    <col min="3599" max="3599" width="15" style="757" customWidth="1"/>
    <col min="3600" max="3840" width="9.140625" style="757"/>
    <col min="3841" max="3841" width="16.140625" style="757" customWidth="1"/>
    <col min="3842" max="3842" width="11.140625" style="757" customWidth="1"/>
    <col min="3843" max="3843" width="10.7109375" style="757" customWidth="1"/>
    <col min="3844" max="3844" width="11.140625" style="757" customWidth="1"/>
    <col min="3845" max="3845" width="10.140625" style="757" customWidth="1"/>
    <col min="3846" max="3846" width="9.85546875" style="757" customWidth="1"/>
    <col min="3847" max="3847" width="9.42578125" style="757" customWidth="1"/>
    <col min="3848" max="3848" width="9" style="757" customWidth="1"/>
    <col min="3849" max="3849" width="8.42578125" style="757" customWidth="1"/>
    <col min="3850" max="3850" width="10.140625" style="757" customWidth="1"/>
    <col min="3851" max="3851" width="12.28515625" style="757" customWidth="1"/>
    <col min="3852" max="3852" width="11.28515625" style="757" customWidth="1"/>
    <col min="3853" max="3853" width="11.42578125" style="757" customWidth="1"/>
    <col min="3854" max="3854" width="10.5703125" style="757" customWidth="1"/>
    <col min="3855" max="3855" width="15" style="757" customWidth="1"/>
    <col min="3856" max="4096" width="9.140625" style="757"/>
    <col min="4097" max="4097" width="16.140625" style="757" customWidth="1"/>
    <col min="4098" max="4098" width="11.140625" style="757" customWidth="1"/>
    <col min="4099" max="4099" width="10.7109375" style="757" customWidth="1"/>
    <col min="4100" max="4100" width="11.140625" style="757" customWidth="1"/>
    <col min="4101" max="4101" width="10.140625" style="757" customWidth="1"/>
    <col min="4102" max="4102" width="9.85546875" style="757" customWidth="1"/>
    <col min="4103" max="4103" width="9.42578125" style="757" customWidth="1"/>
    <col min="4104" max="4104" width="9" style="757" customWidth="1"/>
    <col min="4105" max="4105" width="8.42578125" style="757" customWidth="1"/>
    <col min="4106" max="4106" width="10.140625" style="757" customWidth="1"/>
    <col min="4107" max="4107" width="12.28515625" style="757" customWidth="1"/>
    <col min="4108" max="4108" width="11.28515625" style="757" customWidth="1"/>
    <col min="4109" max="4109" width="11.42578125" style="757" customWidth="1"/>
    <col min="4110" max="4110" width="10.5703125" style="757" customWidth="1"/>
    <col min="4111" max="4111" width="15" style="757" customWidth="1"/>
    <col min="4112" max="4352" width="9.140625" style="757"/>
    <col min="4353" max="4353" width="16.140625" style="757" customWidth="1"/>
    <col min="4354" max="4354" width="11.140625" style="757" customWidth="1"/>
    <col min="4355" max="4355" width="10.7109375" style="757" customWidth="1"/>
    <col min="4356" max="4356" width="11.140625" style="757" customWidth="1"/>
    <col min="4357" max="4357" width="10.140625" style="757" customWidth="1"/>
    <col min="4358" max="4358" width="9.85546875" style="757" customWidth="1"/>
    <col min="4359" max="4359" width="9.42578125" style="757" customWidth="1"/>
    <col min="4360" max="4360" width="9" style="757" customWidth="1"/>
    <col min="4361" max="4361" width="8.42578125" style="757" customWidth="1"/>
    <col min="4362" max="4362" width="10.140625" style="757" customWidth="1"/>
    <col min="4363" max="4363" width="12.28515625" style="757" customWidth="1"/>
    <col min="4364" max="4364" width="11.28515625" style="757" customWidth="1"/>
    <col min="4365" max="4365" width="11.42578125" style="757" customWidth="1"/>
    <col min="4366" max="4366" width="10.5703125" style="757" customWidth="1"/>
    <col min="4367" max="4367" width="15" style="757" customWidth="1"/>
    <col min="4368" max="4608" width="9.140625" style="757"/>
    <col min="4609" max="4609" width="16.140625" style="757" customWidth="1"/>
    <col min="4610" max="4610" width="11.140625" style="757" customWidth="1"/>
    <col min="4611" max="4611" width="10.7109375" style="757" customWidth="1"/>
    <col min="4612" max="4612" width="11.140625" style="757" customWidth="1"/>
    <col min="4613" max="4613" width="10.140625" style="757" customWidth="1"/>
    <col min="4614" max="4614" width="9.85546875" style="757" customWidth="1"/>
    <col min="4615" max="4615" width="9.42578125" style="757" customWidth="1"/>
    <col min="4616" max="4616" width="9" style="757" customWidth="1"/>
    <col min="4617" max="4617" width="8.42578125" style="757" customWidth="1"/>
    <col min="4618" max="4618" width="10.140625" style="757" customWidth="1"/>
    <col min="4619" max="4619" width="12.28515625" style="757" customWidth="1"/>
    <col min="4620" max="4620" width="11.28515625" style="757" customWidth="1"/>
    <col min="4621" max="4621" width="11.42578125" style="757" customWidth="1"/>
    <col min="4622" max="4622" width="10.5703125" style="757" customWidth="1"/>
    <col min="4623" max="4623" width="15" style="757" customWidth="1"/>
    <col min="4624" max="4864" width="9.140625" style="757"/>
    <col min="4865" max="4865" width="16.140625" style="757" customWidth="1"/>
    <col min="4866" max="4866" width="11.140625" style="757" customWidth="1"/>
    <col min="4867" max="4867" width="10.7109375" style="757" customWidth="1"/>
    <col min="4868" max="4868" width="11.140625" style="757" customWidth="1"/>
    <col min="4869" max="4869" width="10.140625" style="757" customWidth="1"/>
    <col min="4870" max="4870" width="9.85546875" style="757" customWidth="1"/>
    <col min="4871" max="4871" width="9.42578125" style="757" customWidth="1"/>
    <col min="4872" max="4872" width="9" style="757" customWidth="1"/>
    <col min="4873" max="4873" width="8.42578125" style="757" customWidth="1"/>
    <col min="4874" max="4874" width="10.140625" style="757" customWidth="1"/>
    <col min="4875" max="4875" width="12.28515625" style="757" customWidth="1"/>
    <col min="4876" max="4876" width="11.28515625" style="757" customWidth="1"/>
    <col min="4877" max="4877" width="11.42578125" style="757" customWidth="1"/>
    <col min="4878" max="4878" width="10.5703125" style="757" customWidth="1"/>
    <col min="4879" max="4879" width="15" style="757" customWidth="1"/>
    <col min="4880" max="5120" width="9.140625" style="757"/>
    <col min="5121" max="5121" width="16.140625" style="757" customWidth="1"/>
    <col min="5122" max="5122" width="11.140625" style="757" customWidth="1"/>
    <col min="5123" max="5123" width="10.7109375" style="757" customWidth="1"/>
    <col min="5124" max="5124" width="11.140625" style="757" customWidth="1"/>
    <col min="5125" max="5125" width="10.140625" style="757" customWidth="1"/>
    <col min="5126" max="5126" width="9.85546875" style="757" customWidth="1"/>
    <col min="5127" max="5127" width="9.42578125" style="757" customWidth="1"/>
    <col min="5128" max="5128" width="9" style="757" customWidth="1"/>
    <col min="5129" max="5129" width="8.42578125" style="757" customWidth="1"/>
    <col min="5130" max="5130" width="10.140625" style="757" customWidth="1"/>
    <col min="5131" max="5131" width="12.28515625" style="757" customWidth="1"/>
    <col min="5132" max="5132" width="11.28515625" style="757" customWidth="1"/>
    <col min="5133" max="5133" width="11.42578125" style="757" customWidth="1"/>
    <col min="5134" max="5134" width="10.5703125" style="757" customWidth="1"/>
    <col min="5135" max="5135" width="15" style="757" customWidth="1"/>
    <col min="5136" max="5376" width="9.140625" style="757"/>
    <col min="5377" max="5377" width="16.140625" style="757" customWidth="1"/>
    <col min="5378" max="5378" width="11.140625" style="757" customWidth="1"/>
    <col min="5379" max="5379" width="10.7109375" style="757" customWidth="1"/>
    <col min="5380" max="5380" width="11.140625" style="757" customWidth="1"/>
    <col min="5381" max="5381" width="10.140625" style="757" customWidth="1"/>
    <col min="5382" max="5382" width="9.85546875" style="757" customWidth="1"/>
    <col min="5383" max="5383" width="9.42578125" style="757" customWidth="1"/>
    <col min="5384" max="5384" width="9" style="757" customWidth="1"/>
    <col min="5385" max="5385" width="8.42578125" style="757" customWidth="1"/>
    <col min="5386" max="5386" width="10.140625" style="757" customWidth="1"/>
    <col min="5387" max="5387" width="12.28515625" style="757" customWidth="1"/>
    <col min="5388" max="5388" width="11.28515625" style="757" customWidth="1"/>
    <col min="5389" max="5389" width="11.42578125" style="757" customWidth="1"/>
    <col min="5390" max="5390" width="10.5703125" style="757" customWidth="1"/>
    <col min="5391" max="5391" width="15" style="757" customWidth="1"/>
    <col min="5392" max="5632" width="9.140625" style="757"/>
    <col min="5633" max="5633" width="16.140625" style="757" customWidth="1"/>
    <col min="5634" max="5634" width="11.140625" style="757" customWidth="1"/>
    <col min="5635" max="5635" width="10.7109375" style="757" customWidth="1"/>
    <col min="5636" max="5636" width="11.140625" style="757" customWidth="1"/>
    <col min="5637" max="5637" width="10.140625" style="757" customWidth="1"/>
    <col min="5638" max="5638" width="9.85546875" style="757" customWidth="1"/>
    <col min="5639" max="5639" width="9.42578125" style="757" customWidth="1"/>
    <col min="5640" max="5640" width="9" style="757" customWidth="1"/>
    <col min="5641" max="5641" width="8.42578125" style="757" customWidth="1"/>
    <col min="5642" max="5642" width="10.140625" style="757" customWidth="1"/>
    <col min="5643" max="5643" width="12.28515625" style="757" customWidth="1"/>
    <col min="5644" max="5644" width="11.28515625" style="757" customWidth="1"/>
    <col min="5645" max="5645" width="11.42578125" style="757" customWidth="1"/>
    <col min="5646" max="5646" width="10.5703125" style="757" customWidth="1"/>
    <col min="5647" max="5647" width="15" style="757" customWidth="1"/>
    <col min="5648" max="5888" width="9.140625" style="757"/>
    <col min="5889" max="5889" width="16.140625" style="757" customWidth="1"/>
    <col min="5890" max="5890" width="11.140625" style="757" customWidth="1"/>
    <col min="5891" max="5891" width="10.7109375" style="757" customWidth="1"/>
    <col min="5892" max="5892" width="11.140625" style="757" customWidth="1"/>
    <col min="5893" max="5893" width="10.140625" style="757" customWidth="1"/>
    <col min="5894" max="5894" width="9.85546875" style="757" customWidth="1"/>
    <col min="5895" max="5895" width="9.42578125" style="757" customWidth="1"/>
    <col min="5896" max="5896" width="9" style="757" customWidth="1"/>
    <col min="5897" max="5897" width="8.42578125" style="757" customWidth="1"/>
    <col min="5898" max="5898" width="10.140625" style="757" customWidth="1"/>
    <col min="5899" max="5899" width="12.28515625" style="757" customWidth="1"/>
    <col min="5900" max="5900" width="11.28515625" style="757" customWidth="1"/>
    <col min="5901" max="5901" width="11.42578125" style="757" customWidth="1"/>
    <col min="5902" max="5902" width="10.5703125" style="757" customWidth="1"/>
    <col min="5903" max="5903" width="15" style="757" customWidth="1"/>
    <col min="5904" max="6144" width="9.140625" style="757"/>
    <col min="6145" max="6145" width="16.140625" style="757" customWidth="1"/>
    <col min="6146" max="6146" width="11.140625" style="757" customWidth="1"/>
    <col min="6147" max="6147" width="10.7109375" style="757" customWidth="1"/>
    <col min="6148" max="6148" width="11.140625" style="757" customWidth="1"/>
    <col min="6149" max="6149" width="10.140625" style="757" customWidth="1"/>
    <col min="6150" max="6150" width="9.85546875" style="757" customWidth="1"/>
    <col min="6151" max="6151" width="9.42578125" style="757" customWidth="1"/>
    <col min="6152" max="6152" width="9" style="757" customWidth="1"/>
    <col min="6153" max="6153" width="8.42578125" style="757" customWidth="1"/>
    <col min="6154" max="6154" width="10.140625" style="757" customWidth="1"/>
    <col min="6155" max="6155" width="12.28515625" style="757" customWidth="1"/>
    <col min="6156" max="6156" width="11.28515625" style="757" customWidth="1"/>
    <col min="6157" max="6157" width="11.42578125" style="757" customWidth="1"/>
    <col min="6158" max="6158" width="10.5703125" style="757" customWidth="1"/>
    <col min="6159" max="6159" width="15" style="757" customWidth="1"/>
    <col min="6160" max="6400" width="9.140625" style="757"/>
    <col min="6401" max="6401" width="16.140625" style="757" customWidth="1"/>
    <col min="6402" max="6402" width="11.140625" style="757" customWidth="1"/>
    <col min="6403" max="6403" width="10.7109375" style="757" customWidth="1"/>
    <col min="6404" max="6404" width="11.140625" style="757" customWidth="1"/>
    <col min="6405" max="6405" width="10.140625" style="757" customWidth="1"/>
    <col min="6406" max="6406" width="9.85546875" style="757" customWidth="1"/>
    <col min="6407" max="6407" width="9.42578125" style="757" customWidth="1"/>
    <col min="6408" max="6408" width="9" style="757" customWidth="1"/>
    <col min="6409" max="6409" width="8.42578125" style="757" customWidth="1"/>
    <col min="6410" max="6410" width="10.140625" style="757" customWidth="1"/>
    <col min="6411" max="6411" width="12.28515625" style="757" customWidth="1"/>
    <col min="6412" max="6412" width="11.28515625" style="757" customWidth="1"/>
    <col min="6413" max="6413" width="11.42578125" style="757" customWidth="1"/>
    <col min="6414" max="6414" width="10.5703125" style="757" customWidth="1"/>
    <col min="6415" max="6415" width="15" style="757" customWidth="1"/>
    <col min="6416" max="6656" width="9.140625" style="757"/>
    <col min="6657" max="6657" width="16.140625" style="757" customWidth="1"/>
    <col min="6658" max="6658" width="11.140625" style="757" customWidth="1"/>
    <col min="6659" max="6659" width="10.7109375" style="757" customWidth="1"/>
    <col min="6660" max="6660" width="11.140625" style="757" customWidth="1"/>
    <col min="6661" max="6661" width="10.140625" style="757" customWidth="1"/>
    <col min="6662" max="6662" width="9.85546875" style="757" customWidth="1"/>
    <col min="6663" max="6663" width="9.42578125" style="757" customWidth="1"/>
    <col min="6664" max="6664" width="9" style="757" customWidth="1"/>
    <col min="6665" max="6665" width="8.42578125" style="757" customWidth="1"/>
    <col min="6666" max="6666" width="10.140625" style="757" customWidth="1"/>
    <col min="6667" max="6667" width="12.28515625" style="757" customWidth="1"/>
    <col min="6668" max="6668" width="11.28515625" style="757" customWidth="1"/>
    <col min="6669" max="6669" width="11.42578125" style="757" customWidth="1"/>
    <col min="6670" max="6670" width="10.5703125" style="757" customWidth="1"/>
    <col min="6671" max="6671" width="15" style="757" customWidth="1"/>
    <col min="6672" max="6912" width="9.140625" style="757"/>
    <col min="6913" max="6913" width="16.140625" style="757" customWidth="1"/>
    <col min="6914" max="6914" width="11.140625" style="757" customWidth="1"/>
    <col min="6915" max="6915" width="10.7109375" style="757" customWidth="1"/>
    <col min="6916" max="6916" width="11.140625" style="757" customWidth="1"/>
    <col min="6917" max="6917" width="10.140625" style="757" customWidth="1"/>
    <col min="6918" max="6918" width="9.85546875" style="757" customWidth="1"/>
    <col min="6919" max="6919" width="9.42578125" style="757" customWidth="1"/>
    <col min="6920" max="6920" width="9" style="757" customWidth="1"/>
    <col min="6921" max="6921" width="8.42578125" style="757" customWidth="1"/>
    <col min="6922" max="6922" width="10.140625" style="757" customWidth="1"/>
    <col min="6923" max="6923" width="12.28515625" style="757" customWidth="1"/>
    <col min="6924" max="6924" width="11.28515625" style="757" customWidth="1"/>
    <col min="6925" max="6925" width="11.42578125" style="757" customWidth="1"/>
    <col min="6926" max="6926" width="10.5703125" style="757" customWidth="1"/>
    <col min="6927" max="6927" width="15" style="757" customWidth="1"/>
    <col min="6928" max="7168" width="9.140625" style="757"/>
    <col min="7169" max="7169" width="16.140625" style="757" customWidth="1"/>
    <col min="7170" max="7170" width="11.140625" style="757" customWidth="1"/>
    <col min="7171" max="7171" width="10.7109375" style="757" customWidth="1"/>
    <col min="7172" max="7172" width="11.140625" style="757" customWidth="1"/>
    <col min="7173" max="7173" width="10.140625" style="757" customWidth="1"/>
    <col min="7174" max="7174" width="9.85546875" style="757" customWidth="1"/>
    <col min="7175" max="7175" width="9.42578125" style="757" customWidth="1"/>
    <col min="7176" max="7176" width="9" style="757" customWidth="1"/>
    <col min="7177" max="7177" width="8.42578125" style="757" customWidth="1"/>
    <col min="7178" max="7178" width="10.140625" style="757" customWidth="1"/>
    <col min="7179" max="7179" width="12.28515625" style="757" customWidth="1"/>
    <col min="7180" max="7180" width="11.28515625" style="757" customWidth="1"/>
    <col min="7181" max="7181" width="11.42578125" style="757" customWidth="1"/>
    <col min="7182" max="7182" width="10.5703125" style="757" customWidth="1"/>
    <col min="7183" max="7183" width="15" style="757" customWidth="1"/>
    <col min="7184" max="7424" width="9.140625" style="757"/>
    <col min="7425" max="7425" width="16.140625" style="757" customWidth="1"/>
    <col min="7426" max="7426" width="11.140625" style="757" customWidth="1"/>
    <col min="7427" max="7427" width="10.7109375" style="757" customWidth="1"/>
    <col min="7428" max="7428" width="11.140625" style="757" customWidth="1"/>
    <col min="7429" max="7429" width="10.140625" style="757" customWidth="1"/>
    <col min="7430" max="7430" width="9.85546875" style="757" customWidth="1"/>
    <col min="7431" max="7431" width="9.42578125" style="757" customWidth="1"/>
    <col min="7432" max="7432" width="9" style="757" customWidth="1"/>
    <col min="7433" max="7433" width="8.42578125" style="757" customWidth="1"/>
    <col min="7434" max="7434" width="10.140625" style="757" customWidth="1"/>
    <col min="7435" max="7435" width="12.28515625" style="757" customWidth="1"/>
    <col min="7436" max="7436" width="11.28515625" style="757" customWidth="1"/>
    <col min="7437" max="7437" width="11.42578125" style="757" customWidth="1"/>
    <col min="7438" max="7438" width="10.5703125" style="757" customWidth="1"/>
    <col min="7439" max="7439" width="15" style="757" customWidth="1"/>
    <col min="7440" max="7680" width="9.140625" style="757"/>
    <col min="7681" max="7681" width="16.140625" style="757" customWidth="1"/>
    <col min="7682" max="7682" width="11.140625" style="757" customWidth="1"/>
    <col min="7683" max="7683" width="10.7109375" style="757" customWidth="1"/>
    <col min="7684" max="7684" width="11.140625" style="757" customWidth="1"/>
    <col min="7685" max="7685" width="10.140625" style="757" customWidth="1"/>
    <col min="7686" max="7686" width="9.85546875" style="757" customWidth="1"/>
    <col min="7687" max="7687" width="9.42578125" style="757" customWidth="1"/>
    <col min="7688" max="7688" width="9" style="757" customWidth="1"/>
    <col min="7689" max="7689" width="8.42578125" style="757" customWidth="1"/>
    <col min="7690" max="7690" width="10.140625" style="757" customWidth="1"/>
    <col min="7691" max="7691" width="12.28515625" style="757" customWidth="1"/>
    <col min="7692" max="7692" width="11.28515625" style="757" customWidth="1"/>
    <col min="7693" max="7693" width="11.42578125" style="757" customWidth="1"/>
    <col min="7694" max="7694" width="10.5703125" style="757" customWidth="1"/>
    <col min="7695" max="7695" width="15" style="757" customWidth="1"/>
    <col min="7696" max="7936" width="9.140625" style="757"/>
    <col min="7937" max="7937" width="16.140625" style="757" customWidth="1"/>
    <col min="7938" max="7938" width="11.140625" style="757" customWidth="1"/>
    <col min="7939" max="7939" width="10.7109375" style="757" customWidth="1"/>
    <col min="7940" max="7940" width="11.140625" style="757" customWidth="1"/>
    <col min="7941" max="7941" width="10.140625" style="757" customWidth="1"/>
    <col min="7942" max="7942" width="9.85546875" style="757" customWidth="1"/>
    <col min="7943" max="7943" width="9.42578125" style="757" customWidth="1"/>
    <col min="7944" max="7944" width="9" style="757" customWidth="1"/>
    <col min="7945" max="7945" width="8.42578125" style="757" customWidth="1"/>
    <col min="7946" max="7946" width="10.140625" style="757" customWidth="1"/>
    <col min="7947" max="7947" width="12.28515625" style="757" customWidth="1"/>
    <col min="7948" max="7948" width="11.28515625" style="757" customWidth="1"/>
    <col min="7949" max="7949" width="11.42578125" style="757" customWidth="1"/>
    <col min="7950" max="7950" width="10.5703125" style="757" customWidth="1"/>
    <col min="7951" max="7951" width="15" style="757" customWidth="1"/>
    <col min="7952" max="8192" width="9.140625" style="757"/>
    <col min="8193" max="8193" width="16.140625" style="757" customWidth="1"/>
    <col min="8194" max="8194" width="11.140625" style="757" customWidth="1"/>
    <col min="8195" max="8195" width="10.7109375" style="757" customWidth="1"/>
    <col min="8196" max="8196" width="11.140625" style="757" customWidth="1"/>
    <col min="8197" max="8197" width="10.140625" style="757" customWidth="1"/>
    <col min="8198" max="8198" width="9.85546875" style="757" customWidth="1"/>
    <col min="8199" max="8199" width="9.42578125" style="757" customWidth="1"/>
    <col min="8200" max="8200" width="9" style="757" customWidth="1"/>
    <col min="8201" max="8201" width="8.42578125" style="757" customWidth="1"/>
    <col min="8202" max="8202" width="10.140625" style="757" customWidth="1"/>
    <col min="8203" max="8203" width="12.28515625" style="757" customWidth="1"/>
    <col min="8204" max="8204" width="11.28515625" style="757" customWidth="1"/>
    <col min="8205" max="8205" width="11.42578125" style="757" customWidth="1"/>
    <col min="8206" max="8206" width="10.5703125" style="757" customWidth="1"/>
    <col min="8207" max="8207" width="15" style="757" customWidth="1"/>
    <col min="8208" max="8448" width="9.140625" style="757"/>
    <col min="8449" max="8449" width="16.140625" style="757" customWidth="1"/>
    <col min="8450" max="8450" width="11.140625" style="757" customWidth="1"/>
    <col min="8451" max="8451" width="10.7109375" style="757" customWidth="1"/>
    <col min="8452" max="8452" width="11.140625" style="757" customWidth="1"/>
    <col min="8453" max="8453" width="10.140625" style="757" customWidth="1"/>
    <col min="8454" max="8454" width="9.85546875" style="757" customWidth="1"/>
    <col min="8455" max="8455" width="9.42578125" style="757" customWidth="1"/>
    <col min="8456" max="8456" width="9" style="757" customWidth="1"/>
    <col min="8457" max="8457" width="8.42578125" style="757" customWidth="1"/>
    <col min="8458" max="8458" width="10.140625" style="757" customWidth="1"/>
    <col min="8459" max="8459" width="12.28515625" style="757" customWidth="1"/>
    <col min="8460" max="8460" width="11.28515625" style="757" customWidth="1"/>
    <col min="8461" max="8461" width="11.42578125" style="757" customWidth="1"/>
    <col min="8462" max="8462" width="10.5703125" style="757" customWidth="1"/>
    <col min="8463" max="8463" width="15" style="757" customWidth="1"/>
    <col min="8464" max="8704" width="9.140625" style="757"/>
    <col min="8705" max="8705" width="16.140625" style="757" customWidth="1"/>
    <col min="8706" max="8706" width="11.140625" style="757" customWidth="1"/>
    <col min="8707" max="8707" width="10.7109375" style="757" customWidth="1"/>
    <col min="8708" max="8708" width="11.140625" style="757" customWidth="1"/>
    <col min="8709" max="8709" width="10.140625" style="757" customWidth="1"/>
    <col min="8710" max="8710" width="9.85546875" style="757" customWidth="1"/>
    <col min="8711" max="8711" width="9.42578125" style="757" customWidth="1"/>
    <col min="8712" max="8712" width="9" style="757" customWidth="1"/>
    <col min="8713" max="8713" width="8.42578125" style="757" customWidth="1"/>
    <col min="8714" max="8714" width="10.140625" style="757" customWidth="1"/>
    <col min="8715" max="8715" width="12.28515625" style="757" customWidth="1"/>
    <col min="8716" max="8716" width="11.28515625" style="757" customWidth="1"/>
    <col min="8717" max="8717" width="11.42578125" style="757" customWidth="1"/>
    <col min="8718" max="8718" width="10.5703125" style="757" customWidth="1"/>
    <col min="8719" max="8719" width="15" style="757" customWidth="1"/>
    <col min="8720" max="8960" width="9.140625" style="757"/>
    <col min="8961" max="8961" width="16.140625" style="757" customWidth="1"/>
    <col min="8962" max="8962" width="11.140625" style="757" customWidth="1"/>
    <col min="8963" max="8963" width="10.7109375" style="757" customWidth="1"/>
    <col min="8964" max="8964" width="11.140625" style="757" customWidth="1"/>
    <col min="8965" max="8965" width="10.140625" style="757" customWidth="1"/>
    <col min="8966" max="8966" width="9.85546875" style="757" customWidth="1"/>
    <col min="8967" max="8967" width="9.42578125" style="757" customWidth="1"/>
    <col min="8968" max="8968" width="9" style="757" customWidth="1"/>
    <col min="8969" max="8969" width="8.42578125" style="757" customWidth="1"/>
    <col min="8970" max="8970" width="10.140625" style="757" customWidth="1"/>
    <col min="8971" max="8971" width="12.28515625" style="757" customWidth="1"/>
    <col min="8972" max="8972" width="11.28515625" style="757" customWidth="1"/>
    <col min="8973" max="8973" width="11.42578125" style="757" customWidth="1"/>
    <col min="8974" max="8974" width="10.5703125" style="757" customWidth="1"/>
    <col min="8975" max="8975" width="15" style="757" customWidth="1"/>
    <col min="8976" max="9216" width="9.140625" style="757"/>
    <col min="9217" max="9217" width="16.140625" style="757" customWidth="1"/>
    <col min="9218" max="9218" width="11.140625" style="757" customWidth="1"/>
    <col min="9219" max="9219" width="10.7109375" style="757" customWidth="1"/>
    <col min="9220" max="9220" width="11.140625" style="757" customWidth="1"/>
    <col min="9221" max="9221" width="10.140625" style="757" customWidth="1"/>
    <col min="9222" max="9222" width="9.85546875" style="757" customWidth="1"/>
    <col min="9223" max="9223" width="9.42578125" style="757" customWidth="1"/>
    <col min="9224" max="9224" width="9" style="757" customWidth="1"/>
    <col min="9225" max="9225" width="8.42578125" style="757" customWidth="1"/>
    <col min="9226" max="9226" width="10.140625" style="757" customWidth="1"/>
    <col min="9227" max="9227" width="12.28515625" style="757" customWidth="1"/>
    <col min="9228" max="9228" width="11.28515625" style="757" customWidth="1"/>
    <col min="9229" max="9229" width="11.42578125" style="757" customWidth="1"/>
    <col min="9230" max="9230" width="10.5703125" style="757" customWidth="1"/>
    <col min="9231" max="9231" width="15" style="757" customWidth="1"/>
    <col min="9232" max="9472" width="9.140625" style="757"/>
    <col min="9473" max="9473" width="16.140625" style="757" customWidth="1"/>
    <col min="9474" max="9474" width="11.140625" style="757" customWidth="1"/>
    <col min="9475" max="9475" width="10.7109375" style="757" customWidth="1"/>
    <col min="9476" max="9476" width="11.140625" style="757" customWidth="1"/>
    <col min="9477" max="9477" width="10.140625" style="757" customWidth="1"/>
    <col min="9478" max="9478" width="9.85546875" style="757" customWidth="1"/>
    <col min="9479" max="9479" width="9.42578125" style="757" customWidth="1"/>
    <col min="9480" max="9480" width="9" style="757" customWidth="1"/>
    <col min="9481" max="9481" width="8.42578125" style="757" customWidth="1"/>
    <col min="9482" max="9482" width="10.140625" style="757" customWidth="1"/>
    <col min="9483" max="9483" width="12.28515625" style="757" customWidth="1"/>
    <col min="9484" max="9484" width="11.28515625" style="757" customWidth="1"/>
    <col min="9485" max="9485" width="11.42578125" style="757" customWidth="1"/>
    <col min="9486" max="9486" width="10.5703125" style="757" customWidth="1"/>
    <col min="9487" max="9487" width="15" style="757" customWidth="1"/>
    <col min="9488" max="9728" width="9.140625" style="757"/>
    <col min="9729" max="9729" width="16.140625" style="757" customWidth="1"/>
    <col min="9730" max="9730" width="11.140625" style="757" customWidth="1"/>
    <col min="9731" max="9731" width="10.7109375" style="757" customWidth="1"/>
    <col min="9732" max="9732" width="11.140625" style="757" customWidth="1"/>
    <col min="9733" max="9733" width="10.140625" style="757" customWidth="1"/>
    <col min="9734" max="9734" width="9.85546875" style="757" customWidth="1"/>
    <col min="9735" max="9735" width="9.42578125" style="757" customWidth="1"/>
    <col min="9736" max="9736" width="9" style="757" customWidth="1"/>
    <col min="9737" max="9737" width="8.42578125" style="757" customWidth="1"/>
    <col min="9738" max="9738" width="10.140625" style="757" customWidth="1"/>
    <col min="9739" max="9739" width="12.28515625" style="757" customWidth="1"/>
    <col min="9740" max="9740" width="11.28515625" style="757" customWidth="1"/>
    <col min="9741" max="9741" width="11.42578125" style="757" customWidth="1"/>
    <col min="9742" max="9742" width="10.5703125" style="757" customWidth="1"/>
    <col min="9743" max="9743" width="15" style="757" customWidth="1"/>
    <col min="9744" max="9984" width="9.140625" style="757"/>
    <col min="9985" max="9985" width="16.140625" style="757" customWidth="1"/>
    <col min="9986" max="9986" width="11.140625" style="757" customWidth="1"/>
    <col min="9987" max="9987" width="10.7109375" style="757" customWidth="1"/>
    <col min="9988" max="9988" width="11.140625" style="757" customWidth="1"/>
    <col min="9989" max="9989" width="10.140625" style="757" customWidth="1"/>
    <col min="9990" max="9990" width="9.85546875" style="757" customWidth="1"/>
    <col min="9991" max="9991" width="9.42578125" style="757" customWidth="1"/>
    <col min="9992" max="9992" width="9" style="757" customWidth="1"/>
    <col min="9993" max="9993" width="8.42578125" style="757" customWidth="1"/>
    <col min="9994" max="9994" width="10.140625" style="757" customWidth="1"/>
    <col min="9995" max="9995" width="12.28515625" style="757" customWidth="1"/>
    <col min="9996" max="9996" width="11.28515625" style="757" customWidth="1"/>
    <col min="9997" max="9997" width="11.42578125" style="757" customWidth="1"/>
    <col min="9998" max="9998" width="10.5703125" style="757" customWidth="1"/>
    <col min="9999" max="9999" width="15" style="757" customWidth="1"/>
    <col min="10000" max="10240" width="9.140625" style="757"/>
    <col min="10241" max="10241" width="16.140625" style="757" customWidth="1"/>
    <col min="10242" max="10242" width="11.140625" style="757" customWidth="1"/>
    <col min="10243" max="10243" width="10.7109375" style="757" customWidth="1"/>
    <col min="10244" max="10244" width="11.140625" style="757" customWidth="1"/>
    <col min="10245" max="10245" width="10.140625" style="757" customWidth="1"/>
    <col min="10246" max="10246" width="9.85546875" style="757" customWidth="1"/>
    <col min="10247" max="10247" width="9.42578125" style="757" customWidth="1"/>
    <col min="10248" max="10248" width="9" style="757" customWidth="1"/>
    <col min="10249" max="10249" width="8.42578125" style="757" customWidth="1"/>
    <col min="10250" max="10250" width="10.140625" style="757" customWidth="1"/>
    <col min="10251" max="10251" width="12.28515625" style="757" customWidth="1"/>
    <col min="10252" max="10252" width="11.28515625" style="757" customWidth="1"/>
    <col min="10253" max="10253" width="11.42578125" style="757" customWidth="1"/>
    <col min="10254" max="10254" width="10.5703125" style="757" customWidth="1"/>
    <col min="10255" max="10255" width="15" style="757" customWidth="1"/>
    <col min="10256" max="10496" width="9.140625" style="757"/>
    <col min="10497" max="10497" width="16.140625" style="757" customWidth="1"/>
    <col min="10498" max="10498" width="11.140625" style="757" customWidth="1"/>
    <col min="10499" max="10499" width="10.7109375" style="757" customWidth="1"/>
    <col min="10500" max="10500" width="11.140625" style="757" customWidth="1"/>
    <col min="10501" max="10501" width="10.140625" style="757" customWidth="1"/>
    <col min="10502" max="10502" width="9.85546875" style="757" customWidth="1"/>
    <col min="10503" max="10503" width="9.42578125" style="757" customWidth="1"/>
    <col min="10504" max="10504" width="9" style="757" customWidth="1"/>
    <col min="10505" max="10505" width="8.42578125" style="757" customWidth="1"/>
    <col min="10506" max="10506" width="10.140625" style="757" customWidth="1"/>
    <col min="10507" max="10507" width="12.28515625" style="757" customWidth="1"/>
    <col min="10508" max="10508" width="11.28515625" style="757" customWidth="1"/>
    <col min="10509" max="10509" width="11.42578125" style="757" customWidth="1"/>
    <col min="10510" max="10510" width="10.5703125" style="757" customWidth="1"/>
    <col min="10511" max="10511" width="15" style="757" customWidth="1"/>
    <col min="10512" max="10752" width="9.140625" style="757"/>
    <col min="10753" max="10753" width="16.140625" style="757" customWidth="1"/>
    <col min="10754" max="10754" width="11.140625" style="757" customWidth="1"/>
    <col min="10755" max="10755" width="10.7109375" style="757" customWidth="1"/>
    <col min="10756" max="10756" width="11.140625" style="757" customWidth="1"/>
    <col min="10757" max="10757" width="10.140625" style="757" customWidth="1"/>
    <col min="10758" max="10758" width="9.85546875" style="757" customWidth="1"/>
    <col min="10759" max="10759" width="9.42578125" style="757" customWidth="1"/>
    <col min="10760" max="10760" width="9" style="757" customWidth="1"/>
    <col min="10761" max="10761" width="8.42578125" style="757" customWidth="1"/>
    <col min="10762" max="10762" width="10.140625" style="757" customWidth="1"/>
    <col min="10763" max="10763" width="12.28515625" style="757" customWidth="1"/>
    <col min="10764" max="10764" width="11.28515625" style="757" customWidth="1"/>
    <col min="10765" max="10765" width="11.42578125" style="757" customWidth="1"/>
    <col min="10766" max="10766" width="10.5703125" style="757" customWidth="1"/>
    <col min="10767" max="10767" width="15" style="757" customWidth="1"/>
    <col min="10768" max="11008" width="9.140625" style="757"/>
    <col min="11009" max="11009" width="16.140625" style="757" customWidth="1"/>
    <col min="11010" max="11010" width="11.140625" style="757" customWidth="1"/>
    <col min="11011" max="11011" width="10.7109375" style="757" customWidth="1"/>
    <col min="11012" max="11012" width="11.140625" style="757" customWidth="1"/>
    <col min="11013" max="11013" width="10.140625" style="757" customWidth="1"/>
    <col min="11014" max="11014" width="9.85546875" style="757" customWidth="1"/>
    <col min="11015" max="11015" width="9.42578125" style="757" customWidth="1"/>
    <col min="11016" max="11016" width="9" style="757" customWidth="1"/>
    <col min="11017" max="11017" width="8.42578125" style="757" customWidth="1"/>
    <col min="11018" max="11018" width="10.140625" style="757" customWidth="1"/>
    <col min="11019" max="11019" width="12.28515625" style="757" customWidth="1"/>
    <col min="11020" max="11020" width="11.28515625" style="757" customWidth="1"/>
    <col min="11021" max="11021" width="11.42578125" style="757" customWidth="1"/>
    <col min="11022" max="11022" width="10.5703125" style="757" customWidth="1"/>
    <col min="11023" max="11023" width="15" style="757" customWidth="1"/>
    <col min="11024" max="11264" width="9.140625" style="757"/>
    <col min="11265" max="11265" width="16.140625" style="757" customWidth="1"/>
    <col min="11266" max="11266" width="11.140625" style="757" customWidth="1"/>
    <col min="11267" max="11267" width="10.7109375" style="757" customWidth="1"/>
    <col min="11268" max="11268" width="11.140625" style="757" customWidth="1"/>
    <col min="11269" max="11269" width="10.140625" style="757" customWidth="1"/>
    <col min="11270" max="11270" width="9.85546875" style="757" customWidth="1"/>
    <col min="11271" max="11271" width="9.42578125" style="757" customWidth="1"/>
    <col min="11272" max="11272" width="9" style="757" customWidth="1"/>
    <col min="11273" max="11273" width="8.42578125" style="757" customWidth="1"/>
    <col min="11274" max="11274" width="10.140625" style="757" customWidth="1"/>
    <col min="11275" max="11275" width="12.28515625" style="757" customWidth="1"/>
    <col min="11276" max="11276" width="11.28515625" style="757" customWidth="1"/>
    <col min="11277" max="11277" width="11.42578125" style="757" customWidth="1"/>
    <col min="11278" max="11278" width="10.5703125" style="757" customWidth="1"/>
    <col min="11279" max="11279" width="15" style="757" customWidth="1"/>
    <col min="11280" max="11520" width="9.140625" style="757"/>
    <col min="11521" max="11521" width="16.140625" style="757" customWidth="1"/>
    <col min="11522" max="11522" width="11.140625" style="757" customWidth="1"/>
    <col min="11523" max="11523" width="10.7109375" style="757" customWidth="1"/>
    <col min="11524" max="11524" width="11.140625" style="757" customWidth="1"/>
    <col min="11525" max="11525" width="10.140625" style="757" customWidth="1"/>
    <col min="11526" max="11526" width="9.85546875" style="757" customWidth="1"/>
    <col min="11527" max="11527" width="9.42578125" style="757" customWidth="1"/>
    <col min="11528" max="11528" width="9" style="757" customWidth="1"/>
    <col min="11529" max="11529" width="8.42578125" style="757" customWidth="1"/>
    <col min="11530" max="11530" width="10.140625" style="757" customWidth="1"/>
    <col min="11531" max="11531" width="12.28515625" style="757" customWidth="1"/>
    <col min="11532" max="11532" width="11.28515625" style="757" customWidth="1"/>
    <col min="11533" max="11533" width="11.42578125" style="757" customWidth="1"/>
    <col min="11534" max="11534" width="10.5703125" style="757" customWidth="1"/>
    <col min="11535" max="11535" width="15" style="757" customWidth="1"/>
    <col min="11536" max="11776" width="9.140625" style="757"/>
    <col min="11777" max="11777" width="16.140625" style="757" customWidth="1"/>
    <col min="11778" max="11778" width="11.140625" style="757" customWidth="1"/>
    <col min="11779" max="11779" width="10.7109375" style="757" customWidth="1"/>
    <col min="11780" max="11780" width="11.140625" style="757" customWidth="1"/>
    <col min="11781" max="11781" width="10.140625" style="757" customWidth="1"/>
    <col min="11782" max="11782" width="9.85546875" style="757" customWidth="1"/>
    <col min="11783" max="11783" width="9.42578125" style="757" customWidth="1"/>
    <col min="11784" max="11784" width="9" style="757" customWidth="1"/>
    <col min="11785" max="11785" width="8.42578125" style="757" customWidth="1"/>
    <col min="11786" max="11786" width="10.140625" style="757" customWidth="1"/>
    <col min="11787" max="11787" width="12.28515625" style="757" customWidth="1"/>
    <col min="11788" max="11788" width="11.28515625" style="757" customWidth="1"/>
    <col min="11789" max="11789" width="11.42578125" style="757" customWidth="1"/>
    <col min="11790" max="11790" width="10.5703125" style="757" customWidth="1"/>
    <col min="11791" max="11791" width="15" style="757" customWidth="1"/>
    <col min="11792" max="12032" width="9.140625" style="757"/>
    <col min="12033" max="12033" width="16.140625" style="757" customWidth="1"/>
    <col min="12034" max="12034" width="11.140625" style="757" customWidth="1"/>
    <col min="12035" max="12035" width="10.7109375" style="757" customWidth="1"/>
    <col min="12036" max="12036" width="11.140625" style="757" customWidth="1"/>
    <col min="12037" max="12037" width="10.140625" style="757" customWidth="1"/>
    <col min="12038" max="12038" width="9.85546875" style="757" customWidth="1"/>
    <col min="12039" max="12039" width="9.42578125" style="757" customWidth="1"/>
    <col min="12040" max="12040" width="9" style="757" customWidth="1"/>
    <col min="12041" max="12041" width="8.42578125" style="757" customWidth="1"/>
    <col min="12042" max="12042" width="10.140625" style="757" customWidth="1"/>
    <col min="12043" max="12043" width="12.28515625" style="757" customWidth="1"/>
    <col min="12044" max="12044" width="11.28515625" style="757" customWidth="1"/>
    <col min="12045" max="12045" width="11.42578125" style="757" customWidth="1"/>
    <col min="12046" max="12046" width="10.5703125" style="757" customWidth="1"/>
    <col min="12047" max="12047" width="15" style="757" customWidth="1"/>
    <col min="12048" max="12288" width="9.140625" style="757"/>
    <col min="12289" max="12289" width="16.140625" style="757" customWidth="1"/>
    <col min="12290" max="12290" width="11.140625" style="757" customWidth="1"/>
    <col min="12291" max="12291" width="10.7109375" style="757" customWidth="1"/>
    <col min="12292" max="12292" width="11.140625" style="757" customWidth="1"/>
    <col min="12293" max="12293" width="10.140625" style="757" customWidth="1"/>
    <col min="12294" max="12294" width="9.85546875" style="757" customWidth="1"/>
    <col min="12295" max="12295" width="9.42578125" style="757" customWidth="1"/>
    <col min="12296" max="12296" width="9" style="757" customWidth="1"/>
    <col min="12297" max="12297" width="8.42578125" style="757" customWidth="1"/>
    <col min="12298" max="12298" width="10.140625" style="757" customWidth="1"/>
    <col min="12299" max="12299" width="12.28515625" style="757" customWidth="1"/>
    <col min="12300" max="12300" width="11.28515625" style="757" customWidth="1"/>
    <col min="12301" max="12301" width="11.42578125" style="757" customWidth="1"/>
    <col min="12302" max="12302" width="10.5703125" style="757" customWidth="1"/>
    <col min="12303" max="12303" width="15" style="757" customWidth="1"/>
    <col min="12304" max="12544" width="9.140625" style="757"/>
    <col min="12545" max="12545" width="16.140625" style="757" customWidth="1"/>
    <col min="12546" max="12546" width="11.140625" style="757" customWidth="1"/>
    <col min="12547" max="12547" width="10.7109375" style="757" customWidth="1"/>
    <col min="12548" max="12548" width="11.140625" style="757" customWidth="1"/>
    <col min="12549" max="12549" width="10.140625" style="757" customWidth="1"/>
    <col min="12550" max="12550" width="9.85546875" style="757" customWidth="1"/>
    <col min="12551" max="12551" width="9.42578125" style="757" customWidth="1"/>
    <col min="12552" max="12552" width="9" style="757" customWidth="1"/>
    <col min="12553" max="12553" width="8.42578125" style="757" customWidth="1"/>
    <col min="12554" max="12554" width="10.140625" style="757" customWidth="1"/>
    <col min="12555" max="12555" width="12.28515625" style="757" customWidth="1"/>
    <col min="12556" max="12556" width="11.28515625" style="757" customWidth="1"/>
    <col min="12557" max="12557" width="11.42578125" style="757" customWidth="1"/>
    <col min="12558" max="12558" width="10.5703125" style="757" customWidth="1"/>
    <col min="12559" max="12559" width="15" style="757" customWidth="1"/>
    <col min="12560" max="12800" width="9.140625" style="757"/>
    <col min="12801" max="12801" width="16.140625" style="757" customWidth="1"/>
    <col min="12802" max="12802" width="11.140625" style="757" customWidth="1"/>
    <col min="12803" max="12803" width="10.7109375" style="757" customWidth="1"/>
    <col min="12804" max="12804" width="11.140625" style="757" customWidth="1"/>
    <col min="12805" max="12805" width="10.140625" style="757" customWidth="1"/>
    <col min="12806" max="12806" width="9.85546875" style="757" customWidth="1"/>
    <col min="12807" max="12807" width="9.42578125" style="757" customWidth="1"/>
    <col min="12808" max="12808" width="9" style="757" customWidth="1"/>
    <col min="12809" max="12809" width="8.42578125" style="757" customWidth="1"/>
    <col min="12810" max="12810" width="10.140625" style="757" customWidth="1"/>
    <col min="12811" max="12811" width="12.28515625" style="757" customWidth="1"/>
    <col min="12812" max="12812" width="11.28515625" style="757" customWidth="1"/>
    <col min="12813" max="12813" width="11.42578125" style="757" customWidth="1"/>
    <col min="12814" max="12814" width="10.5703125" style="757" customWidth="1"/>
    <col min="12815" max="12815" width="15" style="757" customWidth="1"/>
    <col min="12816" max="13056" width="9.140625" style="757"/>
    <col min="13057" max="13057" width="16.140625" style="757" customWidth="1"/>
    <col min="13058" max="13058" width="11.140625" style="757" customWidth="1"/>
    <col min="13059" max="13059" width="10.7109375" style="757" customWidth="1"/>
    <col min="13060" max="13060" width="11.140625" style="757" customWidth="1"/>
    <col min="13061" max="13061" width="10.140625" style="757" customWidth="1"/>
    <col min="13062" max="13062" width="9.85546875" style="757" customWidth="1"/>
    <col min="13063" max="13063" width="9.42578125" style="757" customWidth="1"/>
    <col min="13064" max="13064" width="9" style="757" customWidth="1"/>
    <col min="13065" max="13065" width="8.42578125" style="757" customWidth="1"/>
    <col min="13066" max="13066" width="10.140625" style="757" customWidth="1"/>
    <col min="13067" max="13067" width="12.28515625" style="757" customWidth="1"/>
    <col min="13068" max="13068" width="11.28515625" style="757" customWidth="1"/>
    <col min="13069" max="13069" width="11.42578125" style="757" customWidth="1"/>
    <col min="13070" max="13070" width="10.5703125" style="757" customWidth="1"/>
    <col min="13071" max="13071" width="15" style="757" customWidth="1"/>
    <col min="13072" max="13312" width="9.140625" style="757"/>
    <col min="13313" max="13313" width="16.140625" style="757" customWidth="1"/>
    <col min="13314" max="13314" width="11.140625" style="757" customWidth="1"/>
    <col min="13315" max="13315" width="10.7109375" style="757" customWidth="1"/>
    <col min="13316" max="13316" width="11.140625" style="757" customWidth="1"/>
    <col min="13317" max="13317" width="10.140625" style="757" customWidth="1"/>
    <col min="13318" max="13318" width="9.85546875" style="757" customWidth="1"/>
    <col min="13319" max="13319" width="9.42578125" style="757" customWidth="1"/>
    <col min="13320" max="13320" width="9" style="757" customWidth="1"/>
    <col min="13321" max="13321" width="8.42578125" style="757" customWidth="1"/>
    <col min="13322" max="13322" width="10.140625" style="757" customWidth="1"/>
    <col min="13323" max="13323" width="12.28515625" style="757" customWidth="1"/>
    <col min="13324" max="13324" width="11.28515625" style="757" customWidth="1"/>
    <col min="13325" max="13325" width="11.42578125" style="757" customWidth="1"/>
    <col min="13326" max="13326" width="10.5703125" style="757" customWidth="1"/>
    <col min="13327" max="13327" width="15" style="757" customWidth="1"/>
    <col min="13328" max="13568" width="9.140625" style="757"/>
    <col min="13569" max="13569" width="16.140625" style="757" customWidth="1"/>
    <col min="13570" max="13570" width="11.140625" style="757" customWidth="1"/>
    <col min="13571" max="13571" width="10.7109375" style="757" customWidth="1"/>
    <col min="13572" max="13572" width="11.140625" style="757" customWidth="1"/>
    <col min="13573" max="13573" width="10.140625" style="757" customWidth="1"/>
    <col min="13574" max="13574" width="9.85546875" style="757" customWidth="1"/>
    <col min="13575" max="13575" width="9.42578125" style="757" customWidth="1"/>
    <col min="13576" max="13576" width="9" style="757" customWidth="1"/>
    <col min="13577" max="13577" width="8.42578125" style="757" customWidth="1"/>
    <col min="13578" max="13578" width="10.140625" style="757" customWidth="1"/>
    <col min="13579" max="13579" width="12.28515625" style="757" customWidth="1"/>
    <col min="13580" max="13580" width="11.28515625" style="757" customWidth="1"/>
    <col min="13581" max="13581" width="11.42578125" style="757" customWidth="1"/>
    <col min="13582" max="13582" width="10.5703125" style="757" customWidth="1"/>
    <col min="13583" max="13583" width="15" style="757" customWidth="1"/>
    <col min="13584" max="13824" width="9.140625" style="757"/>
    <col min="13825" max="13825" width="16.140625" style="757" customWidth="1"/>
    <col min="13826" max="13826" width="11.140625" style="757" customWidth="1"/>
    <col min="13827" max="13827" width="10.7109375" style="757" customWidth="1"/>
    <col min="13828" max="13828" width="11.140625" style="757" customWidth="1"/>
    <col min="13829" max="13829" width="10.140625" style="757" customWidth="1"/>
    <col min="13830" max="13830" width="9.85546875" style="757" customWidth="1"/>
    <col min="13831" max="13831" width="9.42578125" style="757" customWidth="1"/>
    <col min="13832" max="13832" width="9" style="757" customWidth="1"/>
    <col min="13833" max="13833" width="8.42578125" style="757" customWidth="1"/>
    <col min="13834" max="13834" width="10.140625" style="757" customWidth="1"/>
    <col min="13835" max="13835" width="12.28515625" style="757" customWidth="1"/>
    <col min="13836" max="13836" width="11.28515625" style="757" customWidth="1"/>
    <col min="13837" max="13837" width="11.42578125" style="757" customWidth="1"/>
    <col min="13838" max="13838" width="10.5703125" style="757" customWidth="1"/>
    <col min="13839" max="13839" width="15" style="757" customWidth="1"/>
    <col min="13840" max="14080" width="9.140625" style="757"/>
    <col min="14081" max="14081" width="16.140625" style="757" customWidth="1"/>
    <col min="14082" max="14082" width="11.140625" style="757" customWidth="1"/>
    <col min="14083" max="14083" width="10.7109375" style="757" customWidth="1"/>
    <col min="14084" max="14084" width="11.140625" style="757" customWidth="1"/>
    <col min="14085" max="14085" width="10.140625" style="757" customWidth="1"/>
    <col min="14086" max="14086" width="9.85546875" style="757" customWidth="1"/>
    <col min="14087" max="14087" width="9.42578125" style="757" customWidth="1"/>
    <col min="14088" max="14088" width="9" style="757" customWidth="1"/>
    <col min="14089" max="14089" width="8.42578125" style="757" customWidth="1"/>
    <col min="14090" max="14090" width="10.140625" style="757" customWidth="1"/>
    <col min="14091" max="14091" width="12.28515625" style="757" customWidth="1"/>
    <col min="14092" max="14092" width="11.28515625" style="757" customWidth="1"/>
    <col min="14093" max="14093" width="11.42578125" style="757" customWidth="1"/>
    <col min="14094" max="14094" width="10.5703125" style="757" customWidth="1"/>
    <col min="14095" max="14095" width="15" style="757" customWidth="1"/>
    <col min="14096" max="14336" width="9.140625" style="757"/>
    <col min="14337" max="14337" width="16.140625" style="757" customWidth="1"/>
    <col min="14338" max="14338" width="11.140625" style="757" customWidth="1"/>
    <col min="14339" max="14339" width="10.7109375" style="757" customWidth="1"/>
    <col min="14340" max="14340" width="11.140625" style="757" customWidth="1"/>
    <col min="14341" max="14341" width="10.140625" style="757" customWidth="1"/>
    <col min="14342" max="14342" width="9.85546875" style="757" customWidth="1"/>
    <col min="14343" max="14343" width="9.42578125" style="757" customWidth="1"/>
    <col min="14344" max="14344" width="9" style="757" customWidth="1"/>
    <col min="14345" max="14345" width="8.42578125" style="757" customWidth="1"/>
    <col min="14346" max="14346" width="10.140625" style="757" customWidth="1"/>
    <col min="14347" max="14347" width="12.28515625" style="757" customWidth="1"/>
    <col min="14348" max="14348" width="11.28515625" style="757" customWidth="1"/>
    <col min="14349" max="14349" width="11.42578125" style="757" customWidth="1"/>
    <col min="14350" max="14350" width="10.5703125" style="757" customWidth="1"/>
    <col min="14351" max="14351" width="15" style="757" customWidth="1"/>
    <col min="14352" max="14592" width="9.140625" style="757"/>
    <col min="14593" max="14593" width="16.140625" style="757" customWidth="1"/>
    <col min="14594" max="14594" width="11.140625" style="757" customWidth="1"/>
    <col min="14595" max="14595" width="10.7109375" style="757" customWidth="1"/>
    <col min="14596" max="14596" width="11.140625" style="757" customWidth="1"/>
    <col min="14597" max="14597" width="10.140625" style="757" customWidth="1"/>
    <col min="14598" max="14598" width="9.85546875" style="757" customWidth="1"/>
    <col min="14599" max="14599" width="9.42578125" style="757" customWidth="1"/>
    <col min="14600" max="14600" width="9" style="757" customWidth="1"/>
    <col min="14601" max="14601" width="8.42578125" style="757" customWidth="1"/>
    <col min="14602" max="14602" width="10.140625" style="757" customWidth="1"/>
    <col min="14603" max="14603" width="12.28515625" style="757" customWidth="1"/>
    <col min="14604" max="14604" width="11.28515625" style="757" customWidth="1"/>
    <col min="14605" max="14605" width="11.42578125" style="757" customWidth="1"/>
    <col min="14606" max="14606" width="10.5703125" style="757" customWidth="1"/>
    <col min="14607" max="14607" width="15" style="757" customWidth="1"/>
    <col min="14608" max="14848" width="9.140625" style="757"/>
    <col min="14849" max="14849" width="16.140625" style="757" customWidth="1"/>
    <col min="14850" max="14850" width="11.140625" style="757" customWidth="1"/>
    <col min="14851" max="14851" width="10.7109375" style="757" customWidth="1"/>
    <col min="14852" max="14852" width="11.140625" style="757" customWidth="1"/>
    <col min="14853" max="14853" width="10.140625" style="757" customWidth="1"/>
    <col min="14854" max="14854" width="9.85546875" style="757" customWidth="1"/>
    <col min="14855" max="14855" width="9.42578125" style="757" customWidth="1"/>
    <col min="14856" max="14856" width="9" style="757" customWidth="1"/>
    <col min="14857" max="14857" width="8.42578125" style="757" customWidth="1"/>
    <col min="14858" max="14858" width="10.140625" style="757" customWidth="1"/>
    <col min="14859" max="14859" width="12.28515625" style="757" customWidth="1"/>
    <col min="14860" max="14860" width="11.28515625" style="757" customWidth="1"/>
    <col min="14861" max="14861" width="11.42578125" style="757" customWidth="1"/>
    <col min="14862" max="14862" width="10.5703125" style="757" customWidth="1"/>
    <col min="14863" max="14863" width="15" style="757" customWidth="1"/>
    <col min="14864" max="15104" width="9.140625" style="757"/>
    <col min="15105" max="15105" width="16.140625" style="757" customWidth="1"/>
    <col min="15106" max="15106" width="11.140625" style="757" customWidth="1"/>
    <col min="15107" max="15107" width="10.7109375" style="757" customWidth="1"/>
    <col min="15108" max="15108" width="11.140625" style="757" customWidth="1"/>
    <col min="15109" max="15109" width="10.140625" style="757" customWidth="1"/>
    <col min="15110" max="15110" width="9.85546875" style="757" customWidth="1"/>
    <col min="15111" max="15111" width="9.42578125" style="757" customWidth="1"/>
    <col min="15112" max="15112" width="9" style="757" customWidth="1"/>
    <col min="15113" max="15113" width="8.42578125" style="757" customWidth="1"/>
    <col min="15114" max="15114" width="10.140625" style="757" customWidth="1"/>
    <col min="15115" max="15115" width="12.28515625" style="757" customWidth="1"/>
    <col min="15116" max="15116" width="11.28515625" style="757" customWidth="1"/>
    <col min="15117" max="15117" width="11.42578125" style="757" customWidth="1"/>
    <col min="15118" max="15118" width="10.5703125" style="757" customWidth="1"/>
    <col min="15119" max="15119" width="15" style="757" customWidth="1"/>
    <col min="15120" max="15360" width="9.140625" style="757"/>
    <col min="15361" max="15361" width="16.140625" style="757" customWidth="1"/>
    <col min="15362" max="15362" width="11.140625" style="757" customWidth="1"/>
    <col min="15363" max="15363" width="10.7109375" style="757" customWidth="1"/>
    <col min="15364" max="15364" width="11.140625" style="757" customWidth="1"/>
    <col min="15365" max="15365" width="10.140625" style="757" customWidth="1"/>
    <col min="15366" max="15366" width="9.85546875" style="757" customWidth="1"/>
    <col min="15367" max="15367" width="9.42578125" style="757" customWidth="1"/>
    <col min="15368" max="15368" width="9" style="757" customWidth="1"/>
    <col min="15369" max="15369" width="8.42578125" style="757" customWidth="1"/>
    <col min="15370" max="15370" width="10.140625" style="757" customWidth="1"/>
    <col min="15371" max="15371" width="12.28515625" style="757" customWidth="1"/>
    <col min="15372" max="15372" width="11.28515625" style="757" customWidth="1"/>
    <col min="15373" max="15373" width="11.42578125" style="757" customWidth="1"/>
    <col min="15374" max="15374" width="10.5703125" style="757" customWidth="1"/>
    <col min="15375" max="15375" width="15" style="757" customWidth="1"/>
    <col min="15376" max="15616" width="9.140625" style="757"/>
    <col min="15617" max="15617" width="16.140625" style="757" customWidth="1"/>
    <col min="15618" max="15618" width="11.140625" style="757" customWidth="1"/>
    <col min="15619" max="15619" width="10.7109375" style="757" customWidth="1"/>
    <col min="15620" max="15620" width="11.140625" style="757" customWidth="1"/>
    <col min="15621" max="15621" width="10.140625" style="757" customWidth="1"/>
    <col min="15622" max="15622" width="9.85546875" style="757" customWidth="1"/>
    <col min="15623" max="15623" width="9.42578125" style="757" customWidth="1"/>
    <col min="15624" max="15624" width="9" style="757" customWidth="1"/>
    <col min="15625" max="15625" width="8.42578125" style="757" customWidth="1"/>
    <col min="15626" max="15626" width="10.140625" style="757" customWidth="1"/>
    <col min="15627" max="15627" width="12.28515625" style="757" customWidth="1"/>
    <col min="15628" max="15628" width="11.28515625" style="757" customWidth="1"/>
    <col min="15629" max="15629" width="11.42578125" style="757" customWidth="1"/>
    <col min="15630" max="15630" width="10.5703125" style="757" customWidth="1"/>
    <col min="15631" max="15631" width="15" style="757" customWidth="1"/>
    <col min="15632" max="15872" width="9.140625" style="757"/>
    <col min="15873" max="15873" width="16.140625" style="757" customWidth="1"/>
    <col min="15874" max="15874" width="11.140625" style="757" customWidth="1"/>
    <col min="15875" max="15875" width="10.7109375" style="757" customWidth="1"/>
    <col min="15876" max="15876" width="11.140625" style="757" customWidth="1"/>
    <col min="15877" max="15877" width="10.140625" style="757" customWidth="1"/>
    <col min="15878" max="15878" width="9.85546875" style="757" customWidth="1"/>
    <col min="15879" max="15879" width="9.42578125" style="757" customWidth="1"/>
    <col min="15880" max="15880" width="9" style="757" customWidth="1"/>
    <col min="15881" max="15881" width="8.42578125" style="757" customWidth="1"/>
    <col min="15882" max="15882" width="10.140625" style="757" customWidth="1"/>
    <col min="15883" max="15883" width="12.28515625" style="757" customWidth="1"/>
    <col min="15884" max="15884" width="11.28515625" style="757" customWidth="1"/>
    <col min="15885" max="15885" width="11.42578125" style="757" customWidth="1"/>
    <col min="15886" max="15886" width="10.5703125" style="757" customWidth="1"/>
    <col min="15887" max="15887" width="15" style="757" customWidth="1"/>
    <col min="15888" max="16128" width="9.140625" style="757"/>
    <col min="16129" max="16129" width="16.140625" style="757" customWidth="1"/>
    <col min="16130" max="16130" width="11.140625" style="757" customWidth="1"/>
    <col min="16131" max="16131" width="10.7109375" style="757" customWidth="1"/>
    <col min="16132" max="16132" width="11.140625" style="757" customWidth="1"/>
    <col min="16133" max="16133" width="10.140625" style="757" customWidth="1"/>
    <col min="16134" max="16134" width="9.85546875" style="757" customWidth="1"/>
    <col min="16135" max="16135" width="9.42578125" style="757" customWidth="1"/>
    <col min="16136" max="16136" width="9" style="757" customWidth="1"/>
    <col min="16137" max="16137" width="8.42578125" style="757" customWidth="1"/>
    <col min="16138" max="16138" width="10.140625" style="757" customWidth="1"/>
    <col min="16139" max="16139" width="12.28515625" style="757" customWidth="1"/>
    <col min="16140" max="16140" width="11.28515625" style="757" customWidth="1"/>
    <col min="16141" max="16141" width="11.42578125" style="757" customWidth="1"/>
    <col min="16142" max="16142" width="10.5703125" style="757" customWidth="1"/>
    <col min="16143" max="16143" width="15" style="757" customWidth="1"/>
    <col min="16144" max="16384" width="9.140625" style="757"/>
  </cols>
  <sheetData>
    <row r="2" spans="1:15" x14ac:dyDescent="0.2">
      <c r="A2" s="2842" t="s">
        <v>2341</v>
      </c>
      <c r="B2" s="2849"/>
      <c r="C2" s="2849"/>
      <c r="D2" s="2849"/>
      <c r="E2" s="2849"/>
      <c r="F2" s="2849"/>
      <c r="G2" s="2849"/>
      <c r="H2" s="2849"/>
      <c r="I2" s="2849"/>
      <c r="J2" s="2849"/>
      <c r="K2" s="2849"/>
      <c r="L2" s="2849"/>
      <c r="M2" s="2849"/>
      <c r="N2" s="2849"/>
    </row>
    <row r="3" spans="1:15" ht="11.25" customHeight="1" x14ac:dyDescent="0.2">
      <c r="A3" s="2844"/>
      <c r="B3" s="2845"/>
      <c r="C3" s="2845"/>
      <c r="D3" s="2845"/>
      <c r="E3" s="2845"/>
      <c r="F3" s="2845"/>
      <c r="G3" s="2845"/>
      <c r="H3" s="2845"/>
      <c r="I3" s="2845"/>
      <c r="J3" s="2845"/>
      <c r="K3" s="2845"/>
      <c r="L3" s="2845"/>
      <c r="M3" s="2845"/>
      <c r="N3" s="2845"/>
    </row>
    <row r="4" spans="1:15" x14ac:dyDescent="0.2">
      <c r="A4" s="2973" t="s">
        <v>1</v>
      </c>
      <c r="B4" s="2976" t="s">
        <v>2342</v>
      </c>
      <c r="C4" s="2977"/>
      <c r="D4" s="2977"/>
      <c r="E4" s="2977"/>
      <c r="F4" s="2977"/>
      <c r="G4" s="2977"/>
      <c r="H4" s="2977"/>
      <c r="I4" s="2977"/>
      <c r="J4" s="2977"/>
      <c r="K4" s="2977"/>
      <c r="L4" s="2977"/>
      <c r="M4" s="2977"/>
      <c r="N4" s="2978"/>
    </row>
    <row r="5" spans="1:15" ht="21" x14ac:dyDescent="0.2">
      <c r="A5" s="2975"/>
      <c r="B5" s="933" t="s">
        <v>1473</v>
      </c>
      <c r="C5" s="921" t="s">
        <v>1512</v>
      </c>
      <c r="D5" s="921" t="s">
        <v>1513</v>
      </c>
      <c r="E5" s="921" t="s">
        <v>1514</v>
      </c>
      <c r="F5" s="921" t="s">
        <v>1515</v>
      </c>
      <c r="G5" s="921" t="s">
        <v>1516</v>
      </c>
      <c r="H5" s="921" t="s">
        <v>1517</v>
      </c>
      <c r="I5" s="921" t="s">
        <v>1518</v>
      </c>
      <c r="J5" s="921" t="s">
        <v>1519</v>
      </c>
      <c r="K5" s="921" t="s">
        <v>1520</v>
      </c>
      <c r="L5" s="921" t="s">
        <v>1521</v>
      </c>
      <c r="M5" s="921" t="s">
        <v>1522</v>
      </c>
      <c r="N5" s="921" t="s">
        <v>1523</v>
      </c>
    </row>
    <row r="6" spans="1:15" x14ac:dyDescent="0.2">
      <c r="A6" s="930" t="s">
        <v>141</v>
      </c>
      <c r="B6" s="934">
        <f>SUM(B7:B21)</f>
        <v>9442</v>
      </c>
      <c r="C6" s="934">
        <f>SUM(C7:C21)</f>
        <v>363</v>
      </c>
      <c r="D6" s="934">
        <f t="shared" ref="D6:N6" si="0">SUM(D7:D21)</f>
        <v>140</v>
      </c>
      <c r="E6" s="934">
        <f t="shared" si="0"/>
        <v>1014</v>
      </c>
      <c r="F6" s="934">
        <f t="shared" si="0"/>
        <v>1727</v>
      </c>
      <c r="G6" s="934">
        <f t="shared" si="0"/>
        <v>665</v>
      </c>
      <c r="H6" s="934">
        <f t="shared" si="0"/>
        <v>845</v>
      </c>
      <c r="I6" s="934">
        <f t="shared" si="0"/>
        <v>808</v>
      </c>
      <c r="J6" s="934">
        <f t="shared" si="0"/>
        <v>1100</v>
      </c>
      <c r="K6" s="934">
        <f t="shared" si="0"/>
        <v>253</v>
      </c>
      <c r="L6" s="934">
        <f t="shared" si="0"/>
        <v>876</v>
      </c>
      <c r="M6" s="934">
        <f t="shared" si="0"/>
        <v>622</v>
      </c>
      <c r="N6" s="934">
        <f t="shared" si="0"/>
        <v>1029</v>
      </c>
    </row>
    <row r="7" spans="1:15" x14ac:dyDescent="0.2">
      <c r="A7" s="932" t="s">
        <v>5</v>
      </c>
      <c r="B7" s="935">
        <f>SUM(C7:N7)</f>
        <v>0</v>
      </c>
      <c r="C7" s="936">
        <v>0</v>
      </c>
      <c r="D7" s="936">
        <v>0</v>
      </c>
      <c r="E7" s="936">
        <v>0</v>
      </c>
      <c r="F7" s="936">
        <v>0</v>
      </c>
      <c r="G7" s="936">
        <v>0</v>
      </c>
      <c r="H7" s="936">
        <v>0</v>
      </c>
      <c r="I7" s="936">
        <v>0</v>
      </c>
      <c r="J7" s="936">
        <v>0</v>
      </c>
      <c r="K7" s="936">
        <v>0</v>
      </c>
      <c r="L7" s="936">
        <v>0</v>
      </c>
      <c r="M7" s="936">
        <v>0</v>
      </c>
      <c r="N7" s="936">
        <v>0</v>
      </c>
    </row>
    <row r="8" spans="1:15" x14ac:dyDescent="0.2">
      <c r="A8" s="932" t="s">
        <v>6</v>
      </c>
      <c r="B8" s="935">
        <f t="shared" ref="B8:B21" si="1">SUM(C8:N8)</f>
        <v>0</v>
      </c>
      <c r="C8" s="936">
        <v>0</v>
      </c>
      <c r="D8" s="936">
        <v>0</v>
      </c>
      <c r="E8" s="936">
        <v>0</v>
      </c>
      <c r="F8" s="936">
        <v>0</v>
      </c>
      <c r="G8" s="936">
        <v>0</v>
      </c>
      <c r="H8" s="936">
        <v>0</v>
      </c>
      <c r="I8" s="936">
        <v>0</v>
      </c>
      <c r="J8" s="936">
        <v>0</v>
      </c>
      <c r="K8" s="936">
        <v>0</v>
      </c>
      <c r="L8" s="936">
        <v>0</v>
      </c>
      <c r="M8" s="936">
        <v>0</v>
      </c>
      <c r="N8" s="936">
        <v>0</v>
      </c>
    </row>
    <row r="9" spans="1:15" x14ac:dyDescent="0.2">
      <c r="A9" s="932" t="s">
        <v>1485</v>
      </c>
      <c r="B9" s="935">
        <f t="shared" si="1"/>
        <v>0</v>
      </c>
      <c r="C9" s="936">
        <v>0</v>
      </c>
      <c r="D9" s="936">
        <v>0</v>
      </c>
      <c r="E9" s="936">
        <v>0</v>
      </c>
      <c r="F9" s="936">
        <v>0</v>
      </c>
      <c r="G9" s="936">
        <v>0</v>
      </c>
      <c r="H9" s="936">
        <v>0</v>
      </c>
      <c r="I9" s="936">
        <v>0</v>
      </c>
      <c r="J9" s="936">
        <v>0</v>
      </c>
      <c r="K9" s="936">
        <v>0</v>
      </c>
      <c r="L9" s="936">
        <v>0</v>
      </c>
      <c r="M9" s="936">
        <v>0</v>
      </c>
      <c r="N9" s="936">
        <v>0</v>
      </c>
      <c r="O9" s="2170"/>
    </row>
    <row r="10" spans="1:15" x14ac:dyDescent="0.2">
      <c r="A10" s="932" t="s">
        <v>1486</v>
      </c>
      <c r="B10" s="935">
        <f t="shared" si="1"/>
        <v>1273</v>
      </c>
      <c r="C10" s="937">
        <v>210</v>
      </c>
      <c r="D10" s="937">
        <v>40</v>
      </c>
      <c r="E10" s="936">
        <v>0</v>
      </c>
      <c r="F10" s="937">
        <v>100</v>
      </c>
      <c r="G10" s="936">
        <v>0</v>
      </c>
      <c r="H10" s="936">
        <v>0</v>
      </c>
      <c r="I10" s="937">
        <v>198</v>
      </c>
      <c r="J10" s="937">
        <v>500</v>
      </c>
      <c r="K10" s="937">
        <v>60</v>
      </c>
      <c r="L10" s="936">
        <v>0</v>
      </c>
      <c r="M10" s="937">
        <v>60</v>
      </c>
      <c r="N10" s="937">
        <v>105</v>
      </c>
      <c r="O10" s="2170"/>
    </row>
    <row r="11" spans="1:15" x14ac:dyDescent="0.2">
      <c r="A11" s="932" t="s">
        <v>1487</v>
      </c>
      <c r="B11" s="935">
        <f t="shared" si="1"/>
        <v>1464</v>
      </c>
      <c r="C11" s="936">
        <v>0</v>
      </c>
      <c r="D11" s="936">
        <v>0</v>
      </c>
      <c r="E11" s="936">
        <v>0</v>
      </c>
      <c r="F11" s="937">
        <v>380</v>
      </c>
      <c r="G11" s="937">
        <v>120</v>
      </c>
      <c r="H11" s="937">
        <v>175</v>
      </c>
      <c r="I11" s="937">
        <v>20</v>
      </c>
      <c r="J11" s="937">
        <v>110</v>
      </c>
      <c r="K11" s="937">
        <v>104</v>
      </c>
      <c r="L11" s="937">
        <v>280</v>
      </c>
      <c r="M11" s="937">
        <v>275</v>
      </c>
      <c r="N11" s="936">
        <v>0</v>
      </c>
      <c r="O11" s="2170"/>
    </row>
    <row r="12" spans="1:15" x14ac:dyDescent="0.2">
      <c r="A12" s="932" t="s">
        <v>1488</v>
      </c>
      <c r="B12" s="935">
        <f t="shared" si="1"/>
        <v>420</v>
      </c>
      <c r="C12" s="936">
        <v>0</v>
      </c>
      <c r="D12" s="936">
        <v>0</v>
      </c>
      <c r="E12" s="936">
        <v>0</v>
      </c>
      <c r="F12" s="936">
        <v>0</v>
      </c>
      <c r="G12" s="936">
        <v>0</v>
      </c>
      <c r="H12" s="937">
        <v>170</v>
      </c>
      <c r="I12" s="936">
        <v>0</v>
      </c>
      <c r="J12" s="936">
        <v>0</v>
      </c>
      <c r="K12" s="936">
        <v>0</v>
      </c>
      <c r="L12" s="937">
        <v>70</v>
      </c>
      <c r="M12" s="936">
        <v>0</v>
      </c>
      <c r="N12" s="937">
        <v>180</v>
      </c>
      <c r="O12" s="2170"/>
    </row>
    <row r="13" spans="1:15" x14ac:dyDescent="0.2">
      <c r="A13" s="2074" t="s">
        <v>11</v>
      </c>
      <c r="B13" s="935">
        <f t="shared" si="1"/>
        <v>2200</v>
      </c>
      <c r="C13" s="928">
        <v>0</v>
      </c>
      <c r="D13" s="928">
        <v>0</v>
      </c>
      <c r="E13" s="939">
        <v>500</v>
      </c>
      <c r="F13" s="939">
        <v>260</v>
      </c>
      <c r="G13" s="939">
        <v>50</v>
      </c>
      <c r="H13" s="939">
        <v>60</v>
      </c>
      <c r="I13" s="939">
        <v>220</v>
      </c>
      <c r="J13" s="939">
        <v>200</v>
      </c>
      <c r="K13" s="928">
        <v>0</v>
      </c>
      <c r="L13" s="939">
        <v>240</v>
      </c>
      <c r="M13" s="939">
        <v>250</v>
      </c>
      <c r="N13" s="939">
        <v>420</v>
      </c>
      <c r="O13" s="2170"/>
    </row>
    <row r="14" spans="1:15" x14ac:dyDescent="0.2">
      <c r="A14" s="932" t="s">
        <v>12</v>
      </c>
      <c r="B14" s="935">
        <f t="shared" si="1"/>
        <v>710</v>
      </c>
      <c r="C14" s="936">
        <v>0</v>
      </c>
      <c r="D14" s="936">
        <v>0</v>
      </c>
      <c r="E14" s="936">
        <v>0</v>
      </c>
      <c r="F14" s="937">
        <v>80</v>
      </c>
      <c r="G14" s="936">
        <v>0</v>
      </c>
      <c r="H14" s="937">
        <v>120</v>
      </c>
      <c r="I14" s="936">
        <v>0</v>
      </c>
      <c r="J14" s="936">
        <v>0</v>
      </c>
      <c r="K14" s="936">
        <v>0</v>
      </c>
      <c r="L14" s="937">
        <v>235</v>
      </c>
      <c r="M14" s="936">
        <v>0</v>
      </c>
      <c r="N14" s="937">
        <v>275</v>
      </c>
      <c r="O14" s="2170"/>
    </row>
    <row r="15" spans="1:15" x14ac:dyDescent="0.2">
      <c r="A15" s="932" t="s">
        <v>13</v>
      </c>
      <c r="B15" s="935">
        <f t="shared" si="1"/>
        <v>570</v>
      </c>
      <c r="C15" s="936">
        <v>0</v>
      </c>
      <c r="D15" s="936">
        <v>0</v>
      </c>
      <c r="E15" s="936">
        <v>0</v>
      </c>
      <c r="F15" s="937">
        <v>250</v>
      </c>
      <c r="G15" s="936">
        <v>0</v>
      </c>
      <c r="H15" s="937">
        <v>120</v>
      </c>
      <c r="I15" s="937">
        <v>200</v>
      </c>
      <c r="J15" s="936">
        <v>0</v>
      </c>
      <c r="K15" s="936">
        <v>0</v>
      </c>
      <c r="L15" s="936">
        <v>0</v>
      </c>
      <c r="M15" s="936">
        <v>0</v>
      </c>
      <c r="N15" s="936">
        <v>0</v>
      </c>
      <c r="O15" s="2170"/>
    </row>
    <row r="16" spans="1:15" x14ac:dyDescent="0.2">
      <c r="A16" s="932" t="s">
        <v>14</v>
      </c>
      <c r="B16" s="935">
        <f t="shared" si="1"/>
        <v>840</v>
      </c>
      <c r="C16" s="937">
        <v>56</v>
      </c>
      <c r="D16" s="936">
        <v>0</v>
      </c>
      <c r="E16" s="937">
        <v>87</v>
      </c>
      <c r="F16" s="937">
        <v>195</v>
      </c>
      <c r="G16" s="937">
        <v>180</v>
      </c>
      <c r="H16" s="937">
        <v>45</v>
      </c>
      <c r="I16" s="937">
        <v>90</v>
      </c>
      <c r="J16" s="937">
        <v>50</v>
      </c>
      <c r="K16" s="936">
        <v>0</v>
      </c>
      <c r="L16" s="937">
        <v>51</v>
      </c>
      <c r="M16" s="937">
        <v>37</v>
      </c>
      <c r="N16" s="937">
        <v>49</v>
      </c>
      <c r="O16" s="2170"/>
    </row>
    <row r="17" spans="1:15" x14ac:dyDescent="0.2">
      <c r="A17" s="932" t="s">
        <v>15</v>
      </c>
      <c r="B17" s="935">
        <f t="shared" si="1"/>
        <v>570</v>
      </c>
      <c r="C17" s="936">
        <v>0</v>
      </c>
      <c r="D17" s="937">
        <v>100</v>
      </c>
      <c r="E17" s="937">
        <v>70</v>
      </c>
      <c r="F17" s="937">
        <v>55</v>
      </c>
      <c r="G17" s="937">
        <v>25</v>
      </c>
      <c r="H17" s="936">
        <v>0</v>
      </c>
      <c r="I17" s="937">
        <v>80</v>
      </c>
      <c r="J17" s="937">
        <v>240</v>
      </c>
      <c r="K17" s="936">
        <v>0</v>
      </c>
      <c r="L17" s="936">
        <v>0</v>
      </c>
      <c r="M17" s="936">
        <v>0</v>
      </c>
      <c r="N17" s="936">
        <v>0</v>
      </c>
      <c r="O17" s="2170"/>
    </row>
    <row r="18" spans="1:15" x14ac:dyDescent="0.2">
      <c r="A18" s="932" t="s">
        <v>16</v>
      </c>
      <c r="B18" s="935">
        <f t="shared" si="1"/>
        <v>568</v>
      </c>
      <c r="C18" s="937">
        <v>97</v>
      </c>
      <c r="D18" s="936">
        <v>0</v>
      </c>
      <c r="E18" s="937">
        <v>222</v>
      </c>
      <c r="F18" s="936">
        <v>0</v>
      </c>
      <c r="G18" s="937">
        <v>160</v>
      </c>
      <c r="H18" s="936">
        <v>0</v>
      </c>
      <c r="I18" s="936">
        <v>0</v>
      </c>
      <c r="J18" s="936">
        <v>0</v>
      </c>
      <c r="K18" s="937">
        <v>89</v>
      </c>
      <c r="L18" s="936">
        <v>0</v>
      </c>
      <c r="M18" s="936">
        <v>0</v>
      </c>
      <c r="N18" s="936">
        <v>0</v>
      </c>
      <c r="O18" s="2170"/>
    </row>
    <row r="19" spans="1:15" x14ac:dyDescent="0.2">
      <c r="A19" s="932" t="s">
        <v>17</v>
      </c>
      <c r="B19" s="935">
        <f t="shared" si="1"/>
        <v>800</v>
      </c>
      <c r="C19" s="936">
        <v>0</v>
      </c>
      <c r="D19" s="936">
        <v>0</v>
      </c>
      <c r="E19" s="937">
        <v>135</v>
      </c>
      <c r="F19" s="937">
        <v>380</v>
      </c>
      <c r="G19" s="937">
        <v>130</v>
      </c>
      <c r="H19" s="937">
        <v>155</v>
      </c>
      <c r="I19" s="936">
        <v>0</v>
      </c>
      <c r="J19" s="936">
        <v>0</v>
      </c>
      <c r="K19" s="936">
        <v>0</v>
      </c>
      <c r="L19" s="936">
        <v>0</v>
      </c>
      <c r="M19" s="936">
        <v>0</v>
      </c>
      <c r="N19" s="936">
        <v>0</v>
      </c>
      <c r="O19" s="2170"/>
    </row>
    <row r="20" spans="1:15" x14ac:dyDescent="0.2">
      <c r="A20" s="932" t="s">
        <v>18</v>
      </c>
      <c r="B20" s="935">
        <f t="shared" si="1"/>
        <v>27</v>
      </c>
      <c r="C20" s="936">
        <v>0</v>
      </c>
      <c r="D20" s="936">
        <v>0</v>
      </c>
      <c r="E20" s="936">
        <v>0</v>
      </c>
      <c r="F20" s="937">
        <v>27</v>
      </c>
      <c r="G20" s="936">
        <v>0</v>
      </c>
      <c r="H20" s="936">
        <v>0</v>
      </c>
      <c r="I20" s="936">
        <v>0</v>
      </c>
      <c r="J20" s="936">
        <v>0</v>
      </c>
      <c r="K20" s="936">
        <v>0</v>
      </c>
      <c r="L20" s="936">
        <v>0</v>
      </c>
      <c r="M20" s="936">
        <v>0</v>
      </c>
      <c r="N20" s="936">
        <v>0</v>
      </c>
      <c r="O20" s="2170"/>
    </row>
    <row r="21" spans="1:15" x14ac:dyDescent="0.2">
      <c r="A21" s="932" t="s">
        <v>19</v>
      </c>
      <c r="B21" s="935">
        <f t="shared" si="1"/>
        <v>0</v>
      </c>
      <c r="C21" s="936">
        <v>0</v>
      </c>
      <c r="D21" s="936">
        <v>0</v>
      </c>
      <c r="E21" s="936">
        <v>0</v>
      </c>
      <c r="F21" s="936">
        <v>0</v>
      </c>
      <c r="G21" s="936">
        <v>0</v>
      </c>
      <c r="H21" s="936">
        <v>0</v>
      </c>
      <c r="I21" s="936">
        <v>0</v>
      </c>
      <c r="J21" s="936">
        <v>0</v>
      </c>
      <c r="K21" s="936">
        <v>0</v>
      </c>
      <c r="L21" s="936">
        <v>0</v>
      </c>
      <c r="M21" s="936">
        <v>0</v>
      </c>
      <c r="N21" s="936">
        <v>0</v>
      </c>
      <c r="O21" s="2170"/>
    </row>
    <row r="22" spans="1:15" ht="11.25" customHeight="1" x14ac:dyDescent="0.2">
      <c r="A22" s="2846"/>
      <c r="B22" s="2847"/>
      <c r="C22" s="2847"/>
      <c r="D22" s="2847"/>
      <c r="E22" s="2847"/>
      <c r="F22" s="2847"/>
      <c r="G22" s="2847"/>
      <c r="H22" s="2847"/>
      <c r="I22" s="2847"/>
      <c r="J22" s="2847"/>
      <c r="K22" s="2847"/>
      <c r="L22" s="2847"/>
      <c r="M22" s="2847"/>
      <c r="N22" s="2847"/>
      <c r="O22" s="2170"/>
    </row>
    <row r="23" spans="1:15" ht="22.5" customHeight="1" x14ac:dyDescent="0.2">
      <c r="A23" s="2848" t="s">
        <v>1482</v>
      </c>
      <c r="B23" s="2841"/>
      <c r="C23" s="2841"/>
      <c r="D23" s="2841"/>
      <c r="E23" s="2841"/>
      <c r="F23" s="2841"/>
      <c r="G23" s="2841"/>
      <c r="H23" s="2841"/>
      <c r="I23" s="2841"/>
      <c r="J23" s="2841"/>
      <c r="K23" s="2841"/>
      <c r="L23" s="2841"/>
      <c r="M23" s="2841"/>
      <c r="N23" s="2841"/>
      <c r="O23" s="2170"/>
    </row>
    <row r="24" spans="1:15" x14ac:dyDescent="0.2">
      <c r="A24" s="2979" t="s">
        <v>1489</v>
      </c>
      <c r="B24" s="2979"/>
      <c r="C24" s="2979"/>
      <c r="D24" s="2979"/>
      <c r="E24" s="2979"/>
      <c r="F24" s="2979"/>
      <c r="G24" s="2979"/>
      <c r="H24" s="2979"/>
      <c r="I24" s="2979"/>
      <c r="J24" s="2979"/>
      <c r="K24" s="2979"/>
      <c r="L24" s="2979"/>
      <c r="M24" s="2979"/>
      <c r="N24" s="2979"/>
      <c r="O24" s="2170"/>
    </row>
    <row r="25" spans="1:15" ht="12.75" customHeight="1" x14ac:dyDescent="0.2">
      <c r="A25" s="2848" t="s">
        <v>1490</v>
      </c>
      <c r="B25" s="2848"/>
      <c r="C25" s="2848"/>
      <c r="D25" s="2848"/>
      <c r="E25" s="2848"/>
      <c r="F25" s="2848"/>
      <c r="G25" s="2848"/>
      <c r="H25" s="2848"/>
      <c r="I25" s="2848"/>
      <c r="J25" s="2848"/>
      <c r="K25" s="2848"/>
      <c r="L25" s="2848"/>
      <c r="M25" s="2848"/>
      <c r="N25" s="2848"/>
      <c r="O25" s="2170"/>
    </row>
    <row r="26" spans="1:15" x14ac:dyDescent="0.2">
      <c r="A26" s="2840" t="s">
        <v>1483</v>
      </c>
      <c r="B26" s="2841"/>
      <c r="C26" s="2841"/>
      <c r="D26" s="2841"/>
      <c r="E26" s="2841"/>
      <c r="F26" s="2841"/>
      <c r="G26" s="2841"/>
      <c r="H26" s="2841"/>
      <c r="I26" s="2841"/>
      <c r="J26" s="2841"/>
      <c r="K26" s="2841"/>
      <c r="L26" s="2841"/>
      <c r="M26" s="2841"/>
      <c r="N26" s="2841"/>
      <c r="O26" s="2170"/>
    </row>
    <row r="27" spans="1:15" x14ac:dyDescent="0.2">
      <c r="A27" s="2170"/>
      <c r="B27" s="2170"/>
      <c r="C27" s="2170"/>
      <c r="D27" s="2170"/>
      <c r="E27" s="2170"/>
      <c r="F27" s="2170"/>
      <c r="G27" s="2170"/>
      <c r="H27" s="2170"/>
      <c r="I27" s="2170"/>
      <c r="J27" s="2170"/>
      <c r="K27" s="2170"/>
      <c r="L27" s="2170"/>
      <c r="M27" s="2170"/>
      <c r="N27" s="2170"/>
      <c r="O27" s="2170"/>
    </row>
    <row r="28" spans="1:15" x14ac:dyDescent="0.2">
      <c r="A28" s="2170"/>
      <c r="B28" s="2170"/>
      <c r="C28" s="2170"/>
      <c r="D28" s="2170"/>
      <c r="E28" s="2170"/>
      <c r="F28" s="2170"/>
      <c r="G28" s="2170"/>
      <c r="H28" s="2170"/>
      <c r="I28" s="2170"/>
      <c r="J28" s="2170"/>
      <c r="K28" s="2170"/>
      <c r="L28" s="2170"/>
      <c r="M28" s="2170"/>
      <c r="N28" s="2170"/>
      <c r="O28" s="2170"/>
    </row>
    <row r="29" spans="1:15" x14ac:dyDescent="0.2">
      <c r="A29" s="2170"/>
      <c r="B29" s="2170"/>
      <c r="C29" s="2170"/>
      <c r="D29" s="2170"/>
      <c r="E29" s="2170"/>
      <c r="F29" s="2170"/>
      <c r="G29" s="2170"/>
      <c r="H29" s="2170"/>
      <c r="I29" s="2170"/>
      <c r="J29" s="2170"/>
      <c r="K29" s="2170"/>
      <c r="L29" s="2170"/>
      <c r="M29" s="2170"/>
      <c r="N29" s="2170"/>
      <c r="O29" s="2170"/>
    </row>
    <row r="30" spans="1:15" x14ac:dyDescent="0.2">
      <c r="A30" s="2170"/>
      <c r="B30" s="2170"/>
      <c r="C30" s="2170"/>
      <c r="D30" s="2170"/>
      <c r="E30" s="2170"/>
      <c r="F30" s="2170"/>
      <c r="G30" s="2170"/>
      <c r="H30" s="2170"/>
      <c r="I30" s="2170"/>
      <c r="J30" s="2170"/>
      <c r="K30" s="2170"/>
      <c r="L30" s="2170"/>
      <c r="M30" s="2170"/>
      <c r="N30" s="2170"/>
      <c r="O30" s="2170"/>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F29"/>
  <sheetViews>
    <sheetView workbookViewId="0">
      <selection activeCell="A2" sqref="A2:C2"/>
    </sheetView>
  </sheetViews>
  <sheetFormatPr baseColWidth="10" defaultColWidth="9.140625" defaultRowHeight="10.5" x14ac:dyDescent="0.15"/>
  <cols>
    <col min="1" max="3" width="25.5703125" style="940" customWidth="1"/>
    <col min="4" max="4" width="9.140625" style="940" customWidth="1"/>
    <col min="5" max="5" width="8.85546875" style="940" customWidth="1"/>
    <col min="6" max="16384" width="9.140625" style="940"/>
  </cols>
  <sheetData>
    <row r="1" spans="1:6" ht="15" customHeight="1" x14ac:dyDescent="0.15"/>
    <row r="2" spans="1:6" ht="22.5" customHeight="1" x14ac:dyDescent="0.15">
      <c r="A2" s="2980" t="s">
        <v>2343</v>
      </c>
      <c r="B2" s="2980"/>
      <c r="C2" s="2980"/>
    </row>
    <row r="3" spans="1:6" ht="13.5" customHeight="1" x14ac:dyDescent="0.15">
      <c r="A3" s="941"/>
      <c r="B3" s="942"/>
      <c r="C3" s="942"/>
    </row>
    <row r="4" spans="1:6" ht="12.75" customHeight="1" x14ac:dyDescent="0.15">
      <c r="A4" s="2981" t="s">
        <v>2344</v>
      </c>
      <c r="B4" s="2983">
        <v>2015</v>
      </c>
      <c r="C4" s="2984"/>
    </row>
    <row r="5" spans="1:6" ht="21.75" customHeight="1" x14ac:dyDescent="0.15">
      <c r="A5" s="2982"/>
      <c r="B5" s="943" t="s">
        <v>2345</v>
      </c>
      <c r="C5" s="944" t="s">
        <v>2346</v>
      </c>
    </row>
    <row r="6" spans="1:6" s="946" customFormat="1" x14ac:dyDescent="0.15">
      <c r="A6" s="945" t="s">
        <v>69</v>
      </c>
      <c r="B6" s="934">
        <f>SUM(B7:B21)</f>
        <v>49</v>
      </c>
      <c r="C6" s="934">
        <f>SUM(C7:C21)</f>
        <v>42</v>
      </c>
    </row>
    <row r="7" spans="1:6" s="946" customFormat="1" x14ac:dyDescent="0.15">
      <c r="A7" s="2074" t="s">
        <v>5</v>
      </c>
      <c r="B7" s="928">
        <v>1</v>
      </c>
      <c r="C7" s="928">
        <v>0</v>
      </c>
      <c r="D7" s="2084"/>
      <c r="E7" s="2084"/>
      <c r="F7" s="2084"/>
    </row>
    <row r="8" spans="1:6" s="946" customFormat="1" x14ac:dyDescent="0.15">
      <c r="A8" s="2074" t="s">
        <v>6</v>
      </c>
      <c r="B8" s="928">
        <v>1</v>
      </c>
      <c r="C8" s="928">
        <v>0</v>
      </c>
      <c r="D8" s="2084"/>
      <c r="E8" s="2084"/>
      <c r="F8" s="2084"/>
    </row>
    <row r="9" spans="1:6" s="946" customFormat="1" x14ac:dyDescent="0.15">
      <c r="A9" s="2074" t="s">
        <v>7</v>
      </c>
      <c r="B9" s="928">
        <v>6</v>
      </c>
      <c r="C9" s="928">
        <v>0</v>
      </c>
      <c r="D9" s="2084"/>
      <c r="E9" s="2084"/>
      <c r="F9" s="2084"/>
    </row>
    <row r="10" spans="1:6" s="946" customFormat="1" x14ac:dyDescent="0.15">
      <c r="A10" s="2074" t="s">
        <v>8</v>
      </c>
      <c r="B10" s="928">
        <v>1</v>
      </c>
      <c r="C10" s="928">
        <v>0</v>
      </c>
      <c r="D10" s="2084"/>
      <c r="E10" s="2084"/>
      <c r="F10" s="2084"/>
    </row>
    <row r="11" spans="1:6" s="946" customFormat="1" x14ac:dyDescent="0.15">
      <c r="A11" s="2074" t="s">
        <v>9</v>
      </c>
      <c r="B11" s="928">
        <v>2</v>
      </c>
      <c r="C11" s="928">
        <v>0</v>
      </c>
      <c r="D11" s="2084"/>
      <c r="E11" s="2084"/>
      <c r="F11" s="2084"/>
    </row>
    <row r="12" spans="1:6" s="946" customFormat="1" x14ac:dyDescent="0.15">
      <c r="A12" s="2074" t="s">
        <v>10</v>
      </c>
      <c r="B12" s="928">
        <v>5</v>
      </c>
      <c r="C12" s="928">
        <v>0</v>
      </c>
      <c r="D12" s="2084"/>
      <c r="E12" s="2084"/>
      <c r="F12" s="2084"/>
    </row>
    <row r="13" spans="1:6" s="946" customFormat="1" x14ac:dyDescent="0.15">
      <c r="A13" s="2074" t="s">
        <v>12</v>
      </c>
      <c r="B13" s="928">
        <v>1</v>
      </c>
      <c r="C13" s="928">
        <v>0</v>
      </c>
      <c r="D13" s="2084"/>
      <c r="E13" s="2084"/>
      <c r="F13" s="2084"/>
    </row>
    <row r="14" spans="1:6" s="946" customFormat="1" x14ac:dyDescent="0.15">
      <c r="A14" s="2074" t="s">
        <v>13</v>
      </c>
      <c r="B14" s="928">
        <v>3</v>
      </c>
      <c r="C14" s="928">
        <v>0</v>
      </c>
      <c r="D14" s="2084"/>
      <c r="E14" s="2084"/>
      <c r="F14" s="2084"/>
    </row>
    <row r="15" spans="1:6" s="946" customFormat="1" x14ac:dyDescent="0.15">
      <c r="A15" s="2074" t="s">
        <v>14</v>
      </c>
      <c r="B15" s="928">
        <v>6</v>
      </c>
      <c r="C15" s="928">
        <v>0</v>
      </c>
      <c r="D15" s="2084"/>
      <c r="E15" s="2084"/>
      <c r="F15" s="2084"/>
    </row>
    <row r="16" spans="1:6" s="946" customFormat="1" x14ac:dyDescent="0.15">
      <c r="A16" s="2074" t="s">
        <v>15</v>
      </c>
      <c r="B16" s="928">
        <v>2</v>
      </c>
      <c r="C16" s="928">
        <v>0</v>
      </c>
      <c r="D16" s="2084"/>
      <c r="E16" s="2084"/>
      <c r="F16" s="2084"/>
    </row>
    <row r="17" spans="1:6" s="946" customFormat="1" x14ac:dyDescent="0.15">
      <c r="A17" s="2074" t="s">
        <v>16</v>
      </c>
      <c r="B17" s="928">
        <v>1</v>
      </c>
      <c r="C17" s="928">
        <v>0</v>
      </c>
      <c r="D17" s="2084"/>
      <c r="E17" s="2084"/>
      <c r="F17" s="2084"/>
    </row>
    <row r="18" spans="1:6" s="946" customFormat="1" x14ac:dyDescent="0.15">
      <c r="A18" s="2074" t="s">
        <v>17</v>
      </c>
      <c r="B18" s="928">
        <v>3</v>
      </c>
      <c r="C18" s="928">
        <v>0</v>
      </c>
      <c r="D18" s="2084"/>
      <c r="E18" s="2084"/>
      <c r="F18" s="2084"/>
    </row>
    <row r="19" spans="1:6" s="946" customFormat="1" x14ac:dyDescent="0.15">
      <c r="A19" s="2074" t="s">
        <v>18</v>
      </c>
      <c r="B19" s="928">
        <v>2</v>
      </c>
      <c r="C19" s="928">
        <v>0</v>
      </c>
      <c r="D19" s="2084"/>
      <c r="E19" s="2084"/>
      <c r="F19" s="2084"/>
    </row>
    <row r="20" spans="1:6" s="946" customFormat="1" x14ac:dyDescent="0.15">
      <c r="A20" s="2074" t="s">
        <v>19</v>
      </c>
      <c r="B20" s="928">
        <v>3</v>
      </c>
      <c r="C20" s="928">
        <v>0</v>
      </c>
      <c r="D20" s="2084"/>
      <c r="E20" s="2084"/>
      <c r="F20" s="2084"/>
    </row>
    <row r="21" spans="1:6" s="946" customFormat="1" x14ac:dyDescent="0.15">
      <c r="A21" s="2074" t="s">
        <v>11</v>
      </c>
      <c r="B21" s="928">
        <v>12</v>
      </c>
      <c r="C21" s="928">
        <v>42</v>
      </c>
      <c r="D21" s="2084"/>
      <c r="E21" s="2084"/>
      <c r="F21" s="2084"/>
    </row>
    <row r="22" spans="1:6" s="946" customFormat="1" x14ac:dyDescent="0.15">
      <c r="A22" s="2074"/>
      <c r="B22" s="928"/>
      <c r="C22" s="928"/>
      <c r="D22" s="2084"/>
      <c r="E22" s="2084"/>
      <c r="F22" s="2084"/>
    </row>
    <row r="23" spans="1:6" s="946" customFormat="1" x14ac:dyDescent="0.15">
      <c r="A23" s="947" t="s">
        <v>60</v>
      </c>
      <c r="B23" s="939"/>
      <c r="C23" s="939"/>
      <c r="D23" s="2084"/>
      <c r="E23" s="2084"/>
      <c r="F23" s="2084"/>
    </row>
    <row r="24" spans="1:6" s="946" customFormat="1" ht="17.100000000000001" customHeight="1" x14ac:dyDescent="0.15">
      <c r="A24" s="2985" t="s">
        <v>2347</v>
      </c>
      <c r="B24" s="2986"/>
      <c r="C24" s="2986"/>
      <c r="D24" s="2084"/>
      <c r="E24" s="2084"/>
      <c r="F24" s="2084"/>
    </row>
    <row r="25" spans="1:6" x14ac:dyDescent="0.15">
      <c r="A25" s="2084"/>
      <c r="B25" s="2084"/>
      <c r="C25" s="2084"/>
      <c r="D25" s="2084"/>
      <c r="E25" s="2084"/>
      <c r="F25" s="2084"/>
    </row>
    <row r="26" spans="1:6" x14ac:dyDescent="0.15">
      <c r="A26" s="2084"/>
      <c r="B26" s="2084"/>
      <c r="C26" s="2084"/>
      <c r="D26" s="2084"/>
      <c r="E26" s="2084"/>
      <c r="F26" s="2084"/>
    </row>
    <row r="27" spans="1:6" x14ac:dyDescent="0.15">
      <c r="A27" s="2084"/>
      <c r="B27" s="2084"/>
      <c r="C27" s="2084"/>
      <c r="D27" s="2084"/>
      <c r="E27" s="2084"/>
      <c r="F27" s="2084"/>
    </row>
    <row r="28" spans="1:6" x14ac:dyDescent="0.15">
      <c r="A28" s="2084"/>
      <c r="B28" s="2084"/>
      <c r="C28" s="2084"/>
      <c r="D28" s="2084"/>
      <c r="E28" s="2084"/>
      <c r="F28" s="2084"/>
    </row>
    <row r="29" spans="1:6" x14ac:dyDescent="0.15">
      <c r="A29" s="2084"/>
      <c r="B29" s="2084"/>
      <c r="C29" s="2084"/>
      <c r="D29" s="2084"/>
      <c r="E29" s="2084"/>
      <c r="F29" s="2084"/>
    </row>
  </sheetData>
  <mergeCells count="4">
    <mergeCell ref="A2:C2"/>
    <mergeCell ref="A4:A5"/>
    <mergeCell ref="B4:C4"/>
    <mergeCell ref="A24:C2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G30"/>
  <sheetViews>
    <sheetView workbookViewId="0">
      <selection activeCell="E35" sqref="E35"/>
    </sheetView>
  </sheetViews>
  <sheetFormatPr baseColWidth="10" defaultColWidth="9.140625" defaultRowHeight="10.5" x14ac:dyDescent="0.15"/>
  <cols>
    <col min="1" max="1" width="26.28515625" style="948" customWidth="1"/>
    <col min="2" max="3" width="13.42578125" style="948" customWidth="1"/>
    <col min="4" max="4" width="15" style="948" customWidth="1"/>
    <col min="5" max="5" width="15.42578125" style="948" customWidth="1"/>
    <col min="6" max="6" width="13.7109375" style="948" customWidth="1"/>
    <col min="7" max="7" width="14.140625" style="948" customWidth="1"/>
    <col min="8" max="16384" width="9.140625" style="948"/>
  </cols>
  <sheetData>
    <row r="1" spans="1:7" ht="11.25" customHeight="1" x14ac:dyDescent="0.15"/>
    <row r="2" spans="1:7" ht="22.5" customHeight="1" x14ac:dyDescent="0.15">
      <c r="A2" s="2989" t="s">
        <v>5059</v>
      </c>
      <c r="B2" s="2990"/>
      <c r="C2" s="2990"/>
      <c r="D2" s="2990"/>
      <c r="E2" s="2990"/>
      <c r="F2" s="2990"/>
      <c r="G2" s="2990"/>
    </row>
    <row r="3" spans="1:7" x14ac:dyDescent="0.15">
      <c r="A3" s="949"/>
      <c r="B3" s="950"/>
      <c r="C3" s="950"/>
    </row>
    <row r="4" spans="1:7" ht="12.75" customHeight="1" x14ac:dyDescent="0.15">
      <c r="A4" s="2991" t="s">
        <v>2348</v>
      </c>
      <c r="B4" s="2993">
        <v>2013</v>
      </c>
      <c r="C4" s="2993"/>
      <c r="D4" s="2993">
        <v>2014</v>
      </c>
      <c r="E4" s="2993"/>
      <c r="F4" s="2994">
        <v>2015</v>
      </c>
      <c r="G4" s="2995"/>
    </row>
    <row r="5" spans="1:7" x14ac:dyDescent="0.15">
      <c r="A5" s="2992"/>
      <c r="B5" s="951" t="s">
        <v>2349</v>
      </c>
      <c r="C5" s="951" t="s">
        <v>2350</v>
      </c>
      <c r="D5" s="951" t="s">
        <v>2349</v>
      </c>
      <c r="E5" s="951" t="s">
        <v>2350</v>
      </c>
      <c r="F5" s="952" t="s">
        <v>2349</v>
      </c>
      <c r="G5" s="952" t="s">
        <v>2350</v>
      </c>
    </row>
    <row r="6" spans="1:7" s="957" customFormat="1" x14ac:dyDescent="0.15">
      <c r="A6" s="953" t="s">
        <v>141</v>
      </c>
      <c r="B6" s="954">
        <f t="shared" ref="B6:G6" si="0">SUM(B7:B21)</f>
        <v>2967</v>
      </c>
      <c r="C6" s="955">
        <f t="shared" si="0"/>
        <v>14</v>
      </c>
      <c r="D6" s="954">
        <f t="shared" si="0"/>
        <v>5116</v>
      </c>
      <c r="E6" s="955">
        <f t="shared" si="0"/>
        <v>15</v>
      </c>
      <c r="F6" s="956">
        <f t="shared" si="0"/>
        <v>4000</v>
      </c>
      <c r="G6" s="955">
        <f t="shared" si="0"/>
        <v>19</v>
      </c>
    </row>
    <row r="7" spans="1:7" s="957" customFormat="1" x14ac:dyDescent="0.15">
      <c r="A7" s="922" t="s">
        <v>5</v>
      </c>
      <c r="B7" s="958">
        <v>41</v>
      </c>
      <c r="C7" s="959">
        <v>0</v>
      </c>
      <c r="D7" s="958">
        <v>43</v>
      </c>
      <c r="E7" s="959">
        <v>1</v>
      </c>
      <c r="F7" s="936">
        <v>93</v>
      </c>
      <c r="G7" s="936">
        <v>1</v>
      </c>
    </row>
    <row r="8" spans="1:7" s="957" customFormat="1" x14ac:dyDescent="0.15">
      <c r="A8" s="922" t="s">
        <v>6</v>
      </c>
      <c r="B8" s="958">
        <v>153</v>
      </c>
      <c r="C8" s="959">
        <v>0</v>
      </c>
      <c r="D8" s="958">
        <v>247</v>
      </c>
      <c r="E8" s="959">
        <v>0</v>
      </c>
      <c r="F8" s="936">
        <v>146</v>
      </c>
      <c r="G8" s="936">
        <v>0</v>
      </c>
    </row>
    <row r="9" spans="1:7" s="957" customFormat="1" x14ac:dyDescent="0.15">
      <c r="A9" s="922" t="s">
        <v>7</v>
      </c>
      <c r="B9" s="958">
        <v>352</v>
      </c>
      <c r="C9" s="960">
        <v>1</v>
      </c>
      <c r="D9" s="958">
        <v>312</v>
      </c>
      <c r="E9" s="960">
        <v>1</v>
      </c>
      <c r="F9" s="936">
        <v>300</v>
      </c>
      <c r="G9" s="936">
        <v>1</v>
      </c>
    </row>
    <row r="10" spans="1:7" s="957" customFormat="1" x14ac:dyDescent="0.15">
      <c r="A10" s="922" t="s">
        <v>8</v>
      </c>
      <c r="B10" s="958">
        <v>16</v>
      </c>
      <c r="C10" s="959">
        <v>0</v>
      </c>
      <c r="D10" s="958">
        <v>57</v>
      </c>
      <c r="E10" s="959">
        <v>0</v>
      </c>
      <c r="F10" s="936">
        <v>89</v>
      </c>
      <c r="G10" s="936">
        <v>0</v>
      </c>
    </row>
    <row r="11" spans="1:7" s="957" customFormat="1" x14ac:dyDescent="0.15">
      <c r="A11" s="922" t="s">
        <v>9</v>
      </c>
      <c r="B11" s="958">
        <v>82</v>
      </c>
      <c r="C11" s="959">
        <v>0</v>
      </c>
      <c r="D11" s="958">
        <v>197</v>
      </c>
      <c r="E11" s="959">
        <v>1</v>
      </c>
      <c r="F11" s="936">
        <v>240</v>
      </c>
      <c r="G11" s="936">
        <v>1</v>
      </c>
    </row>
    <row r="12" spans="1:7" s="957" customFormat="1" x14ac:dyDescent="0.15">
      <c r="A12" s="922" t="s">
        <v>10</v>
      </c>
      <c r="B12" s="958">
        <v>206</v>
      </c>
      <c r="C12" s="960">
        <v>2</v>
      </c>
      <c r="D12" s="958">
        <v>404</v>
      </c>
      <c r="E12" s="960">
        <v>2</v>
      </c>
      <c r="F12" s="936">
        <v>311</v>
      </c>
      <c r="G12" s="936">
        <v>0</v>
      </c>
    </row>
    <row r="13" spans="1:7" s="957" customFormat="1" x14ac:dyDescent="0.15">
      <c r="A13" s="922" t="s">
        <v>12</v>
      </c>
      <c r="B13" s="958">
        <v>107</v>
      </c>
      <c r="C13" s="960">
        <v>2</v>
      </c>
      <c r="D13" s="958">
        <v>410</v>
      </c>
      <c r="E13" s="960">
        <v>2</v>
      </c>
      <c r="F13" s="936">
        <v>182</v>
      </c>
      <c r="G13" s="936">
        <v>1</v>
      </c>
    </row>
    <row r="14" spans="1:7" s="957" customFormat="1" x14ac:dyDescent="0.15">
      <c r="A14" s="922" t="s">
        <v>13</v>
      </c>
      <c r="B14" s="958">
        <v>87</v>
      </c>
      <c r="C14" s="960">
        <v>1</v>
      </c>
      <c r="D14" s="958">
        <v>322</v>
      </c>
      <c r="E14" s="959">
        <v>0</v>
      </c>
      <c r="F14" s="936">
        <v>274</v>
      </c>
      <c r="G14" s="936">
        <v>0</v>
      </c>
    </row>
    <row r="15" spans="1:7" s="957" customFormat="1" x14ac:dyDescent="0.15">
      <c r="A15" s="922" t="s">
        <v>14</v>
      </c>
      <c r="B15" s="958">
        <v>620</v>
      </c>
      <c r="C15" s="960">
        <v>2</v>
      </c>
      <c r="D15" s="958">
        <v>811</v>
      </c>
      <c r="E15" s="960">
        <v>2</v>
      </c>
      <c r="F15" s="936">
        <v>419</v>
      </c>
      <c r="G15" s="936">
        <v>4</v>
      </c>
    </row>
    <row r="16" spans="1:7" s="957" customFormat="1" x14ac:dyDescent="0.15">
      <c r="A16" s="922" t="s">
        <v>15</v>
      </c>
      <c r="B16" s="958">
        <v>130</v>
      </c>
      <c r="C16" s="961">
        <v>1</v>
      </c>
      <c r="D16" s="958">
        <v>93</v>
      </c>
      <c r="E16" s="959">
        <v>0</v>
      </c>
      <c r="F16" s="936">
        <v>89</v>
      </c>
      <c r="G16" s="936">
        <v>0</v>
      </c>
    </row>
    <row r="17" spans="1:7" s="957" customFormat="1" x14ac:dyDescent="0.15">
      <c r="A17" s="922" t="s">
        <v>16</v>
      </c>
      <c r="B17" s="958">
        <v>19</v>
      </c>
      <c r="C17" s="959">
        <v>0</v>
      </c>
      <c r="D17" s="958">
        <v>148</v>
      </c>
      <c r="E17" s="959">
        <v>0</v>
      </c>
      <c r="F17" s="936">
        <v>137</v>
      </c>
      <c r="G17" s="936">
        <v>1</v>
      </c>
    </row>
    <row r="18" spans="1:7" s="957" customFormat="1" x14ac:dyDescent="0.15">
      <c r="A18" s="922" t="s">
        <v>17</v>
      </c>
      <c r="B18" s="958">
        <v>191</v>
      </c>
      <c r="C18" s="960">
        <v>1</v>
      </c>
      <c r="D18" s="957">
        <v>145</v>
      </c>
      <c r="E18" s="960">
        <v>1</v>
      </c>
      <c r="F18" s="936">
        <v>152</v>
      </c>
      <c r="G18" s="936">
        <v>2</v>
      </c>
    </row>
    <row r="19" spans="1:7" s="957" customFormat="1" x14ac:dyDescent="0.15">
      <c r="A19" s="922" t="s">
        <v>18</v>
      </c>
      <c r="B19" s="958">
        <v>11</v>
      </c>
      <c r="C19" s="959">
        <v>0</v>
      </c>
      <c r="D19" s="958">
        <v>27</v>
      </c>
      <c r="E19" s="959">
        <v>0</v>
      </c>
      <c r="F19" s="936">
        <v>38</v>
      </c>
      <c r="G19" s="936">
        <v>1</v>
      </c>
    </row>
    <row r="20" spans="1:7" s="957" customFormat="1" x14ac:dyDescent="0.15">
      <c r="A20" s="922" t="s">
        <v>19</v>
      </c>
      <c r="B20" s="958">
        <v>25</v>
      </c>
      <c r="C20" s="959">
        <v>0</v>
      </c>
      <c r="D20" s="958">
        <v>48</v>
      </c>
      <c r="E20" s="959">
        <v>0</v>
      </c>
      <c r="F20" s="936">
        <v>15</v>
      </c>
      <c r="G20" s="936">
        <v>0</v>
      </c>
    </row>
    <row r="21" spans="1:7" s="957" customFormat="1" x14ac:dyDescent="0.15">
      <c r="A21" s="922" t="s">
        <v>11</v>
      </c>
      <c r="B21" s="897">
        <v>927</v>
      </c>
      <c r="C21" s="962">
        <v>4</v>
      </c>
      <c r="D21" s="897">
        <v>1852</v>
      </c>
      <c r="E21" s="962">
        <v>5</v>
      </c>
      <c r="F21" s="936">
        <v>1515</v>
      </c>
      <c r="G21" s="936">
        <v>7</v>
      </c>
    </row>
    <row r="22" spans="1:7" s="957" customFormat="1" x14ac:dyDescent="0.15">
      <c r="A22" s="953" t="s">
        <v>1377</v>
      </c>
      <c r="B22" s="956">
        <f t="shared" ref="B22:G22" si="1">SUM(B23:B24)</f>
        <v>2967</v>
      </c>
      <c r="C22" s="963">
        <f t="shared" si="1"/>
        <v>14</v>
      </c>
      <c r="D22" s="956">
        <f t="shared" si="1"/>
        <v>5116</v>
      </c>
      <c r="E22" s="963">
        <f t="shared" si="1"/>
        <v>15</v>
      </c>
      <c r="F22" s="956">
        <f>SUM(F23:F24)</f>
        <v>4000</v>
      </c>
      <c r="G22" s="963">
        <f t="shared" si="1"/>
        <v>19</v>
      </c>
    </row>
    <row r="23" spans="1:7" s="957" customFormat="1" x14ac:dyDescent="0.15">
      <c r="A23" s="922" t="s">
        <v>966</v>
      </c>
      <c r="B23" s="958">
        <v>1412</v>
      </c>
      <c r="C23" s="960">
        <v>5</v>
      </c>
      <c r="D23" s="958">
        <v>1966</v>
      </c>
      <c r="E23" s="960">
        <v>7</v>
      </c>
      <c r="F23" s="936">
        <v>1513</v>
      </c>
      <c r="G23" s="936">
        <v>6</v>
      </c>
    </row>
    <row r="24" spans="1:7" s="957" customFormat="1" x14ac:dyDescent="0.15">
      <c r="A24" s="922" t="s">
        <v>967</v>
      </c>
      <c r="B24" s="958">
        <v>1555</v>
      </c>
      <c r="C24" s="960">
        <v>9</v>
      </c>
      <c r="D24" s="958">
        <v>3150</v>
      </c>
      <c r="E24" s="960">
        <v>8</v>
      </c>
      <c r="F24" s="936">
        <v>2487</v>
      </c>
      <c r="G24" s="936">
        <v>13</v>
      </c>
    </row>
    <row r="25" spans="1:7" s="957" customFormat="1" x14ac:dyDescent="0.15">
      <c r="A25" s="953" t="s">
        <v>2351</v>
      </c>
      <c r="B25" s="956">
        <f t="shared" ref="B25:G25" si="2">SUM(B26:B27)</f>
        <v>2967</v>
      </c>
      <c r="C25" s="963">
        <f t="shared" si="2"/>
        <v>14</v>
      </c>
      <c r="D25" s="956">
        <f t="shared" si="2"/>
        <v>5116</v>
      </c>
      <c r="E25" s="963">
        <f t="shared" si="2"/>
        <v>15</v>
      </c>
      <c r="F25" s="956">
        <f t="shared" si="2"/>
        <v>4000</v>
      </c>
      <c r="G25" s="963">
        <f t="shared" si="2"/>
        <v>19</v>
      </c>
    </row>
    <row r="26" spans="1:7" s="957" customFormat="1" x14ac:dyDescent="0.15">
      <c r="A26" s="922" t="s">
        <v>2352</v>
      </c>
      <c r="B26" s="958">
        <v>1132</v>
      </c>
      <c r="C26" s="961">
        <v>7</v>
      </c>
      <c r="D26" s="958">
        <v>2358</v>
      </c>
      <c r="E26" s="961">
        <v>11</v>
      </c>
      <c r="F26" s="936">
        <v>2013</v>
      </c>
      <c r="G26" s="936">
        <v>5</v>
      </c>
    </row>
    <row r="27" spans="1:7" s="957" customFormat="1" x14ac:dyDescent="0.15">
      <c r="A27" s="922" t="s">
        <v>2353</v>
      </c>
      <c r="B27" s="958">
        <v>1835</v>
      </c>
      <c r="C27" s="961">
        <v>7</v>
      </c>
      <c r="D27" s="958">
        <v>2758</v>
      </c>
      <c r="E27" s="961">
        <v>4</v>
      </c>
      <c r="F27" s="936">
        <v>1987</v>
      </c>
      <c r="G27" s="936">
        <v>14</v>
      </c>
    </row>
    <row r="28" spans="1:7" s="957" customFormat="1" x14ac:dyDescent="0.15">
      <c r="A28" s="922"/>
      <c r="B28" s="937"/>
      <c r="C28" s="937"/>
    </row>
    <row r="29" spans="1:7" s="957" customFormat="1" ht="16.5" customHeight="1" x14ac:dyDescent="0.15">
      <c r="A29" s="2987" t="s">
        <v>20</v>
      </c>
      <c r="B29" s="2988"/>
      <c r="C29" s="2988"/>
    </row>
    <row r="30" spans="1:7" s="957" customFormat="1" ht="16.5" customHeight="1" x14ac:dyDescent="0.15">
      <c r="A30" s="2987" t="s">
        <v>2347</v>
      </c>
      <c r="B30" s="2988"/>
      <c r="C30" s="2988"/>
    </row>
  </sheetData>
  <mergeCells count="7">
    <mergeCell ref="A30:C30"/>
    <mergeCell ref="A2:G2"/>
    <mergeCell ref="A4:A5"/>
    <mergeCell ref="B4:C4"/>
    <mergeCell ref="D4:E4"/>
    <mergeCell ref="F4:G4"/>
    <mergeCell ref="A29:C29"/>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C12"/>
  <sheetViews>
    <sheetView workbookViewId="0">
      <selection activeCell="B23" sqref="B23"/>
    </sheetView>
  </sheetViews>
  <sheetFormatPr baseColWidth="10" defaultColWidth="9.140625" defaultRowHeight="10.5" x14ac:dyDescent="0.15"/>
  <cols>
    <col min="1" max="1" width="14.42578125" style="97" customWidth="1"/>
    <col min="2" max="2" width="18.42578125" style="97" customWidth="1"/>
    <col min="3" max="3" width="26" style="97" customWidth="1"/>
    <col min="4" max="16384" width="9.140625" style="97"/>
  </cols>
  <sheetData>
    <row r="2" spans="1:3" ht="22.5" customHeight="1" x14ac:dyDescent="0.15">
      <c r="A2" s="2996" t="s">
        <v>2354</v>
      </c>
      <c r="B2" s="2996"/>
      <c r="C2" s="2996"/>
    </row>
    <row r="3" spans="1:3" x14ac:dyDescent="0.15">
      <c r="A3" s="115"/>
      <c r="B3" s="760"/>
      <c r="C3" s="760"/>
    </row>
    <row r="4" spans="1:3" ht="21.75" x14ac:dyDescent="0.15">
      <c r="A4" s="964" t="s">
        <v>2</v>
      </c>
      <c r="B4" s="964" t="s">
        <v>2355</v>
      </c>
      <c r="C4" s="964" t="s">
        <v>2356</v>
      </c>
    </row>
    <row r="5" spans="1:3" s="167" customFormat="1" x14ac:dyDescent="0.15">
      <c r="A5" s="965">
        <v>2011</v>
      </c>
      <c r="B5" s="966">
        <v>180</v>
      </c>
      <c r="C5" s="966">
        <v>8</v>
      </c>
    </row>
    <row r="6" spans="1:3" s="167" customFormat="1" x14ac:dyDescent="0.15">
      <c r="A6" s="967">
        <v>2012</v>
      </c>
      <c r="B6" s="804">
        <v>211</v>
      </c>
      <c r="C6" s="804">
        <v>10</v>
      </c>
    </row>
    <row r="7" spans="1:3" s="167" customFormat="1" x14ac:dyDescent="0.15">
      <c r="A7" s="967">
        <v>2013</v>
      </c>
      <c r="B7" s="804">
        <v>225</v>
      </c>
      <c r="C7" s="804">
        <v>11</v>
      </c>
    </row>
    <row r="8" spans="1:3" s="167" customFormat="1" x14ac:dyDescent="0.15">
      <c r="A8" s="967">
        <v>2014</v>
      </c>
      <c r="B8" s="804">
        <v>278</v>
      </c>
      <c r="C8" s="804">
        <v>12</v>
      </c>
    </row>
    <row r="9" spans="1:3" s="167" customFormat="1" x14ac:dyDescent="0.15">
      <c r="A9" s="967">
        <v>2015</v>
      </c>
      <c r="B9" s="804">
        <v>240</v>
      </c>
      <c r="C9" s="804">
        <v>12</v>
      </c>
    </row>
    <row r="10" spans="1:3" s="167" customFormat="1" x14ac:dyDescent="0.15">
      <c r="A10" s="967"/>
      <c r="B10" s="804"/>
      <c r="C10" s="804"/>
    </row>
    <row r="11" spans="1:3" s="968" customFormat="1" ht="22.5" customHeight="1" x14ac:dyDescent="0.15">
      <c r="A11" s="2997" t="s">
        <v>2357</v>
      </c>
      <c r="B11" s="2997"/>
      <c r="C11" s="2997"/>
    </row>
    <row r="12" spans="1:3" s="167" customFormat="1" ht="17.100000000000001" customHeight="1" x14ac:dyDescent="0.15">
      <c r="A12" s="2477" t="s">
        <v>2347</v>
      </c>
      <c r="B12" s="2373"/>
      <c r="C12" s="2373"/>
    </row>
  </sheetData>
  <mergeCells count="3">
    <mergeCell ref="A2:C2"/>
    <mergeCell ref="A11:C11"/>
    <mergeCell ref="A12:C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Q31"/>
  <sheetViews>
    <sheetView zoomScaleNormal="100" workbookViewId="0">
      <selection activeCell="A2" sqref="A2:F2"/>
    </sheetView>
  </sheetViews>
  <sheetFormatPr baseColWidth="10" defaultColWidth="13.28515625" defaultRowHeight="10.5" x14ac:dyDescent="0.15"/>
  <cols>
    <col min="1" max="1" width="32.7109375" style="970" customWidth="1"/>
    <col min="2" max="2" width="12.42578125" style="970" customWidth="1"/>
    <col min="3" max="3" width="14" style="970" customWidth="1"/>
    <col min="4" max="4" width="24" style="970" customWidth="1"/>
    <col min="5" max="5" width="12.85546875" style="970" customWidth="1"/>
    <col min="6" max="6" width="21.5703125" style="970" customWidth="1"/>
    <col min="7" max="10" width="9.42578125" style="970" customWidth="1"/>
    <col min="11" max="11" width="12.140625" style="970" customWidth="1"/>
    <col min="12" max="13" width="9.42578125" style="970" customWidth="1"/>
    <col min="14" max="14" width="16.85546875" style="970" customWidth="1"/>
    <col min="15" max="15" width="14.7109375" style="970" customWidth="1"/>
    <col min="16" max="17" width="10" style="970" customWidth="1"/>
    <col min="18" max="16384" width="13.28515625" style="970"/>
  </cols>
  <sheetData>
    <row r="2" spans="1:17" ht="24.75" customHeight="1" x14ac:dyDescent="0.15">
      <c r="A2" s="2999" t="s">
        <v>4352</v>
      </c>
      <c r="B2" s="2999"/>
      <c r="C2" s="2999"/>
      <c r="D2" s="2999"/>
      <c r="E2" s="2999"/>
      <c r="F2" s="2999"/>
      <c r="G2" s="969"/>
      <c r="H2" s="969"/>
      <c r="I2" s="969"/>
      <c r="J2" s="969"/>
      <c r="K2" s="969"/>
      <c r="L2" s="969"/>
      <c r="M2" s="969"/>
      <c r="N2" s="969"/>
      <c r="O2" s="969"/>
      <c r="P2" s="969"/>
      <c r="Q2" s="969"/>
    </row>
    <row r="3" spans="1:17" x14ac:dyDescent="0.15">
      <c r="A3" s="971"/>
      <c r="B3" s="971"/>
      <c r="C3" s="971"/>
      <c r="D3" s="971"/>
      <c r="E3" s="971"/>
      <c r="F3" s="971"/>
      <c r="G3" s="971"/>
      <c r="H3" s="971"/>
      <c r="I3" s="971"/>
      <c r="J3" s="971"/>
      <c r="K3" s="971"/>
      <c r="L3" s="971"/>
      <c r="M3" s="971"/>
      <c r="N3" s="971"/>
      <c r="O3" s="971"/>
      <c r="P3" s="971"/>
      <c r="Q3" s="971"/>
    </row>
    <row r="4" spans="1:17" ht="35.25" customHeight="1" x14ac:dyDescent="0.15">
      <c r="A4" s="972" t="s">
        <v>2358</v>
      </c>
      <c r="B4" s="973" t="s">
        <v>2359</v>
      </c>
      <c r="C4" s="973" t="s">
        <v>2360</v>
      </c>
      <c r="D4" s="973" t="s">
        <v>2361</v>
      </c>
      <c r="E4" s="973" t="s">
        <v>2362</v>
      </c>
      <c r="F4" s="973" t="s">
        <v>2363</v>
      </c>
      <c r="G4" s="971"/>
      <c r="H4" s="971"/>
      <c r="I4" s="971"/>
      <c r="J4" s="971"/>
      <c r="K4" s="971"/>
      <c r="L4" s="971"/>
      <c r="M4" s="971"/>
      <c r="N4" s="971"/>
      <c r="O4" s="971"/>
      <c r="P4" s="971"/>
    </row>
    <row r="5" spans="1:17" x14ac:dyDescent="0.15">
      <c r="A5" s="974" t="s">
        <v>141</v>
      </c>
      <c r="B5" s="975">
        <f>SUM(B6,B9,B17)</f>
        <v>872046</v>
      </c>
      <c r="C5" s="975">
        <f>SUM(C6,C9,C17)</f>
        <v>21202</v>
      </c>
      <c r="D5" s="975">
        <f>SUM(D6,D9,D17)</f>
        <v>82527</v>
      </c>
      <c r="E5" s="975">
        <f>SUM(E6,E9,E17)</f>
        <v>162179</v>
      </c>
      <c r="F5" s="975">
        <f>SUM(F6,F9,F17)</f>
        <v>99398</v>
      </c>
      <c r="G5" s="971"/>
      <c r="H5" s="971"/>
      <c r="I5" s="971"/>
      <c r="J5" s="971"/>
      <c r="K5" s="971"/>
      <c r="L5" s="971"/>
      <c r="M5" s="971"/>
      <c r="N5" s="971"/>
      <c r="O5" s="971"/>
      <c r="P5" s="971"/>
    </row>
    <row r="6" spans="1:17" x14ac:dyDescent="0.15">
      <c r="A6" s="974" t="s">
        <v>2364</v>
      </c>
      <c r="B6" s="976">
        <f>SUM(B7:B8)</f>
        <v>92942</v>
      </c>
      <c r="C6" s="976">
        <f>SUM(C7:C8)</f>
        <v>2035</v>
      </c>
      <c r="D6" s="976">
        <f>SUM(D7:D8)</f>
        <v>7893</v>
      </c>
      <c r="E6" s="976">
        <f>SUM(E7:E8)</f>
        <v>12119</v>
      </c>
      <c r="F6" s="976">
        <f>SUM(F7:F8)</f>
        <v>13898</v>
      </c>
      <c r="G6" s="971"/>
      <c r="H6" s="971"/>
      <c r="I6" s="971"/>
      <c r="J6" s="971"/>
      <c r="K6" s="971"/>
      <c r="L6" s="971"/>
      <c r="M6" s="971"/>
      <c r="N6" s="971"/>
      <c r="O6" s="971"/>
      <c r="P6" s="971"/>
    </row>
    <row r="7" spans="1:17" x14ac:dyDescent="0.15">
      <c r="A7" s="977" t="s">
        <v>2365</v>
      </c>
      <c r="B7" s="978">
        <v>92942</v>
      </c>
      <c r="C7" s="978">
        <v>2035</v>
      </c>
      <c r="D7" s="979">
        <v>7893</v>
      </c>
      <c r="E7" s="978">
        <v>12119</v>
      </c>
      <c r="F7" s="978">
        <v>13898</v>
      </c>
      <c r="G7" s="971"/>
      <c r="H7" s="971"/>
      <c r="I7" s="971"/>
      <c r="J7" s="971"/>
      <c r="K7" s="971"/>
      <c r="L7" s="971"/>
      <c r="M7" s="971"/>
      <c r="N7" s="971"/>
      <c r="O7" s="971"/>
      <c r="P7" s="971"/>
    </row>
    <row r="8" spans="1:17" ht="11.25" x14ac:dyDescent="0.15">
      <c r="A8" s="977" t="s">
        <v>2366</v>
      </c>
      <c r="B8" s="980" t="s">
        <v>193</v>
      </c>
      <c r="C8" s="980" t="s">
        <v>193</v>
      </c>
      <c r="D8" s="980" t="s">
        <v>193</v>
      </c>
      <c r="E8" s="980" t="s">
        <v>193</v>
      </c>
      <c r="F8" s="980" t="s">
        <v>193</v>
      </c>
      <c r="G8" s="971"/>
      <c r="H8" s="971"/>
      <c r="I8" s="971"/>
      <c r="J8" s="971"/>
      <c r="K8" s="971"/>
      <c r="L8" s="971"/>
      <c r="M8" s="971"/>
      <c r="N8" s="971"/>
      <c r="O8" s="971"/>
      <c r="P8" s="971"/>
    </row>
    <row r="9" spans="1:17" x14ac:dyDescent="0.15">
      <c r="A9" s="981" t="s">
        <v>2367</v>
      </c>
      <c r="B9" s="982">
        <f>SUM(B10:B16)</f>
        <v>450675</v>
      </c>
      <c r="C9" s="982">
        <f>SUM(C10:C16)</f>
        <v>10938</v>
      </c>
      <c r="D9" s="982">
        <f>SUM(D10:D16)</f>
        <v>48846</v>
      </c>
      <c r="E9" s="982">
        <f>SUM(E10:E16)</f>
        <v>88983</v>
      </c>
      <c r="F9" s="982">
        <f>SUM(F10:F16)</f>
        <v>42540</v>
      </c>
      <c r="G9" s="971"/>
      <c r="H9" s="971"/>
      <c r="I9" s="971"/>
      <c r="J9" s="971"/>
      <c r="K9" s="971"/>
      <c r="L9" s="971"/>
      <c r="M9" s="971"/>
      <c r="N9" s="971"/>
      <c r="O9" s="971"/>
      <c r="P9" s="971"/>
    </row>
    <row r="10" spans="1:17" x14ac:dyDescent="0.15">
      <c r="A10" s="977" t="s">
        <v>2368</v>
      </c>
      <c r="B10" s="980">
        <v>131340</v>
      </c>
      <c r="C10" s="980">
        <v>2473</v>
      </c>
      <c r="D10" s="980">
        <v>12512</v>
      </c>
      <c r="E10" s="980">
        <v>21151</v>
      </c>
      <c r="F10" s="980">
        <v>10582</v>
      </c>
      <c r="G10" s="971"/>
      <c r="H10" s="971"/>
      <c r="I10" s="971"/>
      <c r="J10" s="971"/>
      <c r="K10" s="971"/>
      <c r="L10" s="971"/>
      <c r="M10" s="971"/>
      <c r="N10" s="971"/>
      <c r="O10" s="971"/>
      <c r="P10" s="971"/>
    </row>
    <row r="11" spans="1:17" x14ac:dyDescent="0.15">
      <c r="A11" s="977" t="s">
        <v>2369</v>
      </c>
      <c r="B11" s="980">
        <v>95459</v>
      </c>
      <c r="C11" s="980">
        <v>2179</v>
      </c>
      <c r="D11" s="980">
        <v>10082</v>
      </c>
      <c r="E11" s="980">
        <v>21803</v>
      </c>
      <c r="F11" s="980">
        <v>7779</v>
      </c>
      <c r="G11" s="971"/>
      <c r="H11" s="971"/>
      <c r="I11" s="971"/>
      <c r="J11" s="971"/>
      <c r="K11" s="971"/>
      <c r="L11" s="971"/>
      <c r="M11" s="971"/>
      <c r="N11" s="971"/>
      <c r="O11" s="971"/>
      <c r="P11" s="971"/>
    </row>
    <row r="12" spans="1:17" x14ac:dyDescent="0.15">
      <c r="A12" s="977" t="s">
        <v>2370</v>
      </c>
      <c r="B12" s="978">
        <v>87525</v>
      </c>
      <c r="C12" s="978">
        <v>2164</v>
      </c>
      <c r="D12" s="978">
        <v>8086</v>
      </c>
      <c r="E12" s="978">
        <v>18173</v>
      </c>
      <c r="F12" s="978">
        <v>8457</v>
      </c>
      <c r="G12" s="971"/>
      <c r="H12" s="971"/>
      <c r="I12" s="971"/>
      <c r="J12" s="971"/>
      <c r="K12" s="971"/>
      <c r="L12" s="971"/>
      <c r="M12" s="971"/>
      <c r="N12" s="971"/>
      <c r="O12" s="971"/>
      <c r="P12" s="971"/>
    </row>
    <row r="13" spans="1:17" ht="11.25" x14ac:dyDescent="0.15">
      <c r="A13" s="977" t="s">
        <v>2371</v>
      </c>
      <c r="B13" s="978" t="s">
        <v>193</v>
      </c>
      <c r="C13" s="978" t="s">
        <v>193</v>
      </c>
      <c r="D13" s="978" t="s">
        <v>193</v>
      </c>
      <c r="E13" s="978" t="s">
        <v>193</v>
      </c>
      <c r="F13" s="978" t="s">
        <v>193</v>
      </c>
      <c r="G13" s="971"/>
      <c r="H13" s="971"/>
      <c r="I13" s="971"/>
      <c r="J13" s="971"/>
      <c r="K13" s="971"/>
      <c r="L13" s="971"/>
      <c r="M13" s="971"/>
      <c r="N13" s="971"/>
      <c r="O13" s="971"/>
      <c r="P13" s="971"/>
    </row>
    <row r="14" spans="1:17" ht="11.25" x14ac:dyDescent="0.15">
      <c r="A14" s="977" t="s">
        <v>2372</v>
      </c>
      <c r="B14" s="978" t="s">
        <v>193</v>
      </c>
      <c r="C14" s="978" t="s">
        <v>193</v>
      </c>
      <c r="D14" s="978" t="s">
        <v>193</v>
      </c>
      <c r="E14" s="978" t="s">
        <v>193</v>
      </c>
      <c r="F14" s="978" t="s">
        <v>193</v>
      </c>
      <c r="G14" s="971"/>
      <c r="H14" s="971"/>
      <c r="I14" s="971"/>
      <c r="J14" s="971"/>
      <c r="K14" s="971"/>
      <c r="L14" s="971"/>
      <c r="M14" s="971"/>
      <c r="N14" s="971"/>
      <c r="O14" s="971"/>
      <c r="P14" s="971"/>
    </row>
    <row r="15" spans="1:17" x14ac:dyDescent="0.15">
      <c r="A15" s="977" t="s">
        <v>2373</v>
      </c>
      <c r="B15" s="978">
        <v>76561</v>
      </c>
      <c r="C15" s="978">
        <v>2247</v>
      </c>
      <c r="D15" s="978">
        <v>13175</v>
      </c>
      <c r="E15" s="978">
        <v>17567</v>
      </c>
      <c r="F15" s="978">
        <v>7428</v>
      </c>
      <c r="G15" s="971"/>
      <c r="H15" s="971"/>
      <c r="I15" s="971"/>
      <c r="J15" s="971"/>
      <c r="K15" s="971"/>
      <c r="L15" s="971"/>
      <c r="M15" s="971"/>
      <c r="N15" s="971"/>
      <c r="O15" s="971"/>
      <c r="P15" s="971"/>
    </row>
    <row r="16" spans="1:17" ht="11.25" x14ac:dyDescent="0.15">
      <c r="A16" s="977" t="s">
        <v>2374</v>
      </c>
      <c r="B16" s="978">
        <v>59790</v>
      </c>
      <c r="C16" s="978">
        <v>1875</v>
      </c>
      <c r="D16" s="978">
        <v>4991</v>
      </c>
      <c r="E16" s="978">
        <v>10289</v>
      </c>
      <c r="F16" s="978">
        <v>8294</v>
      </c>
      <c r="G16" s="971"/>
      <c r="H16" s="971"/>
      <c r="I16" s="971"/>
      <c r="J16" s="971"/>
      <c r="K16" s="971"/>
      <c r="L16" s="971"/>
      <c r="M16" s="971"/>
      <c r="N16" s="971"/>
      <c r="O16" s="971"/>
      <c r="P16" s="971"/>
    </row>
    <row r="17" spans="1:17" x14ac:dyDescent="0.15">
      <c r="A17" s="969" t="s">
        <v>2375</v>
      </c>
      <c r="B17" s="976">
        <f>SUM(B18:B20)</f>
        <v>328429</v>
      </c>
      <c r="C17" s="976">
        <f>SUM(C18:C20)</f>
        <v>8229</v>
      </c>
      <c r="D17" s="976">
        <f>SUM(D18:D20)</f>
        <v>25788</v>
      </c>
      <c r="E17" s="976">
        <f>SUM(E18:E20)</f>
        <v>61077</v>
      </c>
      <c r="F17" s="976">
        <f>SUM(F18:F20)</f>
        <v>42960</v>
      </c>
      <c r="G17" s="971"/>
      <c r="H17" s="971"/>
      <c r="I17" s="971"/>
      <c r="J17" s="971"/>
      <c r="K17" s="971"/>
      <c r="L17" s="971"/>
      <c r="M17" s="971"/>
      <c r="N17" s="971"/>
      <c r="O17" s="971"/>
      <c r="P17" s="971"/>
    </row>
    <row r="18" spans="1:17" s="983" customFormat="1" x14ac:dyDescent="0.15">
      <c r="A18" s="977" t="s">
        <v>2376</v>
      </c>
      <c r="B18" s="980">
        <v>113235</v>
      </c>
      <c r="C18" s="978">
        <v>2725</v>
      </c>
      <c r="D18" s="978">
        <v>8784</v>
      </c>
      <c r="E18" s="978">
        <v>20773</v>
      </c>
      <c r="F18" s="978">
        <v>8886</v>
      </c>
      <c r="G18" s="977"/>
      <c r="H18" s="977"/>
      <c r="I18" s="977"/>
      <c r="J18" s="977"/>
      <c r="K18" s="977"/>
      <c r="L18" s="977"/>
      <c r="M18" s="977"/>
      <c r="N18" s="977"/>
      <c r="O18" s="977"/>
      <c r="P18" s="977"/>
    </row>
    <row r="19" spans="1:17" s="983" customFormat="1" x14ac:dyDescent="0.15">
      <c r="A19" s="977" t="s">
        <v>2377</v>
      </c>
      <c r="B19" s="980">
        <v>136084</v>
      </c>
      <c r="C19" s="978">
        <v>3169</v>
      </c>
      <c r="D19" s="978">
        <v>6128</v>
      </c>
      <c r="E19" s="978">
        <v>25541</v>
      </c>
      <c r="F19" s="978">
        <v>13032</v>
      </c>
      <c r="G19" s="977"/>
      <c r="H19" s="977"/>
      <c r="I19" s="977"/>
      <c r="J19" s="977"/>
      <c r="K19" s="977"/>
      <c r="L19" s="977"/>
      <c r="M19" s="977"/>
      <c r="N19" s="977"/>
      <c r="O19" s="977"/>
      <c r="P19" s="977"/>
    </row>
    <row r="20" spans="1:17" s="983" customFormat="1" ht="11.25" x14ac:dyDescent="0.15">
      <c r="A20" s="977" t="s">
        <v>2378</v>
      </c>
      <c r="B20" s="980">
        <v>79110</v>
      </c>
      <c r="C20" s="978">
        <v>2335</v>
      </c>
      <c r="D20" s="978">
        <v>10876</v>
      </c>
      <c r="E20" s="978">
        <v>14763</v>
      </c>
      <c r="F20" s="978">
        <v>21042</v>
      </c>
      <c r="G20" s="977"/>
      <c r="H20" s="977"/>
      <c r="I20" s="977"/>
      <c r="J20" s="977"/>
      <c r="K20" s="977"/>
      <c r="L20" s="977"/>
      <c r="M20" s="977"/>
      <c r="N20" s="977"/>
      <c r="O20" s="977"/>
      <c r="P20" s="977"/>
    </row>
    <row r="21" spans="1:17" s="983" customFormat="1" x14ac:dyDescent="0.15">
      <c r="A21" s="984"/>
      <c r="B21" s="984"/>
      <c r="C21" s="984"/>
      <c r="D21" s="984"/>
      <c r="E21" s="984"/>
      <c r="F21" s="984"/>
      <c r="G21" s="977"/>
      <c r="H21" s="977"/>
      <c r="I21" s="977"/>
      <c r="J21" s="977"/>
      <c r="K21" s="977"/>
      <c r="L21" s="977"/>
      <c r="M21" s="977"/>
      <c r="N21" s="977"/>
      <c r="O21" s="977"/>
      <c r="P21" s="977"/>
      <c r="Q21" s="977"/>
    </row>
    <row r="22" spans="1:17" ht="11.25" customHeight="1" x14ac:dyDescent="0.15">
      <c r="A22" s="3000" t="s">
        <v>2379</v>
      </c>
      <c r="B22" s="3000"/>
      <c r="C22" s="3000"/>
      <c r="D22" s="3000"/>
      <c r="E22" s="3000"/>
      <c r="F22" s="3000"/>
      <c r="G22" s="985"/>
      <c r="H22" s="985"/>
      <c r="I22" s="985"/>
      <c r="J22" s="985"/>
      <c r="K22" s="985"/>
      <c r="L22" s="985"/>
      <c r="M22" s="985"/>
      <c r="N22" s="985"/>
      <c r="O22" s="985"/>
      <c r="P22" s="985"/>
      <c r="Q22" s="985"/>
    </row>
    <row r="23" spans="1:17" ht="11.25" customHeight="1" x14ac:dyDescent="0.15">
      <c r="A23" s="3001" t="s">
        <v>2380</v>
      </c>
      <c r="B23" s="3001"/>
      <c r="C23" s="3001"/>
      <c r="D23" s="3001"/>
      <c r="E23" s="3001"/>
      <c r="F23" s="3001"/>
      <c r="G23" s="986"/>
      <c r="H23" s="986"/>
      <c r="I23" s="986"/>
      <c r="J23" s="986"/>
      <c r="K23" s="986"/>
      <c r="L23" s="986"/>
      <c r="M23" s="986"/>
      <c r="N23" s="986"/>
      <c r="O23" s="986"/>
      <c r="P23" s="986"/>
      <c r="Q23" s="986"/>
    </row>
    <row r="24" spans="1:17" ht="11.25" customHeight="1" x14ac:dyDescent="0.15">
      <c r="A24" s="2998" t="s">
        <v>2381</v>
      </c>
      <c r="B24" s="2998"/>
      <c r="C24" s="2998"/>
      <c r="D24" s="2998"/>
      <c r="E24" s="2998"/>
      <c r="F24" s="2998"/>
      <c r="G24" s="986"/>
      <c r="H24" s="986"/>
      <c r="I24" s="986"/>
      <c r="J24" s="986"/>
      <c r="K24" s="986"/>
      <c r="L24" s="986"/>
      <c r="M24" s="986"/>
      <c r="N24" s="986"/>
      <c r="O24" s="986"/>
      <c r="P24" s="986"/>
      <c r="Q24" s="986"/>
    </row>
    <row r="25" spans="1:17" ht="11.25" customHeight="1" x14ac:dyDescent="0.15">
      <c r="A25" s="2998" t="s">
        <v>2382</v>
      </c>
      <c r="B25" s="2998"/>
      <c r="C25" s="2998"/>
      <c r="D25" s="2998"/>
      <c r="E25" s="2998"/>
      <c r="F25" s="2998"/>
      <c r="G25" s="986"/>
      <c r="H25" s="986"/>
      <c r="I25" s="986"/>
      <c r="J25" s="986"/>
      <c r="K25" s="986"/>
      <c r="L25" s="986"/>
      <c r="M25" s="986"/>
      <c r="N25" s="986"/>
      <c r="O25" s="986"/>
      <c r="P25" s="986"/>
      <c r="Q25" s="986"/>
    </row>
    <row r="26" spans="1:17" ht="11.25" customHeight="1" x14ac:dyDescent="0.15">
      <c r="A26" s="2998" t="s">
        <v>2383</v>
      </c>
      <c r="B26" s="2998"/>
      <c r="C26" s="2998"/>
      <c r="D26" s="2998"/>
      <c r="E26" s="2998"/>
      <c r="F26" s="2998"/>
      <c r="G26" s="986"/>
      <c r="H26" s="986"/>
      <c r="I26" s="986"/>
      <c r="J26" s="986"/>
      <c r="K26" s="986"/>
      <c r="L26" s="986"/>
      <c r="M26" s="986"/>
      <c r="N26" s="986"/>
      <c r="O26" s="986"/>
      <c r="P26" s="986"/>
      <c r="Q26" s="986"/>
    </row>
    <row r="27" spans="1:17" ht="11.25" customHeight="1" x14ac:dyDescent="0.15">
      <c r="A27" s="3002" t="s">
        <v>2384</v>
      </c>
      <c r="B27" s="3002"/>
      <c r="C27" s="3002"/>
      <c r="D27" s="3002"/>
      <c r="E27" s="3002"/>
      <c r="F27" s="3002"/>
      <c r="G27" s="986"/>
      <c r="H27" s="986"/>
      <c r="I27" s="986"/>
      <c r="J27" s="986"/>
      <c r="K27" s="986"/>
      <c r="L27" s="986"/>
      <c r="M27" s="986"/>
      <c r="N27" s="986"/>
      <c r="O27" s="986"/>
      <c r="P27" s="986"/>
      <c r="Q27" s="986"/>
    </row>
    <row r="28" spans="1:17" ht="11.25" customHeight="1" x14ac:dyDescent="0.15">
      <c r="A28" s="3002" t="s">
        <v>2385</v>
      </c>
      <c r="B28" s="3002"/>
      <c r="C28" s="3002"/>
      <c r="D28" s="3002"/>
      <c r="E28" s="3002"/>
      <c r="F28" s="3002"/>
      <c r="G28" s="986"/>
      <c r="H28" s="986"/>
      <c r="I28" s="986"/>
      <c r="J28" s="986"/>
      <c r="K28" s="986"/>
      <c r="L28" s="986"/>
      <c r="M28" s="986"/>
      <c r="N28" s="986"/>
      <c r="O28" s="986"/>
      <c r="P28" s="986"/>
      <c r="Q28" s="986"/>
    </row>
    <row r="29" spans="1:17" ht="11.25" customHeight="1" x14ac:dyDescent="0.15">
      <c r="A29" s="2341" t="s">
        <v>731</v>
      </c>
      <c r="B29" s="2341"/>
      <c r="C29" s="2341"/>
      <c r="D29" s="2341"/>
      <c r="E29" s="2341"/>
      <c r="F29" s="2341"/>
      <c r="G29" s="987"/>
      <c r="H29" s="987"/>
      <c r="I29" s="987"/>
      <c r="J29" s="987"/>
      <c r="K29" s="987"/>
      <c r="L29" s="987"/>
      <c r="M29" s="987"/>
      <c r="N29" s="987"/>
      <c r="O29" s="987"/>
      <c r="P29" s="987"/>
      <c r="Q29" s="987"/>
    </row>
    <row r="30" spans="1:17" ht="11.25" customHeight="1" x14ac:dyDescent="0.15">
      <c r="A30" s="2341" t="s">
        <v>20</v>
      </c>
      <c r="B30" s="2341"/>
      <c r="C30" s="2341"/>
      <c r="D30" s="2341"/>
      <c r="E30" s="2341"/>
      <c r="F30" s="2341"/>
      <c r="G30" s="987"/>
      <c r="H30" s="987"/>
      <c r="I30" s="987"/>
      <c r="J30" s="987"/>
      <c r="K30" s="987"/>
      <c r="L30" s="987"/>
      <c r="M30" s="987"/>
      <c r="N30" s="987"/>
      <c r="O30" s="987"/>
      <c r="P30" s="987"/>
      <c r="Q30" s="987"/>
    </row>
    <row r="31" spans="1:17" ht="11.25" customHeight="1" x14ac:dyDescent="0.15">
      <c r="A31" s="2341" t="s">
        <v>2386</v>
      </c>
      <c r="B31" s="2341"/>
      <c r="C31" s="2341"/>
      <c r="D31" s="2341"/>
      <c r="E31" s="2341"/>
      <c r="F31" s="2341"/>
      <c r="G31" s="987"/>
      <c r="H31" s="987"/>
      <c r="I31" s="987"/>
      <c r="J31" s="987"/>
      <c r="K31" s="987"/>
      <c r="L31" s="987"/>
      <c r="M31" s="987"/>
      <c r="N31" s="987"/>
      <c r="O31" s="987"/>
      <c r="P31" s="987"/>
      <c r="Q31" s="987"/>
    </row>
  </sheetData>
  <mergeCells count="11">
    <mergeCell ref="A27:F27"/>
    <mergeCell ref="A28:F28"/>
    <mergeCell ref="A29:F29"/>
    <mergeCell ref="A30:F30"/>
    <mergeCell ref="A31:F31"/>
    <mergeCell ref="A26:F26"/>
    <mergeCell ref="A2:F2"/>
    <mergeCell ref="A22:F22"/>
    <mergeCell ref="A23:F23"/>
    <mergeCell ref="A24:F24"/>
    <mergeCell ref="A25:F25"/>
  </mergeCells>
  <pageMargins left="0.70866141732283472" right="0.70866141732283472" top="0.74803149606299213" bottom="0.74803149606299213" header="0.31496062992125984" footer="0.31496062992125984"/>
  <pageSetup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Z45"/>
  <sheetViews>
    <sheetView zoomScaleNormal="100" workbookViewId="0">
      <selection activeCell="A2" sqref="A2:L2"/>
    </sheetView>
  </sheetViews>
  <sheetFormatPr baseColWidth="10" defaultColWidth="13.28515625" defaultRowHeight="10.5" x14ac:dyDescent="0.15"/>
  <cols>
    <col min="1" max="1" width="28.5703125" style="970" customWidth="1"/>
    <col min="2" max="15" width="13" style="970" customWidth="1"/>
    <col min="16" max="16" width="13" style="987" customWidth="1"/>
    <col min="17" max="21" width="13" style="970" customWidth="1"/>
    <col min="22" max="26" width="11.42578125" style="970" customWidth="1"/>
    <col min="27" max="16384" width="13.28515625" style="970"/>
  </cols>
  <sheetData>
    <row r="2" spans="1:26" ht="11.25" customHeight="1" x14ac:dyDescent="0.15">
      <c r="A2" s="3003" t="s">
        <v>4351</v>
      </c>
      <c r="B2" s="3003"/>
      <c r="C2" s="3003"/>
      <c r="D2" s="3003"/>
      <c r="E2" s="3003"/>
      <c r="F2" s="3003"/>
      <c r="G2" s="3003"/>
      <c r="H2" s="3003"/>
      <c r="I2" s="3003"/>
      <c r="J2" s="3003"/>
      <c r="K2" s="3003"/>
      <c r="L2" s="3003"/>
      <c r="M2" s="969"/>
      <c r="N2" s="969"/>
      <c r="O2" s="969"/>
      <c r="P2" s="969"/>
    </row>
    <row r="3" spans="1:26" x14ac:dyDescent="0.15">
      <c r="A3" s="983"/>
      <c r="B3" s="983"/>
      <c r="C3" s="983"/>
      <c r="D3" s="983"/>
      <c r="E3" s="983"/>
      <c r="F3" s="983"/>
      <c r="G3" s="983"/>
      <c r="H3" s="983"/>
      <c r="I3" s="983"/>
      <c r="J3" s="983"/>
      <c r="K3" s="983"/>
    </row>
    <row r="4" spans="1:26" ht="15" customHeight="1" x14ac:dyDescent="0.15">
      <c r="A4" s="3004" t="s">
        <v>2358</v>
      </c>
      <c r="B4" s="3006" t="s">
        <v>2359</v>
      </c>
      <c r="C4" s="3007"/>
      <c r="D4" s="3007"/>
      <c r="E4" s="3007"/>
      <c r="F4" s="3008"/>
      <c r="G4" s="3006" t="s">
        <v>2360</v>
      </c>
      <c r="H4" s="3007"/>
      <c r="I4" s="3007"/>
      <c r="J4" s="3007"/>
      <c r="K4" s="3008"/>
      <c r="L4" s="3006" t="s">
        <v>2387</v>
      </c>
      <c r="M4" s="3007"/>
      <c r="N4" s="3007"/>
      <c r="O4" s="3007"/>
      <c r="P4" s="3008"/>
      <c r="Q4" s="3006" t="s">
        <v>2362</v>
      </c>
      <c r="R4" s="3007"/>
      <c r="S4" s="3007"/>
      <c r="T4" s="3007"/>
      <c r="U4" s="3008"/>
      <c r="V4" s="3006" t="s">
        <v>2388</v>
      </c>
      <c r="W4" s="3007"/>
      <c r="X4" s="3007"/>
      <c r="Y4" s="3007"/>
      <c r="Z4" s="3008"/>
    </row>
    <row r="5" spans="1:26" x14ac:dyDescent="0.15">
      <c r="A5" s="3005"/>
      <c r="B5" s="988">
        <v>2011</v>
      </c>
      <c r="C5" s="988">
        <v>2012</v>
      </c>
      <c r="D5" s="988">
        <v>2013</v>
      </c>
      <c r="E5" s="988">
        <v>2014</v>
      </c>
      <c r="F5" s="988">
        <v>2015</v>
      </c>
      <c r="G5" s="988">
        <v>2011</v>
      </c>
      <c r="H5" s="988">
        <v>2012</v>
      </c>
      <c r="I5" s="988">
        <v>2013</v>
      </c>
      <c r="J5" s="988">
        <v>2014</v>
      </c>
      <c r="K5" s="988">
        <v>2015</v>
      </c>
      <c r="L5" s="988">
        <v>2011</v>
      </c>
      <c r="M5" s="988">
        <v>2012</v>
      </c>
      <c r="N5" s="988">
        <v>2013</v>
      </c>
      <c r="O5" s="988">
        <v>2014</v>
      </c>
      <c r="P5" s="988">
        <v>2015</v>
      </c>
      <c r="Q5" s="988">
        <v>2011</v>
      </c>
      <c r="R5" s="988">
        <v>2012</v>
      </c>
      <c r="S5" s="988">
        <v>2013</v>
      </c>
      <c r="T5" s="988">
        <v>2014</v>
      </c>
      <c r="U5" s="988">
        <v>2015</v>
      </c>
      <c r="V5" s="988">
        <v>2011</v>
      </c>
      <c r="W5" s="988">
        <v>2012</v>
      </c>
      <c r="X5" s="988">
        <v>2013</v>
      </c>
      <c r="Y5" s="988">
        <v>2014</v>
      </c>
      <c r="Z5" s="988">
        <v>2015</v>
      </c>
    </row>
    <row r="6" spans="1:26" x14ac:dyDescent="0.15">
      <c r="A6" s="989" t="s">
        <v>141</v>
      </c>
      <c r="B6" s="990">
        <f>SUM(B7,B10,B18)</f>
        <v>1162984</v>
      </c>
      <c r="C6" s="991">
        <f t="shared" ref="C6:Z6" si="0">SUM(C7,C10,C18)</f>
        <v>1295616</v>
      </c>
      <c r="D6" s="991">
        <f t="shared" si="0"/>
        <v>1272478</v>
      </c>
      <c r="E6" s="991">
        <f t="shared" si="0"/>
        <v>999287</v>
      </c>
      <c r="F6" s="992">
        <f t="shared" si="0"/>
        <v>872046</v>
      </c>
      <c r="G6" s="991">
        <f t="shared" si="0"/>
        <v>17520</v>
      </c>
      <c r="H6" s="991">
        <f t="shared" si="0"/>
        <v>19960</v>
      </c>
      <c r="I6" s="991">
        <f t="shared" si="0"/>
        <v>18015</v>
      </c>
      <c r="J6" s="991">
        <f t="shared" si="0"/>
        <v>18176</v>
      </c>
      <c r="K6" s="992">
        <f t="shared" si="0"/>
        <v>21202</v>
      </c>
      <c r="L6" s="991">
        <f t="shared" si="0"/>
        <v>84865</v>
      </c>
      <c r="M6" s="991">
        <f t="shared" si="0"/>
        <v>99165</v>
      </c>
      <c r="N6" s="991">
        <f t="shared" si="0"/>
        <v>81942</v>
      </c>
      <c r="O6" s="991">
        <f t="shared" si="0"/>
        <v>86668</v>
      </c>
      <c r="P6" s="992">
        <f t="shared" si="0"/>
        <v>82527</v>
      </c>
      <c r="Q6" s="993">
        <f t="shared" si="0"/>
        <v>168755</v>
      </c>
      <c r="R6" s="993">
        <f t="shared" si="0"/>
        <v>205187</v>
      </c>
      <c r="S6" s="993">
        <f t="shared" si="0"/>
        <v>185005</v>
      </c>
      <c r="T6" s="993">
        <f t="shared" si="0"/>
        <v>155567</v>
      </c>
      <c r="U6" s="994">
        <f t="shared" si="0"/>
        <v>162179</v>
      </c>
      <c r="V6" s="990">
        <f t="shared" si="0"/>
        <v>56171</v>
      </c>
      <c r="W6" s="991">
        <f t="shared" si="0"/>
        <v>61097</v>
      </c>
      <c r="X6" s="991">
        <f t="shared" si="0"/>
        <v>72687</v>
      </c>
      <c r="Y6" s="991">
        <f t="shared" si="0"/>
        <v>76033</v>
      </c>
      <c r="Z6" s="992">
        <f t="shared" si="0"/>
        <v>99398</v>
      </c>
    </row>
    <row r="7" spans="1:26" x14ac:dyDescent="0.15">
      <c r="A7" s="995" t="s">
        <v>2364</v>
      </c>
      <c r="B7" s="996">
        <f t="shared" ref="B7:Z7" si="1">SUM(B8:B9)</f>
        <v>327067</v>
      </c>
      <c r="C7" s="997">
        <f t="shared" si="1"/>
        <v>390971</v>
      </c>
      <c r="D7" s="997">
        <f t="shared" si="1"/>
        <v>450630</v>
      </c>
      <c r="E7" s="998">
        <f t="shared" si="1"/>
        <v>301169</v>
      </c>
      <c r="F7" s="999">
        <f t="shared" si="1"/>
        <v>92942</v>
      </c>
      <c r="G7" s="998">
        <f t="shared" si="1"/>
        <v>3793</v>
      </c>
      <c r="H7" s="998">
        <f t="shared" si="1"/>
        <v>3726</v>
      </c>
      <c r="I7" s="998">
        <f t="shared" si="1"/>
        <v>3484</v>
      </c>
      <c r="J7" s="998">
        <f t="shared" si="1"/>
        <v>3417</v>
      </c>
      <c r="K7" s="999">
        <f t="shared" si="1"/>
        <v>2035</v>
      </c>
      <c r="L7" s="998">
        <f t="shared" si="1"/>
        <v>18357</v>
      </c>
      <c r="M7" s="998">
        <f t="shared" si="1"/>
        <v>17308</v>
      </c>
      <c r="N7" s="998">
        <f t="shared" si="1"/>
        <v>17454</v>
      </c>
      <c r="O7" s="998">
        <f t="shared" si="1"/>
        <v>18030</v>
      </c>
      <c r="P7" s="999">
        <f t="shared" si="1"/>
        <v>7893</v>
      </c>
      <c r="Q7" s="1000">
        <f t="shared" si="1"/>
        <v>34316</v>
      </c>
      <c r="R7" s="1000">
        <f t="shared" si="1"/>
        <v>37039</v>
      </c>
      <c r="S7" s="1000">
        <f t="shared" si="1"/>
        <v>34990</v>
      </c>
      <c r="T7" s="1000">
        <f t="shared" si="1"/>
        <v>28935</v>
      </c>
      <c r="U7" s="1001">
        <f t="shared" si="1"/>
        <v>12119</v>
      </c>
      <c r="V7" s="1002">
        <f t="shared" si="1"/>
        <v>17898</v>
      </c>
      <c r="W7" s="1002">
        <f t="shared" si="1"/>
        <v>17731</v>
      </c>
      <c r="X7" s="1002">
        <f t="shared" si="1"/>
        <v>17135</v>
      </c>
      <c r="Y7" s="1002">
        <f t="shared" si="1"/>
        <v>16025</v>
      </c>
      <c r="Z7" s="1002">
        <f t="shared" si="1"/>
        <v>13898</v>
      </c>
    </row>
    <row r="8" spans="1:26" x14ac:dyDescent="0.15">
      <c r="A8" s="1003" t="s">
        <v>2365</v>
      </c>
      <c r="B8" s="1004">
        <v>97477</v>
      </c>
      <c r="C8" s="1005">
        <v>111516</v>
      </c>
      <c r="D8" s="1005">
        <v>125086</v>
      </c>
      <c r="E8" s="1006">
        <v>104657</v>
      </c>
      <c r="F8" s="1007">
        <v>92942</v>
      </c>
      <c r="G8" s="1006">
        <v>1742</v>
      </c>
      <c r="H8" s="1006">
        <v>1726</v>
      </c>
      <c r="I8" s="1006">
        <v>1801</v>
      </c>
      <c r="J8" s="1006">
        <v>1387</v>
      </c>
      <c r="K8" s="1007">
        <v>2035</v>
      </c>
      <c r="L8" s="1006">
        <v>7671</v>
      </c>
      <c r="M8" s="1006">
        <v>8108</v>
      </c>
      <c r="N8" s="1006">
        <v>8467</v>
      </c>
      <c r="O8" s="1006">
        <v>8845</v>
      </c>
      <c r="P8" s="1007">
        <v>7893</v>
      </c>
      <c r="Q8" s="1008">
        <v>13109</v>
      </c>
      <c r="R8" s="1009">
        <v>16405</v>
      </c>
      <c r="S8" s="1009">
        <v>16011</v>
      </c>
      <c r="T8" s="1009">
        <v>10425</v>
      </c>
      <c r="U8" s="1009">
        <v>12119</v>
      </c>
      <c r="V8" s="1010">
        <v>11025</v>
      </c>
      <c r="W8" s="1006">
        <v>11619</v>
      </c>
      <c r="X8" s="1006">
        <v>12658</v>
      </c>
      <c r="Y8" s="1006">
        <v>10022</v>
      </c>
      <c r="Z8" s="1007">
        <v>13898</v>
      </c>
    </row>
    <row r="9" spans="1:26" ht="11.25" x14ac:dyDescent="0.15">
      <c r="A9" s="1003" t="s">
        <v>2366</v>
      </c>
      <c r="B9" s="1004">
        <v>229590</v>
      </c>
      <c r="C9" s="1005">
        <v>279455</v>
      </c>
      <c r="D9" s="1005">
        <v>325544</v>
      </c>
      <c r="E9" s="1006">
        <v>196512</v>
      </c>
      <c r="F9" s="1007">
        <v>0</v>
      </c>
      <c r="G9" s="1006">
        <v>2051</v>
      </c>
      <c r="H9" s="1006">
        <v>2000</v>
      </c>
      <c r="I9" s="1006">
        <v>1683</v>
      </c>
      <c r="J9" s="1006">
        <v>2030</v>
      </c>
      <c r="K9" s="999">
        <v>0</v>
      </c>
      <c r="L9" s="1006">
        <v>10686</v>
      </c>
      <c r="M9" s="1006">
        <v>9200</v>
      </c>
      <c r="N9" s="1006">
        <v>8987</v>
      </c>
      <c r="O9" s="1006">
        <v>9185</v>
      </c>
      <c r="P9" s="1007">
        <v>0</v>
      </c>
      <c r="Q9" s="1009">
        <v>21207</v>
      </c>
      <c r="R9" s="1009">
        <v>20634</v>
      </c>
      <c r="S9" s="1009">
        <v>18979</v>
      </c>
      <c r="T9" s="1009">
        <v>18510</v>
      </c>
      <c r="U9" s="1007">
        <v>0</v>
      </c>
      <c r="V9" s="1010">
        <v>6873</v>
      </c>
      <c r="W9" s="1006">
        <v>6112</v>
      </c>
      <c r="X9" s="1006">
        <v>4477</v>
      </c>
      <c r="Y9" s="1006">
        <v>6003</v>
      </c>
      <c r="Z9" s="1007">
        <v>0</v>
      </c>
    </row>
    <row r="10" spans="1:26" ht="21" x14ac:dyDescent="0.15">
      <c r="A10" s="995" t="s">
        <v>2367</v>
      </c>
      <c r="B10" s="996">
        <f>SUM(B11:B17)</f>
        <v>478339</v>
      </c>
      <c r="C10" s="997">
        <f t="shared" ref="C10:Z10" si="2">SUM(C11:C17)</f>
        <v>548499</v>
      </c>
      <c r="D10" s="997">
        <f t="shared" si="2"/>
        <v>455512</v>
      </c>
      <c r="E10" s="998">
        <f t="shared" si="2"/>
        <v>448905</v>
      </c>
      <c r="F10" s="999">
        <f t="shared" si="2"/>
        <v>450675</v>
      </c>
      <c r="G10" s="998">
        <f>SUM(G11:G17)</f>
        <v>6822</v>
      </c>
      <c r="H10" s="998">
        <f>SUM(H11:H17)</f>
        <v>8897</v>
      </c>
      <c r="I10" s="998">
        <f>SUM(I11:I17)</f>
        <v>7417</v>
      </c>
      <c r="J10" s="998">
        <f>SUM(J11:J17)</f>
        <v>8390</v>
      </c>
      <c r="K10" s="999">
        <f>SUM(K11:K17)</f>
        <v>10938</v>
      </c>
      <c r="L10" s="998">
        <f t="shared" si="2"/>
        <v>46555</v>
      </c>
      <c r="M10" s="998">
        <f t="shared" si="2"/>
        <v>58100</v>
      </c>
      <c r="N10" s="998">
        <f t="shared" si="2"/>
        <v>49921</v>
      </c>
      <c r="O10" s="998">
        <f t="shared" si="2"/>
        <v>52410</v>
      </c>
      <c r="P10" s="999">
        <f t="shared" si="2"/>
        <v>48846</v>
      </c>
      <c r="Q10" s="1000">
        <f t="shared" si="2"/>
        <v>68972</v>
      </c>
      <c r="R10" s="1000">
        <f t="shared" si="2"/>
        <v>94595</v>
      </c>
      <c r="S10" s="1000">
        <f t="shared" si="2"/>
        <v>81105</v>
      </c>
      <c r="T10" s="1000">
        <f t="shared" si="2"/>
        <v>78228</v>
      </c>
      <c r="U10" s="1001">
        <f t="shared" si="2"/>
        <v>88983</v>
      </c>
      <c r="V10" s="1000">
        <f t="shared" si="2"/>
        <v>24488</v>
      </c>
      <c r="W10" s="998">
        <f t="shared" si="2"/>
        <v>30951</v>
      </c>
      <c r="X10" s="998">
        <f t="shared" si="2"/>
        <v>28483</v>
      </c>
      <c r="Y10" s="998">
        <f t="shared" si="2"/>
        <v>38870</v>
      </c>
      <c r="Z10" s="999">
        <f t="shared" si="2"/>
        <v>42540</v>
      </c>
    </row>
    <row r="11" spans="1:26" x14ac:dyDescent="0.15">
      <c r="A11" s="1003" t="s">
        <v>2368</v>
      </c>
      <c r="B11" s="1004">
        <v>155219</v>
      </c>
      <c r="C11" s="1005">
        <v>143703</v>
      </c>
      <c r="D11" s="1005">
        <v>126041</v>
      </c>
      <c r="E11" s="1006">
        <v>129241</v>
      </c>
      <c r="F11" s="1007">
        <v>131340</v>
      </c>
      <c r="G11" s="1006">
        <v>1706</v>
      </c>
      <c r="H11" s="1006">
        <v>1771</v>
      </c>
      <c r="I11" s="1006">
        <v>1640</v>
      </c>
      <c r="J11" s="1006">
        <v>1966</v>
      </c>
      <c r="K11" s="1007">
        <v>2473</v>
      </c>
      <c r="L11" s="1006">
        <v>12341</v>
      </c>
      <c r="M11" s="1006">
        <v>12464</v>
      </c>
      <c r="N11" s="1006">
        <v>13320</v>
      </c>
      <c r="O11" s="1006">
        <v>13657</v>
      </c>
      <c r="P11" s="1007">
        <v>12512</v>
      </c>
      <c r="Q11" s="1009">
        <v>17663</v>
      </c>
      <c r="R11" s="1009">
        <v>20164</v>
      </c>
      <c r="S11" s="1009">
        <v>17898</v>
      </c>
      <c r="T11" s="1009">
        <v>20586</v>
      </c>
      <c r="U11" s="1009">
        <v>21151</v>
      </c>
      <c r="V11" s="1010">
        <v>5788</v>
      </c>
      <c r="W11" s="1006">
        <v>5937</v>
      </c>
      <c r="X11" s="1006">
        <v>6984</v>
      </c>
      <c r="Y11" s="1006">
        <v>7458</v>
      </c>
      <c r="Z11" s="1007">
        <v>10582</v>
      </c>
    </row>
    <row r="12" spans="1:26" x14ac:dyDescent="0.15">
      <c r="A12" s="1003" t="s">
        <v>2369</v>
      </c>
      <c r="B12" s="1010">
        <v>86507</v>
      </c>
      <c r="C12" s="1006">
        <v>93834</v>
      </c>
      <c r="D12" s="1006">
        <v>93487</v>
      </c>
      <c r="E12" s="1006">
        <v>93363</v>
      </c>
      <c r="F12" s="1007">
        <v>95459</v>
      </c>
      <c r="G12" s="1006">
        <v>1117</v>
      </c>
      <c r="H12" s="1006">
        <v>1444</v>
      </c>
      <c r="I12" s="1006">
        <v>1610</v>
      </c>
      <c r="J12" s="1006">
        <v>1629</v>
      </c>
      <c r="K12" s="1007">
        <v>2179</v>
      </c>
      <c r="L12" s="1006">
        <v>7369</v>
      </c>
      <c r="M12" s="1006">
        <v>8062</v>
      </c>
      <c r="N12" s="1006">
        <v>8822</v>
      </c>
      <c r="O12" s="1006">
        <v>9537</v>
      </c>
      <c r="P12" s="1007">
        <v>10082</v>
      </c>
      <c r="Q12" s="1008">
        <v>13466</v>
      </c>
      <c r="R12" s="1008">
        <v>16486</v>
      </c>
      <c r="S12" s="1008">
        <v>19231</v>
      </c>
      <c r="T12" s="1008">
        <v>17254</v>
      </c>
      <c r="U12" s="1011">
        <v>21803</v>
      </c>
      <c r="V12" s="1010">
        <v>4690</v>
      </c>
      <c r="W12" s="1006">
        <v>6237</v>
      </c>
      <c r="X12" s="1006">
        <v>6350</v>
      </c>
      <c r="Y12" s="1006">
        <v>6365</v>
      </c>
      <c r="Z12" s="1007">
        <v>7779</v>
      </c>
    </row>
    <row r="13" spans="1:26" x14ac:dyDescent="0.15">
      <c r="A13" s="1003" t="s">
        <v>2370</v>
      </c>
      <c r="B13" s="1010">
        <v>32237</v>
      </c>
      <c r="C13" s="1006">
        <v>76954</v>
      </c>
      <c r="D13" s="1006">
        <v>93724</v>
      </c>
      <c r="E13" s="1006">
        <v>92666</v>
      </c>
      <c r="F13" s="1007">
        <v>87525</v>
      </c>
      <c r="G13" s="1006">
        <v>1021</v>
      </c>
      <c r="H13" s="1006">
        <v>1722</v>
      </c>
      <c r="I13" s="1006">
        <v>1771</v>
      </c>
      <c r="J13" s="1006">
        <v>1874</v>
      </c>
      <c r="K13" s="1007">
        <v>2164</v>
      </c>
      <c r="L13" s="1006" t="s">
        <v>181</v>
      </c>
      <c r="M13" s="1006">
        <v>7839</v>
      </c>
      <c r="N13" s="1006">
        <v>7191</v>
      </c>
      <c r="O13" s="1006">
        <v>7904</v>
      </c>
      <c r="P13" s="1007">
        <v>8086</v>
      </c>
      <c r="Q13" s="1008">
        <v>8324</v>
      </c>
      <c r="R13" s="1009">
        <v>16955</v>
      </c>
      <c r="S13" s="1009">
        <v>18741</v>
      </c>
      <c r="T13" s="1009">
        <v>18086</v>
      </c>
      <c r="U13" s="1011">
        <v>18173</v>
      </c>
      <c r="V13" s="1010">
        <v>2260</v>
      </c>
      <c r="W13" s="1006">
        <v>3592</v>
      </c>
      <c r="X13" s="1006">
        <v>5744</v>
      </c>
      <c r="Y13" s="1006">
        <v>11794</v>
      </c>
      <c r="Z13" s="1007">
        <v>8457</v>
      </c>
    </row>
    <row r="14" spans="1:26" ht="11.25" x14ac:dyDescent="0.15">
      <c r="A14" s="1003" t="s">
        <v>2371</v>
      </c>
      <c r="B14" s="1004">
        <v>80409</v>
      </c>
      <c r="C14" s="1005">
        <v>83796</v>
      </c>
      <c r="D14" s="997">
        <v>0</v>
      </c>
      <c r="E14" s="1006">
        <v>0</v>
      </c>
      <c r="F14" s="1007">
        <v>0</v>
      </c>
      <c r="G14" s="1006">
        <v>990</v>
      </c>
      <c r="H14" s="1006">
        <v>1446</v>
      </c>
      <c r="I14" s="1006">
        <v>0</v>
      </c>
      <c r="J14" s="998">
        <v>0</v>
      </c>
      <c r="K14" s="999">
        <v>0</v>
      </c>
      <c r="L14" s="1006">
        <v>7888</v>
      </c>
      <c r="M14" s="1006">
        <v>9438</v>
      </c>
      <c r="N14" s="1006">
        <v>0</v>
      </c>
      <c r="O14" s="1006">
        <v>0</v>
      </c>
      <c r="P14" s="1007">
        <v>0</v>
      </c>
      <c r="Q14" s="1009">
        <v>10499</v>
      </c>
      <c r="R14" s="1009">
        <v>15415</v>
      </c>
      <c r="S14" s="1008">
        <v>0</v>
      </c>
      <c r="T14" s="1008">
        <v>0</v>
      </c>
      <c r="U14" s="1007">
        <v>0</v>
      </c>
      <c r="V14" s="1010">
        <v>4247</v>
      </c>
      <c r="W14" s="1006">
        <v>5153</v>
      </c>
      <c r="X14" s="1006">
        <v>0</v>
      </c>
      <c r="Y14" s="1006">
        <v>0</v>
      </c>
      <c r="Z14" s="1007">
        <v>0</v>
      </c>
    </row>
    <row r="15" spans="1:26" ht="11.25" x14ac:dyDescent="0.15">
      <c r="A15" s="1003" t="s">
        <v>2372</v>
      </c>
      <c r="B15" s="1004">
        <v>46123</v>
      </c>
      <c r="C15" s="1005">
        <v>56780</v>
      </c>
      <c r="D15" s="1005">
        <v>55792</v>
      </c>
      <c r="E15" s="1006">
        <v>59360</v>
      </c>
      <c r="F15" s="1007">
        <v>0</v>
      </c>
      <c r="G15" s="1006">
        <v>330</v>
      </c>
      <c r="H15" s="1006">
        <v>559</v>
      </c>
      <c r="I15" s="1006">
        <v>475</v>
      </c>
      <c r="J15" s="1006">
        <v>1177</v>
      </c>
      <c r="K15" s="999">
        <v>0</v>
      </c>
      <c r="L15" s="1006">
        <v>6655</v>
      </c>
      <c r="M15" s="1006">
        <v>7250</v>
      </c>
      <c r="N15" s="1006">
        <v>7398</v>
      </c>
      <c r="O15" s="1006">
        <v>7512</v>
      </c>
      <c r="P15" s="1007">
        <v>0</v>
      </c>
      <c r="Q15" s="1012">
        <v>3828</v>
      </c>
      <c r="R15" s="1008">
        <v>5612</v>
      </c>
      <c r="S15" s="1008">
        <v>5772</v>
      </c>
      <c r="T15" s="1008">
        <v>6984</v>
      </c>
      <c r="U15" s="1007">
        <v>0</v>
      </c>
      <c r="V15" s="1010">
        <v>3398</v>
      </c>
      <c r="W15" s="1006">
        <v>4913</v>
      </c>
      <c r="X15" s="1006">
        <v>3962</v>
      </c>
      <c r="Y15" s="1006">
        <v>8118</v>
      </c>
      <c r="Z15" s="1007">
        <v>0</v>
      </c>
    </row>
    <row r="16" spans="1:26" x14ac:dyDescent="0.15">
      <c r="A16" s="1003" t="s">
        <v>2373</v>
      </c>
      <c r="B16" s="1004">
        <v>77844</v>
      </c>
      <c r="C16" s="1005">
        <v>93432</v>
      </c>
      <c r="D16" s="1005">
        <v>86468</v>
      </c>
      <c r="E16" s="1006">
        <v>74275</v>
      </c>
      <c r="F16" s="1007">
        <v>76561</v>
      </c>
      <c r="G16" s="1006">
        <v>1658</v>
      </c>
      <c r="H16" s="1006">
        <v>1955</v>
      </c>
      <c r="I16" s="1006">
        <v>1921</v>
      </c>
      <c r="J16" s="1006">
        <v>1744</v>
      </c>
      <c r="K16" s="1007">
        <v>2247</v>
      </c>
      <c r="L16" s="1006">
        <v>12302</v>
      </c>
      <c r="M16" s="1006">
        <v>13047</v>
      </c>
      <c r="N16" s="1006">
        <v>13190</v>
      </c>
      <c r="O16" s="1006">
        <v>13800</v>
      </c>
      <c r="P16" s="1007">
        <v>13175</v>
      </c>
      <c r="Q16" s="1008">
        <v>15192</v>
      </c>
      <c r="R16" s="1008">
        <v>19963</v>
      </c>
      <c r="S16" s="1008">
        <v>19463</v>
      </c>
      <c r="T16" s="1008">
        <v>15318</v>
      </c>
      <c r="U16" s="1008">
        <v>17567</v>
      </c>
      <c r="V16" s="1010">
        <v>4105</v>
      </c>
      <c r="W16" s="1006">
        <v>5119</v>
      </c>
      <c r="X16" s="1006">
        <v>5443</v>
      </c>
      <c r="Y16" s="1006">
        <v>5135</v>
      </c>
      <c r="Z16" s="1007">
        <v>7428</v>
      </c>
    </row>
    <row r="17" spans="1:26" ht="11.25" x14ac:dyDescent="0.15">
      <c r="A17" s="1003" t="s">
        <v>2374</v>
      </c>
      <c r="B17" s="1004">
        <v>0</v>
      </c>
      <c r="C17" s="1005">
        <v>0</v>
      </c>
      <c r="D17" s="1005">
        <v>0</v>
      </c>
      <c r="E17" s="1006">
        <v>0</v>
      </c>
      <c r="F17" s="1007">
        <v>59790</v>
      </c>
      <c r="G17" s="1006">
        <v>0</v>
      </c>
      <c r="H17" s="1006">
        <v>0</v>
      </c>
      <c r="I17" s="1006">
        <v>0</v>
      </c>
      <c r="J17" s="1006">
        <v>0</v>
      </c>
      <c r="K17" s="1007">
        <v>1875</v>
      </c>
      <c r="L17" s="1006">
        <v>0</v>
      </c>
      <c r="M17" s="998">
        <v>0</v>
      </c>
      <c r="N17" s="998">
        <v>0</v>
      </c>
      <c r="O17" s="998">
        <v>0</v>
      </c>
      <c r="P17" s="1007">
        <v>4991</v>
      </c>
      <c r="Q17" s="1009">
        <v>0</v>
      </c>
      <c r="R17" s="1009">
        <v>0</v>
      </c>
      <c r="S17" s="1008">
        <v>0</v>
      </c>
      <c r="T17" s="1008">
        <v>0</v>
      </c>
      <c r="U17" s="1011">
        <v>10289</v>
      </c>
      <c r="V17" s="1010">
        <v>0</v>
      </c>
      <c r="W17" s="1006">
        <v>0</v>
      </c>
      <c r="X17" s="1006">
        <v>0</v>
      </c>
      <c r="Y17" s="1006">
        <v>0</v>
      </c>
      <c r="Z17" s="1007">
        <v>8294</v>
      </c>
    </row>
    <row r="18" spans="1:26" x14ac:dyDescent="0.15">
      <c r="A18" s="1013" t="s">
        <v>2375</v>
      </c>
      <c r="B18" s="996">
        <f t="shared" ref="B18:Z18" si="3">SUM(B19:B21)</f>
        <v>357578</v>
      </c>
      <c r="C18" s="997">
        <f t="shared" si="3"/>
        <v>356146</v>
      </c>
      <c r="D18" s="997">
        <f t="shared" si="3"/>
        <v>366336</v>
      </c>
      <c r="E18" s="998">
        <f t="shared" si="3"/>
        <v>249213</v>
      </c>
      <c r="F18" s="999">
        <f>SUM(F19:F21)</f>
        <v>328429</v>
      </c>
      <c r="G18" s="998">
        <f t="shared" si="3"/>
        <v>6905</v>
      </c>
      <c r="H18" s="998">
        <f t="shared" si="3"/>
        <v>7337</v>
      </c>
      <c r="I18" s="998">
        <f t="shared" si="3"/>
        <v>7114</v>
      </c>
      <c r="J18" s="998">
        <f t="shared" si="3"/>
        <v>6369</v>
      </c>
      <c r="K18" s="999">
        <f t="shared" si="3"/>
        <v>8229</v>
      </c>
      <c r="L18" s="998">
        <f t="shared" si="3"/>
        <v>19953</v>
      </c>
      <c r="M18" s="998">
        <f t="shared" si="3"/>
        <v>23757</v>
      </c>
      <c r="N18" s="998">
        <f t="shared" si="3"/>
        <v>14567</v>
      </c>
      <c r="O18" s="998">
        <f t="shared" si="3"/>
        <v>16228</v>
      </c>
      <c r="P18" s="999">
        <f t="shared" si="3"/>
        <v>25788</v>
      </c>
      <c r="Q18" s="1000">
        <f t="shared" si="3"/>
        <v>65467</v>
      </c>
      <c r="R18" s="1000">
        <f t="shared" si="3"/>
        <v>73553</v>
      </c>
      <c r="S18" s="1000">
        <f t="shared" si="3"/>
        <v>68910</v>
      </c>
      <c r="T18" s="1000">
        <f t="shared" si="3"/>
        <v>48404</v>
      </c>
      <c r="U18" s="1001">
        <f t="shared" si="3"/>
        <v>61077</v>
      </c>
      <c r="V18" s="1002">
        <f t="shared" si="3"/>
        <v>13785</v>
      </c>
      <c r="W18" s="998">
        <f t="shared" si="3"/>
        <v>12415</v>
      </c>
      <c r="X18" s="998">
        <f t="shared" si="3"/>
        <v>27069</v>
      </c>
      <c r="Y18" s="998">
        <f t="shared" si="3"/>
        <v>21138</v>
      </c>
      <c r="Z18" s="999">
        <f t="shared" si="3"/>
        <v>42960</v>
      </c>
    </row>
    <row r="19" spans="1:26" s="983" customFormat="1" x14ac:dyDescent="0.15">
      <c r="A19" s="1003" t="s">
        <v>2376</v>
      </c>
      <c r="B19" s="1014">
        <v>126278</v>
      </c>
      <c r="C19" s="1015">
        <v>138894</v>
      </c>
      <c r="D19" s="1006">
        <v>130755</v>
      </c>
      <c r="E19" s="1006">
        <v>117768</v>
      </c>
      <c r="F19" s="1007">
        <v>113235</v>
      </c>
      <c r="G19" s="1006">
        <v>2642</v>
      </c>
      <c r="H19" s="1006">
        <v>3250</v>
      </c>
      <c r="I19" s="1006">
        <v>2709</v>
      </c>
      <c r="J19" s="1006">
        <v>3258</v>
      </c>
      <c r="K19" s="1007">
        <v>2725</v>
      </c>
      <c r="L19" s="1006">
        <v>7667</v>
      </c>
      <c r="M19" s="1006">
        <v>8492</v>
      </c>
      <c r="N19" s="1006">
        <v>8436</v>
      </c>
      <c r="O19" s="1006">
        <v>9109</v>
      </c>
      <c r="P19" s="1007">
        <v>8784</v>
      </c>
      <c r="Q19" s="1009">
        <v>27106</v>
      </c>
      <c r="R19" s="1009">
        <v>33799</v>
      </c>
      <c r="S19" s="1009">
        <v>27248</v>
      </c>
      <c r="T19" s="1009">
        <v>21829</v>
      </c>
      <c r="U19" s="1009">
        <v>20773</v>
      </c>
      <c r="V19" s="1010">
        <v>4691</v>
      </c>
      <c r="W19" s="1006">
        <v>4756</v>
      </c>
      <c r="X19" s="1006">
        <v>4993</v>
      </c>
      <c r="Y19" s="1006">
        <v>6629</v>
      </c>
      <c r="Z19" s="1007">
        <v>8886</v>
      </c>
    </row>
    <row r="20" spans="1:26" s="983" customFormat="1" x14ac:dyDescent="0.15">
      <c r="A20" s="1003" t="s">
        <v>2377</v>
      </c>
      <c r="B20" s="1004">
        <v>0</v>
      </c>
      <c r="C20" s="1005">
        <v>0</v>
      </c>
      <c r="D20" s="1006">
        <v>108127</v>
      </c>
      <c r="E20" s="1006">
        <v>131445</v>
      </c>
      <c r="F20" s="1007">
        <v>136084</v>
      </c>
      <c r="G20" s="1006">
        <v>0</v>
      </c>
      <c r="H20" s="1006">
        <v>0</v>
      </c>
      <c r="I20" s="1006">
        <v>2074</v>
      </c>
      <c r="J20" s="1006">
        <v>3111</v>
      </c>
      <c r="K20" s="1007">
        <v>3169</v>
      </c>
      <c r="L20" s="1006">
        <v>0</v>
      </c>
      <c r="M20" s="1006">
        <v>0</v>
      </c>
      <c r="N20" s="1006">
        <v>6131</v>
      </c>
      <c r="O20" s="1006">
        <v>7119</v>
      </c>
      <c r="P20" s="1007">
        <v>6128</v>
      </c>
      <c r="Q20" s="1008">
        <v>0</v>
      </c>
      <c r="R20" s="1008">
        <v>0</v>
      </c>
      <c r="S20" s="1009">
        <v>21657</v>
      </c>
      <c r="T20" s="1009">
        <v>26575</v>
      </c>
      <c r="U20" s="1009">
        <v>25541</v>
      </c>
      <c r="V20" s="1010">
        <v>0</v>
      </c>
      <c r="W20" s="1006">
        <v>0</v>
      </c>
      <c r="X20" s="1006">
        <v>12892</v>
      </c>
      <c r="Y20" s="1006">
        <v>14509</v>
      </c>
      <c r="Z20" s="1007">
        <v>13032</v>
      </c>
    </row>
    <row r="21" spans="1:26" s="983" customFormat="1" ht="11.25" x14ac:dyDescent="0.15">
      <c r="A21" s="1016" t="s">
        <v>2378</v>
      </c>
      <c r="B21" s="1017">
        <v>231300</v>
      </c>
      <c r="C21" s="1018">
        <v>217252</v>
      </c>
      <c r="D21" s="1019">
        <v>127454</v>
      </c>
      <c r="E21" s="1019">
        <v>0</v>
      </c>
      <c r="F21" s="1020">
        <v>79110</v>
      </c>
      <c r="G21" s="1018">
        <v>4263</v>
      </c>
      <c r="H21" s="1018">
        <v>4087</v>
      </c>
      <c r="I21" s="1019">
        <v>2331</v>
      </c>
      <c r="J21" s="1019">
        <v>0</v>
      </c>
      <c r="K21" s="1020">
        <v>2335</v>
      </c>
      <c r="L21" s="1019">
        <v>12286</v>
      </c>
      <c r="M21" s="1019">
        <v>15265</v>
      </c>
      <c r="N21" s="1019">
        <v>0</v>
      </c>
      <c r="O21" s="1019">
        <v>0</v>
      </c>
      <c r="P21" s="1020">
        <v>10876</v>
      </c>
      <c r="Q21" s="1021">
        <v>38361</v>
      </c>
      <c r="R21" s="1022">
        <v>39754</v>
      </c>
      <c r="S21" s="1022">
        <v>20005</v>
      </c>
      <c r="T21" s="1022">
        <v>0</v>
      </c>
      <c r="U21" s="1023">
        <v>14763</v>
      </c>
      <c r="V21" s="1024">
        <v>9094</v>
      </c>
      <c r="W21" s="1019">
        <v>7659</v>
      </c>
      <c r="X21" s="1019">
        <v>9184</v>
      </c>
      <c r="Y21" s="1019">
        <v>0</v>
      </c>
      <c r="Z21" s="1020">
        <v>21042</v>
      </c>
    </row>
    <row r="22" spans="1:26" s="983" customFormat="1" x14ac:dyDescent="0.15">
      <c r="A22" s="984"/>
      <c r="B22" s="1025"/>
      <c r="C22" s="1025"/>
      <c r="D22" s="1025"/>
      <c r="E22" s="1025"/>
      <c r="F22" s="1025"/>
      <c r="G22" s="977"/>
      <c r="H22" s="977"/>
      <c r="I22" s="977"/>
      <c r="J22" s="977"/>
      <c r="K22" s="977"/>
      <c r="L22" s="977"/>
      <c r="M22" s="977"/>
      <c r="N22" s="977"/>
      <c r="O22" s="977"/>
      <c r="P22" s="977"/>
    </row>
    <row r="23" spans="1:26" ht="11.25" customHeight="1" x14ac:dyDescent="0.15">
      <c r="A23" s="3000" t="s">
        <v>2379</v>
      </c>
      <c r="B23" s="3000"/>
      <c r="C23" s="3000"/>
      <c r="D23" s="3000"/>
      <c r="E23" s="3000"/>
      <c r="F23" s="3000"/>
      <c r="G23" s="3000"/>
      <c r="H23" s="3000"/>
      <c r="I23" s="3000"/>
      <c r="J23" s="3000"/>
      <c r="K23" s="3000"/>
      <c r="L23" s="3000"/>
      <c r="M23" s="3000"/>
      <c r="N23" s="3000"/>
      <c r="O23" s="3000"/>
      <c r="P23" s="3000"/>
      <c r="Q23" s="3000"/>
    </row>
    <row r="24" spans="1:26" ht="11.25" customHeight="1" x14ac:dyDescent="0.25">
      <c r="A24" s="3001" t="s">
        <v>2380</v>
      </c>
      <c r="B24" s="3001"/>
      <c r="C24" s="3001"/>
      <c r="D24" s="3001"/>
      <c r="E24" s="3001"/>
      <c r="F24" s="3001"/>
      <c r="G24" s="3001"/>
      <c r="H24" s="3001"/>
      <c r="I24" s="3001"/>
      <c r="J24" s="3001"/>
      <c r="K24" s="3001"/>
      <c r="L24" s="3001"/>
      <c r="M24" s="3001"/>
      <c r="N24" s="3001"/>
      <c r="O24" s="3001"/>
      <c r="P24" s="3001"/>
      <c r="Q24" s="3001"/>
      <c r="V24" s="1026"/>
      <c r="W24" s="1026"/>
      <c r="X24" s="1026"/>
      <c r="Y24" s="1026"/>
      <c r="Z24" s="1026"/>
    </row>
    <row r="25" spans="1:26" ht="11.25" customHeight="1" x14ac:dyDescent="0.25">
      <c r="A25" s="2998" t="s">
        <v>2381</v>
      </c>
      <c r="B25" s="2998"/>
      <c r="C25" s="2998"/>
      <c r="D25" s="2998"/>
      <c r="E25" s="2998"/>
      <c r="F25" s="2998"/>
      <c r="G25" s="2998"/>
      <c r="H25" s="2998"/>
      <c r="I25" s="2998"/>
      <c r="J25" s="2998"/>
      <c r="K25" s="2998"/>
      <c r="L25" s="2998"/>
      <c r="M25" s="2998"/>
      <c r="N25" s="2998"/>
      <c r="O25" s="2998"/>
      <c r="P25" s="2998"/>
      <c r="Q25" s="2998"/>
      <c r="R25" s="1026"/>
      <c r="S25" s="1026"/>
      <c r="T25" s="1026"/>
      <c r="U25" s="1026"/>
      <c r="V25" s="1026"/>
      <c r="W25" s="1026"/>
      <c r="X25" s="1026"/>
      <c r="Y25" s="1026"/>
      <c r="Z25" s="1026"/>
    </row>
    <row r="26" spans="1:26" ht="11.25" customHeight="1" x14ac:dyDescent="0.25">
      <c r="A26" s="2998" t="s">
        <v>2382</v>
      </c>
      <c r="B26" s="2998"/>
      <c r="C26" s="2998"/>
      <c r="D26" s="2998"/>
      <c r="E26" s="2998"/>
      <c r="F26" s="2998"/>
      <c r="G26" s="2998"/>
      <c r="H26" s="2998"/>
      <c r="I26" s="2998"/>
      <c r="J26" s="2998"/>
      <c r="K26" s="2998"/>
      <c r="L26" s="2998"/>
      <c r="M26" s="2998"/>
      <c r="N26" s="2998"/>
      <c r="O26" s="2998"/>
      <c r="P26" s="2998"/>
      <c r="Q26" s="2998"/>
      <c r="R26" s="1026"/>
      <c r="S26" s="1026"/>
      <c r="T26" s="1026"/>
      <c r="U26" s="1026"/>
      <c r="V26" s="1026"/>
      <c r="W26" s="1026"/>
      <c r="X26" s="1026"/>
      <c r="Y26" s="1026"/>
      <c r="Z26" s="1026"/>
    </row>
    <row r="27" spans="1:26" ht="11.25" customHeight="1" x14ac:dyDescent="0.25">
      <c r="A27" s="2998" t="s">
        <v>2383</v>
      </c>
      <c r="B27" s="2998"/>
      <c r="C27" s="2998"/>
      <c r="D27" s="2998"/>
      <c r="E27" s="2998"/>
      <c r="F27" s="2998"/>
      <c r="G27" s="2998"/>
      <c r="H27" s="2998"/>
      <c r="I27" s="2998"/>
      <c r="J27" s="2998"/>
      <c r="K27" s="2998"/>
      <c r="L27" s="2998"/>
      <c r="M27" s="2998"/>
      <c r="N27" s="2998"/>
      <c r="O27" s="2998"/>
      <c r="P27" s="2998"/>
      <c r="Q27" s="2998"/>
      <c r="R27" s="1026"/>
      <c r="S27" s="1026"/>
      <c r="T27" s="1026"/>
      <c r="U27" s="1026"/>
      <c r="V27" s="1026"/>
      <c r="W27" s="1026"/>
      <c r="X27" s="1026"/>
      <c r="Y27" s="1026"/>
      <c r="Z27" s="1026"/>
    </row>
    <row r="28" spans="1:26" ht="11.25" customHeight="1" x14ac:dyDescent="0.25">
      <c r="A28" s="3002" t="s">
        <v>2384</v>
      </c>
      <c r="B28" s="3002"/>
      <c r="C28" s="3002"/>
      <c r="D28" s="3002"/>
      <c r="E28" s="3002"/>
      <c r="F28" s="3002"/>
      <c r="G28" s="3002"/>
      <c r="H28" s="3002"/>
      <c r="I28" s="3002"/>
      <c r="J28" s="3002"/>
      <c r="K28" s="3002"/>
      <c r="L28" s="3002"/>
      <c r="M28" s="3002"/>
      <c r="N28" s="3002"/>
      <c r="O28" s="3002"/>
      <c r="P28" s="3002"/>
      <c r="Q28" s="3002"/>
      <c r="R28" s="1026"/>
      <c r="S28" s="1026"/>
      <c r="T28" s="1026"/>
      <c r="U28" s="1026"/>
      <c r="V28" s="1026"/>
      <c r="W28" s="1026"/>
      <c r="X28" s="1026"/>
      <c r="Y28" s="1026"/>
      <c r="Z28" s="1026"/>
    </row>
    <row r="29" spans="1:26" ht="11.25" customHeight="1" x14ac:dyDescent="0.25">
      <c r="A29" s="3002" t="s">
        <v>2385</v>
      </c>
      <c r="B29" s="3002"/>
      <c r="C29" s="3002"/>
      <c r="D29" s="3002"/>
      <c r="E29" s="3002"/>
      <c r="F29" s="3002"/>
      <c r="G29" s="3002"/>
      <c r="H29" s="3002"/>
      <c r="I29" s="3002"/>
      <c r="J29" s="3002"/>
      <c r="K29" s="3002"/>
      <c r="L29" s="3002"/>
      <c r="M29" s="3002"/>
      <c r="N29" s="3002"/>
      <c r="O29" s="3002"/>
      <c r="P29" s="3002"/>
      <c r="Q29" s="3002"/>
      <c r="R29" s="1026"/>
      <c r="S29" s="1026"/>
      <c r="T29" s="1026"/>
      <c r="U29" s="1026"/>
      <c r="V29" s="1026"/>
      <c r="W29" s="1026"/>
      <c r="X29" s="1026"/>
      <c r="Y29" s="1026"/>
      <c r="Z29" s="1026"/>
    </row>
    <row r="30" spans="1:26" ht="11.25" customHeight="1" x14ac:dyDescent="0.25">
      <c r="A30" s="3009" t="s">
        <v>731</v>
      </c>
      <c r="B30" s="3009"/>
      <c r="C30" s="3009"/>
      <c r="D30" s="3009"/>
      <c r="E30" s="3009"/>
      <c r="F30" s="3009"/>
      <c r="G30" s="3009"/>
      <c r="H30" s="3009"/>
      <c r="I30" s="3009"/>
      <c r="J30" s="3009"/>
      <c r="K30" s="3009"/>
      <c r="L30" s="3009"/>
      <c r="M30" s="3009"/>
      <c r="N30" s="3009"/>
      <c r="O30" s="3009"/>
      <c r="P30" s="3009"/>
      <c r="Q30" s="3009"/>
      <c r="R30" s="1026"/>
      <c r="S30" s="1026"/>
      <c r="T30" s="1026"/>
      <c r="U30" s="1026"/>
      <c r="V30" s="1026"/>
      <c r="W30" s="1026"/>
      <c r="X30" s="1026"/>
      <c r="Y30" s="1026"/>
      <c r="Z30" s="1026"/>
    </row>
    <row r="31" spans="1:26" ht="11.25" customHeight="1" x14ac:dyDescent="0.25">
      <c r="A31" s="2341" t="s">
        <v>20</v>
      </c>
      <c r="B31" s="2341"/>
      <c r="C31" s="2341"/>
      <c r="D31" s="2341"/>
      <c r="E31" s="2341"/>
      <c r="F31" s="2341"/>
      <c r="G31" s="2341"/>
      <c r="H31" s="2341"/>
      <c r="I31" s="2341"/>
      <c r="J31" s="2341"/>
      <c r="K31" s="2341"/>
      <c r="L31" s="2341"/>
      <c r="M31" s="2341"/>
      <c r="N31" s="2341"/>
      <c r="O31" s="2341"/>
      <c r="P31" s="2341"/>
      <c r="Q31" s="2341"/>
      <c r="R31" s="1026"/>
      <c r="S31" s="1026"/>
      <c r="T31" s="1026"/>
      <c r="U31" s="1026"/>
      <c r="V31" s="1026"/>
      <c r="W31" s="1026"/>
      <c r="X31" s="1026"/>
      <c r="Y31" s="1026"/>
      <c r="Z31" s="1026"/>
    </row>
    <row r="32" spans="1:26" ht="11.25" customHeight="1" x14ac:dyDescent="0.25">
      <c r="A32" s="2341" t="s">
        <v>2386</v>
      </c>
      <c r="B32" s="2341"/>
      <c r="C32" s="2341"/>
      <c r="D32" s="2341"/>
      <c r="E32" s="2341"/>
      <c r="F32" s="2341"/>
      <c r="G32" s="2341"/>
      <c r="H32" s="2341"/>
      <c r="I32" s="2341"/>
      <c r="J32" s="2341"/>
      <c r="K32" s="2341"/>
      <c r="L32" s="2341"/>
      <c r="M32" s="2341"/>
      <c r="N32" s="2341"/>
      <c r="O32" s="2341"/>
      <c r="P32" s="2341"/>
      <c r="Q32" s="2341"/>
      <c r="R32" s="1026"/>
      <c r="S32" s="1026"/>
      <c r="T32" s="1026"/>
      <c r="U32" s="1026"/>
      <c r="V32" s="1026"/>
      <c r="W32" s="1026"/>
      <c r="X32" s="1026"/>
      <c r="Y32" s="1026"/>
      <c r="Z32" s="1026"/>
    </row>
    <row r="33" spans="18:26" ht="15" x14ac:dyDescent="0.25">
      <c r="R33" s="1026"/>
      <c r="S33" s="1026"/>
      <c r="T33" s="1026"/>
      <c r="U33" s="1026"/>
      <c r="V33" s="1026"/>
      <c r="W33" s="1026"/>
      <c r="X33" s="1026"/>
      <c r="Y33" s="1026"/>
      <c r="Z33" s="1026"/>
    </row>
    <row r="34" spans="18:26" ht="15" x14ac:dyDescent="0.25">
      <c r="R34" s="1026"/>
      <c r="S34" s="1026"/>
      <c r="T34" s="1026"/>
      <c r="U34" s="1026"/>
      <c r="V34" s="1026"/>
      <c r="W34" s="1026"/>
      <c r="X34" s="1026"/>
      <c r="Y34" s="1026"/>
      <c r="Z34" s="1026"/>
    </row>
    <row r="35" spans="18:26" ht="15" x14ac:dyDescent="0.25">
      <c r="R35" s="1026"/>
      <c r="S35" s="1026"/>
      <c r="T35" s="1026"/>
      <c r="U35" s="1026"/>
      <c r="V35" s="1026"/>
      <c r="W35" s="1026"/>
      <c r="X35" s="1026"/>
      <c r="Y35" s="1026"/>
      <c r="Z35" s="1026"/>
    </row>
    <row r="36" spans="18:26" ht="15" x14ac:dyDescent="0.25">
      <c r="R36" s="1026"/>
      <c r="S36" s="1026"/>
      <c r="T36" s="1026"/>
      <c r="U36" s="1026"/>
      <c r="V36" s="1026"/>
      <c r="W36" s="1026"/>
      <c r="X36" s="1026"/>
      <c r="Y36" s="1026"/>
      <c r="Z36" s="1026"/>
    </row>
    <row r="37" spans="18:26" ht="15" x14ac:dyDescent="0.25">
      <c r="R37" s="1026"/>
      <c r="S37" s="1026"/>
      <c r="T37" s="1026"/>
      <c r="U37" s="1026"/>
      <c r="V37" s="1026"/>
      <c r="W37" s="1026"/>
      <c r="X37" s="1026"/>
      <c r="Y37" s="1026"/>
      <c r="Z37" s="1026"/>
    </row>
    <row r="38" spans="18:26" ht="15" x14ac:dyDescent="0.25">
      <c r="R38" s="1026"/>
      <c r="S38" s="1026"/>
      <c r="T38" s="1026"/>
      <c r="U38" s="1026"/>
      <c r="V38" s="1026"/>
      <c r="W38" s="1026"/>
      <c r="X38" s="1026"/>
      <c r="Y38" s="1026"/>
      <c r="Z38" s="1026"/>
    </row>
    <row r="39" spans="18:26" ht="15" x14ac:dyDescent="0.25">
      <c r="R39" s="1026"/>
      <c r="S39" s="1026"/>
      <c r="T39" s="1026"/>
      <c r="U39" s="1026"/>
      <c r="V39" s="1026"/>
      <c r="W39" s="1026"/>
      <c r="X39" s="1026"/>
      <c r="Y39" s="1026"/>
      <c r="Z39" s="1026"/>
    </row>
    <row r="40" spans="18:26" ht="15" x14ac:dyDescent="0.25">
      <c r="R40" s="1026"/>
      <c r="S40" s="1026"/>
      <c r="T40" s="1026"/>
      <c r="U40" s="1026"/>
      <c r="V40" s="1026"/>
      <c r="W40" s="1026"/>
      <c r="X40" s="1026"/>
      <c r="Y40" s="1026"/>
      <c r="Z40" s="1026"/>
    </row>
    <row r="41" spans="18:26" ht="15" x14ac:dyDescent="0.25">
      <c r="R41" s="1026"/>
      <c r="S41" s="1026"/>
      <c r="T41" s="1026"/>
      <c r="U41" s="1026"/>
      <c r="V41" s="1026"/>
      <c r="W41" s="1026"/>
      <c r="X41" s="1026"/>
      <c r="Y41" s="1026"/>
      <c r="Z41" s="1026"/>
    </row>
    <row r="42" spans="18:26" ht="15" x14ac:dyDescent="0.25">
      <c r="R42" s="1026"/>
      <c r="S42" s="1026"/>
      <c r="T42" s="1026"/>
      <c r="U42" s="1026"/>
      <c r="V42" s="1026"/>
      <c r="W42" s="1026"/>
      <c r="X42" s="1026"/>
      <c r="Y42" s="1026"/>
      <c r="Z42" s="1026"/>
    </row>
    <row r="43" spans="18:26" ht="15" x14ac:dyDescent="0.25">
      <c r="R43" s="1026"/>
      <c r="S43" s="1026"/>
      <c r="T43" s="1026"/>
      <c r="U43" s="1026"/>
      <c r="V43" s="1026"/>
      <c r="W43" s="1026"/>
      <c r="X43" s="1026"/>
      <c r="Y43" s="1026"/>
      <c r="Z43" s="1026"/>
    </row>
    <row r="44" spans="18:26" ht="15" x14ac:dyDescent="0.25">
      <c r="R44" s="1026"/>
      <c r="S44" s="1026"/>
      <c r="T44" s="1026"/>
      <c r="U44" s="1026"/>
      <c r="V44" s="1026"/>
      <c r="W44" s="1026"/>
      <c r="X44" s="1026"/>
      <c r="Y44" s="1026"/>
      <c r="Z44" s="1026"/>
    </row>
    <row r="45" spans="18:26" ht="15" x14ac:dyDescent="0.25">
      <c r="R45" s="1026"/>
      <c r="S45" s="1026"/>
      <c r="T45" s="1026"/>
      <c r="U45" s="1026"/>
      <c r="V45" s="1026"/>
      <c r="W45" s="1026"/>
      <c r="X45" s="1026"/>
      <c r="Y45" s="1026"/>
    </row>
  </sheetData>
  <mergeCells count="17">
    <mergeCell ref="A28:Q28"/>
    <mergeCell ref="A29:Q29"/>
    <mergeCell ref="A30:Q30"/>
    <mergeCell ref="A31:Q31"/>
    <mergeCell ref="A32:Q32"/>
    <mergeCell ref="V4:Z4"/>
    <mergeCell ref="A23:Q23"/>
    <mergeCell ref="A24:Q24"/>
    <mergeCell ref="A25:Q25"/>
    <mergeCell ref="A26:Q26"/>
    <mergeCell ref="A27:Q27"/>
    <mergeCell ref="A2:L2"/>
    <mergeCell ref="A4:A5"/>
    <mergeCell ref="B4:F4"/>
    <mergeCell ref="G4:K4"/>
    <mergeCell ref="L4:P4"/>
    <mergeCell ref="Q4:U4"/>
  </mergeCell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2:K34"/>
  <sheetViews>
    <sheetView zoomScaleNormal="100" workbookViewId="0">
      <selection activeCell="A2" sqref="A2:E2"/>
    </sheetView>
  </sheetViews>
  <sheetFormatPr baseColWidth="10" defaultColWidth="13" defaultRowHeight="10.5" x14ac:dyDescent="0.15"/>
  <cols>
    <col min="1" max="1" width="25.5703125" style="1028" bestFit="1" customWidth="1"/>
    <col min="2" max="5" width="13" style="1028" customWidth="1"/>
    <col min="6" max="16384" width="13" style="1028"/>
  </cols>
  <sheetData>
    <row r="2" spans="1:11" ht="23.25" customHeight="1" x14ac:dyDescent="0.15">
      <c r="A2" s="3010" t="s">
        <v>4353</v>
      </c>
      <c r="B2" s="3010"/>
      <c r="C2" s="3010"/>
      <c r="D2" s="3010"/>
      <c r="E2" s="3010"/>
      <c r="F2" s="1027"/>
      <c r="G2" s="1027"/>
      <c r="H2" s="1027"/>
      <c r="I2" s="1027"/>
      <c r="J2" s="1027"/>
      <c r="K2" s="1027"/>
    </row>
    <row r="3" spans="1:11" x14ac:dyDescent="0.15">
      <c r="A3" s="974"/>
      <c r="B3" s="974"/>
      <c r="C3" s="974"/>
      <c r="D3" s="1029"/>
      <c r="F3" s="1027"/>
      <c r="G3" s="1027"/>
      <c r="H3" s="1027"/>
      <c r="I3" s="1027"/>
      <c r="J3" s="1027"/>
      <c r="K3" s="1027"/>
    </row>
    <row r="4" spans="1:11" x14ac:dyDescent="0.15">
      <c r="A4" s="3011" t="s">
        <v>2018</v>
      </c>
      <c r="B4" s="3012">
        <v>2014</v>
      </c>
      <c r="C4" s="3013"/>
      <c r="D4" s="3012">
        <v>2015</v>
      </c>
      <c r="E4" s="3013"/>
    </row>
    <row r="5" spans="1:11" x14ac:dyDescent="0.15">
      <c r="A5" s="3005"/>
      <c r="B5" s="1030" t="s">
        <v>1573</v>
      </c>
      <c r="C5" s="1030" t="s">
        <v>727</v>
      </c>
      <c r="D5" s="1030" t="s">
        <v>1573</v>
      </c>
      <c r="E5" s="1030" t="s">
        <v>727</v>
      </c>
    </row>
    <row r="6" spans="1:11" x14ac:dyDescent="0.15">
      <c r="A6" s="969" t="s">
        <v>2389</v>
      </c>
      <c r="B6" s="1031">
        <f>SUM(B7:B9)</f>
        <v>9955</v>
      </c>
      <c r="C6" s="1032">
        <f>B6/B$6</f>
        <v>1</v>
      </c>
      <c r="D6" s="1031">
        <f>SUM(D7:D9)</f>
        <v>16262</v>
      </c>
      <c r="E6" s="1032">
        <f>D6/D$6</f>
        <v>1</v>
      </c>
    </row>
    <row r="7" spans="1:11" x14ac:dyDescent="0.15">
      <c r="A7" s="977" t="s">
        <v>966</v>
      </c>
      <c r="B7" s="1033">
        <v>3360</v>
      </c>
      <c r="C7" s="1034">
        <f>B7/B$6</f>
        <v>0.33751883475640382</v>
      </c>
      <c r="D7" s="1035">
        <v>4719</v>
      </c>
      <c r="E7" s="1034">
        <f>D7/D$6</f>
        <v>0.29018570901488133</v>
      </c>
    </row>
    <row r="8" spans="1:11" x14ac:dyDescent="0.15">
      <c r="A8" s="977" t="s">
        <v>967</v>
      </c>
      <c r="B8" s="1036">
        <v>5862</v>
      </c>
      <c r="C8" s="1037">
        <f>B8/B$6</f>
        <v>0.58884982420894028</v>
      </c>
      <c r="D8" s="1035">
        <v>8287</v>
      </c>
      <c r="E8" s="1037">
        <f>D8/D$6</f>
        <v>0.50959291600049195</v>
      </c>
    </row>
    <row r="9" spans="1:11" x14ac:dyDescent="0.15">
      <c r="A9" s="977" t="s">
        <v>2390</v>
      </c>
      <c r="B9" s="1913">
        <v>733</v>
      </c>
      <c r="C9" s="1914">
        <f>B9/B$6</f>
        <v>7.3631341034655948E-2</v>
      </c>
      <c r="D9" s="1915">
        <v>3256</v>
      </c>
      <c r="E9" s="1914">
        <f>D9/D$6</f>
        <v>0.20022137498462675</v>
      </c>
    </row>
    <row r="10" spans="1:11" x14ac:dyDescent="0.15">
      <c r="A10" s="1916" t="s">
        <v>2391</v>
      </c>
      <c r="B10" s="1038">
        <f>SUM(B11:B18)</f>
        <v>9955</v>
      </c>
      <c r="C10" s="1032">
        <f t="shared" ref="C10:C18" si="0">B10/B$10</f>
        <v>1</v>
      </c>
      <c r="D10" s="1038">
        <f>SUM(D11:D18)</f>
        <v>16262</v>
      </c>
      <c r="E10" s="1032">
        <f t="shared" ref="E10:E18" si="1">D10/D$10</f>
        <v>1</v>
      </c>
    </row>
    <row r="11" spans="1:11" x14ac:dyDescent="0.15">
      <c r="A11" s="977" t="s">
        <v>2392</v>
      </c>
      <c r="B11" s="1035">
        <v>3167</v>
      </c>
      <c r="C11" s="1034">
        <f t="shared" si="0"/>
        <v>0.31813159216474135</v>
      </c>
      <c r="D11" s="1035">
        <v>4520</v>
      </c>
      <c r="E11" s="1034">
        <f t="shared" si="1"/>
        <v>0.27794859180912557</v>
      </c>
    </row>
    <row r="12" spans="1:11" x14ac:dyDescent="0.15">
      <c r="A12" s="977" t="s">
        <v>2393</v>
      </c>
      <c r="B12" s="1035">
        <v>2488</v>
      </c>
      <c r="C12" s="1034">
        <f t="shared" si="0"/>
        <v>0.24992466097438473</v>
      </c>
      <c r="D12" s="1035">
        <v>3472</v>
      </c>
      <c r="E12" s="1034">
        <f t="shared" si="1"/>
        <v>0.21350387406223098</v>
      </c>
    </row>
    <row r="13" spans="1:11" x14ac:dyDescent="0.15">
      <c r="A13" s="977" t="s">
        <v>2394</v>
      </c>
      <c r="B13" s="1035">
        <v>3422</v>
      </c>
      <c r="C13" s="1034">
        <f t="shared" si="0"/>
        <v>0.34374686087393269</v>
      </c>
      <c r="D13" s="1035">
        <v>4068</v>
      </c>
      <c r="E13" s="1034">
        <f t="shared" si="1"/>
        <v>0.250153732628213</v>
      </c>
    </row>
    <row r="14" spans="1:11" x14ac:dyDescent="0.15">
      <c r="A14" s="977" t="s">
        <v>2395</v>
      </c>
      <c r="B14" s="1035">
        <v>336</v>
      </c>
      <c r="C14" s="1034">
        <f t="shared" si="0"/>
        <v>3.3751883475640385E-2</v>
      </c>
      <c r="D14" s="1035">
        <v>486</v>
      </c>
      <c r="E14" s="1034">
        <f t="shared" si="1"/>
        <v>2.9885622924609518E-2</v>
      </c>
    </row>
    <row r="15" spans="1:11" x14ac:dyDescent="0.15">
      <c r="A15" s="977" t="s">
        <v>2396</v>
      </c>
      <c r="B15" s="1035">
        <v>6</v>
      </c>
      <c r="C15" s="1034">
        <f t="shared" si="0"/>
        <v>6.0271220492214971E-4</v>
      </c>
      <c r="D15" s="1035">
        <v>4</v>
      </c>
      <c r="E15" s="1034">
        <f t="shared" si="1"/>
        <v>2.4597220514081911E-4</v>
      </c>
    </row>
    <row r="16" spans="1:11" x14ac:dyDescent="0.15">
      <c r="A16" s="977" t="s">
        <v>2397</v>
      </c>
      <c r="B16" s="1035">
        <v>455</v>
      </c>
      <c r="C16" s="1034">
        <f t="shared" si="0"/>
        <v>4.5705675539929685E-2</v>
      </c>
      <c r="D16" s="1035">
        <v>458</v>
      </c>
      <c r="E16" s="1034">
        <f t="shared" si="1"/>
        <v>2.8163817488623785E-2</v>
      </c>
    </row>
    <row r="17" spans="1:5" x14ac:dyDescent="0.15">
      <c r="A17" s="977" t="s">
        <v>2398</v>
      </c>
      <c r="B17" s="1035">
        <v>25</v>
      </c>
      <c r="C17" s="1034">
        <f t="shared" si="0"/>
        <v>2.5113008538422904E-3</v>
      </c>
      <c r="D17" s="1035">
        <v>30</v>
      </c>
      <c r="E17" s="1034">
        <f t="shared" si="1"/>
        <v>1.8447915385561432E-3</v>
      </c>
    </row>
    <row r="18" spans="1:5" ht="10.5" customHeight="1" x14ac:dyDescent="0.15">
      <c r="A18" s="977" t="s">
        <v>2390</v>
      </c>
      <c r="B18" s="1035">
        <v>56</v>
      </c>
      <c r="C18" s="1039">
        <f t="shared" si="0"/>
        <v>5.6253139126067305E-3</v>
      </c>
      <c r="D18" s="1035">
        <v>3224</v>
      </c>
      <c r="E18" s="1034">
        <f t="shared" si="1"/>
        <v>0.19825359734350018</v>
      </c>
    </row>
    <row r="19" spans="1:5" x14ac:dyDescent="0.15">
      <c r="A19" s="977"/>
      <c r="B19" s="977"/>
      <c r="C19" s="977"/>
    </row>
    <row r="20" spans="1:5" x14ac:dyDescent="0.15">
      <c r="A20" s="2998" t="s">
        <v>731</v>
      </c>
      <c r="B20" s="2998"/>
      <c r="C20" s="2998"/>
      <c r="D20" s="2998"/>
      <c r="E20" s="2998"/>
    </row>
    <row r="21" spans="1:5" x14ac:dyDescent="0.15">
      <c r="A21" s="3014" t="s">
        <v>20</v>
      </c>
      <c r="B21" s="3014"/>
      <c r="C21" s="3014"/>
      <c r="D21" s="3014"/>
      <c r="E21" s="3014"/>
    </row>
    <row r="22" spans="1:5" x14ac:dyDescent="0.15">
      <c r="A22" s="2998" t="s">
        <v>2386</v>
      </c>
      <c r="B22" s="2998"/>
      <c r="C22" s="2998"/>
      <c r="D22" s="2998"/>
      <c r="E22" s="2998"/>
    </row>
    <row r="24" spans="1:5" x14ac:dyDescent="0.15">
      <c r="C24" s="1040"/>
      <c r="E24" s="1040"/>
    </row>
    <row r="25" spans="1:5" x14ac:dyDescent="0.15">
      <c r="C25" s="1040"/>
      <c r="E25" s="1040"/>
    </row>
    <row r="26" spans="1:5" x14ac:dyDescent="0.15">
      <c r="C26" s="1040"/>
      <c r="E26" s="1040"/>
    </row>
    <row r="27" spans="1:5" x14ac:dyDescent="0.15">
      <c r="C27" s="1040"/>
      <c r="E27" s="1040"/>
    </row>
    <row r="28" spans="1:5" x14ac:dyDescent="0.15">
      <c r="C28" s="1040"/>
      <c r="E28" s="1040"/>
    </row>
    <row r="29" spans="1:5" x14ac:dyDescent="0.15">
      <c r="C29" s="1040"/>
      <c r="E29" s="1040"/>
    </row>
    <row r="30" spans="1:5" x14ac:dyDescent="0.15">
      <c r="C30" s="1040"/>
      <c r="E30" s="1040"/>
    </row>
    <row r="31" spans="1:5" x14ac:dyDescent="0.15">
      <c r="C31" s="1040"/>
      <c r="E31" s="1040"/>
    </row>
    <row r="32" spans="1:5" x14ac:dyDescent="0.15">
      <c r="C32" s="1040"/>
      <c r="E32" s="1040"/>
    </row>
    <row r="33" spans="3:5" x14ac:dyDescent="0.15">
      <c r="C33" s="1040"/>
      <c r="E33" s="1040"/>
    </row>
    <row r="34" spans="3:5" x14ac:dyDescent="0.15">
      <c r="C34" s="1040"/>
      <c r="E34" s="1040"/>
    </row>
  </sheetData>
  <mergeCells count="7">
    <mergeCell ref="A22:E22"/>
    <mergeCell ref="A2:E2"/>
    <mergeCell ref="A4:A5"/>
    <mergeCell ref="B4:C4"/>
    <mergeCell ref="D4:E4"/>
    <mergeCell ref="A20:E20"/>
    <mergeCell ref="A21:E21"/>
  </mergeCell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1:N38"/>
  <sheetViews>
    <sheetView zoomScaleNormal="100" workbookViewId="0">
      <selection activeCell="A2" sqref="A2:G2"/>
    </sheetView>
  </sheetViews>
  <sheetFormatPr baseColWidth="10" defaultColWidth="13.28515625" defaultRowHeight="11.25" x14ac:dyDescent="0.2"/>
  <cols>
    <col min="1" max="1" width="40" style="1042" customWidth="1"/>
    <col min="2" max="2" width="12" style="1042" customWidth="1"/>
    <col min="3" max="7" width="9" style="1042" bestFit="1" customWidth="1"/>
    <col min="8" max="16384" width="13.28515625" style="1042"/>
  </cols>
  <sheetData>
    <row r="1" spans="1:14" x14ac:dyDescent="0.2">
      <c r="A1" s="1041"/>
      <c r="B1" s="1041"/>
      <c r="C1" s="1041"/>
      <c r="D1" s="1041"/>
      <c r="E1" s="1041"/>
      <c r="F1" s="1041"/>
      <c r="G1" s="1041"/>
    </row>
    <row r="2" spans="1:14" ht="22.5" customHeight="1" x14ac:dyDescent="0.2">
      <c r="A2" s="3015" t="s">
        <v>4354</v>
      </c>
      <c r="B2" s="3015"/>
      <c r="C2" s="3015"/>
      <c r="D2" s="3015"/>
      <c r="E2" s="3015"/>
      <c r="F2" s="3015"/>
      <c r="G2" s="3015"/>
      <c r="H2" s="1044"/>
    </row>
    <row r="3" spans="1:14" ht="10.5" customHeight="1" x14ac:dyDescent="0.2">
      <c r="A3" s="1045"/>
      <c r="B3" s="1045"/>
      <c r="C3" s="1045"/>
      <c r="D3" s="1045"/>
      <c r="E3" s="1045"/>
      <c r="F3" s="1045"/>
      <c r="G3" s="1043"/>
      <c r="H3" s="1044"/>
    </row>
    <row r="4" spans="1:14" s="1918" customFormat="1" ht="15" customHeight="1" x14ac:dyDescent="0.15">
      <c r="A4" s="3017" t="s">
        <v>2399</v>
      </c>
      <c r="B4" s="3019" t="s">
        <v>2</v>
      </c>
      <c r="C4" s="3019"/>
      <c r="D4" s="3019"/>
      <c r="E4" s="3019"/>
      <c r="F4" s="3019"/>
      <c r="G4" s="3019"/>
      <c r="H4" s="1917"/>
    </row>
    <row r="5" spans="1:14" s="1918" customFormat="1" ht="10.5" x14ac:dyDescent="0.15">
      <c r="A5" s="3018"/>
      <c r="B5" s="1919" t="s">
        <v>141</v>
      </c>
      <c r="C5" s="1920">
        <v>2011</v>
      </c>
      <c r="D5" s="1920">
        <v>2012</v>
      </c>
      <c r="E5" s="1920">
        <v>2013</v>
      </c>
      <c r="F5" s="1920">
        <v>2014</v>
      </c>
      <c r="G5" s="1920">
        <v>2015</v>
      </c>
      <c r="H5" s="1921"/>
    </row>
    <row r="6" spans="1:14" s="1918" customFormat="1" ht="10.5" x14ac:dyDescent="0.15">
      <c r="A6" s="1922" t="s">
        <v>2400</v>
      </c>
      <c r="B6" s="1923">
        <f t="shared" ref="B6:G7" si="0">SUM(B9,B14,B17)</f>
        <v>77</v>
      </c>
      <c r="C6" s="1923">
        <f t="shared" si="0"/>
        <v>15</v>
      </c>
      <c r="D6" s="1923">
        <f t="shared" si="0"/>
        <v>15</v>
      </c>
      <c r="E6" s="1923">
        <f t="shared" si="0"/>
        <v>15</v>
      </c>
      <c r="F6" s="1923">
        <f t="shared" si="0"/>
        <v>15</v>
      </c>
      <c r="G6" s="1923">
        <f t="shared" si="0"/>
        <v>17</v>
      </c>
      <c r="H6" s="1924"/>
      <c r="J6" s="1925"/>
      <c r="K6" s="1925"/>
      <c r="L6" s="1925"/>
      <c r="M6" s="1925"/>
    </row>
    <row r="7" spans="1:14" s="1918" customFormat="1" ht="10.5" x14ac:dyDescent="0.15">
      <c r="A7" s="1922" t="s">
        <v>2401</v>
      </c>
      <c r="B7" s="1923">
        <f t="shared" si="0"/>
        <v>150460</v>
      </c>
      <c r="C7" s="1923">
        <f t="shared" si="0"/>
        <v>28298</v>
      </c>
      <c r="D7" s="1923">
        <f t="shared" si="0"/>
        <v>29849</v>
      </c>
      <c r="E7" s="1923">
        <f t="shared" si="0"/>
        <v>30902</v>
      </c>
      <c r="F7" s="1923">
        <f t="shared" si="0"/>
        <v>29453</v>
      </c>
      <c r="G7" s="1923">
        <f t="shared" si="0"/>
        <v>31958</v>
      </c>
      <c r="H7" s="1924"/>
      <c r="J7" s="1925"/>
      <c r="K7" s="1925"/>
      <c r="L7" s="1925"/>
      <c r="M7" s="1925"/>
    </row>
    <row r="8" spans="1:14" s="1918" customFormat="1" ht="21" customHeight="1" x14ac:dyDescent="0.15">
      <c r="A8" s="1922" t="s">
        <v>2402</v>
      </c>
      <c r="B8" s="3020"/>
      <c r="C8" s="3020"/>
      <c r="D8" s="3020"/>
      <c r="E8" s="3020"/>
      <c r="F8" s="3020"/>
      <c r="G8" s="3020"/>
      <c r="H8" s="1924"/>
      <c r="J8" s="1925"/>
      <c r="K8" s="1925"/>
      <c r="L8" s="1925"/>
      <c r="M8" s="1925"/>
    </row>
    <row r="9" spans="1:14" s="1918" customFormat="1" ht="12.75" customHeight="1" x14ac:dyDescent="0.15">
      <c r="A9" s="1926" t="s">
        <v>2403</v>
      </c>
      <c r="B9" s="1927">
        <f>SUM(C9:G9)</f>
        <v>75</v>
      </c>
      <c r="C9" s="1928">
        <v>15</v>
      </c>
      <c r="D9" s="1928">
        <v>15</v>
      </c>
      <c r="E9" s="1928">
        <v>15</v>
      </c>
      <c r="F9" s="1928">
        <v>15</v>
      </c>
      <c r="G9" s="1928">
        <v>15</v>
      </c>
      <c r="H9" s="895"/>
      <c r="J9" s="1925"/>
      <c r="K9" s="1925"/>
      <c r="L9" s="1925"/>
      <c r="M9" s="1925"/>
    </row>
    <row r="10" spans="1:14" s="1918" customFormat="1" ht="12.75" customHeight="1" x14ac:dyDescent="0.15">
      <c r="A10" s="1926" t="s">
        <v>2404</v>
      </c>
      <c r="B10" s="1927">
        <f>SUM(C10:G10)</f>
        <v>148164</v>
      </c>
      <c r="C10" s="1928">
        <v>28298</v>
      </c>
      <c r="D10" s="1928">
        <v>29849</v>
      </c>
      <c r="E10" s="1928">
        <v>30902</v>
      </c>
      <c r="F10" s="1928">
        <v>29453</v>
      </c>
      <c r="G10" s="1928">
        <v>29662</v>
      </c>
      <c r="H10" s="895"/>
      <c r="J10" s="1925"/>
      <c r="K10" s="1925"/>
      <c r="L10" s="1925"/>
      <c r="M10" s="1925"/>
      <c r="N10" s="1925"/>
    </row>
    <row r="11" spans="1:14" s="1918" customFormat="1" ht="12.75" customHeight="1" x14ac:dyDescent="0.15">
      <c r="A11" s="1926" t="s">
        <v>2405</v>
      </c>
      <c r="B11" s="1927">
        <f>SUM(C11:G11)</f>
        <v>213801</v>
      </c>
      <c r="C11" s="1928">
        <v>0</v>
      </c>
      <c r="D11" s="1928">
        <v>28519</v>
      </c>
      <c r="E11" s="1928">
        <v>60534</v>
      </c>
      <c r="F11" s="1928">
        <v>62860</v>
      </c>
      <c r="G11" s="1928">
        <v>61888</v>
      </c>
      <c r="H11" s="895"/>
      <c r="J11" s="1925"/>
      <c r="K11" s="1925"/>
      <c r="L11" s="1925"/>
      <c r="M11" s="1925"/>
    </row>
    <row r="12" spans="1:14" s="1918" customFormat="1" ht="12.75" customHeight="1" x14ac:dyDescent="0.15">
      <c r="A12" s="1929" t="s">
        <v>2406</v>
      </c>
      <c r="B12" s="1927">
        <f>SUM(C12:G12)</f>
        <v>46669</v>
      </c>
      <c r="C12" s="1930">
        <v>0</v>
      </c>
      <c r="D12" s="1930">
        <v>7080</v>
      </c>
      <c r="E12" s="1930">
        <v>13528</v>
      </c>
      <c r="F12" s="1930">
        <v>12480</v>
      </c>
      <c r="G12" s="1930">
        <v>13581</v>
      </c>
      <c r="H12" s="895"/>
      <c r="J12" s="1925"/>
      <c r="K12" s="1925"/>
      <c r="L12" s="1925"/>
      <c r="M12" s="1925"/>
    </row>
    <row r="13" spans="1:14" s="1918" customFormat="1" ht="21.75" x14ac:dyDescent="0.15">
      <c r="A13" s="1931" t="s">
        <v>2407</v>
      </c>
      <c r="B13" s="3020"/>
      <c r="C13" s="3020"/>
      <c r="D13" s="3020"/>
      <c r="E13" s="3020"/>
      <c r="F13" s="3020"/>
      <c r="G13" s="3020"/>
      <c r="H13" s="895"/>
      <c r="J13" s="1925"/>
      <c r="K13" s="1925"/>
      <c r="L13" s="1925"/>
      <c r="M13" s="1925"/>
    </row>
    <row r="14" spans="1:14" s="1918" customFormat="1" ht="12.75" customHeight="1" x14ac:dyDescent="0.15">
      <c r="A14" s="1929" t="s">
        <v>2403</v>
      </c>
      <c r="B14" s="1927">
        <f>SUM(C14:G14)</f>
        <v>1</v>
      </c>
      <c r="C14" s="1930">
        <v>0</v>
      </c>
      <c r="D14" s="1930">
        <v>0</v>
      </c>
      <c r="E14" s="1930">
        <v>0</v>
      </c>
      <c r="F14" s="1930">
        <v>0</v>
      </c>
      <c r="G14" s="1930">
        <v>1</v>
      </c>
      <c r="H14" s="895"/>
      <c r="J14" s="1925"/>
      <c r="K14" s="1925"/>
      <c r="L14" s="1925"/>
      <c r="M14" s="1925"/>
    </row>
    <row r="15" spans="1:14" s="1918" customFormat="1" ht="12.75" customHeight="1" x14ac:dyDescent="0.15">
      <c r="A15" s="1929" t="s">
        <v>2408</v>
      </c>
      <c r="B15" s="1927">
        <f>SUM(C15:G15)</f>
        <v>495</v>
      </c>
      <c r="C15" s="1930">
        <v>0</v>
      </c>
      <c r="D15" s="1930">
        <v>0</v>
      </c>
      <c r="E15" s="1930">
        <v>0</v>
      </c>
      <c r="F15" s="1930">
        <v>0</v>
      </c>
      <c r="G15" s="1930">
        <v>495</v>
      </c>
      <c r="H15" s="895"/>
      <c r="J15" s="1925"/>
      <c r="K15" s="1925"/>
      <c r="L15" s="1925"/>
      <c r="M15" s="1925"/>
    </row>
    <row r="16" spans="1:14" s="1918" customFormat="1" x14ac:dyDescent="0.15">
      <c r="A16" s="1931" t="s">
        <v>2409</v>
      </c>
      <c r="C16" s="1930"/>
      <c r="D16" s="1930"/>
      <c r="E16" s="1930"/>
      <c r="F16" s="1930"/>
      <c r="G16" s="1930"/>
      <c r="H16" s="895"/>
      <c r="J16" s="1925"/>
      <c r="K16" s="1925"/>
      <c r="L16" s="1925"/>
      <c r="M16" s="1925"/>
    </row>
    <row r="17" spans="1:13" s="1918" customFormat="1" ht="12.75" customHeight="1" x14ac:dyDescent="0.15">
      <c r="A17" s="1929" t="s">
        <v>2403</v>
      </c>
      <c r="B17" s="1927">
        <f>SUM(C17:G17)</f>
        <v>1</v>
      </c>
      <c r="C17" s="1930">
        <v>0</v>
      </c>
      <c r="D17" s="1930">
        <v>0</v>
      </c>
      <c r="E17" s="1930">
        <v>0</v>
      </c>
      <c r="F17" s="1930">
        <v>0</v>
      </c>
      <c r="G17" s="1930">
        <v>1</v>
      </c>
      <c r="H17" s="895"/>
      <c r="J17" s="1925"/>
      <c r="K17" s="1925"/>
      <c r="L17" s="1925"/>
      <c r="M17" s="1925"/>
    </row>
    <row r="18" spans="1:13" s="1918" customFormat="1" ht="12.75" customHeight="1" x14ac:dyDescent="0.15">
      <c r="A18" s="1929" t="s">
        <v>2408</v>
      </c>
      <c r="B18" s="1927">
        <f>SUM(C18:G18)</f>
        <v>1801</v>
      </c>
      <c r="C18" s="1930">
        <v>0</v>
      </c>
      <c r="D18" s="1930">
        <v>0</v>
      </c>
      <c r="E18" s="1930">
        <v>0</v>
      </c>
      <c r="F18" s="1930">
        <v>0</v>
      </c>
      <c r="G18" s="1930">
        <v>1801</v>
      </c>
      <c r="H18" s="895"/>
      <c r="J18" s="1925"/>
      <c r="K18" s="1925"/>
      <c r="L18" s="1925"/>
      <c r="M18" s="1925"/>
    </row>
    <row r="19" spans="1:13" s="1918" customFormat="1" ht="10.5" customHeight="1" x14ac:dyDescent="0.15">
      <c r="A19" s="1932"/>
      <c r="B19" s="1930"/>
      <c r="C19" s="1930"/>
      <c r="D19" s="1930"/>
      <c r="E19" s="1930"/>
      <c r="F19" s="1930"/>
      <c r="G19" s="895"/>
      <c r="H19" s="895"/>
    </row>
    <row r="20" spans="1:13" s="1918" customFormat="1" ht="11.25" customHeight="1" x14ac:dyDescent="0.15">
      <c r="A20" s="3021" t="s">
        <v>2410</v>
      </c>
      <c r="B20" s="3021"/>
      <c r="C20" s="3021"/>
      <c r="D20" s="3021"/>
      <c r="E20" s="3021"/>
      <c r="F20" s="3021"/>
      <c r="G20" s="895"/>
      <c r="H20" s="895"/>
    </row>
    <row r="21" spans="1:13" s="1918" customFormat="1" ht="22.5" customHeight="1" x14ac:dyDescent="0.15">
      <c r="A21" s="3021" t="s">
        <v>2411</v>
      </c>
      <c r="B21" s="3021"/>
      <c r="C21" s="3021"/>
      <c r="D21" s="3021"/>
      <c r="E21" s="3021"/>
      <c r="F21" s="3021"/>
      <c r="G21" s="895"/>
      <c r="H21" s="895"/>
    </row>
    <row r="22" spans="1:13" s="1918" customFormat="1" ht="11.25" customHeight="1" x14ac:dyDescent="0.15">
      <c r="A22" s="3022" t="s">
        <v>2412</v>
      </c>
      <c r="B22" s="3022"/>
      <c r="C22" s="3022"/>
      <c r="D22" s="3022"/>
      <c r="E22" s="3022"/>
      <c r="F22" s="3022"/>
      <c r="G22" s="895"/>
      <c r="H22" s="895"/>
    </row>
    <row r="23" spans="1:13" s="1918" customFormat="1" ht="11.25" customHeight="1" x14ac:dyDescent="0.15">
      <c r="A23" s="3022" t="s">
        <v>2413</v>
      </c>
      <c r="B23" s="3022"/>
      <c r="C23" s="3022"/>
      <c r="D23" s="3022"/>
      <c r="E23" s="3022"/>
      <c r="F23" s="3022"/>
      <c r="G23" s="895"/>
      <c r="H23" s="895"/>
    </row>
    <row r="24" spans="1:13" s="1918" customFormat="1" ht="11.25" customHeight="1" x14ac:dyDescent="0.15">
      <c r="A24" s="3016" t="s">
        <v>731</v>
      </c>
      <c r="B24" s="3016"/>
      <c r="C24" s="3016"/>
      <c r="D24" s="3016"/>
      <c r="E24" s="3016"/>
      <c r="F24" s="3016"/>
      <c r="G24" s="1932"/>
      <c r="H24" s="1933"/>
    </row>
    <row r="25" spans="1:13" s="1918" customFormat="1" ht="11.25" customHeight="1" x14ac:dyDescent="0.15">
      <c r="A25" s="3016" t="s">
        <v>20</v>
      </c>
      <c r="B25" s="3016"/>
      <c r="C25" s="3016"/>
      <c r="D25" s="3016"/>
      <c r="E25" s="3016"/>
      <c r="F25" s="3016"/>
      <c r="G25" s="1932"/>
      <c r="H25" s="1933"/>
    </row>
    <row r="26" spans="1:13" s="1918" customFormat="1" ht="11.25" customHeight="1" x14ac:dyDescent="0.15">
      <c r="A26" s="3016" t="s">
        <v>2386</v>
      </c>
      <c r="B26" s="3016"/>
      <c r="C26" s="3016"/>
      <c r="D26" s="3016"/>
      <c r="E26" s="3016"/>
      <c r="F26" s="3016"/>
      <c r="G26" s="1933"/>
      <c r="H26" s="1933"/>
    </row>
    <row r="27" spans="1:13" x14ac:dyDescent="0.2">
      <c r="A27" s="1041"/>
      <c r="B27" s="1041"/>
      <c r="C27" s="1041"/>
      <c r="D27" s="1041"/>
      <c r="E27" s="1041"/>
      <c r="F27" s="1041"/>
      <c r="G27" s="1041"/>
    </row>
    <row r="36" spans="3:6" x14ac:dyDescent="0.2">
      <c r="C36" s="1047"/>
      <c r="D36" s="1048"/>
      <c r="E36" s="1048"/>
      <c r="F36" s="1048"/>
    </row>
    <row r="37" spans="3:6" x14ac:dyDescent="0.2">
      <c r="C37" s="1046"/>
      <c r="D37" s="1046"/>
      <c r="E37" s="1046"/>
      <c r="F37" s="1046"/>
    </row>
    <row r="38" spans="3:6" x14ac:dyDescent="0.2">
      <c r="C38" s="1046"/>
      <c r="D38" s="1046"/>
      <c r="E38" s="1046"/>
      <c r="F38" s="1046"/>
    </row>
  </sheetData>
  <mergeCells count="12">
    <mergeCell ref="A2:G2"/>
    <mergeCell ref="A26:F26"/>
    <mergeCell ref="A4:A5"/>
    <mergeCell ref="B4:G4"/>
    <mergeCell ref="B8:G8"/>
    <mergeCell ref="B13:G13"/>
    <mergeCell ref="A20:F20"/>
    <mergeCell ref="A21:F21"/>
    <mergeCell ref="A22:F22"/>
    <mergeCell ref="A23:F23"/>
    <mergeCell ref="A24:F24"/>
    <mergeCell ref="A25:F25"/>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2:K30"/>
  <sheetViews>
    <sheetView zoomScaleNormal="100" workbookViewId="0">
      <selection activeCell="H32" sqref="H32"/>
    </sheetView>
  </sheetViews>
  <sheetFormatPr baseColWidth="10" defaultColWidth="11.5703125" defaultRowHeight="10.5" x14ac:dyDescent="0.15"/>
  <cols>
    <col min="1" max="1" width="29" style="1934" customWidth="1"/>
    <col min="2" max="5" width="16.42578125" style="1934" customWidth="1"/>
    <col min="6" max="6" width="17.85546875" style="1934" customWidth="1"/>
    <col min="7" max="7" width="17.5703125" style="1934" customWidth="1"/>
    <col min="8" max="9" width="16.42578125" style="1934" customWidth="1"/>
    <col min="10" max="10" width="17.85546875" style="1934" customWidth="1"/>
    <col min="11" max="13" width="16.42578125" style="1934" customWidth="1"/>
    <col min="14" max="19" width="13.85546875" style="1934" customWidth="1"/>
    <col min="20" max="16384" width="11.5703125" style="1934"/>
  </cols>
  <sheetData>
    <row r="2" spans="1:10" ht="10.5" customHeight="1" x14ac:dyDescent="0.15">
      <c r="A2" s="3024" t="s">
        <v>4137</v>
      </c>
      <c r="B2" s="3024"/>
      <c r="C2" s="3024"/>
      <c r="D2" s="3024"/>
      <c r="E2" s="3024"/>
    </row>
    <row r="3" spans="1:10" x14ac:dyDescent="0.15">
      <c r="A3" s="1935"/>
      <c r="B3" s="1936"/>
      <c r="C3" s="1936"/>
      <c r="D3" s="1936"/>
      <c r="E3" s="1936"/>
      <c r="F3" s="1936"/>
      <c r="G3" s="1936"/>
      <c r="H3" s="1936"/>
      <c r="I3" s="1936"/>
    </row>
    <row r="4" spans="1:10" ht="15" customHeight="1" x14ac:dyDescent="0.15">
      <c r="A4" s="3025" t="s">
        <v>2358</v>
      </c>
      <c r="B4" s="3027">
        <v>2013</v>
      </c>
      <c r="C4" s="3028"/>
      <c r="D4" s="3029"/>
      <c r="E4" s="3027">
        <v>2014</v>
      </c>
      <c r="F4" s="3028"/>
      <c r="G4" s="3029"/>
      <c r="H4" s="3027">
        <v>2015</v>
      </c>
      <c r="I4" s="3028"/>
      <c r="J4" s="3029"/>
    </row>
    <row r="5" spans="1:10" ht="24" customHeight="1" x14ac:dyDescent="0.15">
      <c r="A5" s="3026"/>
      <c r="B5" s="1937" t="s">
        <v>141</v>
      </c>
      <c r="C5" s="1937" t="s">
        <v>4138</v>
      </c>
      <c r="D5" s="1937" t="s">
        <v>4139</v>
      </c>
      <c r="E5" s="1937" t="s">
        <v>141</v>
      </c>
      <c r="F5" s="1937" t="s">
        <v>4138</v>
      </c>
      <c r="G5" s="1937" t="s">
        <v>4140</v>
      </c>
      <c r="H5" s="1937" t="s">
        <v>141</v>
      </c>
      <c r="I5" s="1937" t="s">
        <v>4138</v>
      </c>
      <c r="J5" s="1937" t="s">
        <v>4139</v>
      </c>
    </row>
    <row r="6" spans="1:10" x14ac:dyDescent="0.15">
      <c r="A6" s="1938" t="s">
        <v>141</v>
      </c>
      <c r="B6" s="1939">
        <f t="shared" ref="B6:J6" si="0">B7+B10+B18</f>
        <v>842958030</v>
      </c>
      <c r="C6" s="1939">
        <f t="shared" si="0"/>
        <v>41188172</v>
      </c>
      <c r="D6" s="1940">
        <f t="shared" si="0"/>
        <v>801769858</v>
      </c>
      <c r="E6" s="1939">
        <f t="shared" si="0"/>
        <v>842213776</v>
      </c>
      <c r="F6" s="1939">
        <f t="shared" si="0"/>
        <v>46084273</v>
      </c>
      <c r="G6" s="1940">
        <f t="shared" si="0"/>
        <v>796129503</v>
      </c>
      <c r="H6" s="1939">
        <f t="shared" si="0"/>
        <v>888733086</v>
      </c>
      <c r="I6" s="1939">
        <f t="shared" si="0"/>
        <v>43375171</v>
      </c>
      <c r="J6" s="1940">
        <f t="shared" si="0"/>
        <v>845357915</v>
      </c>
    </row>
    <row r="7" spans="1:10" x14ac:dyDescent="0.15">
      <c r="A7" s="1941" t="s">
        <v>2364</v>
      </c>
      <c r="B7" s="1939">
        <f>C7+D7</f>
        <v>165261098</v>
      </c>
      <c r="C7" s="1939">
        <f>C8+C9</f>
        <v>9316925</v>
      </c>
      <c r="D7" s="1940">
        <f>D8+D9</f>
        <v>155944173</v>
      </c>
      <c r="E7" s="1939">
        <f>SUM(F7:G7)</f>
        <v>169149111</v>
      </c>
      <c r="F7" s="1939">
        <f>SUM(F8:F9)</f>
        <v>9983764</v>
      </c>
      <c r="G7" s="1939">
        <f>SUM(G8:G9)</f>
        <v>159165347</v>
      </c>
      <c r="H7" s="1939">
        <f>SUM(H8:H9)</f>
        <v>148677761</v>
      </c>
      <c r="I7" s="1939">
        <f>SUM(I8:I9)</f>
        <v>4829172</v>
      </c>
      <c r="J7" s="1942">
        <f>SUM(J8:J9)</f>
        <v>143848589</v>
      </c>
    </row>
    <row r="8" spans="1:10" x14ac:dyDescent="0.15">
      <c r="A8" s="1943" t="s">
        <v>2365</v>
      </c>
      <c r="B8" s="1944">
        <v>82927418</v>
      </c>
      <c r="C8" s="1944">
        <v>4223037</v>
      </c>
      <c r="D8" s="1945">
        <f>B8-C8</f>
        <v>78704381</v>
      </c>
      <c r="E8" s="1944">
        <f>SUM(F8:G8)</f>
        <v>83597843</v>
      </c>
      <c r="F8" s="1944">
        <v>4675005</v>
      </c>
      <c r="G8" s="1945">
        <v>78922838</v>
      </c>
      <c r="H8" s="1944">
        <f>I8+J8</f>
        <v>90094693</v>
      </c>
      <c r="I8" s="1944">
        <v>4730222</v>
      </c>
      <c r="J8" s="1945">
        <v>85364471</v>
      </c>
    </row>
    <row r="9" spans="1:10" ht="11.25" x14ac:dyDescent="0.15">
      <c r="A9" s="1943" t="s">
        <v>4141</v>
      </c>
      <c r="B9" s="1944">
        <v>82333680</v>
      </c>
      <c r="C9" s="1944">
        <v>5093888</v>
      </c>
      <c r="D9" s="1945">
        <f>B9-C9</f>
        <v>77239792</v>
      </c>
      <c r="E9" s="1944">
        <f>SUM(F9:G9)</f>
        <v>85551268</v>
      </c>
      <c r="F9" s="1944">
        <v>5308759</v>
      </c>
      <c r="G9" s="1945">
        <v>80242509</v>
      </c>
      <c r="H9" s="1944">
        <f>I9+J9</f>
        <v>58583068</v>
      </c>
      <c r="I9" s="1944">
        <v>98950</v>
      </c>
      <c r="J9" s="1945">
        <f>50541233-I9+8041835</f>
        <v>58484118</v>
      </c>
    </row>
    <row r="10" spans="1:10" x14ac:dyDescent="0.15">
      <c r="A10" s="1941" t="s">
        <v>2367</v>
      </c>
      <c r="B10" s="1939">
        <f>C10+D10</f>
        <v>442389396</v>
      </c>
      <c r="C10" s="1939">
        <f>SUM(C11:C17)</f>
        <v>19174066</v>
      </c>
      <c r="D10" s="1940">
        <f>SUM(D11:D17)</f>
        <v>423215330</v>
      </c>
      <c r="E10" s="1939">
        <f>F10+G10</f>
        <v>456292982</v>
      </c>
      <c r="F10" s="1939">
        <f>SUM(F11:F17)</f>
        <v>22117925</v>
      </c>
      <c r="G10" s="1939">
        <f>SUM(G11:G17)</f>
        <v>434175057</v>
      </c>
      <c r="H10" s="1939">
        <f>SUM(H11:H17)</f>
        <v>477362063</v>
      </c>
      <c r="I10" s="1939">
        <f>SUM(I11:I17)</f>
        <v>24737820</v>
      </c>
      <c r="J10" s="1940">
        <f>SUM(J11:J17)</f>
        <v>452624243</v>
      </c>
    </row>
    <row r="11" spans="1:10" x14ac:dyDescent="0.15">
      <c r="A11" s="1943" t="s">
        <v>2368</v>
      </c>
      <c r="B11" s="1944">
        <v>83705795</v>
      </c>
      <c r="C11" s="1944">
        <v>5015884</v>
      </c>
      <c r="D11" s="1945">
        <f t="shared" ref="D11:D17" si="1">B11-C11</f>
        <v>78689911</v>
      </c>
      <c r="E11" s="1944">
        <v>76409223</v>
      </c>
      <c r="F11" s="1944">
        <v>4657787</v>
      </c>
      <c r="G11" s="1945">
        <f>E11-F11</f>
        <v>71751436</v>
      </c>
      <c r="H11" s="1944">
        <f t="shared" ref="H11:H17" si="2">I11+J11</f>
        <v>87403854</v>
      </c>
      <c r="I11" s="1944">
        <v>4834900</v>
      </c>
      <c r="J11" s="1945">
        <v>82568954</v>
      </c>
    </row>
    <row r="12" spans="1:10" x14ac:dyDescent="0.15">
      <c r="A12" s="1943" t="s">
        <v>2369</v>
      </c>
      <c r="B12" s="1944">
        <v>76895005</v>
      </c>
      <c r="C12" s="1944">
        <v>3816262</v>
      </c>
      <c r="D12" s="1945">
        <f t="shared" si="1"/>
        <v>73078743</v>
      </c>
      <c r="E12" s="1944">
        <v>73990477</v>
      </c>
      <c r="F12" s="1944">
        <v>4507564</v>
      </c>
      <c r="G12" s="1945">
        <f>E12-F12</f>
        <v>69482913</v>
      </c>
      <c r="H12" s="1944">
        <f t="shared" si="2"/>
        <v>84128708</v>
      </c>
      <c r="I12" s="1944">
        <v>4787071</v>
      </c>
      <c r="J12" s="1945">
        <v>79341637</v>
      </c>
    </row>
    <row r="13" spans="1:10" x14ac:dyDescent="0.15">
      <c r="A13" s="1943" t="s">
        <v>2370</v>
      </c>
      <c r="B13" s="1944">
        <v>77468943</v>
      </c>
      <c r="C13" s="1944">
        <v>3001726</v>
      </c>
      <c r="D13" s="1945">
        <f t="shared" si="1"/>
        <v>74467217</v>
      </c>
      <c r="E13" s="1944">
        <v>75991994</v>
      </c>
      <c r="F13" s="1944">
        <v>4263716</v>
      </c>
      <c r="G13" s="1945">
        <f>E13-F13</f>
        <v>71728278</v>
      </c>
      <c r="H13" s="1944">
        <f t="shared" si="2"/>
        <v>84560253</v>
      </c>
      <c r="I13" s="1944">
        <v>4735565</v>
      </c>
      <c r="J13" s="1945">
        <v>79824688</v>
      </c>
    </row>
    <row r="14" spans="1:10" ht="11.25" x14ac:dyDescent="0.15">
      <c r="A14" s="1943" t="s">
        <v>4142</v>
      </c>
      <c r="B14" s="1944">
        <v>49533013</v>
      </c>
      <c r="C14" s="1944">
        <v>250664</v>
      </c>
      <c r="D14" s="1945">
        <f t="shared" si="1"/>
        <v>49282349</v>
      </c>
      <c r="E14" s="1944">
        <f>SUM(F14:G14)</f>
        <v>31489073</v>
      </c>
      <c r="F14" s="1944">
        <v>49775</v>
      </c>
      <c r="G14" s="1945">
        <f>31489073-F14</f>
        <v>31439298</v>
      </c>
      <c r="H14" s="1944">
        <f t="shared" si="2"/>
        <v>24217675</v>
      </c>
      <c r="I14" s="1944">
        <v>0</v>
      </c>
      <c r="J14" s="1945">
        <v>24217675</v>
      </c>
    </row>
    <row r="15" spans="1:10" ht="11.25" x14ac:dyDescent="0.15">
      <c r="A15" s="1943" t="s">
        <v>4143</v>
      </c>
      <c r="B15" s="1944">
        <v>73397883</v>
      </c>
      <c r="C15" s="1944">
        <v>2882090</v>
      </c>
      <c r="D15" s="1945">
        <f t="shared" si="1"/>
        <v>70515793</v>
      </c>
      <c r="E15" s="1944">
        <v>68302484</v>
      </c>
      <c r="F15" s="1944">
        <v>3746047</v>
      </c>
      <c r="G15" s="1945">
        <f>E15-F15</f>
        <v>64556437</v>
      </c>
      <c r="H15" s="1944">
        <f t="shared" si="2"/>
        <v>16763849</v>
      </c>
      <c r="I15" s="1944">
        <v>0</v>
      </c>
      <c r="J15" s="1945">
        <v>16763849</v>
      </c>
    </row>
    <row r="16" spans="1:10" x14ac:dyDescent="0.15">
      <c r="A16" s="1943" t="s">
        <v>2373</v>
      </c>
      <c r="B16" s="1944">
        <v>81388757</v>
      </c>
      <c r="C16" s="1944">
        <v>4207440</v>
      </c>
      <c r="D16" s="1945">
        <f t="shared" si="1"/>
        <v>77181317</v>
      </c>
      <c r="E16" s="1944">
        <v>85388060</v>
      </c>
      <c r="F16" s="1944">
        <v>4598363</v>
      </c>
      <c r="G16" s="1945">
        <f>E16-F16</f>
        <v>80789697</v>
      </c>
      <c r="H16" s="1944">
        <f t="shared" si="2"/>
        <v>94715327</v>
      </c>
      <c r="I16" s="1944">
        <v>4780972</v>
      </c>
      <c r="J16" s="1945">
        <v>89934355</v>
      </c>
    </row>
    <row r="17" spans="1:11" ht="11.25" x14ac:dyDescent="0.15">
      <c r="A17" s="1943" t="s">
        <v>4144</v>
      </c>
      <c r="B17" s="1944">
        <v>0</v>
      </c>
      <c r="C17" s="1944">
        <v>0</v>
      </c>
      <c r="D17" s="1945">
        <f t="shared" si="1"/>
        <v>0</v>
      </c>
      <c r="E17" s="1944">
        <f>SUM(F17:G17)</f>
        <v>44721671</v>
      </c>
      <c r="F17" s="1944">
        <v>294673</v>
      </c>
      <c r="G17" s="1945">
        <f>44721671-F17</f>
        <v>44426998</v>
      </c>
      <c r="H17" s="1944">
        <f t="shared" si="2"/>
        <v>85572397</v>
      </c>
      <c r="I17" s="1944">
        <v>5599312</v>
      </c>
      <c r="J17" s="1945">
        <v>79973085</v>
      </c>
    </row>
    <row r="18" spans="1:11" x14ac:dyDescent="0.15">
      <c r="A18" s="1941" t="s">
        <v>2375</v>
      </c>
      <c r="B18" s="1939">
        <f>C18+D18</f>
        <v>235307536</v>
      </c>
      <c r="C18" s="1939">
        <f>C19+C20+C21</f>
        <v>12697181</v>
      </c>
      <c r="D18" s="1940">
        <f>D19+D20+D21</f>
        <v>222610355</v>
      </c>
      <c r="E18" s="1939">
        <f>F18+G18</f>
        <v>216771683</v>
      </c>
      <c r="F18" s="1939">
        <f>F19+F20+F21</f>
        <v>13982584</v>
      </c>
      <c r="G18" s="1940">
        <f>G19+G20+G21</f>
        <v>202789099</v>
      </c>
      <c r="H18" s="1939">
        <f>SUM(H19:H21)</f>
        <v>262693262</v>
      </c>
      <c r="I18" s="1939">
        <f>SUM(I19:I21)</f>
        <v>13808179</v>
      </c>
      <c r="J18" s="1940">
        <f>SUM(J19:J21)</f>
        <v>248885083</v>
      </c>
    </row>
    <row r="19" spans="1:11" x14ac:dyDescent="0.15">
      <c r="A19" s="1943" t="s">
        <v>2376</v>
      </c>
      <c r="B19" s="1944">
        <v>78482097</v>
      </c>
      <c r="C19" s="1944">
        <v>4807758</v>
      </c>
      <c r="D19" s="1945">
        <f>B19-C19</f>
        <v>73674339</v>
      </c>
      <c r="E19" s="1944">
        <v>79341576</v>
      </c>
      <c r="F19" s="1944">
        <v>4997322</v>
      </c>
      <c r="G19" s="1945">
        <v>74344254</v>
      </c>
      <c r="H19" s="1944">
        <f>I19+J19</f>
        <v>87412014</v>
      </c>
      <c r="I19" s="1944">
        <v>4771043</v>
      </c>
      <c r="J19" s="1945">
        <v>82640971</v>
      </c>
    </row>
    <row r="20" spans="1:11" x14ac:dyDescent="0.15">
      <c r="A20" s="1943" t="s">
        <v>2377</v>
      </c>
      <c r="B20" s="1944">
        <v>75103636</v>
      </c>
      <c r="C20" s="1944">
        <v>2847247</v>
      </c>
      <c r="D20" s="1945">
        <f>B20-C20</f>
        <v>72256389</v>
      </c>
      <c r="E20" s="1944">
        <v>78756255</v>
      </c>
      <c r="F20" s="1944">
        <v>4800853</v>
      </c>
      <c r="G20" s="1945">
        <v>73955402</v>
      </c>
      <c r="H20" s="1944">
        <f>I20+J20</f>
        <v>90570250</v>
      </c>
      <c r="I20" s="1944">
        <v>4710258</v>
      </c>
      <c r="J20" s="1945">
        <v>85859992</v>
      </c>
    </row>
    <row r="21" spans="1:11" ht="11.25" x14ac:dyDescent="0.15">
      <c r="A21" s="1946" t="s">
        <v>4145</v>
      </c>
      <c r="B21" s="1947">
        <v>81721803</v>
      </c>
      <c r="C21" s="1947">
        <v>5042176</v>
      </c>
      <c r="D21" s="1948">
        <f>B21-C21</f>
        <v>76679627</v>
      </c>
      <c r="E21" s="1947">
        <f>SUM(F21:G21)</f>
        <v>58673852</v>
      </c>
      <c r="F21" s="1947">
        <v>4184409</v>
      </c>
      <c r="G21" s="1948">
        <f>58673852-F21</f>
        <v>54489443</v>
      </c>
      <c r="H21" s="1947">
        <f>I21+J21</f>
        <v>84710998</v>
      </c>
      <c r="I21" s="1947">
        <v>4326878</v>
      </c>
      <c r="J21" s="1948">
        <v>80384120</v>
      </c>
    </row>
    <row r="22" spans="1:11" ht="10.5" customHeight="1" x14ac:dyDescent="0.15">
      <c r="A22" s="1949"/>
      <c r="B22" s="1944"/>
      <c r="C22" s="1944"/>
      <c r="D22" s="1944"/>
      <c r="E22" s="1944"/>
    </row>
    <row r="23" spans="1:11" s="1952" customFormat="1" ht="11.25" customHeight="1" x14ac:dyDescent="0.25">
      <c r="A23" s="1950" t="s">
        <v>4146</v>
      </c>
      <c r="B23" s="1950"/>
      <c r="C23" s="1950"/>
      <c r="D23" s="1950"/>
      <c r="E23" s="1950"/>
      <c r="F23" s="1951"/>
      <c r="G23" s="1951"/>
      <c r="H23" s="1951"/>
      <c r="I23" s="1951"/>
    </row>
    <row r="24" spans="1:11" s="1952" customFormat="1" ht="11.25" customHeight="1" x14ac:dyDescent="0.25">
      <c r="A24" s="1950" t="s">
        <v>4147</v>
      </c>
      <c r="B24" s="1950"/>
      <c r="C24" s="1950"/>
      <c r="D24" s="1950"/>
      <c r="E24" s="1950"/>
      <c r="F24" s="1953"/>
      <c r="G24" s="3023"/>
      <c r="H24" s="3023"/>
      <c r="I24" s="3023"/>
    </row>
    <row r="25" spans="1:11" s="1952" customFormat="1" ht="11.25" customHeight="1" x14ac:dyDescent="0.25">
      <c r="A25" s="1954" t="s">
        <v>4148</v>
      </c>
      <c r="B25" s="1954"/>
      <c r="C25" s="1954"/>
      <c r="D25" s="1954"/>
      <c r="E25" s="1954"/>
      <c r="F25" s="1953"/>
      <c r="G25" s="1953"/>
      <c r="H25" s="1953"/>
      <c r="I25" s="1953"/>
      <c r="J25" s="1954"/>
      <c r="K25" s="1954"/>
    </row>
    <row r="26" spans="1:11" s="1952" customFormat="1" ht="11.25" customHeight="1" x14ac:dyDescent="0.15">
      <c r="A26" s="1954" t="s">
        <v>4149</v>
      </c>
      <c r="B26" s="1954"/>
      <c r="C26" s="1954"/>
      <c r="D26" s="1954"/>
      <c r="E26" s="1954"/>
      <c r="F26" s="1939"/>
      <c r="G26" s="1939"/>
      <c r="H26" s="1939"/>
      <c r="I26" s="1939"/>
      <c r="J26" s="1955"/>
      <c r="K26" s="1955"/>
    </row>
    <row r="27" spans="1:11" s="1952" customFormat="1" ht="11.25" customHeight="1" x14ac:dyDescent="0.15">
      <c r="A27" s="1956" t="s">
        <v>4150</v>
      </c>
      <c r="B27" s="1957"/>
      <c r="C27" s="1957"/>
      <c r="D27" s="1957"/>
      <c r="E27" s="1957"/>
      <c r="F27" s="1939"/>
      <c r="G27" s="1939"/>
      <c r="H27" s="1939"/>
      <c r="I27" s="1958"/>
      <c r="J27" s="1957"/>
      <c r="K27" s="1957"/>
    </row>
    <row r="28" spans="1:11" s="1952" customFormat="1" ht="11.25" customHeight="1" x14ac:dyDescent="0.15">
      <c r="A28" s="1959" t="s">
        <v>20</v>
      </c>
      <c r="B28" s="1959"/>
      <c r="C28" s="1959"/>
      <c r="D28" s="1959"/>
      <c r="E28" s="1959"/>
      <c r="F28" s="1944"/>
      <c r="G28" s="1944"/>
      <c r="H28" s="1944"/>
      <c r="I28" s="1944"/>
    </row>
    <row r="29" spans="1:11" s="1952" customFormat="1" ht="11.25" customHeight="1" x14ac:dyDescent="0.15">
      <c r="A29" s="1959" t="s">
        <v>2386</v>
      </c>
      <c r="B29" s="1959"/>
      <c r="C29" s="1959"/>
      <c r="D29" s="1959"/>
      <c r="E29" s="1959"/>
      <c r="F29" s="1944"/>
      <c r="G29" s="1944"/>
      <c r="H29" s="1944"/>
      <c r="I29" s="1944"/>
    </row>
    <row r="30" spans="1:11" x14ac:dyDescent="0.15">
      <c r="F30" s="1939"/>
      <c r="G30" s="1939"/>
      <c r="H30" s="1939"/>
      <c r="I30" s="1939"/>
    </row>
  </sheetData>
  <mergeCells count="6">
    <mergeCell ref="G24:I24"/>
    <mergeCell ref="A2:E2"/>
    <mergeCell ref="A4:A5"/>
    <mergeCell ref="B4:D4"/>
    <mergeCell ref="E4:G4"/>
    <mergeCell ref="H4:J4"/>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F24"/>
  <sheetViews>
    <sheetView zoomScaleNormal="100" workbookViewId="0">
      <selection activeCell="B27" sqref="B27"/>
    </sheetView>
  </sheetViews>
  <sheetFormatPr baseColWidth="10" defaultRowHeight="15" x14ac:dyDescent="0.25"/>
  <cols>
    <col min="1" max="1" width="17.42578125" customWidth="1"/>
  </cols>
  <sheetData>
    <row r="1" spans="1:6" x14ac:dyDescent="0.25">
      <c r="A1" s="1"/>
      <c r="B1" s="1"/>
      <c r="C1" s="1"/>
      <c r="D1" s="1"/>
      <c r="E1" s="1"/>
    </row>
    <row r="2" spans="1:6" ht="36.75" customHeight="1" x14ac:dyDescent="0.25">
      <c r="A2" s="2304" t="s">
        <v>0</v>
      </c>
      <c r="B2" s="2304"/>
      <c r="C2" s="2304"/>
      <c r="D2" s="2304"/>
      <c r="E2" s="2304"/>
      <c r="F2" s="2304"/>
    </row>
    <row r="3" spans="1:6" ht="11.25" customHeight="1" x14ac:dyDescent="0.25">
      <c r="A3" s="2305"/>
      <c r="B3" s="2305"/>
      <c r="C3" s="2305"/>
      <c r="D3" s="2305"/>
      <c r="E3" s="2305"/>
      <c r="F3" s="2305"/>
    </row>
    <row r="4" spans="1:6" x14ac:dyDescent="0.25">
      <c r="A4" s="2306" t="s">
        <v>1</v>
      </c>
      <c r="B4" s="2306" t="s">
        <v>2</v>
      </c>
      <c r="C4" s="2306"/>
      <c r="D4" s="2306"/>
      <c r="E4" s="2306"/>
      <c r="F4" s="2306"/>
    </row>
    <row r="5" spans="1:6" x14ac:dyDescent="0.25">
      <c r="A5" s="2306"/>
      <c r="B5" s="2">
        <v>2011</v>
      </c>
      <c r="C5" s="2">
        <v>2012</v>
      </c>
      <c r="D5" s="2">
        <v>2013</v>
      </c>
      <c r="E5" s="2">
        <v>2014</v>
      </c>
      <c r="F5" s="3" t="s">
        <v>3</v>
      </c>
    </row>
    <row r="6" spans="1:6" ht="13.5" customHeight="1" x14ac:dyDescent="0.25">
      <c r="A6" s="4" t="s">
        <v>4</v>
      </c>
      <c r="B6" s="5">
        <f t="shared" ref="B6:E6" si="0">SUM(B7:B21)</f>
        <v>10</v>
      </c>
      <c r="C6" s="5">
        <f t="shared" si="0"/>
        <v>10</v>
      </c>
      <c r="D6" s="5">
        <f t="shared" si="0"/>
        <v>9</v>
      </c>
      <c r="E6" s="5">
        <f t="shared" si="0"/>
        <v>9</v>
      </c>
      <c r="F6" s="5">
        <f>SUM(F7:F21)</f>
        <v>9</v>
      </c>
    </row>
    <row r="7" spans="1:6" ht="13.5" customHeight="1" x14ac:dyDescent="0.25">
      <c r="A7" s="6" t="s">
        <v>5</v>
      </c>
      <c r="B7" s="7">
        <v>0</v>
      </c>
      <c r="C7" s="7">
        <v>0</v>
      </c>
      <c r="D7" s="7">
        <v>0</v>
      </c>
      <c r="E7" s="8">
        <v>0</v>
      </c>
      <c r="F7" s="7">
        <v>0</v>
      </c>
    </row>
    <row r="8" spans="1:6" ht="13.5" customHeight="1" x14ac:dyDescent="0.25">
      <c r="A8" s="6" t="s">
        <v>6</v>
      </c>
      <c r="B8" s="7">
        <v>0</v>
      </c>
      <c r="C8" s="7">
        <v>0</v>
      </c>
      <c r="D8" s="7">
        <v>0</v>
      </c>
      <c r="E8" s="8">
        <v>0</v>
      </c>
      <c r="F8" s="7">
        <v>0</v>
      </c>
    </row>
    <row r="9" spans="1:6" ht="13.5" customHeight="1" x14ac:dyDescent="0.25">
      <c r="A9" s="6" t="s">
        <v>7</v>
      </c>
      <c r="B9" s="7">
        <v>1</v>
      </c>
      <c r="C9" s="7">
        <v>0</v>
      </c>
      <c r="D9" s="7">
        <v>0</v>
      </c>
      <c r="E9" s="9">
        <v>1</v>
      </c>
      <c r="F9" s="7">
        <v>0</v>
      </c>
    </row>
    <row r="10" spans="1:6" ht="13.5" customHeight="1" x14ac:dyDescent="0.25">
      <c r="A10" s="6" t="s">
        <v>8</v>
      </c>
      <c r="B10" s="7">
        <v>0</v>
      </c>
      <c r="C10" s="7">
        <v>0</v>
      </c>
      <c r="D10" s="7">
        <v>0</v>
      </c>
      <c r="E10" s="8">
        <v>0</v>
      </c>
      <c r="F10" s="7">
        <v>0</v>
      </c>
    </row>
    <row r="11" spans="1:6" ht="13.5" customHeight="1" x14ac:dyDescent="0.25">
      <c r="A11" s="6" t="s">
        <v>9</v>
      </c>
      <c r="B11" s="7">
        <v>0</v>
      </c>
      <c r="C11" s="7">
        <v>1</v>
      </c>
      <c r="D11" s="7">
        <v>0</v>
      </c>
      <c r="E11" s="8">
        <v>0</v>
      </c>
      <c r="F11" s="7">
        <v>0</v>
      </c>
    </row>
    <row r="12" spans="1:6" ht="13.5" customHeight="1" x14ac:dyDescent="0.25">
      <c r="A12" s="6" t="s">
        <v>10</v>
      </c>
      <c r="B12" s="7">
        <v>0</v>
      </c>
      <c r="C12" s="7">
        <v>1</v>
      </c>
      <c r="D12" s="7">
        <v>0</v>
      </c>
      <c r="E12" s="8">
        <v>0</v>
      </c>
      <c r="F12" s="7">
        <v>1</v>
      </c>
    </row>
    <row r="13" spans="1:6" ht="13.5" customHeight="1" x14ac:dyDescent="0.25">
      <c r="A13" s="6" t="s">
        <v>11</v>
      </c>
      <c r="B13" s="7">
        <v>5</v>
      </c>
      <c r="C13" s="7">
        <v>7</v>
      </c>
      <c r="D13" s="7">
        <v>5</v>
      </c>
      <c r="E13" s="10">
        <v>6</v>
      </c>
      <c r="F13" s="7">
        <v>6</v>
      </c>
    </row>
    <row r="14" spans="1:6" ht="13.5" customHeight="1" x14ac:dyDescent="0.25">
      <c r="A14" s="6" t="s">
        <v>12</v>
      </c>
      <c r="B14" s="7">
        <v>1</v>
      </c>
      <c r="C14" s="7">
        <v>0</v>
      </c>
      <c r="D14" s="7">
        <v>1</v>
      </c>
      <c r="E14" s="10">
        <v>1</v>
      </c>
      <c r="F14" s="7">
        <v>0</v>
      </c>
    </row>
    <row r="15" spans="1:6" ht="13.5" customHeight="1" x14ac:dyDescent="0.25">
      <c r="A15" s="6" t="s">
        <v>13</v>
      </c>
      <c r="B15" s="7">
        <v>0</v>
      </c>
      <c r="C15" s="7">
        <v>0</v>
      </c>
      <c r="D15" s="7">
        <v>0</v>
      </c>
      <c r="E15" s="8">
        <v>0</v>
      </c>
      <c r="F15" s="7">
        <v>0</v>
      </c>
    </row>
    <row r="16" spans="1:6" ht="13.5" customHeight="1" x14ac:dyDescent="0.25">
      <c r="A16" s="6" t="s">
        <v>14</v>
      </c>
      <c r="B16" s="7">
        <v>1</v>
      </c>
      <c r="C16" s="7">
        <v>0</v>
      </c>
      <c r="D16" s="7">
        <v>1</v>
      </c>
      <c r="E16" s="8">
        <v>0</v>
      </c>
      <c r="F16" s="7">
        <v>1</v>
      </c>
    </row>
    <row r="17" spans="1:6" ht="13.5" customHeight="1" x14ac:dyDescent="0.25">
      <c r="A17" s="6" t="s">
        <v>15</v>
      </c>
      <c r="B17" s="7">
        <v>1</v>
      </c>
      <c r="C17" s="7">
        <v>1</v>
      </c>
      <c r="D17" s="7">
        <v>1</v>
      </c>
      <c r="E17" s="8">
        <v>0</v>
      </c>
      <c r="F17" s="7">
        <v>1</v>
      </c>
    </row>
    <row r="18" spans="1:6" ht="13.5" customHeight="1" x14ac:dyDescent="0.25">
      <c r="A18" s="6" t="s">
        <v>16</v>
      </c>
      <c r="B18" s="7">
        <v>0</v>
      </c>
      <c r="C18" s="7">
        <v>0</v>
      </c>
      <c r="D18" s="7">
        <v>0</v>
      </c>
      <c r="E18" s="8">
        <v>0</v>
      </c>
      <c r="F18" s="7">
        <v>0</v>
      </c>
    </row>
    <row r="19" spans="1:6" ht="13.5" customHeight="1" x14ac:dyDescent="0.25">
      <c r="A19" s="6" t="s">
        <v>17</v>
      </c>
      <c r="B19" s="7">
        <v>1</v>
      </c>
      <c r="C19" s="7">
        <v>0</v>
      </c>
      <c r="D19" s="7">
        <v>1</v>
      </c>
      <c r="E19" s="8">
        <v>0</v>
      </c>
      <c r="F19" s="7">
        <v>0</v>
      </c>
    </row>
    <row r="20" spans="1:6" ht="13.5" customHeight="1" x14ac:dyDescent="0.25">
      <c r="A20" s="6" t="s">
        <v>18</v>
      </c>
      <c r="B20" s="7">
        <v>0</v>
      </c>
      <c r="C20" s="7">
        <v>0</v>
      </c>
      <c r="D20" s="7">
        <v>0</v>
      </c>
      <c r="E20" s="8">
        <v>0</v>
      </c>
      <c r="F20" s="7">
        <v>0</v>
      </c>
    </row>
    <row r="21" spans="1:6" ht="13.5" customHeight="1" x14ac:dyDescent="0.25">
      <c r="A21" s="6" t="s">
        <v>19</v>
      </c>
      <c r="B21" s="7">
        <v>0</v>
      </c>
      <c r="C21" s="7">
        <v>0</v>
      </c>
      <c r="D21" s="7">
        <v>0</v>
      </c>
      <c r="E21" s="10">
        <v>1</v>
      </c>
      <c r="F21" s="7">
        <v>0</v>
      </c>
    </row>
    <row r="22" spans="1:6" ht="11.25" customHeight="1" x14ac:dyDescent="0.25">
      <c r="A22" s="2307"/>
      <c r="B22" s="2307"/>
      <c r="C22" s="2307"/>
      <c r="D22" s="2307"/>
      <c r="E22" s="2307"/>
      <c r="F22" s="2307"/>
    </row>
    <row r="23" spans="1:6" ht="11.25" customHeight="1" x14ac:dyDescent="0.25">
      <c r="A23" s="2303" t="s">
        <v>20</v>
      </c>
      <c r="B23" s="2303"/>
      <c r="C23" s="2303"/>
      <c r="D23" s="2303"/>
      <c r="E23" s="2303"/>
      <c r="F23" s="2303"/>
    </row>
    <row r="24" spans="1:6" ht="11.25" customHeight="1" x14ac:dyDescent="0.25">
      <c r="A24" s="2303" t="s">
        <v>21</v>
      </c>
      <c r="B24" s="2303"/>
      <c r="C24" s="2303"/>
      <c r="D24" s="2303"/>
      <c r="E24" s="2303"/>
      <c r="F24" s="2303"/>
    </row>
  </sheetData>
  <mergeCells count="7">
    <mergeCell ref="A24:F24"/>
    <mergeCell ref="A2:F2"/>
    <mergeCell ref="A3:F3"/>
    <mergeCell ref="A4:A5"/>
    <mergeCell ref="B4:F4"/>
    <mergeCell ref="A22:F22"/>
    <mergeCell ref="A23:F23"/>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F16"/>
  <sheetViews>
    <sheetView workbookViewId="0">
      <selection activeCell="J8" sqref="J8"/>
    </sheetView>
  </sheetViews>
  <sheetFormatPr baseColWidth="10" defaultColWidth="9.140625" defaultRowHeight="10.5" x14ac:dyDescent="0.15"/>
  <cols>
    <col min="1" max="1" width="41.85546875" style="97" customWidth="1"/>
    <col min="2" max="6" width="8.140625" style="97" customWidth="1"/>
    <col min="7" max="16384" width="9.140625" style="97"/>
  </cols>
  <sheetData>
    <row r="1" spans="1:6" ht="12.75" customHeight="1" x14ac:dyDescent="0.15"/>
    <row r="2" spans="1:6" ht="22.5" customHeight="1" x14ac:dyDescent="0.15">
      <c r="A2" s="2343" t="s">
        <v>4245</v>
      </c>
      <c r="B2" s="2343"/>
      <c r="C2" s="2343"/>
      <c r="D2" s="2343"/>
      <c r="E2" s="2343"/>
      <c r="F2" s="2343"/>
    </row>
    <row r="3" spans="1:6" ht="6.75" customHeight="1" x14ac:dyDescent="0.15">
      <c r="A3" s="98"/>
      <c r="B3" s="99"/>
      <c r="C3" s="99"/>
      <c r="D3" s="99"/>
      <c r="E3" s="99"/>
      <c r="F3" s="99"/>
    </row>
    <row r="4" spans="1:6" x14ac:dyDescent="0.15">
      <c r="A4" s="100" t="s">
        <v>178</v>
      </c>
      <c r="B4" s="101">
        <v>2011</v>
      </c>
      <c r="C4" s="101">
        <v>2012</v>
      </c>
      <c r="D4" s="101">
        <v>2013</v>
      </c>
      <c r="E4" s="101">
        <v>2014</v>
      </c>
      <c r="F4" s="100">
        <v>2015</v>
      </c>
    </row>
    <row r="5" spans="1:6" ht="15" customHeight="1" x14ac:dyDescent="0.15">
      <c r="A5" s="170" t="s">
        <v>179</v>
      </c>
      <c r="B5" s="102">
        <v>3</v>
      </c>
      <c r="C5" s="102">
        <v>2</v>
      </c>
      <c r="D5" s="102">
        <v>6</v>
      </c>
      <c r="E5" s="102">
        <v>2</v>
      </c>
      <c r="F5" s="102">
        <v>4</v>
      </c>
    </row>
    <row r="6" spans="1:6" ht="15.75" customHeight="1" x14ac:dyDescent="0.15">
      <c r="A6" s="1994" t="s">
        <v>180</v>
      </c>
      <c r="B6" s="103" t="s">
        <v>181</v>
      </c>
      <c r="C6" s="103" t="s">
        <v>181</v>
      </c>
      <c r="D6" s="103">
        <v>3</v>
      </c>
      <c r="E6" s="103">
        <v>2</v>
      </c>
      <c r="F6" s="103">
        <v>3</v>
      </c>
    </row>
    <row r="7" spans="1:6" ht="14.25" customHeight="1" x14ac:dyDescent="0.15">
      <c r="A7" s="1994" t="s">
        <v>182</v>
      </c>
      <c r="B7" s="103" t="s">
        <v>181</v>
      </c>
      <c r="C7" s="103" t="s">
        <v>181</v>
      </c>
      <c r="D7" s="103">
        <v>3</v>
      </c>
      <c r="E7" s="103">
        <v>0</v>
      </c>
      <c r="F7" s="103">
        <v>1</v>
      </c>
    </row>
    <row r="8" spans="1:6" ht="11.25" customHeight="1" x14ac:dyDescent="0.15">
      <c r="A8" s="170" t="s">
        <v>183</v>
      </c>
      <c r="B8" s="102">
        <v>7</v>
      </c>
      <c r="C8" s="102">
        <v>327</v>
      </c>
      <c r="D8" s="102">
        <v>85</v>
      </c>
      <c r="E8" s="102">
        <v>24</v>
      </c>
      <c r="F8" s="102">
        <v>51</v>
      </c>
    </row>
    <row r="9" spans="1:6" ht="14.25" customHeight="1" x14ac:dyDescent="0.15">
      <c r="A9" s="1994" t="s">
        <v>180</v>
      </c>
      <c r="B9" s="103" t="s">
        <v>181</v>
      </c>
      <c r="C9" s="103" t="s">
        <v>181</v>
      </c>
      <c r="D9" s="103">
        <v>39</v>
      </c>
      <c r="E9" s="103">
        <v>24</v>
      </c>
      <c r="F9" s="103">
        <v>6</v>
      </c>
    </row>
    <row r="10" spans="1:6" ht="15.75" customHeight="1" x14ac:dyDescent="0.15">
      <c r="A10" s="1994" t="s">
        <v>182</v>
      </c>
      <c r="B10" s="103" t="s">
        <v>181</v>
      </c>
      <c r="C10" s="103" t="s">
        <v>181</v>
      </c>
      <c r="D10" s="103">
        <v>46</v>
      </c>
      <c r="E10" s="103">
        <v>0</v>
      </c>
      <c r="F10" s="103">
        <v>45</v>
      </c>
    </row>
    <row r="11" spans="1:6" ht="15.75" customHeight="1" x14ac:dyDescent="0.15">
      <c r="A11" s="1994"/>
      <c r="B11" s="99"/>
      <c r="C11" s="99"/>
      <c r="D11" s="99"/>
      <c r="E11" s="99"/>
      <c r="F11" s="99"/>
    </row>
    <row r="12" spans="1:6" ht="16.5" customHeight="1" x14ac:dyDescent="0.15">
      <c r="A12" s="2344" t="s">
        <v>184</v>
      </c>
      <c r="B12" s="2345"/>
      <c r="C12" s="2345"/>
      <c r="D12" s="2345"/>
      <c r="E12" s="2345"/>
      <c r="F12" s="2345"/>
    </row>
    <row r="13" spans="1:6" ht="13.5" customHeight="1" x14ac:dyDescent="0.15">
      <c r="A13" s="2344" t="s">
        <v>185</v>
      </c>
      <c r="B13" s="2345"/>
      <c r="C13" s="2345"/>
      <c r="D13" s="2345"/>
      <c r="E13" s="2345"/>
      <c r="F13" s="2345"/>
    </row>
    <row r="14" spans="1:6" x14ac:dyDescent="0.15">
      <c r="A14" s="99"/>
      <c r="B14" s="99"/>
      <c r="C14" s="99"/>
      <c r="D14" s="99"/>
      <c r="E14" s="99"/>
      <c r="F14" s="99"/>
    </row>
    <row r="15" spans="1:6" x14ac:dyDescent="0.15">
      <c r="A15" s="99"/>
      <c r="B15" s="99"/>
      <c r="C15" s="99"/>
      <c r="D15" s="99"/>
      <c r="E15" s="99"/>
      <c r="F15" s="99"/>
    </row>
    <row r="16" spans="1:6" x14ac:dyDescent="0.15">
      <c r="A16" s="99"/>
      <c r="B16" s="99"/>
      <c r="C16" s="99"/>
      <c r="D16" s="99"/>
      <c r="E16" s="99"/>
      <c r="F16" s="99"/>
    </row>
  </sheetData>
  <mergeCells count="3">
    <mergeCell ref="A2:F2"/>
    <mergeCell ref="A12:F12"/>
    <mergeCell ref="A13:F1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M41"/>
  <sheetViews>
    <sheetView zoomScaleNormal="100" workbookViewId="0">
      <selection activeCell="L28" sqref="L28"/>
    </sheetView>
  </sheetViews>
  <sheetFormatPr baseColWidth="10" defaultColWidth="11.42578125" defaultRowHeight="10.5" x14ac:dyDescent="0.15"/>
  <cols>
    <col min="1" max="1" width="19.28515625" style="1865" customWidth="1"/>
    <col min="2" max="2" width="21" style="1865" bestFit="1" customWidth="1"/>
    <col min="3" max="10" width="10.7109375" style="1865" customWidth="1"/>
    <col min="11" max="11" width="9.7109375" style="1865" customWidth="1"/>
    <col min="12" max="16384" width="11.42578125" style="1865"/>
  </cols>
  <sheetData>
    <row r="2" spans="1:13" ht="22.5" customHeight="1" x14ac:dyDescent="0.15">
      <c r="A2" s="3031" t="s">
        <v>4151</v>
      </c>
      <c r="B2" s="3031"/>
      <c r="C2" s="3031"/>
      <c r="D2" s="3031"/>
      <c r="E2" s="3031"/>
      <c r="F2" s="3031"/>
      <c r="G2" s="3031"/>
      <c r="H2" s="3031"/>
      <c r="I2" s="3031"/>
      <c r="J2" s="3031"/>
    </row>
    <row r="3" spans="1:13" x14ac:dyDescent="0.15">
      <c r="A3" s="161"/>
    </row>
    <row r="4" spans="1:13" ht="17.45" customHeight="1" x14ac:dyDescent="0.15">
      <c r="A4" s="3032" t="s">
        <v>2414</v>
      </c>
      <c r="B4" s="3033"/>
      <c r="C4" s="3036" t="s">
        <v>2226</v>
      </c>
      <c r="D4" s="3036"/>
      <c r="E4" s="3036"/>
      <c r="F4" s="3036"/>
      <c r="G4" s="3037" t="s">
        <v>2362</v>
      </c>
      <c r="H4" s="3038"/>
      <c r="I4" s="3038"/>
      <c r="J4" s="3039"/>
      <c r="M4" s="1866"/>
    </row>
    <row r="5" spans="1:13" ht="15.6" customHeight="1" x14ac:dyDescent="0.15">
      <c r="A5" s="3034"/>
      <c r="B5" s="3035"/>
      <c r="C5" s="1960" t="s">
        <v>141</v>
      </c>
      <c r="D5" s="1868">
        <v>2013</v>
      </c>
      <c r="E5" s="1868">
        <v>2014</v>
      </c>
      <c r="F5" s="1868">
        <v>2015</v>
      </c>
      <c r="G5" s="1864" t="s">
        <v>141</v>
      </c>
      <c r="H5" s="1864" t="s">
        <v>2239</v>
      </c>
      <c r="I5" s="1864">
        <v>2014</v>
      </c>
      <c r="J5" s="1864">
        <v>2015</v>
      </c>
      <c r="L5" s="161"/>
      <c r="M5" s="1866"/>
    </row>
    <row r="6" spans="1:13" ht="15.6" customHeight="1" x14ac:dyDescent="0.15">
      <c r="A6" s="3040" t="s">
        <v>2415</v>
      </c>
      <c r="B6" s="830" t="s">
        <v>141</v>
      </c>
      <c r="C6" s="1961">
        <f t="shared" ref="C6:J6" si="0">SUM(C7:C14)</f>
        <v>31064</v>
      </c>
      <c r="D6" s="1961">
        <f t="shared" si="0"/>
        <v>14569</v>
      </c>
      <c r="E6" s="1961">
        <f t="shared" si="0"/>
        <v>9981</v>
      </c>
      <c r="F6" s="1961">
        <f t="shared" si="0"/>
        <v>6514</v>
      </c>
      <c r="G6" s="1961">
        <f t="shared" si="0"/>
        <v>505254</v>
      </c>
      <c r="H6" s="1961">
        <f t="shared" si="0"/>
        <v>185005</v>
      </c>
      <c r="I6" s="1961">
        <f t="shared" si="0"/>
        <v>155937</v>
      </c>
      <c r="J6" s="1961">
        <f t="shared" si="0"/>
        <v>164312</v>
      </c>
      <c r="M6" s="1866"/>
    </row>
    <row r="7" spans="1:13" ht="11.25" customHeight="1" x14ac:dyDescent="0.15">
      <c r="A7" s="3041"/>
      <c r="B7" s="1665" t="s">
        <v>2416</v>
      </c>
      <c r="C7" s="1962">
        <f t="shared" ref="C7:C14" si="1">SUM(D7:F7)</f>
        <v>55</v>
      </c>
      <c r="D7" s="1963">
        <v>19</v>
      </c>
      <c r="E7" s="816">
        <v>35</v>
      </c>
      <c r="F7" s="816">
        <v>1</v>
      </c>
      <c r="G7" s="1962">
        <f t="shared" ref="G7:G14" si="2">H7+I7+J7</f>
        <v>387</v>
      </c>
      <c r="H7" s="816">
        <v>157</v>
      </c>
      <c r="I7" s="816">
        <v>0</v>
      </c>
      <c r="J7" s="816">
        <f>230</f>
        <v>230</v>
      </c>
      <c r="M7" s="1866"/>
    </row>
    <row r="8" spans="1:13" ht="11.25" customHeight="1" x14ac:dyDescent="0.15">
      <c r="A8" s="3041"/>
      <c r="B8" s="1665" t="s">
        <v>1599</v>
      </c>
      <c r="C8" s="1962">
        <f t="shared" si="1"/>
        <v>9</v>
      </c>
      <c r="D8" s="1963">
        <v>9</v>
      </c>
      <c r="E8" s="816">
        <v>0</v>
      </c>
      <c r="F8" s="816">
        <v>0</v>
      </c>
      <c r="G8" s="1962">
        <f t="shared" si="2"/>
        <v>147</v>
      </c>
      <c r="H8" s="816">
        <v>76</v>
      </c>
      <c r="I8" s="816">
        <v>34</v>
      </c>
      <c r="J8" s="816">
        <v>37</v>
      </c>
      <c r="M8" s="1866"/>
    </row>
    <row r="9" spans="1:13" x14ac:dyDescent="0.15">
      <c r="A9" s="3041"/>
      <c r="B9" s="1665" t="s">
        <v>1701</v>
      </c>
      <c r="C9" s="1962">
        <f t="shared" si="1"/>
        <v>2710</v>
      </c>
      <c r="D9" s="1963">
        <v>1443</v>
      </c>
      <c r="E9" s="816">
        <v>927</v>
      </c>
      <c r="F9" s="816">
        <v>340</v>
      </c>
      <c r="G9" s="1962">
        <f t="shared" si="2"/>
        <v>42520</v>
      </c>
      <c r="H9" s="816">
        <v>16435</v>
      </c>
      <c r="I9" s="816">
        <v>14039</v>
      </c>
      <c r="J9" s="816">
        <v>12046</v>
      </c>
      <c r="M9" s="816"/>
    </row>
    <row r="10" spans="1:13" x14ac:dyDescent="0.15">
      <c r="A10" s="3041"/>
      <c r="B10" s="1665" t="s">
        <v>26</v>
      </c>
      <c r="C10" s="1962">
        <f t="shared" si="1"/>
        <v>27525</v>
      </c>
      <c r="D10" s="1963">
        <v>12623</v>
      </c>
      <c r="E10" s="816">
        <v>8928</v>
      </c>
      <c r="F10" s="816">
        <v>5974</v>
      </c>
      <c r="G10" s="1962">
        <f t="shared" si="2"/>
        <v>424440</v>
      </c>
      <c r="H10" s="816">
        <v>134111</v>
      </c>
      <c r="I10" s="816">
        <v>139018</v>
      </c>
      <c r="J10" s="816">
        <v>151311</v>
      </c>
      <c r="M10" s="816"/>
    </row>
    <row r="11" spans="1:13" x14ac:dyDescent="0.15">
      <c r="A11" s="3041"/>
      <c r="B11" s="1665" t="s">
        <v>2417</v>
      </c>
      <c r="C11" s="1962">
        <f t="shared" si="1"/>
        <v>640</v>
      </c>
      <c r="D11" s="1963">
        <v>410</v>
      </c>
      <c r="E11" s="816">
        <v>49</v>
      </c>
      <c r="F11" s="816">
        <v>181</v>
      </c>
      <c r="G11" s="1962">
        <f t="shared" si="2"/>
        <v>929</v>
      </c>
      <c r="H11" s="816">
        <v>387</v>
      </c>
      <c r="I11" s="816">
        <v>126</v>
      </c>
      <c r="J11" s="816">
        <v>416</v>
      </c>
      <c r="M11" s="816"/>
    </row>
    <row r="12" spans="1:13" x14ac:dyDescent="0.15">
      <c r="A12" s="3041"/>
      <c r="B12" s="1665" t="s">
        <v>2418</v>
      </c>
      <c r="C12" s="1962">
        <f t="shared" si="1"/>
        <v>5</v>
      </c>
      <c r="D12" s="1963">
        <v>5</v>
      </c>
      <c r="E12" s="816">
        <v>0</v>
      </c>
      <c r="F12" s="816">
        <v>0</v>
      </c>
      <c r="G12" s="1962">
        <f t="shared" si="2"/>
        <v>769</v>
      </c>
      <c r="H12" s="816">
        <v>253</v>
      </c>
      <c r="I12" s="816">
        <v>439</v>
      </c>
      <c r="J12" s="816">
        <v>77</v>
      </c>
      <c r="M12" s="816"/>
    </row>
    <row r="13" spans="1:13" x14ac:dyDescent="0.15">
      <c r="A13" s="3041"/>
      <c r="B13" s="1665" t="s">
        <v>2419</v>
      </c>
      <c r="C13" s="1962">
        <f t="shared" si="1"/>
        <v>12</v>
      </c>
      <c r="D13" s="1963">
        <v>0</v>
      </c>
      <c r="E13" s="816">
        <v>0</v>
      </c>
      <c r="F13" s="816">
        <v>12</v>
      </c>
      <c r="G13" s="1962">
        <f t="shared" si="2"/>
        <v>428</v>
      </c>
      <c r="H13" s="816">
        <v>167</v>
      </c>
      <c r="I13" s="816">
        <v>111</v>
      </c>
      <c r="J13" s="816">
        <v>150</v>
      </c>
      <c r="M13" s="816"/>
    </row>
    <row r="14" spans="1:13" x14ac:dyDescent="0.15">
      <c r="A14" s="3041"/>
      <c r="B14" s="1665" t="s">
        <v>4152</v>
      </c>
      <c r="C14" s="1962">
        <f t="shared" si="1"/>
        <v>108</v>
      </c>
      <c r="D14" s="1963">
        <v>60</v>
      </c>
      <c r="E14" s="816">
        <v>42</v>
      </c>
      <c r="F14" s="816">
        <v>6</v>
      </c>
      <c r="G14" s="1962">
        <f t="shared" si="2"/>
        <v>35634</v>
      </c>
      <c r="H14" s="816">
        <v>33419</v>
      </c>
      <c r="I14" s="816">
        <v>2170</v>
      </c>
      <c r="J14" s="816">
        <v>45</v>
      </c>
      <c r="M14" s="816"/>
    </row>
    <row r="15" spans="1:13" ht="15" customHeight="1" x14ac:dyDescent="0.15">
      <c r="A15" s="3041" t="s">
        <v>2420</v>
      </c>
      <c r="B15" s="831" t="s">
        <v>141</v>
      </c>
      <c r="C15" s="1962">
        <f t="shared" ref="C15:J15" si="3">SUM(C16:C26)</f>
        <v>31064</v>
      </c>
      <c r="D15" s="1962">
        <f t="shared" si="3"/>
        <v>14569</v>
      </c>
      <c r="E15" s="1962">
        <f t="shared" si="3"/>
        <v>9981</v>
      </c>
      <c r="F15" s="1962">
        <f t="shared" si="3"/>
        <v>6514</v>
      </c>
      <c r="G15" s="1962">
        <f t="shared" si="3"/>
        <v>505254</v>
      </c>
      <c r="H15" s="1962">
        <f t="shared" si="3"/>
        <v>185005</v>
      </c>
      <c r="I15" s="1962">
        <f t="shared" si="3"/>
        <v>155937</v>
      </c>
      <c r="J15" s="1962">
        <f t="shared" si="3"/>
        <v>164312</v>
      </c>
      <c r="M15" s="816"/>
    </row>
    <row r="16" spans="1:13" ht="10.5" customHeight="1" x14ac:dyDescent="0.15">
      <c r="A16" s="3041"/>
      <c r="B16" s="1665" t="s">
        <v>2421</v>
      </c>
      <c r="C16" s="1962">
        <f t="shared" ref="C16:C26" si="4">SUM(D16:F16)</f>
        <v>4041</v>
      </c>
      <c r="D16" s="816">
        <v>1494</v>
      </c>
      <c r="E16" s="816">
        <v>1540</v>
      </c>
      <c r="F16" s="816">
        <v>1007</v>
      </c>
      <c r="G16" s="1962">
        <f t="shared" ref="G16:G26" si="5">H16+I16+J16</f>
        <v>39837</v>
      </c>
      <c r="H16" s="816">
        <v>11666</v>
      </c>
      <c r="I16" s="816">
        <v>12536</v>
      </c>
      <c r="J16" s="816">
        <v>15635</v>
      </c>
    </row>
    <row r="17" spans="1:11" x14ac:dyDescent="0.15">
      <c r="A17" s="3041"/>
      <c r="B17" s="1665" t="s">
        <v>2422</v>
      </c>
      <c r="C17" s="1962">
        <f t="shared" si="4"/>
        <v>2327</v>
      </c>
      <c r="D17" s="816">
        <v>1131</v>
      </c>
      <c r="E17" s="816">
        <v>883</v>
      </c>
      <c r="F17" s="816">
        <v>313</v>
      </c>
      <c r="G17" s="1962">
        <f t="shared" si="5"/>
        <v>44161</v>
      </c>
      <c r="H17" s="816">
        <v>16911</v>
      </c>
      <c r="I17" s="816">
        <v>14915</v>
      </c>
      <c r="J17" s="816">
        <v>12335</v>
      </c>
    </row>
    <row r="18" spans="1:11" x14ac:dyDescent="0.15">
      <c r="A18" s="3041"/>
      <c r="B18" s="1665" t="s">
        <v>2423</v>
      </c>
      <c r="C18" s="1962">
        <f t="shared" si="4"/>
        <v>799</v>
      </c>
      <c r="D18" s="816">
        <v>398</v>
      </c>
      <c r="E18" s="816">
        <v>254</v>
      </c>
      <c r="F18" s="816">
        <v>147</v>
      </c>
      <c r="G18" s="1962">
        <f t="shared" si="5"/>
        <v>23698</v>
      </c>
      <c r="H18" s="816">
        <v>8058</v>
      </c>
      <c r="I18" s="816">
        <v>7553</v>
      </c>
      <c r="J18" s="816">
        <v>8087</v>
      </c>
    </row>
    <row r="19" spans="1:11" x14ac:dyDescent="0.15">
      <c r="A19" s="3041"/>
      <c r="B19" s="1665" t="s">
        <v>2424</v>
      </c>
      <c r="C19" s="1962">
        <f t="shared" si="4"/>
        <v>1309</v>
      </c>
      <c r="D19" s="816">
        <v>365</v>
      </c>
      <c r="E19" s="816">
        <v>517</v>
      </c>
      <c r="F19" s="816">
        <v>427</v>
      </c>
      <c r="G19" s="1962">
        <f t="shared" si="5"/>
        <v>17783</v>
      </c>
      <c r="H19" s="816">
        <v>4574</v>
      </c>
      <c r="I19" s="816">
        <v>4954</v>
      </c>
      <c r="J19" s="816">
        <v>8255</v>
      </c>
    </row>
    <row r="20" spans="1:11" x14ac:dyDescent="0.15">
      <c r="A20" s="3041"/>
      <c r="B20" s="1665" t="s">
        <v>1921</v>
      </c>
      <c r="C20" s="1962">
        <f t="shared" si="4"/>
        <v>924</v>
      </c>
      <c r="D20" s="816">
        <v>319</v>
      </c>
      <c r="E20" s="816">
        <v>405</v>
      </c>
      <c r="F20" s="816">
        <v>200</v>
      </c>
      <c r="G20" s="1962">
        <f t="shared" si="5"/>
        <v>5572</v>
      </c>
      <c r="H20" s="816">
        <v>1849</v>
      </c>
      <c r="I20" s="816">
        <v>1834</v>
      </c>
      <c r="J20" s="816">
        <v>1889</v>
      </c>
    </row>
    <row r="21" spans="1:11" x14ac:dyDescent="0.15">
      <c r="A21" s="3041"/>
      <c r="B21" s="1665" t="s">
        <v>2425</v>
      </c>
      <c r="C21" s="1962">
        <f t="shared" si="4"/>
        <v>417</v>
      </c>
      <c r="D21" s="816">
        <v>165</v>
      </c>
      <c r="E21" s="816">
        <v>168</v>
      </c>
      <c r="F21" s="816">
        <v>84</v>
      </c>
      <c r="G21" s="1962">
        <f t="shared" si="5"/>
        <v>6160</v>
      </c>
      <c r="H21" s="816">
        <v>1644</v>
      </c>
      <c r="I21" s="816">
        <v>1850</v>
      </c>
      <c r="J21" s="816">
        <v>2666</v>
      </c>
    </row>
    <row r="22" spans="1:11" x14ac:dyDescent="0.15">
      <c r="A22" s="3041"/>
      <c r="B22" s="1665" t="s">
        <v>2426</v>
      </c>
      <c r="C22" s="1962">
        <f t="shared" si="4"/>
        <v>598</v>
      </c>
      <c r="D22" s="816">
        <v>367</v>
      </c>
      <c r="E22" s="816">
        <v>58</v>
      </c>
      <c r="F22" s="816">
        <v>173</v>
      </c>
      <c r="G22" s="1962">
        <f t="shared" si="5"/>
        <v>1245</v>
      </c>
      <c r="H22" s="816">
        <v>365</v>
      </c>
      <c r="I22" s="816">
        <v>463</v>
      </c>
      <c r="J22" s="816">
        <v>417</v>
      </c>
    </row>
    <row r="23" spans="1:11" x14ac:dyDescent="0.15">
      <c r="A23" s="3041"/>
      <c r="B23" s="1665" t="s">
        <v>2427</v>
      </c>
      <c r="C23" s="1962">
        <f t="shared" si="4"/>
        <v>320</v>
      </c>
      <c r="D23" s="816">
        <v>190</v>
      </c>
      <c r="E23" s="816">
        <v>85</v>
      </c>
      <c r="F23" s="816">
        <v>45</v>
      </c>
      <c r="G23" s="1962">
        <f t="shared" si="5"/>
        <v>7833</v>
      </c>
      <c r="H23" s="816">
        <v>2908</v>
      </c>
      <c r="I23" s="816">
        <v>2571</v>
      </c>
      <c r="J23" s="816">
        <v>2354</v>
      </c>
    </row>
    <row r="24" spans="1:11" x14ac:dyDescent="0.15">
      <c r="A24" s="3041"/>
      <c r="B24" s="1665" t="s">
        <v>2050</v>
      </c>
      <c r="C24" s="1962">
        <f t="shared" si="4"/>
        <v>15347</v>
      </c>
      <c r="D24" s="816">
        <v>7049</v>
      </c>
      <c r="E24" s="816">
        <v>5065</v>
      </c>
      <c r="F24" s="816">
        <v>3233</v>
      </c>
      <c r="G24" s="1962">
        <f t="shared" si="5"/>
        <v>318001</v>
      </c>
      <c r="H24" s="816">
        <v>101043</v>
      </c>
      <c r="I24" s="816">
        <v>106654</v>
      </c>
      <c r="J24" s="816">
        <v>110304</v>
      </c>
    </row>
    <row r="25" spans="1:11" x14ac:dyDescent="0.15">
      <c r="A25" s="3041"/>
      <c r="B25" s="1665" t="s">
        <v>1341</v>
      </c>
      <c r="C25" s="1962">
        <f t="shared" si="4"/>
        <v>4982</v>
      </c>
      <c r="D25" s="816">
        <v>3091</v>
      </c>
      <c r="E25" s="816">
        <v>1006</v>
      </c>
      <c r="F25" s="816">
        <v>885</v>
      </c>
      <c r="G25" s="1962">
        <f t="shared" si="5"/>
        <v>1312</v>
      </c>
      <c r="H25" s="816">
        <v>371</v>
      </c>
      <c r="I25" s="816">
        <f>243+91+3</f>
        <v>337</v>
      </c>
      <c r="J25" s="816">
        <v>604</v>
      </c>
      <c r="K25" s="1861"/>
    </row>
    <row r="26" spans="1:11" x14ac:dyDescent="0.15">
      <c r="A26" s="3041"/>
      <c r="B26" s="1665" t="s">
        <v>2390</v>
      </c>
      <c r="C26" s="1962">
        <f t="shared" si="4"/>
        <v>0</v>
      </c>
      <c r="D26" s="1963">
        <v>0</v>
      </c>
      <c r="E26" s="816">
        <v>0</v>
      </c>
      <c r="F26" s="816">
        <v>0</v>
      </c>
      <c r="G26" s="1962">
        <f t="shared" si="5"/>
        <v>39652</v>
      </c>
      <c r="H26" s="816">
        <v>35616</v>
      </c>
      <c r="I26" s="816">
        <v>2270</v>
      </c>
      <c r="J26" s="816">
        <v>1766</v>
      </c>
    </row>
    <row r="27" spans="1:11" ht="15" customHeight="1" x14ac:dyDescent="0.15">
      <c r="A27" s="3041" t="s">
        <v>2428</v>
      </c>
      <c r="B27" s="831" t="s">
        <v>141</v>
      </c>
      <c r="C27" s="1962">
        <f t="shared" ref="C27:J27" si="6">SUM(C28:C35)</f>
        <v>31064</v>
      </c>
      <c r="D27" s="1962">
        <f t="shared" si="6"/>
        <v>14569</v>
      </c>
      <c r="E27" s="1962">
        <f t="shared" si="6"/>
        <v>9981</v>
      </c>
      <c r="F27" s="1962">
        <f t="shared" si="6"/>
        <v>6514</v>
      </c>
      <c r="G27" s="1962">
        <f t="shared" si="6"/>
        <v>505254</v>
      </c>
      <c r="H27" s="1962">
        <f t="shared" si="6"/>
        <v>185005</v>
      </c>
      <c r="I27" s="1962">
        <f t="shared" si="6"/>
        <v>155937</v>
      </c>
      <c r="J27" s="1962">
        <f t="shared" si="6"/>
        <v>164312</v>
      </c>
      <c r="K27" s="1962"/>
    </row>
    <row r="28" spans="1:11" x14ac:dyDescent="0.15">
      <c r="A28" s="3041"/>
      <c r="B28" s="1665" t="s">
        <v>2416</v>
      </c>
      <c r="C28" s="1962">
        <f t="shared" ref="C28:C35" si="7">SUM(D28:F28)</f>
        <v>2745</v>
      </c>
      <c r="D28" s="816">
        <v>1482</v>
      </c>
      <c r="E28" s="816">
        <v>929</v>
      </c>
      <c r="F28" s="816">
        <v>334</v>
      </c>
      <c r="G28" s="1962">
        <f t="shared" ref="G28:G35" si="8">H28+I28+J28</f>
        <v>42869</v>
      </c>
      <c r="H28" s="816">
        <v>16240</v>
      </c>
      <c r="I28" s="816">
        <v>14395</v>
      </c>
      <c r="J28" s="816">
        <v>12234</v>
      </c>
    </row>
    <row r="29" spans="1:11" x14ac:dyDescent="0.15">
      <c r="A29" s="3041"/>
      <c r="B29" s="1665" t="s">
        <v>2429</v>
      </c>
      <c r="C29" s="1962">
        <f t="shared" si="7"/>
        <v>5173</v>
      </c>
      <c r="D29" s="816">
        <v>3731</v>
      </c>
      <c r="E29" s="816">
        <v>844</v>
      </c>
      <c r="F29" s="816">
        <v>598</v>
      </c>
      <c r="G29" s="1962">
        <f t="shared" si="8"/>
        <v>142005</v>
      </c>
      <c r="H29" s="816">
        <v>49627</v>
      </c>
      <c r="I29" s="816">
        <v>48036</v>
      </c>
      <c r="J29" s="816">
        <v>44342</v>
      </c>
    </row>
    <row r="30" spans="1:11" x14ac:dyDescent="0.15">
      <c r="A30" s="3041"/>
      <c r="B30" s="1665" t="s">
        <v>2430</v>
      </c>
      <c r="C30" s="1962">
        <f t="shared" si="7"/>
        <v>14032</v>
      </c>
      <c r="D30" s="816">
        <v>6583</v>
      </c>
      <c r="E30" s="816">
        <v>4525</v>
      </c>
      <c r="F30" s="816">
        <v>2924</v>
      </c>
      <c r="G30" s="1962">
        <f t="shared" si="8"/>
        <v>211408</v>
      </c>
      <c r="H30" s="816">
        <v>64772</v>
      </c>
      <c r="I30" s="816">
        <v>70476</v>
      </c>
      <c r="J30" s="816">
        <v>76160</v>
      </c>
    </row>
    <row r="31" spans="1:11" x14ac:dyDescent="0.15">
      <c r="A31" s="3041"/>
      <c r="B31" s="1665" t="s">
        <v>1911</v>
      </c>
      <c r="C31" s="1962">
        <f t="shared" si="7"/>
        <v>4648</v>
      </c>
      <c r="D31" s="816">
        <v>692</v>
      </c>
      <c r="E31" s="816">
        <v>2403</v>
      </c>
      <c r="F31" s="816">
        <v>1553</v>
      </c>
      <c r="G31" s="1962">
        <f t="shared" si="8"/>
        <v>15462</v>
      </c>
      <c r="H31" s="816">
        <v>1050</v>
      </c>
      <c r="I31" s="816">
        <v>3992</v>
      </c>
      <c r="J31" s="816">
        <v>10420</v>
      </c>
    </row>
    <row r="32" spans="1:11" x14ac:dyDescent="0.15">
      <c r="A32" s="3041"/>
      <c r="B32" s="1665" t="s">
        <v>2431</v>
      </c>
      <c r="C32" s="1962">
        <f t="shared" si="7"/>
        <v>3421</v>
      </c>
      <c r="D32" s="816">
        <v>1426</v>
      </c>
      <c r="E32" s="816">
        <v>1131</v>
      </c>
      <c r="F32" s="816">
        <v>864</v>
      </c>
      <c r="G32" s="1962">
        <f t="shared" si="8"/>
        <v>47814</v>
      </c>
      <c r="H32" s="816">
        <v>11299</v>
      </c>
      <c r="I32" s="816">
        <v>16452</v>
      </c>
      <c r="J32" s="816">
        <v>20063</v>
      </c>
    </row>
    <row r="33" spans="1:10" x14ac:dyDescent="0.15">
      <c r="A33" s="3041"/>
      <c r="B33" s="1665" t="s">
        <v>2432</v>
      </c>
      <c r="C33" s="1962">
        <f t="shared" si="7"/>
        <v>667</v>
      </c>
      <c r="D33" s="816">
        <v>440</v>
      </c>
      <c r="E33" s="816">
        <v>56</v>
      </c>
      <c r="F33" s="816">
        <v>171</v>
      </c>
      <c r="G33" s="1962">
        <f t="shared" si="8"/>
        <v>484</v>
      </c>
      <c r="H33" s="816">
        <v>32</v>
      </c>
      <c r="I33" s="816">
        <v>96</v>
      </c>
      <c r="J33" s="816">
        <v>356</v>
      </c>
    </row>
    <row r="34" spans="1:10" x14ac:dyDescent="0.15">
      <c r="A34" s="3041"/>
      <c r="B34" s="1665" t="s">
        <v>2433</v>
      </c>
      <c r="C34" s="1962">
        <f t="shared" si="7"/>
        <v>361</v>
      </c>
      <c r="D34" s="816">
        <v>215</v>
      </c>
      <c r="E34" s="816">
        <v>93</v>
      </c>
      <c r="F34" s="816">
        <v>53</v>
      </c>
      <c r="G34" s="1962">
        <f t="shared" si="8"/>
        <v>722</v>
      </c>
      <c r="H34" s="816">
        <v>97</v>
      </c>
      <c r="I34" s="816">
        <v>209</v>
      </c>
      <c r="J34" s="816">
        <v>416</v>
      </c>
    </row>
    <row r="35" spans="1:10" x14ac:dyDescent="0.15">
      <c r="A35" s="3041"/>
      <c r="B35" s="1665" t="s">
        <v>4152</v>
      </c>
      <c r="C35" s="1962">
        <f t="shared" si="7"/>
        <v>17</v>
      </c>
      <c r="D35" s="816">
        <v>0</v>
      </c>
      <c r="E35" s="816">
        <v>0</v>
      </c>
      <c r="F35" s="816">
        <v>17</v>
      </c>
      <c r="G35" s="1962">
        <f t="shared" si="8"/>
        <v>44490</v>
      </c>
      <c r="H35" s="816">
        <v>41888</v>
      </c>
      <c r="I35" s="816">
        <v>2281</v>
      </c>
      <c r="J35" s="816">
        <v>321</v>
      </c>
    </row>
    <row r="36" spans="1:10" x14ac:dyDescent="0.15">
      <c r="A36" s="1964"/>
      <c r="B36" s="1665"/>
      <c r="C36" s="1665"/>
      <c r="D36" s="1963"/>
      <c r="E36" s="816"/>
      <c r="F36" s="816"/>
      <c r="G36" s="1962"/>
      <c r="H36" s="816"/>
      <c r="I36" s="816"/>
      <c r="J36" s="816"/>
    </row>
    <row r="37" spans="1:10" x14ac:dyDescent="0.15">
      <c r="A37" s="3042" t="s">
        <v>4153</v>
      </c>
      <c r="B37" s="3042"/>
      <c r="C37" s="3042"/>
      <c r="D37" s="3042"/>
      <c r="E37" s="3042"/>
      <c r="F37" s="3042"/>
      <c r="G37" s="3042"/>
      <c r="H37" s="3042"/>
      <c r="I37" s="3042"/>
      <c r="J37" s="3042"/>
    </row>
    <row r="38" spans="1:10" ht="13.9" customHeight="1" x14ac:dyDescent="0.15">
      <c r="A38" s="3043" t="s">
        <v>4154</v>
      </c>
      <c r="B38" s="3043"/>
      <c r="C38" s="3043"/>
      <c r="D38" s="3043"/>
      <c r="E38" s="3043"/>
      <c r="F38" s="3043"/>
      <c r="G38" s="3043"/>
      <c r="H38" s="3043"/>
      <c r="I38" s="3043"/>
      <c r="J38" s="3043"/>
    </row>
    <row r="39" spans="1:10" x14ac:dyDescent="0.15">
      <c r="A39" s="3044" t="s">
        <v>731</v>
      </c>
      <c r="B39" s="3044"/>
      <c r="C39" s="3044"/>
      <c r="D39" s="3044"/>
      <c r="E39" s="3044"/>
      <c r="F39" s="3044"/>
      <c r="G39" s="3044"/>
      <c r="H39" s="3044"/>
      <c r="I39" s="3044"/>
      <c r="J39" s="3044"/>
    </row>
    <row r="40" spans="1:10" x14ac:dyDescent="0.15">
      <c r="A40" s="3044" t="s">
        <v>20</v>
      </c>
      <c r="B40" s="3044"/>
      <c r="C40" s="3044"/>
      <c r="D40" s="3044"/>
      <c r="E40" s="3044"/>
      <c r="F40" s="3044"/>
      <c r="G40" s="3044"/>
      <c r="H40" s="3044"/>
      <c r="I40" s="3044"/>
      <c r="J40" s="3044"/>
    </row>
    <row r="41" spans="1:10" x14ac:dyDescent="0.15">
      <c r="A41" s="3030" t="s">
        <v>2434</v>
      </c>
      <c r="B41" s="3030"/>
      <c r="C41" s="3030"/>
      <c r="D41" s="3030"/>
      <c r="E41" s="3030"/>
      <c r="F41" s="3030"/>
      <c r="G41" s="3030"/>
      <c r="H41" s="3030"/>
      <c r="I41" s="3030"/>
      <c r="J41" s="3030"/>
    </row>
  </sheetData>
  <mergeCells count="12">
    <mergeCell ref="A41:J41"/>
    <mergeCell ref="A2:J2"/>
    <mergeCell ref="A4:B5"/>
    <mergeCell ref="C4:F4"/>
    <mergeCell ref="G4:J4"/>
    <mergeCell ref="A6:A14"/>
    <mergeCell ref="A15:A26"/>
    <mergeCell ref="A27:A35"/>
    <mergeCell ref="A37:J37"/>
    <mergeCell ref="A38:J38"/>
    <mergeCell ref="A39:J39"/>
    <mergeCell ref="A40:J40"/>
  </mergeCell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Q21"/>
  <sheetViews>
    <sheetView workbookViewId="0">
      <selection activeCell="I23" sqref="I23"/>
    </sheetView>
  </sheetViews>
  <sheetFormatPr baseColWidth="10" defaultColWidth="11.42578125" defaultRowHeight="10.5" x14ac:dyDescent="0.15"/>
  <cols>
    <col min="1" max="1" width="25.7109375" style="1866" customWidth="1"/>
    <col min="2" max="2" width="13.85546875" style="1866" customWidth="1"/>
    <col min="3" max="3" width="11.7109375" style="1866" bestFit="1" customWidth="1"/>
    <col min="4" max="4" width="13.28515625" style="1866" bestFit="1" customWidth="1"/>
    <col min="5" max="5" width="13" style="1866" bestFit="1" customWidth="1"/>
    <col min="6" max="6" width="11.7109375" style="1866" bestFit="1" customWidth="1"/>
    <col min="7" max="7" width="11.85546875" style="1866" bestFit="1" customWidth="1"/>
    <col min="8" max="16384" width="11.42578125" style="1866"/>
  </cols>
  <sheetData>
    <row r="2" spans="1:17" ht="22.5" customHeight="1" x14ac:dyDescent="0.15">
      <c r="A2" s="3046" t="s">
        <v>4155</v>
      </c>
      <c r="B2" s="3046"/>
      <c r="C2" s="3046"/>
      <c r="D2" s="3046"/>
      <c r="E2" s="3046"/>
      <c r="F2" s="3046"/>
      <c r="G2" s="3046"/>
    </row>
    <row r="3" spans="1:17" x14ac:dyDescent="0.15">
      <c r="A3" s="1964"/>
      <c r="B3" s="3041"/>
      <c r="C3" s="3041"/>
      <c r="D3" s="3041"/>
      <c r="E3" s="3041"/>
      <c r="F3" s="3041"/>
      <c r="G3" s="3041"/>
    </row>
    <row r="4" spans="1:17" x14ac:dyDescent="0.15">
      <c r="A4" s="1867" t="s">
        <v>4156</v>
      </c>
      <c r="B4" s="1965" t="s">
        <v>141</v>
      </c>
      <c r="C4" s="838">
        <v>2011</v>
      </c>
      <c r="D4" s="838">
        <v>2012</v>
      </c>
      <c r="E4" s="838">
        <v>2013</v>
      </c>
      <c r="F4" s="838">
        <v>2014</v>
      </c>
      <c r="G4" s="1966">
        <v>2015</v>
      </c>
    </row>
    <row r="5" spans="1:17" ht="33.75" customHeight="1" x14ac:dyDescent="0.15">
      <c r="A5" s="819" t="s">
        <v>2435</v>
      </c>
      <c r="B5" s="1967">
        <f>SUM(C5:G5)</f>
        <v>1237</v>
      </c>
      <c r="C5" s="674">
        <v>457</v>
      </c>
      <c r="D5" s="674">
        <v>352</v>
      </c>
      <c r="E5" s="674">
        <v>167</v>
      </c>
      <c r="F5" s="674">
        <v>111</v>
      </c>
      <c r="G5" s="674">
        <v>150</v>
      </c>
    </row>
    <row r="6" spans="1:17" ht="18.600000000000001" customHeight="1" x14ac:dyDescent="0.15">
      <c r="A6" s="1665" t="s">
        <v>4157</v>
      </c>
      <c r="B6" s="1611">
        <v>5</v>
      </c>
      <c r="C6" s="674">
        <v>3</v>
      </c>
      <c r="D6" s="674">
        <v>3</v>
      </c>
      <c r="E6" s="674">
        <v>3</v>
      </c>
      <c r="F6" s="674">
        <v>3</v>
      </c>
      <c r="G6" s="674">
        <v>5</v>
      </c>
    </row>
    <row r="7" spans="1:17" x14ac:dyDescent="0.15">
      <c r="A7" s="831" t="s">
        <v>4158</v>
      </c>
      <c r="B7" s="1968">
        <f>SUM(B8:B12)</f>
        <v>5341132</v>
      </c>
      <c r="C7" s="1968">
        <v>868899</v>
      </c>
      <c r="D7" s="1968">
        <v>1163022</v>
      </c>
      <c r="E7" s="1611">
        <v>1250504</v>
      </c>
      <c r="F7" s="1611">
        <v>950582</v>
      </c>
      <c r="G7" s="1611">
        <v>1073507</v>
      </c>
    </row>
    <row r="8" spans="1:17" x14ac:dyDescent="0.15">
      <c r="A8" s="1665" t="s">
        <v>4159</v>
      </c>
      <c r="B8" s="1968">
        <f>SUM(C8:G8)</f>
        <v>820767</v>
      </c>
      <c r="C8" s="1969">
        <v>125342</v>
      </c>
      <c r="D8" s="1969">
        <v>169735</v>
      </c>
      <c r="E8" s="674">
        <v>168818</v>
      </c>
      <c r="F8" s="674">
        <v>161878</v>
      </c>
      <c r="G8" s="674">
        <v>194994</v>
      </c>
    </row>
    <row r="9" spans="1:17" x14ac:dyDescent="0.15">
      <c r="A9" s="1665" t="s">
        <v>4160</v>
      </c>
      <c r="B9" s="1968">
        <f>SUM(C9:G9)</f>
        <v>3683103</v>
      </c>
      <c r="C9" s="1969">
        <v>743557</v>
      </c>
      <c r="D9" s="1969">
        <v>870865</v>
      </c>
      <c r="E9" s="674">
        <v>756992</v>
      </c>
      <c r="F9" s="674">
        <v>620065</v>
      </c>
      <c r="G9" s="674">
        <v>691624</v>
      </c>
    </row>
    <row r="10" spans="1:17" ht="11.25" x14ac:dyDescent="0.15">
      <c r="A10" s="1970" t="s">
        <v>4161</v>
      </c>
      <c r="B10" s="1968">
        <f>SUM(C10:G10)</f>
        <v>819174</v>
      </c>
      <c r="C10" s="1969">
        <v>16530</v>
      </c>
      <c r="D10" s="1969">
        <v>122422</v>
      </c>
      <c r="E10" s="674">
        <v>324694</v>
      </c>
      <c r="F10" s="674">
        <v>168639</v>
      </c>
      <c r="G10" s="674">
        <v>186889</v>
      </c>
    </row>
    <row r="11" spans="1:17" ht="11.25" x14ac:dyDescent="0.15">
      <c r="A11" s="1970" t="s">
        <v>4162</v>
      </c>
      <c r="B11" s="1968">
        <f>SUM(C11:G11)</f>
        <v>2777</v>
      </c>
      <c r="C11" s="1969">
        <v>0</v>
      </c>
      <c r="D11" s="1969">
        <v>0</v>
      </c>
      <c r="E11" s="674">
        <v>0</v>
      </c>
      <c r="F11" s="674">
        <v>0</v>
      </c>
      <c r="G11" s="674">
        <v>2777</v>
      </c>
    </row>
    <row r="12" spans="1:17" ht="11.25" x14ac:dyDescent="0.15">
      <c r="A12" s="1970" t="s">
        <v>4163</v>
      </c>
      <c r="B12" s="1968">
        <f>SUM(C12:G12)</f>
        <v>15311</v>
      </c>
      <c r="C12" s="1969">
        <v>0</v>
      </c>
      <c r="D12" s="1969">
        <v>0</v>
      </c>
      <c r="E12" s="674">
        <v>0</v>
      </c>
      <c r="F12" s="674">
        <v>0</v>
      </c>
      <c r="G12" s="674">
        <v>15311</v>
      </c>
    </row>
    <row r="13" spans="1:17" ht="12" customHeight="1" x14ac:dyDescent="0.15">
      <c r="A13" s="3047"/>
      <c r="B13" s="3047"/>
      <c r="C13" s="3047"/>
      <c r="D13" s="3047"/>
      <c r="E13" s="3047"/>
      <c r="F13" s="3047"/>
      <c r="G13" s="3047"/>
    </row>
    <row r="14" spans="1:17" ht="11.25" customHeight="1" x14ac:dyDescent="0.15">
      <c r="A14" s="3045" t="s">
        <v>4164</v>
      </c>
      <c r="B14" s="3045"/>
      <c r="C14" s="3045"/>
      <c r="D14" s="3045"/>
      <c r="E14" s="3045"/>
      <c r="F14" s="3045"/>
      <c r="G14" s="3045"/>
      <c r="H14" s="1971"/>
      <c r="I14" s="1971"/>
      <c r="J14" s="1971"/>
      <c r="K14" s="1971"/>
      <c r="L14" s="1971"/>
      <c r="M14" s="1971"/>
      <c r="N14" s="1971"/>
      <c r="O14" s="1971"/>
      <c r="P14" s="1971"/>
      <c r="Q14" s="1971"/>
    </row>
    <row r="15" spans="1:17" x14ac:dyDescent="0.15">
      <c r="A15" s="3045" t="s">
        <v>4165</v>
      </c>
      <c r="B15" s="3045"/>
      <c r="C15" s="3045"/>
      <c r="D15" s="3045"/>
      <c r="E15" s="3045"/>
      <c r="F15" s="3045"/>
      <c r="G15" s="3045"/>
      <c r="H15" s="820"/>
      <c r="I15" s="820"/>
      <c r="J15" s="820"/>
      <c r="K15" s="820"/>
      <c r="L15" s="820"/>
      <c r="M15" s="820"/>
      <c r="N15" s="820"/>
      <c r="O15" s="820"/>
      <c r="P15" s="820"/>
      <c r="Q15" s="820"/>
    </row>
    <row r="16" spans="1:17" x14ac:dyDescent="0.15">
      <c r="A16" s="3045" t="s">
        <v>4166</v>
      </c>
      <c r="B16" s="3045"/>
      <c r="C16" s="3045"/>
      <c r="D16" s="3045"/>
      <c r="E16" s="3045"/>
      <c r="F16" s="3045"/>
      <c r="G16" s="3045"/>
      <c r="H16" s="820"/>
      <c r="I16" s="820"/>
      <c r="J16" s="820"/>
      <c r="K16" s="820"/>
      <c r="L16" s="820"/>
      <c r="M16" s="820"/>
      <c r="N16" s="820"/>
      <c r="O16" s="820"/>
      <c r="P16" s="820"/>
      <c r="Q16" s="820"/>
    </row>
    <row r="17" spans="1:17" x14ac:dyDescent="0.15">
      <c r="A17" s="3045" t="s">
        <v>4167</v>
      </c>
      <c r="B17" s="3045"/>
      <c r="C17" s="3045"/>
      <c r="D17" s="3045"/>
      <c r="E17" s="3045"/>
      <c r="F17" s="3045"/>
      <c r="G17" s="3045"/>
      <c r="H17" s="820"/>
      <c r="I17" s="820"/>
      <c r="J17" s="820"/>
      <c r="K17" s="820"/>
      <c r="L17" s="820"/>
      <c r="M17" s="820"/>
      <c r="N17" s="820"/>
      <c r="O17" s="820"/>
      <c r="P17" s="820"/>
      <c r="Q17" s="820"/>
    </row>
    <row r="18" spans="1:17" x14ac:dyDescent="0.15">
      <c r="A18" s="3044" t="s">
        <v>2386</v>
      </c>
      <c r="B18" s="3044"/>
      <c r="C18" s="3044"/>
      <c r="D18" s="3044"/>
      <c r="E18" s="3044"/>
      <c r="F18" s="3044"/>
      <c r="G18" s="3044"/>
    </row>
    <row r="19" spans="1:17" x14ac:dyDescent="0.15">
      <c r="A19" s="1972"/>
      <c r="B19" s="1972"/>
      <c r="C19" s="1972"/>
      <c r="D19" s="1972"/>
      <c r="E19" s="1972"/>
      <c r="F19" s="1972"/>
      <c r="G19" s="1972"/>
    </row>
    <row r="20" spans="1:17" x14ac:dyDescent="0.15">
      <c r="D20" s="1973"/>
    </row>
    <row r="21" spans="1:17" x14ac:dyDescent="0.15">
      <c r="D21" s="1973"/>
    </row>
  </sheetData>
  <mergeCells count="8">
    <mergeCell ref="A17:G17"/>
    <mergeCell ref="A18:G18"/>
    <mergeCell ref="A2:G2"/>
    <mergeCell ref="B3:G3"/>
    <mergeCell ref="A13:G13"/>
    <mergeCell ref="A14:G14"/>
    <mergeCell ref="A15:G15"/>
    <mergeCell ref="A16:G16"/>
  </mergeCells>
  <hyperlinks>
    <hyperlink ref="A9" r:id="rId1"/>
    <hyperlink ref="A8" r:id="rId2"/>
    <hyperlink ref="A10" r:id="rId3"/>
    <hyperlink ref="A11" r:id="rId4"/>
    <hyperlink ref="A12" r:id="rId5" display="www.troquel.cl/3"/>
  </hyperlinks>
  <pageMargins left="0.7" right="0.7" top="0.75" bottom="0.75" header="0.3" footer="0.3"/>
  <pageSetup orientation="portrait" r:id="rId6"/>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2:U29"/>
  <sheetViews>
    <sheetView zoomScaleNormal="100" workbookViewId="0">
      <selection activeCell="A3" sqref="A3:XFD3"/>
    </sheetView>
  </sheetViews>
  <sheetFormatPr baseColWidth="10" defaultColWidth="8" defaultRowHeight="12.75" x14ac:dyDescent="0.2"/>
  <cols>
    <col min="1" max="1" width="14.7109375" style="1049" customWidth="1"/>
    <col min="2" max="2" width="10.85546875" style="1049" customWidth="1"/>
    <col min="3" max="3" width="15" style="1049" customWidth="1"/>
    <col min="4" max="4" width="10.7109375" style="1049" customWidth="1"/>
    <col min="5" max="5" width="15" style="1049" customWidth="1"/>
    <col min="6" max="6" width="10.7109375" style="1049" customWidth="1"/>
    <col min="7" max="7" width="15" style="1049" customWidth="1"/>
    <col min="8" max="8" width="10.7109375" style="1049" customWidth="1"/>
    <col min="9" max="9" width="15" style="1049" customWidth="1"/>
    <col min="10" max="10" width="10.7109375" style="1049" customWidth="1"/>
    <col min="11" max="11" width="15" style="1049" customWidth="1"/>
    <col min="12" max="12" width="10.7109375" style="1049" customWidth="1"/>
    <col min="13" max="13" width="15" style="1049" customWidth="1"/>
    <col min="14" max="14" width="10.7109375" style="1049" customWidth="1"/>
    <col min="15" max="15" width="15" style="1049" customWidth="1"/>
    <col min="16" max="16" width="10.7109375" style="1049" customWidth="1"/>
    <col min="17" max="17" width="15" style="1049" customWidth="1"/>
    <col min="18" max="18" width="10.7109375" style="1049" customWidth="1"/>
    <col min="19" max="19" width="15" style="1049" customWidth="1"/>
    <col min="20" max="20" width="10.7109375" style="1049" customWidth="1"/>
    <col min="21" max="21" width="15" style="1049" customWidth="1"/>
    <col min="22" max="22" width="24.7109375" style="1049" customWidth="1"/>
    <col min="23" max="23" width="51.85546875" style="1049" customWidth="1"/>
    <col min="24" max="16384" width="8" style="1049"/>
  </cols>
  <sheetData>
    <row r="2" spans="1:21" ht="15.75" customHeight="1" x14ac:dyDescent="0.2">
      <c r="A2" s="3048" t="s">
        <v>2436</v>
      </c>
      <c r="B2" s="3049"/>
      <c r="C2" s="3049"/>
      <c r="D2" s="3049"/>
      <c r="E2" s="3049"/>
      <c r="F2" s="3049"/>
      <c r="G2" s="3049"/>
      <c r="H2" s="3049"/>
      <c r="I2" s="3049"/>
      <c r="J2" s="3049"/>
      <c r="K2" s="3049"/>
      <c r="L2" s="3049"/>
      <c r="M2" s="3049"/>
      <c r="N2" s="3049"/>
      <c r="O2" s="3049"/>
      <c r="P2" s="3049"/>
      <c r="Q2" s="3049"/>
      <c r="R2" s="1050"/>
      <c r="S2" s="1050"/>
      <c r="T2" s="1050"/>
      <c r="U2" s="1050"/>
    </row>
    <row r="3" spans="1:21" x14ac:dyDescent="0.2">
      <c r="A3" s="3050"/>
      <c r="B3" s="3051"/>
      <c r="C3" s="3051"/>
      <c r="D3" s="3051"/>
      <c r="E3" s="3051"/>
      <c r="F3" s="3051"/>
      <c r="G3" s="3051"/>
      <c r="H3" s="3051"/>
      <c r="I3" s="3051"/>
      <c r="J3" s="3051"/>
      <c r="K3" s="3051"/>
      <c r="L3" s="3051"/>
      <c r="M3" s="3051"/>
      <c r="N3" s="3051"/>
      <c r="O3" s="3051"/>
      <c r="P3" s="3051"/>
      <c r="Q3" s="3051"/>
      <c r="R3" s="1051"/>
      <c r="S3" s="1051"/>
      <c r="T3" s="1051"/>
      <c r="U3" s="1051"/>
    </row>
    <row r="4" spans="1:21" ht="31.5" customHeight="1" x14ac:dyDescent="0.2">
      <c r="A4" s="3052" t="s">
        <v>1619</v>
      </c>
      <c r="B4" s="3052" t="s">
        <v>372</v>
      </c>
      <c r="C4" s="3053"/>
      <c r="D4" s="3052" t="s">
        <v>2437</v>
      </c>
      <c r="E4" s="3053"/>
      <c r="F4" s="3052" t="s">
        <v>2438</v>
      </c>
      <c r="G4" s="3053"/>
      <c r="H4" s="3052" t="s">
        <v>2439</v>
      </c>
      <c r="I4" s="3053"/>
      <c r="J4" s="3052" t="s">
        <v>2440</v>
      </c>
      <c r="K4" s="3053"/>
      <c r="L4" s="3052" t="s">
        <v>1621</v>
      </c>
      <c r="M4" s="3053"/>
      <c r="N4" s="3052" t="s">
        <v>1620</v>
      </c>
      <c r="O4" s="3053"/>
      <c r="P4" s="3052" t="s">
        <v>2441</v>
      </c>
      <c r="Q4" s="3053"/>
      <c r="R4" s="3052" t="s">
        <v>2442</v>
      </c>
      <c r="S4" s="3053"/>
      <c r="T4" s="3052" t="s">
        <v>2443</v>
      </c>
      <c r="U4" s="3053"/>
    </row>
    <row r="5" spans="1:21" ht="21" x14ac:dyDescent="0.2">
      <c r="A5" s="3052"/>
      <c r="B5" s="1052" t="s">
        <v>1628</v>
      </c>
      <c r="C5" s="1052" t="s">
        <v>1629</v>
      </c>
      <c r="D5" s="1052" t="s">
        <v>1628</v>
      </c>
      <c r="E5" s="1052" t="s">
        <v>1629</v>
      </c>
      <c r="F5" s="1052" t="s">
        <v>1628</v>
      </c>
      <c r="G5" s="1052" t="s">
        <v>1629</v>
      </c>
      <c r="H5" s="1052" t="s">
        <v>1628</v>
      </c>
      <c r="I5" s="1052" t="s">
        <v>1629</v>
      </c>
      <c r="J5" s="1052" t="s">
        <v>1628</v>
      </c>
      <c r="K5" s="1052" t="s">
        <v>1629</v>
      </c>
      <c r="L5" s="1052" t="s">
        <v>1628</v>
      </c>
      <c r="M5" s="1052" t="s">
        <v>1629</v>
      </c>
      <c r="N5" s="1052" t="s">
        <v>1628</v>
      </c>
      <c r="O5" s="1052" t="s">
        <v>1629</v>
      </c>
      <c r="P5" s="1052" t="s">
        <v>1628</v>
      </c>
      <c r="Q5" s="1052" t="s">
        <v>1629</v>
      </c>
      <c r="R5" s="1052" t="s">
        <v>1628</v>
      </c>
      <c r="S5" s="1052" t="s">
        <v>1629</v>
      </c>
      <c r="T5" s="1052" t="s">
        <v>1628</v>
      </c>
      <c r="U5" s="1052" t="s">
        <v>1629</v>
      </c>
    </row>
    <row r="6" spans="1:21" s="1056" customFormat="1" x14ac:dyDescent="0.2">
      <c r="A6" s="1053" t="s">
        <v>141</v>
      </c>
      <c r="B6" s="1054">
        <f>SUM(B7:B22)</f>
        <v>300</v>
      </c>
      <c r="C6" s="1054">
        <f>SUM(C7:C22)</f>
        <v>4812160250.0299997</v>
      </c>
      <c r="D6" s="1055">
        <f>SUM(D7:D22)</f>
        <v>39</v>
      </c>
      <c r="E6" s="1055">
        <f t="shared" ref="E6:U6" si="0">SUM(E7:E22)</f>
        <v>152344087.79999998</v>
      </c>
      <c r="F6" s="1055">
        <f t="shared" si="0"/>
        <v>2</v>
      </c>
      <c r="G6" s="1055">
        <f t="shared" si="0"/>
        <v>360000000</v>
      </c>
      <c r="H6" s="1055">
        <f t="shared" si="0"/>
        <v>32</v>
      </c>
      <c r="I6" s="1055">
        <f t="shared" si="0"/>
        <v>528702613.60000002</v>
      </c>
      <c r="J6" s="1055">
        <f t="shared" si="0"/>
        <v>36</v>
      </c>
      <c r="K6" s="1055">
        <f t="shared" si="0"/>
        <v>2226217751.9700003</v>
      </c>
      <c r="L6" s="1055">
        <f t="shared" si="0"/>
        <v>7</v>
      </c>
      <c r="M6" s="1055">
        <f t="shared" si="0"/>
        <v>74960277.359999999</v>
      </c>
      <c r="N6" s="1055">
        <f t="shared" si="0"/>
        <v>83</v>
      </c>
      <c r="O6" s="1055">
        <f t="shared" si="0"/>
        <v>530746715.29999995</v>
      </c>
      <c r="P6" s="1055">
        <f t="shared" si="0"/>
        <v>5</v>
      </c>
      <c r="Q6" s="1055">
        <f t="shared" si="0"/>
        <v>282000000</v>
      </c>
      <c r="R6" s="1055">
        <f t="shared" si="0"/>
        <v>23</v>
      </c>
      <c r="S6" s="1055">
        <f t="shared" si="0"/>
        <v>444471598</v>
      </c>
      <c r="T6" s="1055">
        <f t="shared" si="0"/>
        <v>73</v>
      </c>
      <c r="U6" s="1055">
        <f t="shared" si="0"/>
        <v>212717206</v>
      </c>
    </row>
    <row r="7" spans="1:21" ht="21" x14ac:dyDescent="0.2">
      <c r="A7" s="1057" t="s">
        <v>5</v>
      </c>
      <c r="B7" s="1058">
        <f>SUM(D7+F7+H7+J7+L7+N7+P7+R7+T7)</f>
        <v>1</v>
      </c>
      <c r="C7" s="1058">
        <f>SUM(E7+G7+I7+K7+M7+O7+Q7+S7+U7)</f>
        <v>19776073</v>
      </c>
      <c r="D7" s="1059">
        <v>0</v>
      </c>
      <c r="E7" s="1059">
        <v>0</v>
      </c>
      <c r="F7" s="1059">
        <v>0</v>
      </c>
      <c r="G7" s="1059">
        <v>0</v>
      </c>
      <c r="H7" s="1059">
        <v>0</v>
      </c>
      <c r="I7" s="1059">
        <v>0</v>
      </c>
      <c r="J7" s="1059">
        <v>0</v>
      </c>
      <c r="K7" s="1059">
        <v>0</v>
      </c>
      <c r="L7" s="1059">
        <v>0</v>
      </c>
      <c r="M7" s="1059">
        <v>0</v>
      </c>
      <c r="N7" s="1059">
        <v>0</v>
      </c>
      <c r="O7" s="1059">
        <v>0</v>
      </c>
      <c r="P7" s="1059">
        <v>0</v>
      </c>
      <c r="Q7" s="1059">
        <v>0</v>
      </c>
      <c r="R7" s="1059">
        <v>1</v>
      </c>
      <c r="S7" s="1059">
        <v>19776073</v>
      </c>
      <c r="T7" s="1059">
        <v>0</v>
      </c>
      <c r="U7" s="1059">
        <v>0</v>
      </c>
    </row>
    <row r="8" spans="1:21" x14ac:dyDescent="0.2">
      <c r="A8" s="1057" t="s">
        <v>6</v>
      </c>
      <c r="B8" s="1058">
        <f t="shared" ref="B8:C22" si="1">SUM(D8+F8+H8+J8+L8+N8+P8+R8+T8)</f>
        <v>5</v>
      </c>
      <c r="C8" s="1058">
        <f t="shared" si="1"/>
        <v>54353063</v>
      </c>
      <c r="D8" s="1059">
        <v>0</v>
      </c>
      <c r="E8" s="1059">
        <v>0</v>
      </c>
      <c r="F8" s="1059">
        <v>0</v>
      </c>
      <c r="G8" s="1059">
        <v>0</v>
      </c>
      <c r="H8" s="1059">
        <v>1</v>
      </c>
      <c r="I8" s="1059">
        <v>26760688</v>
      </c>
      <c r="J8" s="1059">
        <v>0</v>
      </c>
      <c r="K8" s="1059">
        <v>0</v>
      </c>
      <c r="L8" s="1059">
        <v>0</v>
      </c>
      <c r="M8" s="1059">
        <v>0</v>
      </c>
      <c r="N8" s="1059">
        <v>3</v>
      </c>
      <c r="O8" s="1059">
        <v>8003300</v>
      </c>
      <c r="P8" s="1059">
        <v>0</v>
      </c>
      <c r="Q8" s="1059">
        <v>0</v>
      </c>
      <c r="R8" s="1059">
        <v>1</v>
      </c>
      <c r="S8" s="1059">
        <v>19589075</v>
      </c>
      <c r="T8" s="1059">
        <v>0</v>
      </c>
      <c r="U8" s="1059">
        <v>0</v>
      </c>
    </row>
    <row r="9" spans="1:21" x14ac:dyDescent="0.2">
      <c r="A9" s="1057" t="s">
        <v>7</v>
      </c>
      <c r="B9" s="1058">
        <f t="shared" si="1"/>
        <v>5</v>
      </c>
      <c r="C9" s="1058">
        <f t="shared" si="1"/>
        <v>65123465.399999999</v>
      </c>
      <c r="D9" s="1059">
        <v>0</v>
      </c>
      <c r="E9" s="1059">
        <v>0</v>
      </c>
      <c r="F9" s="1059">
        <v>0</v>
      </c>
      <c r="G9" s="1059">
        <v>0</v>
      </c>
      <c r="H9" s="1059">
        <v>0</v>
      </c>
      <c r="I9" s="1059">
        <v>0</v>
      </c>
      <c r="J9" s="1059">
        <v>0</v>
      </c>
      <c r="K9" s="1059">
        <v>0</v>
      </c>
      <c r="L9" s="1059">
        <v>0</v>
      </c>
      <c r="M9" s="1059">
        <v>0</v>
      </c>
      <c r="N9" s="1059">
        <v>2</v>
      </c>
      <c r="O9" s="1059">
        <v>5680572.4000000004</v>
      </c>
      <c r="P9" s="1059">
        <v>0</v>
      </c>
      <c r="Q9" s="1059">
        <v>0</v>
      </c>
      <c r="R9" s="1059">
        <v>3</v>
      </c>
      <c r="S9" s="1059">
        <v>59442893</v>
      </c>
      <c r="T9" s="1059">
        <v>0</v>
      </c>
      <c r="U9" s="1059">
        <v>0</v>
      </c>
    </row>
    <row r="10" spans="1:21" x14ac:dyDescent="0.2">
      <c r="A10" s="1057" t="s">
        <v>8</v>
      </c>
      <c r="B10" s="1058">
        <f t="shared" si="1"/>
        <v>7</v>
      </c>
      <c r="C10" s="1058">
        <f t="shared" si="1"/>
        <v>78674752</v>
      </c>
      <c r="D10" s="1059">
        <v>1</v>
      </c>
      <c r="E10" s="1059">
        <v>4493200</v>
      </c>
      <c r="F10" s="1059">
        <v>0</v>
      </c>
      <c r="G10" s="1059">
        <v>0</v>
      </c>
      <c r="H10" s="1059">
        <v>1</v>
      </c>
      <c r="I10" s="1059">
        <v>7386653</v>
      </c>
      <c r="J10" s="1059">
        <v>0</v>
      </c>
      <c r="K10" s="1059">
        <v>0</v>
      </c>
      <c r="L10" s="1059">
        <v>0</v>
      </c>
      <c r="M10" s="1059">
        <v>0</v>
      </c>
      <c r="N10" s="1059">
        <v>3</v>
      </c>
      <c r="O10" s="1059">
        <v>36263657</v>
      </c>
      <c r="P10" s="1059">
        <v>0</v>
      </c>
      <c r="Q10" s="1059">
        <v>0</v>
      </c>
      <c r="R10" s="1059">
        <v>2</v>
      </c>
      <c r="S10" s="1059">
        <v>30531242</v>
      </c>
      <c r="T10" s="1059">
        <v>0</v>
      </c>
      <c r="U10" s="1059">
        <v>0</v>
      </c>
    </row>
    <row r="11" spans="1:21" x14ac:dyDescent="0.2">
      <c r="A11" s="1057" t="s">
        <v>9</v>
      </c>
      <c r="B11" s="1058">
        <f t="shared" si="1"/>
        <v>4</v>
      </c>
      <c r="C11" s="1058">
        <f t="shared" si="1"/>
        <v>77958932.799999997</v>
      </c>
      <c r="D11" s="1059">
        <v>1</v>
      </c>
      <c r="E11" s="1059">
        <v>2335000</v>
      </c>
      <c r="F11" s="1059">
        <v>0</v>
      </c>
      <c r="G11" s="1059">
        <v>0</v>
      </c>
      <c r="H11" s="1059">
        <v>2</v>
      </c>
      <c r="I11" s="1059">
        <v>57780000</v>
      </c>
      <c r="J11" s="1059">
        <v>0</v>
      </c>
      <c r="K11" s="1059">
        <v>0</v>
      </c>
      <c r="L11" s="1059">
        <v>0</v>
      </c>
      <c r="M11" s="1059">
        <v>0</v>
      </c>
      <c r="N11" s="1059">
        <v>1</v>
      </c>
      <c r="O11" s="1059">
        <v>17843932.800000001</v>
      </c>
      <c r="P11" s="1059">
        <v>0</v>
      </c>
      <c r="Q11" s="1059">
        <v>0</v>
      </c>
      <c r="R11" s="1059">
        <v>0</v>
      </c>
      <c r="S11" s="1059">
        <v>0</v>
      </c>
      <c r="T11" s="1059">
        <v>0</v>
      </c>
      <c r="U11" s="1059">
        <v>0</v>
      </c>
    </row>
    <row r="12" spans="1:21" x14ac:dyDescent="0.2">
      <c r="A12" s="1057" t="s">
        <v>10</v>
      </c>
      <c r="B12" s="1058">
        <f t="shared" si="1"/>
        <v>36</v>
      </c>
      <c r="C12" s="1058">
        <f t="shared" si="1"/>
        <v>401876193</v>
      </c>
      <c r="D12" s="1059">
        <v>5</v>
      </c>
      <c r="E12" s="1059">
        <v>15993598</v>
      </c>
      <c r="F12" s="1059">
        <v>0</v>
      </c>
      <c r="G12" s="1059">
        <v>0</v>
      </c>
      <c r="H12" s="1059">
        <v>6</v>
      </c>
      <c r="I12" s="1059">
        <v>92749122</v>
      </c>
      <c r="J12" s="1059">
        <v>1</v>
      </c>
      <c r="K12" s="1059">
        <v>6550900</v>
      </c>
      <c r="L12" s="1059">
        <v>2</v>
      </c>
      <c r="M12" s="1059">
        <v>24728482</v>
      </c>
      <c r="N12" s="1059">
        <v>13</v>
      </c>
      <c r="O12" s="1059">
        <v>77311334</v>
      </c>
      <c r="P12" s="1059">
        <v>1</v>
      </c>
      <c r="Q12" s="1059">
        <v>60000000</v>
      </c>
      <c r="R12" s="1059">
        <v>6</v>
      </c>
      <c r="S12" s="1059">
        <v>121081090</v>
      </c>
      <c r="T12" s="1059">
        <v>2</v>
      </c>
      <c r="U12" s="1059">
        <v>3461667</v>
      </c>
    </row>
    <row r="13" spans="1:21" x14ac:dyDescent="0.2">
      <c r="A13" s="1057" t="s">
        <v>11</v>
      </c>
      <c r="B13" s="1058">
        <f t="shared" si="1"/>
        <v>190</v>
      </c>
      <c r="C13" s="1058">
        <f t="shared" si="1"/>
        <v>3282421897.0899997</v>
      </c>
      <c r="D13" s="1059">
        <v>19</v>
      </c>
      <c r="E13" s="1059">
        <v>77433257.959999993</v>
      </c>
      <c r="F13" s="1059">
        <v>2</v>
      </c>
      <c r="G13" s="1059">
        <v>360000000</v>
      </c>
      <c r="H13" s="1059">
        <v>13</v>
      </c>
      <c r="I13" s="1059">
        <v>202039304.59999999</v>
      </c>
      <c r="J13" s="1059">
        <v>34</v>
      </c>
      <c r="K13" s="1059">
        <v>2034666851.97</v>
      </c>
      <c r="L13" s="1059">
        <v>5</v>
      </c>
      <c r="M13" s="1059">
        <v>50231795.359999999</v>
      </c>
      <c r="N13" s="1059">
        <v>48</v>
      </c>
      <c r="O13" s="1059">
        <v>249634890.19999999</v>
      </c>
      <c r="P13" s="1059">
        <v>2</v>
      </c>
      <c r="Q13" s="1059">
        <v>110000000</v>
      </c>
      <c r="R13" s="1059">
        <v>0</v>
      </c>
      <c r="S13" s="1059">
        <v>0</v>
      </c>
      <c r="T13" s="1059">
        <v>67</v>
      </c>
      <c r="U13" s="1059">
        <v>198415797</v>
      </c>
    </row>
    <row r="14" spans="1:21" x14ac:dyDescent="0.2">
      <c r="A14" s="1057" t="s">
        <v>12</v>
      </c>
      <c r="B14" s="1058">
        <f t="shared" si="1"/>
        <v>4</v>
      </c>
      <c r="C14" s="1058">
        <f t="shared" si="1"/>
        <v>60301211</v>
      </c>
      <c r="D14" s="1059">
        <v>0</v>
      </c>
      <c r="E14" s="1059">
        <v>0</v>
      </c>
      <c r="F14" s="1059">
        <v>0</v>
      </c>
      <c r="G14" s="1059">
        <v>0</v>
      </c>
      <c r="H14" s="1059">
        <v>1</v>
      </c>
      <c r="I14" s="1059">
        <v>11919999</v>
      </c>
      <c r="J14" s="1059">
        <v>0</v>
      </c>
      <c r="K14" s="1059">
        <v>0</v>
      </c>
      <c r="L14" s="1059">
        <v>0</v>
      </c>
      <c r="M14" s="1059">
        <v>0</v>
      </c>
      <c r="N14" s="1059">
        <v>1</v>
      </c>
      <c r="O14" s="1059">
        <v>4508230</v>
      </c>
      <c r="P14" s="1059">
        <v>0</v>
      </c>
      <c r="Q14" s="1059">
        <v>0</v>
      </c>
      <c r="R14" s="1059">
        <v>2</v>
      </c>
      <c r="S14" s="1059">
        <v>43872982</v>
      </c>
      <c r="T14" s="1059">
        <v>0</v>
      </c>
      <c r="U14" s="1059">
        <v>0</v>
      </c>
    </row>
    <row r="15" spans="1:21" x14ac:dyDescent="0.2">
      <c r="A15" s="1057" t="s">
        <v>13</v>
      </c>
      <c r="B15" s="1058">
        <f t="shared" si="1"/>
        <v>4</v>
      </c>
      <c r="C15" s="1058">
        <f t="shared" si="1"/>
        <v>64009124</v>
      </c>
      <c r="D15" s="1059">
        <v>1</v>
      </c>
      <c r="E15" s="1059">
        <v>4980554</v>
      </c>
      <c r="F15" s="1059">
        <v>0</v>
      </c>
      <c r="G15" s="1059">
        <v>0</v>
      </c>
      <c r="H15" s="1059">
        <v>1</v>
      </c>
      <c r="I15" s="1059">
        <v>21600000</v>
      </c>
      <c r="J15" s="1059">
        <v>0</v>
      </c>
      <c r="K15" s="1059">
        <v>0</v>
      </c>
      <c r="L15" s="1059">
        <v>0</v>
      </c>
      <c r="M15" s="1059">
        <v>0</v>
      </c>
      <c r="N15" s="1059">
        <v>1</v>
      </c>
      <c r="O15" s="1059">
        <v>18283920</v>
      </c>
      <c r="P15" s="1059">
        <v>0</v>
      </c>
      <c r="Q15" s="1059">
        <v>0</v>
      </c>
      <c r="R15" s="1059">
        <v>1</v>
      </c>
      <c r="S15" s="1059">
        <v>19144650</v>
      </c>
      <c r="T15" s="1059">
        <v>0</v>
      </c>
      <c r="U15" s="1059">
        <v>0</v>
      </c>
    </row>
    <row r="16" spans="1:21" x14ac:dyDescent="0.2">
      <c r="A16" s="1057" t="s">
        <v>14</v>
      </c>
      <c r="B16" s="1058">
        <f t="shared" si="1"/>
        <v>10</v>
      </c>
      <c r="C16" s="1058">
        <f t="shared" si="1"/>
        <v>134737400.24000001</v>
      </c>
      <c r="D16" s="1059">
        <v>4</v>
      </c>
      <c r="E16" s="1059">
        <v>16588396.24</v>
      </c>
      <c r="F16" s="1059">
        <v>0</v>
      </c>
      <c r="G16" s="1059">
        <v>0</v>
      </c>
      <c r="H16" s="1059">
        <v>1</v>
      </c>
      <c r="I16" s="1059">
        <v>29986480</v>
      </c>
      <c r="J16" s="1059">
        <v>0</v>
      </c>
      <c r="K16" s="1059">
        <v>0</v>
      </c>
      <c r="L16" s="1059">
        <v>0</v>
      </c>
      <c r="M16" s="1059">
        <v>0</v>
      </c>
      <c r="N16" s="1059">
        <v>3</v>
      </c>
      <c r="O16" s="1059">
        <v>16173702</v>
      </c>
      <c r="P16" s="1059">
        <v>1</v>
      </c>
      <c r="Q16" s="1059">
        <v>52000000</v>
      </c>
      <c r="R16" s="1059">
        <v>1</v>
      </c>
      <c r="S16" s="1059">
        <v>19988822</v>
      </c>
      <c r="T16" s="1059">
        <v>0</v>
      </c>
      <c r="U16" s="1059">
        <v>0</v>
      </c>
    </row>
    <row r="17" spans="1:21" x14ac:dyDescent="0.2">
      <c r="A17" s="1057" t="s">
        <v>15</v>
      </c>
      <c r="B17" s="1058">
        <f t="shared" si="1"/>
        <v>8</v>
      </c>
      <c r="C17" s="1058">
        <f t="shared" si="1"/>
        <v>70051105.150000006</v>
      </c>
      <c r="D17" s="1059">
        <v>1</v>
      </c>
      <c r="E17" s="1059">
        <v>3525910</v>
      </c>
      <c r="F17" s="1059">
        <v>0</v>
      </c>
      <c r="G17" s="1059">
        <v>0</v>
      </c>
      <c r="H17" s="1059">
        <v>1</v>
      </c>
      <c r="I17" s="1059">
        <v>7900000</v>
      </c>
      <c r="J17" s="1059">
        <v>0</v>
      </c>
      <c r="K17" s="1059">
        <v>0</v>
      </c>
      <c r="L17" s="1059">
        <v>0</v>
      </c>
      <c r="M17" s="1059">
        <v>0</v>
      </c>
      <c r="N17" s="1059">
        <v>3</v>
      </c>
      <c r="O17" s="1059">
        <v>24732566.149999999</v>
      </c>
      <c r="P17" s="1059">
        <v>0</v>
      </c>
      <c r="Q17" s="1059">
        <v>0</v>
      </c>
      <c r="R17" s="1059">
        <v>2</v>
      </c>
      <c r="S17" s="1059">
        <v>31210629</v>
      </c>
      <c r="T17" s="1059">
        <v>1</v>
      </c>
      <c r="U17" s="1059">
        <v>2682000</v>
      </c>
    </row>
    <row r="18" spans="1:21" x14ac:dyDescent="0.2">
      <c r="A18" s="1057" t="s">
        <v>16</v>
      </c>
      <c r="B18" s="1058">
        <f t="shared" si="1"/>
        <v>9</v>
      </c>
      <c r="C18" s="1058">
        <f t="shared" si="1"/>
        <v>321208845.55000001</v>
      </c>
      <c r="D18" s="1059">
        <v>1</v>
      </c>
      <c r="E18" s="1059">
        <v>4469997.5999999996</v>
      </c>
      <c r="F18" s="1059">
        <v>0</v>
      </c>
      <c r="G18" s="1059">
        <v>0</v>
      </c>
      <c r="H18" s="1059">
        <v>0</v>
      </c>
      <c r="I18" s="1059">
        <v>0</v>
      </c>
      <c r="J18" s="1059">
        <v>1</v>
      </c>
      <c r="K18" s="1059">
        <v>185000000</v>
      </c>
      <c r="L18" s="1059">
        <v>0</v>
      </c>
      <c r="M18" s="1059">
        <v>0</v>
      </c>
      <c r="N18" s="1059">
        <v>2</v>
      </c>
      <c r="O18" s="1059">
        <v>43581105.950000003</v>
      </c>
      <c r="P18" s="1059">
        <v>1</v>
      </c>
      <c r="Q18" s="1059">
        <v>60000000</v>
      </c>
      <c r="R18" s="1059">
        <v>1</v>
      </c>
      <c r="S18" s="1059">
        <v>20000000</v>
      </c>
      <c r="T18" s="1059">
        <v>3</v>
      </c>
      <c r="U18" s="1059">
        <v>8157742</v>
      </c>
    </row>
    <row r="19" spans="1:21" x14ac:dyDescent="0.2">
      <c r="A19" s="1057" t="s">
        <v>17</v>
      </c>
      <c r="B19" s="1058">
        <f t="shared" si="1"/>
        <v>7</v>
      </c>
      <c r="C19" s="1058">
        <f t="shared" si="1"/>
        <v>80390367</v>
      </c>
      <c r="D19" s="1059">
        <v>2</v>
      </c>
      <c r="E19" s="1059">
        <v>6388374</v>
      </c>
      <c r="F19" s="1059">
        <v>0</v>
      </c>
      <c r="G19" s="1059">
        <v>0</v>
      </c>
      <c r="H19" s="1059">
        <v>3</v>
      </c>
      <c r="I19" s="1059">
        <v>46596367</v>
      </c>
      <c r="J19" s="1059">
        <v>0</v>
      </c>
      <c r="K19" s="1059">
        <v>0</v>
      </c>
      <c r="L19" s="1059">
        <v>0</v>
      </c>
      <c r="M19" s="1059">
        <v>0</v>
      </c>
      <c r="N19" s="1059">
        <v>1</v>
      </c>
      <c r="O19" s="1059">
        <v>7469680</v>
      </c>
      <c r="P19" s="1059">
        <v>0</v>
      </c>
      <c r="Q19" s="1059">
        <v>0</v>
      </c>
      <c r="R19" s="1059">
        <v>1</v>
      </c>
      <c r="S19" s="1059">
        <v>19935946</v>
      </c>
      <c r="T19" s="1059">
        <v>0</v>
      </c>
      <c r="U19" s="1059">
        <v>0</v>
      </c>
    </row>
    <row r="20" spans="1:21" x14ac:dyDescent="0.2">
      <c r="A20" s="1057" t="s">
        <v>18</v>
      </c>
      <c r="B20" s="1058">
        <f t="shared" si="1"/>
        <v>2</v>
      </c>
      <c r="C20" s="1058">
        <f t="shared" si="1"/>
        <v>24233880</v>
      </c>
      <c r="D20" s="1059">
        <v>1</v>
      </c>
      <c r="E20" s="1059">
        <v>4320000</v>
      </c>
      <c r="F20" s="1059">
        <v>0</v>
      </c>
      <c r="G20" s="1059">
        <v>0</v>
      </c>
      <c r="H20" s="1059">
        <v>0</v>
      </c>
      <c r="I20" s="1059">
        <v>0</v>
      </c>
      <c r="J20" s="1059">
        <v>0</v>
      </c>
      <c r="K20" s="1059">
        <v>0</v>
      </c>
      <c r="L20" s="1059">
        <v>0</v>
      </c>
      <c r="M20" s="1059">
        <v>0</v>
      </c>
      <c r="N20" s="1059">
        <v>0</v>
      </c>
      <c r="O20" s="1059">
        <v>0</v>
      </c>
      <c r="P20" s="1059">
        <v>0</v>
      </c>
      <c r="Q20" s="1059">
        <v>0</v>
      </c>
      <c r="R20" s="1059">
        <v>1</v>
      </c>
      <c r="S20" s="1059">
        <v>19913880</v>
      </c>
      <c r="T20" s="1059">
        <v>0</v>
      </c>
      <c r="U20" s="1059">
        <v>0</v>
      </c>
    </row>
    <row r="21" spans="1:21" x14ac:dyDescent="0.2">
      <c r="A21" s="1057" t="s">
        <v>19</v>
      </c>
      <c r="B21" s="1058">
        <f t="shared" si="1"/>
        <v>4</v>
      </c>
      <c r="C21" s="1058">
        <f t="shared" si="1"/>
        <v>62462767.799999997</v>
      </c>
      <c r="D21" s="1059">
        <v>0</v>
      </c>
      <c r="E21" s="1059">
        <v>0</v>
      </c>
      <c r="F21" s="1059">
        <v>0</v>
      </c>
      <c r="G21" s="1059">
        <v>0</v>
      </c>
      <c r="H21" s="1059">
        <v>2</v>
      </c>
      <c r="I21" s="1059">
        <v>23984000</v>
      </c>
      <c r="J21" s="1059">
        <v>0</v>
      </c>
      <c r="K21" s="1059">
        <v>0</v>
      </c>
      <c r="L21" s="1059">
        <v>0</v>
      </c>
      <c r="M21" s="1059">
        <v>0</v>
      </c>
      <c r="N21" s="1059">
        <v>1</v>
      </c>
      <c r="O21" s="1059">
        <v>18494451.800000001</v>
      </c>
      <c r="P21" s="1059">
        <v>0</v>
      </c>
      <c r="Q21" s="1059">
        <v>0</v>
      </c>
      <c r="R21" s="1059">
        <v>1</v>
      </c>
      <c r="S21" s="1059">
        <v>19984316</v>
      </c>
      <c r="T21" s="1059">
        <v>0</v>
      </c>
      <c r="U21" s="1059">
        <v>0</v>
      </c>
    </row>
    <row r="22" spans="1:21" x14ac:dyDescent="0.2">
      <c r="A22" s="1060" t="s">
        <v>2444</v>
      </c>
      <c r="B22" s="1058">
        <f t="shared" si="1"/>
        <v>4</v>
      </c>
      <c r="C22" s="1058">
        <f t="shared" si="1"/>
        <v>14581173</v>
      </c>
      <c r="D22" s="1059">
        <v>3</v>
      </c>
      <c r="E22" s="1059">
        <v>11815800</v>
      </c>
      <c r="F22" s="1059">
        <v>0</v>
      </c>
      <c r="G22" s="1059">
        <v>0</v>
      </c>
      <c r="H22" s="1059">
        <v>0</v>
      </c>
      <c r="I22" s="1059">
        <v>0</v>
      </c>
      <c r="J22" s="1059">
        <v>0</v>
      </c>
      <c r="K22" s="1059">
        <v>0</v>
      </c>
      <c r="L22" s="1059">
        <v>0</v>
      </c>
      <c r="M22" s="1059">
        <v>0</v>
      </c>
      <c r="N22" s="1059">
        <v>1</v>
      </c>
      <c r="O22" s="1059">
        <v>2765373</v>
      </c>
      <c r="P22" s="1059">
        <v>0</v>
      </c>
      <c r="Q22" s="1059">
        <v>0</v>
      </c>
      <c r="R22" s="1059">
        <v>0</v>
      </c>
      <c r="S22" s="1059">
        <v>0</v>
      </c>
      <c r="T22" s="1059">
        <v>0</v>
      </c>
      <c r="U22" s="1059">
        <v>0</v>
      </c>
    </row>
    <row r="23" spans="1:21" ht="11.25" customHeight="1" x14ac:dyDescent="0.2">
      <c r="A23" s="3050"/>
      <c r="B23" s="3051"/>
      <c r="C23" s="3051"/>
      <c r="D23" s="3051"/>
      <c r="E23" s="3051"/>
      <c r="F23" s="3051"/>
      <c r="G23" s="3051"/>
      <c r="H23" s="3051"/>
      <c r="I23" s="3051"/>
      <c r="J23" s="3051"/>
      <c r="K23" s="3051"/>
      <c r="L23" s="3051"/>
      <c r="M23" s="3051"/>
      <c r="N23" s="3051"/>
      <c r="O23" s="3051"/>
      <c r="P23" s="3051"/>
      <c r="Q23" s="3051"/>
      <c r="R23" s="1051"/>
      <c r="S23" s="1051"/>
      <c r="T23" s="1051"/>
      <c r="U23" s="1051"/>
    </row>
    <row r="24" spans="1:21" s="1061" customFormat="1" x14ac:dyDescent="0.2">
      <c r="A24" s="3056" t="s">
        <v>2445</v>
      </c>
      <c r="B24" s="3056"/>
      <c r="C24" s="3056"/>
      <c r="D24" s="3056"/>
      <c r="E24" s="3056"/>
      <c r="F24" s="3056"/>
      <c r="G24" s="3056"/>
      <c r="H24" s="3056"/>
      <c r="I24" s="3056"/>
      <c r="J24" s="3056"/>
      <c r="K24" s="3056"/>
      <c r="L24" s="3056"/>
      <c r="M24" s="3056"/>
      <c r="N24" s="3056"/>
      <c r="O24" s="3056"/>
      <c r="P24" s="3056"/>
      <c r="Q24" s="3056"/>
      <c r="R24" s="3056"/>
      <c r="S24" s="3056"/>
      <c r="T24" s="3056"/>
      <c r="U24" s="3056"/>
    </row>
    <row r="25" spans="1:21" s="1061" customFormat="1" x14ac:dyDescent="0.2">
      <c r="A25" s="3057" t="s">
        <v>2446</v>
      </c>
      <c r="B25" s="3055"/>
      <c r="C25" s="3055"/>
      <c r="D25" s="3055"/>
      <c r="E25" s="3055"/>
      <c r="F25" s="3055"/>
      <c r="G25" s="3055"/>
      <c r="H25" s="3055"/>
      <c r="I25" s="3055"/>
      <c r="J25" s="3055"/>
      <c r="K25" s="3055"/>
      <c r="L25" s="3055"/>
      <c r="M25" s="3055"/>
      <c r="N25" s="3055"/>
      <c r="O25" s="3055"/>
      <c r="P25" s="3055"/>
      <c r="Q25" s="3055"/>
      <c r="R25" s="1062"/>
      <c r="S25" s="1062"/>
      <c r="T25" s="1062"/>
      <c r="U25" s="1062"/>
    </row>
    <row r="26" spans="1:21" s="1061" customFormat="1" x14ac:dyDescent="0.2">
      <c r="A26" s="3054" t="s">
        <v>20</v>
      </c>
      <c r="B26" s="3055"/>
      <c r="C26" s="3055"/>
      <c r="D26" s="3055"/>
      <c r="E26" s="3055"/>
      <c r="F26" s="3055"/>
      <c r="G26" s="3055"/>
      <c r="H26" s="3055"/>
      <c r="I26" s="3055"/>
      <c r="J26" s="3055"/>
      <c r="K26" s="3055"/>
      <c r="L26" s="3055"/>
      <c r="M26" s="3055"/>
      <c r="N26" s="3055"/>
      <c r="O26" s="3055"/>
      <c r="P26" s="3055"/>
      <c r="Q26" s="3055"/>
      <c r="R26" s="1060"/>
      <c r="S26" s="1060"/>
      <c r="T26" s="1060"/>
      <c r="U26" s="1060"/>
    </row>
    <row r="27" spans="1:21" s="1061" customFormat="1" x14ac:dyDescent="0.2">
      <c r="A27" s="3056" t="s">
        <v>1634</v>
      </c>
      <c r="B27" s="3055"/>
      <c r="C27" s="3055"/>
      <c r="D27" s="3055"/>
      <c r="E27" s="3055"/>
      <c r="F27" s="3055"/>
      <c r="G27" s="3055"/>
      <c r="H27" s="3055"/>
      <c r="I27" s="3055"/>
      <c r="J27" s="3055"/>
      <c r="K27" s="3055"/>
      <c r="L27" s="3055"/>
      <c r="M27" s="3055"/>
      <c r="N27" s="3055"/>
      <c r="O27" s="3055"/>
      <c r="P27" s="3055"/>
      <c r="Q27" s="3055"/>
      <c r="R27" s="1060"/>
      <c r="S27" s="1060"/>
      <c r="T27" s="1060"/>
      <c r="U27" s="1060"/>
    </row>
    <row r="28" spans="1:21" s="1061" customFormat="1" ht="409.6" hidden="1" customHeight="1" x14ac:dyDescent="0.2"/>
    <row r="29" spans="1:21" s="1061" customFormat="1" x14ac:dyDescent="0.2"/>
  </sheetData>
  <mergeCells count="18">
    <mergeCell ref="A26:Q26"/>
    <mergeCell ref="A27:Q27"/>
    <mergeCell ref="P4:Q4"/>
    <mergeCell ref="R4:S4"/>
    <mergeCell ref="T4:U4"/>
    <mergeCell ref="A23:Q23"/>
    <mergeCell ref="A24:U24"/>
    <mergeCell ref="A25:Q25"/>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1:V25"/>
  <sheetViews>
    <sheetView zoomScaleNormal="100" workbookViewId="0">
      <selection activeCell="O25" sqref="O25"/>
    </sheetView>
  </sheetViews>
  <sheetFormatPr baseColWidth="10" defaultColWidth="11.42578125" defaultRowHeight="12" x14ac:dyDescent="0.2"/>
  <cols>
    <col min="1" max="1" width="18.85546875" style="1064" customWidth="1"/>
    <col min="2" max="2" width="9.5703125" style="1064" customWidth="1"/>
    <col min="3" max="3" width="7.5703125" style="1064" customWidth="1"/>
    <col min="4" max="4" width="8.7109375" style="1064" bestFit="1" customWidth="1"/>
    <col min="5" max="5" width="7.5703125" style="1064" customWidth="1"/>
    <col min="6" max="6" width="9.5703125" style="1064" customWidth="1"/>
    <col min="7" max="7" width="7.5703125" style="1064" customWidth="1"/>
    <col min="8" max="8" width="8.7109375" style="1064" bestFit="1" customWidth="1"/>
    <col min="9" max="9" width="7.5703125" style="1064" customWidth="1"/>
    <col min="10" max="10" width="9.5703125" style="1064" customWidth="1"/>
    <col min="11" max="11" width="7.5703125" style="1064" customWidth="1"/>
    <col min="12" max="12" width="8.7109375" style="1064" bestFit="1" customWidth="1"/>
    <col min="13" max="13" width="7.5703125" style="1064" customWidth="1"/>
    <col min="14" max="14" width="9.5703125" style="1064" customWidth="1"/>
    <col min="15" max="15" width="7.5703125" style="1064" customWidth="1"/>
    <col min="16" max="16" width="8.7109375" style="1064" bestFit="1" customWidth="1"/>
    <col min="17" max="17" width="7.5703125" style="1064" customWidth="1"/>
    <col min="18" max="22" width="9.5703125" style="1064" customWidth="1"/>
    <col min="23" max="16384" width="11.42578125" style="1064"/>
  </cols>
  <sheetData>
    <row r="1" spans="1:22" x14ac:dyDescent="0.2">
      <c r="A1" s="1063"/>
    </row>
    <row r="2" spans="1:22" s="1065" customFormat="1" ht="15" customHeight="1" x14ac:dyDescent="0.15">
      <c r="A2" s="3059" t="s">
        <v>2447</v>
      </c>
      <c r="B2" s="3059"/>
      <c r="C2" s="3059"/>
      <c r="D2" s="3059"/>
      <c r="E2" s="3059"/>
      <c r="F2" s="3059"/>
      <c r="G2" s="3059"/>
      <c r="H2" s="3059"/>
      <c r="I2" s="3059"/>
      <c r="J2" s="3059"/>
      <c r="K2" s="3059"/>
      <c r="L2" s="3059"/>
      <c r="M2" s="3059"/>
      <c r="N2" s="3059"/>
      <c r="O2" s="3059"/>
      <c r="P2" s="3059"/>
      <c r="Q2" s="3059"/>
      <c r="R2" s="3059"/>
      <c r="S2" s="3059"/>
      <c r="T2" s="3059"/>
      <c r="U2" s="3059"/>
      <c r="V2" s="3059"/>
    </row>
    <row r="3" spans="1:22" s="1067" customFormat="1" ht="11.25" x14ac:dyDescent="0.15">
      <c r="A3" s="1066"/>
      <c r="B3" s="1066"/>
      <c r="C3" s="1066"/>
      <c r="D3" s="1066"/>
      <c r="E3" s="1066"/>
      <c r="F3" s="1066"/>
      <c r="G3" s="1066"/>
      <c r="H3" s="1066"/>
      <c r="I3" s="1066"/>
      <c r="J3" s="1066"/>
      <c r="K3" s="1066"/>
      <c r="L3" s="1066"/>
      <c r="M3" s="1066"/>
      <c r="N3" s="380"/>
      <c r="O3" s="380"/>
      <c r="P3" s="380"/>
      <c r="Q3" s="380"/>
      <c r="R3" s="380"/>
      <c r="S3" s="380"/>
      <c r="T3" s="380"/>
      <c r="U3" s="380"/>
      <c r="V3" s="380"/>
    </row>
    <row r="4" spans="1:22" s="1068" customFormat="1" ht="21.75" customHeight="1" x14ac:dyDescent="0.25">
      <c r="A4" s="3060" t="s">
        <v>1</v>
      </c>
      <c r="B4" s="3061">
        <v>2011</v>
      </c>
      <c r="C4" s="3061"/>
      <c r="D4" s="3061"/>
      <c r="E4" s="3061"/>
      <c r="F4" s="3061">
        <v>2012</v>
      </c>
      <c r="G4" s="3061"/>
      <c r="H4" s="3061"/>
      <c r="I4" s="3061"/>
      <c r="J4" s="3061">
        <v>2013</v>
      </c>
      <c r="K4" s="3061"/>
      <c r="L4" s="3061"/>
      <c r="M4" s="3061"/>
      <c r="N4" s="3060">
        <v>2014</v>
      </c>
      <c r="O4" s="3060"/>
      <c r="P4" s="3060"/>
      <c r="Q4" s="3060"/>
      <c r="R4" s="3060">
        <v>2015</v>
      </c>
      <c r="S4" s="3060"/>
      <c r="T4" s="3060"/>
      <c r="U4" s="3060"/>
      <c r="V4" s="3060"/>
    </row>
    <row r="5" spans="1:22" s="1068" customFormat="1" ht="21.75" customHeight="1" x14ac:dyDescent="0.25">
      <c r="A5" s="3060"/>
      <c r="B5" s="1069" t="s">
        <v>141</v>
      </c>
      <c r="C5" s="1069" t="s">
        <v>2448</v>
      </c>
      <c r="D5" s="1069" t="s">
        <v>2449</v>
      </c>
      <c r="E5" s="1069" t="s">
        <v>2450</v>
      </c>
      <c r="F5" s="1069" t="s">
        <v>141</v>
      </c>
      <c r="G5" s="1069" t="s">
        <v>2448</v>
      </c>
      <c r="H5" s="1069" t="s">
        <v>2449</v>
      </c>
      <c r="I5" s="1069" t="s">
        <v>2450</v>
      </c>
      <c r="J5" s="1069" t="s">
        <v>141</v>
      </c>
      <c r="K5" s="1069" t="s">
        <v>2448</v>
      </c>
      <c r="L5" s="1069" t="s">
        <v>2449</v>
      </c>
      <c r="M5" s="1069" t="s">
        <v>2450</v>
      </c>
      <c r="N5" s="1069" t="s">
        <v>141</v>
      </c>
      <c r="O5" s="1069" t="s">
        <v>2448</v>
      </c>
      <c r="P5" s="1069" t="s">
        <v>2449</v>
      </c>
      <c r="Q5" s="1069" t="s">
        <v>2450</v>
      </c>
      <c r="R5" s="1069" t="s">
        <v>141</v>
      </c>
      <c r="S5" s="1069" t="s">
        <v>2448</v>
      </c>
      <c r="T5" s="1069" t="s">
        <v>2449</v>
      </c>
      <c r="U5" s="1069" t="s">
        <v>2450</v>
      </c>
      <c r="V5" s="1069" t="s">
        <v>2451</v>
      </c>
    </row>
    <row r="6" spans="1:22" s="1065" customFormat="1" ht="11.25" x14ac:dyDescent="0.15">
      <c r="A6" s="1070" t="s">
        <v>141</v>
      </c>
      <c r="B6" s="1071">
        <f t="shared" ref="B6:V6" si="0">SUM(B7:B21)</f>
        <v>2014</v>
      </c>
      <c r="C6" s="1071">
        <f t="shared" si="0"/>
        <v>167</v>
      </c>
      <c r="D6" s="1071">
        <f t="shared" si="0"/>
        <v>1459</v>
      </c>
      <c r="E6" s="1071">
        <f t="shared" si="0"/>
        <v>388</v>
      </c>
      <c r="F6" s="1072">
        <f>SUM(F7:F21)</f>
        <v>1962</v>
      </c>
      <c r="G6" s="1071">
        <f t="shared" si="0"/>
        <v>153</v>
      </c>
      <c r="H6" s="1071">
        <f t="shared" si="0"/>
        <v>1520</v>
      </c>
      <c r="I6" s="1071">
        <f t="shared" si="0"/>
        <v>289</v>
      </c>
      <c r="J6" s="1071">
        <f t="shared" si="0"/>
        <v>2075</v>
      </c>
      <c r="K6" s="1071">
        <f t="shared" si="0"/>
        <v>150</v>
      </c>
      <c r="L6" s="1071">
        <f t="shared" si="0"/>
        <v>1569</v>
      </c>
      <c r="M6" s="1071">
        <f t="shared" si="0"/>
        <v>356</v>
      </c>
      <c r="N6" s="689">
        <f t="shared" si="0"/>
        <v>2056</v>
      </c>
      <c r="O6" s="689">
        <f t="shared" si="0"/>
        <v>150</v>
      </c>
      <c r="P6" s="689">
        <f t="shared" si="0"/>
        <v>1599</v>
      </c>
      <c r="Q6" s="689">
        <f t="shared" si="0"/>
        <v>307</v>
      </c>
      <c r="R6" s="689">
        <f t="shared" si="0"/>
        <v>2143</v>
      </c>
      <c r="S6" s="689">
        <f t="shared" si="0"/>
        <v>146</v>
      </c>
      <c r="T6" s="689">
        <f t="shared" si="0"/>
        <v>1661</v>
      </c>
      <c r="U6" s="689">
        <f t="shared" si="0"/>
        <v>110</v>
      </c>
      <c r="V6" s="689">
        <f t="shared" si="0"/>
        <v>226</v>
      </c>
    </row>
    <row r="7" spans="1:22" s="1065" customFormat="1" ht="11.25" x14ac:dyDescent="0.15">
      <c r="A7" s="1073" t="s">
        <v>5</v>
      </c>
      <c r="B7" s="1071">
        <f t="shared" ref="B7:B21" si="1">SUM(C7:E7)</f>
        <v>44</v>
      </c>
      <c r="C7" s="1074">
        <v>4</v>
      </c>
      <c r="D7" s="1074">
        <v>39</v>
      </c>
      <c r="E7" s="1074">
        <v>1</v>
      </c>
      <c r="F7" s="1072">
        <f t="shared" ref="F7:F21" si="2">SUM(G7:I7)</f>
        <v>44</v>
      </c>
      <c r="G7" s="1074">
        <v>4</v>
      </c>
      <c r="H7" s="1074">
        <v>39</v>
      </c>
      <c r="I7" s="1074">
        <v>1</v>
      </c>
      <c r="J7" s="1071">
        <f t="shared" ref="J7:J21" si="3">SUM(K7:M7)</f>
        <v>44</v>
      </c>
      <c r="K7" s="1075">
        <v>4</v>
      </c>
      <c r="L7" s="1075">
        <v>39</v>
      </c>
      <c r="M7" s="1075">
        <v>1</v>
      </c>
      <c r="N7" s="689">
        <f t="shared" ref="N7:N21" si="4">SUM(O7:Q7)</f>
        <v>42</v>
      </c>
      <c r="O7" s="1075">
        <v>2</v>
      </c>
      <c r="P7" s="1075">
        <v>39</v>
      </c>
      <c r="Q7" s="1075">
        <v>1</v>
      </c>
      <c r="R7" s="689">
        <f>SUM(S7:V7)</f>
        <v>43</v>
      </c>
      <c r="S7" s="1076">
        <v>2</v>
      </c>
      <c r="T7" s="1076">
        <v>40</v>
      </c>
      <c r="U7" s="1077">
        <v>1</v>
      </c>
      <c r="V7" s="1076" t="s">
        <v>193</v>
      </c>
    </row>
    <row r="8" spans="1:22" s="1065" customFormat="1" ht="11.25" x14ac:dyDescent="0.15">
      <c r="A8" s="1073" t="s">
        <v>6</v>
      </c>
      <c r="B8" s="1071">
        <f t="shared" si="1"/>
        <v>54</v>
      </c>
      <c r="C8" s="1074">
        <v>4</v>
      </c>
      <c r="D8" s="1074">
        <v>42</v>
      </c>
      <c r="E8" s="1074">
        <v>8</v>
      </c>
      <c r="F8" s="1072">
        <f t="shared" si="2"/>
        <v>48</v>
      </c>
      <c r="G8" s="1074">
        <v>2</v>
      </c>
      <c r="H8" s="1074">
        <v>42</v>
      </c>
      <c r="I8" s="1074">
        <v>4</v>
      </c>
      <c r="J8" s="1071">
        <f t="shared" si="3"/>
        <v>51</v>
      </c>
      <c r="K8" s="1075">
        <v>2</v>
      </c>
      <c r="L8" s="1075">
        <v>42</v>
      </c>
      <c r="M8" s="1075">
        <v>7</v>
      </c>
      <c r="N8" s="689">
        <f t="shared" si="4"/>
        <v>48</v>
      </c>
      <c r="O8" s="1075">
        <v>2</v>
      </c>
      <c r="P8" s="1075">
        <v>42</v>
      </c>
      <c r="Q8" s="1075">
        <v>4</v>
      </c>
      <c r="R8" s="689">
        <f t="shared" ref="R8:R21" si="5">SUM(S8:V8)</f>
        <v>50</v>
      </c>
      <c r="S8" s="1076">
        <v>2</v>
      </c>
      <c r="T8" s="1076">
        <v>43</v>
      </c>
      <c r="U8" s="1077">
        <v>2</v>
      </c>
      <c r="V8" s="1076">
        <v>3</v>
      </c>
    </row>
    <row r="9" spans="1:22" s="1065" customFormat="1" ht="11.25" x14ac:dyDescent="0.15">
      <c r="A9" s="1073" t="s">
        <v>7</v>
      </c>
      <c r="B9" s="1071">
        <f t="shared" si="1"/>
        <v>123</v>
      </c>
      <c r="C9" s="1074">
        <v>7</v>
      </c>
      <c r="D9" s="1074">
        <v>109</v>
      </c>
      <c r="E9" s="1074">
        <v>7</v>
      </c>
      <c r="F9" s="1072">
        <f t="shared" si="2"/>
        <v>114</v>
      </c>
      <c r="G9" s="1074">
        <v>2</v>
      </c>
      <c r="H9" s="1074">
        <v>108</v>
      </c>
      <c r="I9" s="1074">
        <v>4</v>
      </c>
      <c r="J9" s="1071">
        <f t="shared" si="3"/>
        <v>119</v>
      </c>
      <c r="K9" s="1075">
        <v>2</v>
      </c>
      <c r="L9" s="1075">
        <v>111</v>
      </c>
      <c r="M9" s="1075">
        <v>6</v>
      </c>
      <c r="N9" s="689">
        <f t="shared" si="4"/>
        <v>120</v>
      </c>
      <c r="O9" s="1075">
        <v>2</v>
      </c>
      <c r="P9" s="1075">
        <v>113</v>
      </c>
      <c r="Q9" s="1075">
        <v>5</v>
      </c>
      <c r="R9" s="689">
        <f t="shared" si="5"/>
        <v>123</v>
      </c>
      <c r="S9" s="1076">
        <v>2</v>
      </c>
      <c r="T9" s="1076">
        <v>115</v>
      </c>
      <c r="U9" s="1077">
        <v>3</v>
      </c>
      <c r="V9" s="1076">
        <v>3</v>
      </c>
    </row>
    <row r="10" spans="1:22" s="1065" customFormat="1" ht="11.25" x14ac:dyDescent="0.15">
      <c r="A10" s="1073" t="s">
        <v>8</v>
      </c>
      <c r="B10" s="1071">
        <f t="shared" si="1"/>
        <v>121</v>
      </c>
      <c r="C10" s="1074">
        <v>4</v>
      </c>
      <c r="D10" s="1074">
        <v>109</v>
      </c>
      <c r="E10" s="1074">
        <v>8</v>
      </c>
      <c r="F10" s="1072">
        <f t="shared" si="2"/>
        <v>121</v>
      </c>
      <c r="G10" s="1074">
        <v>2</v>
      </c>
      <c r="H10" s="1074">
        <v>111</v>
      </c>
      <c r="I10" s="1074">
        <v>8</v>
      </c>
      <c r="J10" s="1071">
        <f t="shared" si="3"/>
        <v>124</v>
      </c>
      <c r="K10" s="1075">
        <v>2</v>
      </c>
      <c r="L10" s="1075">
        <v>114</v>
      </c>
      <c r="M10" s="1075">
        <v>8</v>
      </c>
      <c r="N10" s="689">
        <f t="shared" si="4"/>
        <v>129</v>
      </c>
      <c r="O10" s="1075">
        <v>2</v>
      </c>
      <c r="P10" s="1075">
        <v>119</v>
      </c>
      <c r="Q10" s="1075">
        <v>8</v>
      </c>
      <c r="R10" s="689">
        <f t="shared" si="5"/>
        <v>138</v>
      </c>
      <c r="S10" s="1076">
        <v>2</v>
      </c>
      <c r="T10" s="1076">
        <v>128</v>
      </c>
      <c r="U10" s="1077">
        <v>1</v>
      </c>
      <c r="V10" s="1076">
        <v>7</v>
      </c>
    </row>
    <row r="11" spans="1:22" s="1065" customFormat="1" ht="11.25" x14ac:dyDescent="0.15">
      <c r="A11" s="1073" t="s">
        <v>9</v>
      </c>
      <c r="B11" s="1071">
        <f t="shared" si="1"/>
        <v>146</v>
      </c>
      <c r="C11" s="1074">
        <v>8</v>
      </c>
      <c r="D11" s="1074">
        <v>125</v>
      </c>
      <c r="E11" s="1074">
        <v>13</v>
      </c>
      <c r="F11" s="1072">
        <f t="shared" si="2"/>
        <v>154</v>
      </c>
      <c r="G11" s="1074">
        <v>8</v>
      </c>
      <c r="H11" s="1074">
        <v>135</v>
      </c>
      <c r="I11" s="1074">
        <v>11</v>
      </c>
      <c r="J11" s="1071">
        <f t="shared" si="3"/>
        <v>157</v>
      </c>
      <c r="K11" s="1075">
        <v>8</v>
      </c>
      <c r="L11" s="1075">
        <v>136</v>
      </c>
      <c r="M11" s="1075">
        <v>13</v>
      </c>
      <c r="N11" s="689">
        <f t="shared" si="4"/>
        <v>159</v>
      </c>
      <c r="O11" s="1075">
        <v>11</v>
      </c>
      <c r="P11" s="1075">
        <v>137</v>
      </c>
      <c r="Q11" s="1075">
        <v>11</v>
      </c>
      <c r="R11" s="689">
        <f t="shared" si="5"/>
        <v>163</v>
      </c>
      <c r="S11" s="1076">
        <v>9</v>
      </c>
      <c r="T11" s="1076">
        <v>141</v>
      </c>
      <c r="U11" s="1077">
        <v>2</v>
      </c>
      <c r="V11" s="1076">
        <v>11</v>
      </c>
    </row>
    <row r="12" spans="1:22" s="1065" customFormat="1" ht="11.25" x14ac:dyDescent="0.15">
      <c r="A12" s="1073" t="s">
        <v>10</v>
      </c>
      <c r="B12" s="1071">
        <f t="shared" si="1"/>
        <v>210</v>
      </c>
      <c r="C12" s="1074">
        <v>20</v>
      </c>
      <c r="D12" s="1074">
        <v>137</v>
      </c>
      <c r="E12" s="1074">
        <v>53</v>
      </c>
      <c r="F12" s="1072">
        <f t="shared" si="2"/>
        <v>199</v>
      </c>
      <c r="G12" s="1074">
        <v>20</v>
      </c>
      <c r="H12" s="1074">
        <v>138</v>
      </c>
      <c r="I12" s="1074">
        <v>41</v>
      </c>
      <c r="J12" s="1071">
        <f t="shared" si="3"/>
        <v>208</v>
      </c>
      <c r="K12" s="1075">
        <v>20</v>
      </c>
      <c r="L12" s="1075">
        <v>142</v>
      </c>
      <c r="M12" s="1075">
        <v>46</v>
      </c>
      <c r="N12" s="689">
        <f t="shared" si="4"/>
        <v>204</v>
      </c>
      <c r="O12" s="1075">
        <v>20</v>
      </c>
      <c r="P12" s="1075">
        <v>142</v>
      </c>
      <c r="Q12" s="1075">
        <v>42</v>
      </c>
      <c r="R12" s="689">
        <f t="shared" si="5"/>
        <v>217</v>
      </c>
      <c r="S12" s="1076">
        <v>20</v>
      </c>
      <c r="T12" s="1076">
        <v>148</v>
      </c>
      <c r="U12" s="1077">
        <v>19</v>
      </c>
      <c r="V12" s="1076">
        <v>30</v>
      </c>
    </row>
    <row r="13" spans="1:22" s="1065" customFormat="1" ht="11.25" x14ac:dyDescent="0.15">
      <c r="A13" s="1073" t="s">
        <v>11</v>
      </c>
      <c r="B13" s="1071">
        <f t="shared" si="1"/>
        <v>185</v>
      </c>
      <c r="C13" s="1074">
        <v>23</v>
      </c>
      <c r="D13" s="1074">
        <v>61</v>
      </c>
      <c r="E13" s="1074">
        <v>101</v>
      </c>
      <c r="F13" s="1072">
        <f t="shared" si="2"/>
        <v>166</v>
      </c>
      <c r="G13" s="1074">
        <v>23</v>
      </c>
      <c r="H13" s="1074">
        <v>60</v>
      </c>
      <c r="I13" s="1074">
        <v>83</v>
      </c>
      <c r="J13" s="1071">
        <f t="shared" si="3"/>
        <v>184</v>
      </c>
      <c r="K13" s="1075">
        <v>23</v>
      </c>
      <c r="L13" s="1075">
        <v>61</v>
      </c>
      <c r="M13" s="1075">
        <v>100</v>
      </c>
      <c r="N13" s="689">
        <f t="shared" si="4"/>
        <v>171</v>
      </c>
      <c r="O13" s="1075">
        <v>23</v>
      </c>
      <c r="P13" s="1075">
        <v>61</v>
      </c>
      <c r="Q13" s="1075">
        <v>87</v>
      </c>
      <c r="R13" s="689">
        <f t="shared" si="5"/>
        <v>172</v>
      </c>
      <c r="S13" s="1076">
        <v>23</v>
      </c>
      <c r="T13" s="1076">
        <v>61</v>
      </c>
      <c r="U13" s="1077">
        <v>23</v>
      </c>
      <c r="V13" s="1076">
        <v>65</v>
      </c>
    </row>
    <row r="14" spans="1:22" s="1065" customFormat="1" ht="11.25" x14ac:dyDescent="0.15">
      <c r="A14" s="1073" t="s">
        <v>12</v>
      </c>
      <c r="B14" s="1071">
        <f t="shared" si="1"/>
        <v>126</v>
      </c>
      <c r="C14" s="1074">
        <v>6</v>
      </c>
      <c r="D14" s="1074">
        <v>90</v>
      </c>
      <c r="E14" s="1074">
        <v>30</v>
      </c>
      <c r="F14" s="1072">
        <f t="shared" si="2"/>
        <v>119</v>
      </c>
      <c r="G14" s="1074">
        <v>6</v>
      </c>
      <c r="H14" s="1074">
        <v>93</v>
      </c>
      <c r="I14" s="1074">
        <v>20</v>
      </c>
      <c r="J14" s="1071">
        <f t="shared" si="3"/>
        <v>127</v>
      </c>
      <c r="K14" s="1075">
        <v>6</v>
      </c>
      <c r="L14" s="1075">
        <v>94</v>
      </c>
      <c r="M14" s="1075">
        <v>27</v>
      </c>
      <c r="N14" s="689">
        <f t="shared" si="4"/>
        <v>122</v>
      </c>
      <c r="O14" s="1075">
        <v>6</v>
      </c>
      <c r="P14" s="1075">
        <v>95</v>
      </c>
      <c r="Q14" s="1075">
        <v>21</v>
      </c>
      <c r="R14" s="689">
        <f t="shared" si="5"/>
        <v>126</v>
      </c>
      <c r="S14" s="1076">
        <v>6</v>
      </c>
      <c r="T14" s="1076">
        <v>95</v>
      </c>
      <c r="U14" s="1077">
        <v>12</v>
      </c>
      <c r="V14" s="1076">
        <v>13</v>
      </c>
    </row>
    <row r="15" spans="1:22" s="1065" customFormat="1" ht="11.25" x14ac:dyDescent="0.15">
      <c r="A15" s="1073" t="s">
        <v>13</v>
      </c>
      <c r="B15" s="1071">
        <f t="shared" si="1"/>
        <v>171</v>
      </c>
      <c r="C15" s="1074">
        <v>13</v>
      </c>
      <c r="D15" s="1074">
        <v>126</v>
      </c>
      <c r="E15" s="1074">
        <v>32</v>
      </c>
      <c r="F15" s="1072">
        <f t="shared" si="2"/>
        <v>164</v>
      </c>
      <c r="G15" s="1074">
        <v>13</v>
      </c>
      <c r="H15" s="1074">
        <v>128</v>
      </c>
      <c r="I15" s="1074">
        <v>23</v>
      </c>
      <c r="J15" s="1071">
        <f t="shared" si="3"/>
        <v>173</v>
      </c>
      <c r="K15" s="1075">
        <v>13</v>
      </c>
      <c r="L15" s="1075">
        <v>130</v>
      </c>
      <c r="M15" s="1075">
        <v>30</v>
      </c>
      <c r="N15" s="689">
        <f t="shared" si="4"/>
        <v>172</v>
      </c>
      <c r="O15" s="1075">
        <v>13</v>
      </c>
      <c r="P15" s="1075">
        <v>132</v>
      </c>
      <c r="Q15" s="1075">
        <v>27</v>
      </c>
      <c r="R15" s="689">
        <f t="shared" si="5"/>
        <v>176</v>
      </c>
      <c r="S15" s="1076">
        <v>12</v>
      </c>
      <c r="T15" s="1076">
        <v>135</v>
      </c>
      <c r="U15" s="1077">
        <v>16</v>
      </c>
      <c r="V15" s="1076">
        <v>13</v>
      </c>
    </row>
    <row r="16" spans="1:22" s="1065" customFormat="1" ht="11.25" x14ac:dyDescent="0.15">
      <c r="A16" s="1073" t="s">
        <v>14</v>
      </c>
      <c r="B16" s="1071">
        <f t="shared" si="1"/>
        <v>267</v>
      </c>
      <c r="C16" s="1074">
        <v>23</v>
      </c>
      <c r="D16" s="1074">
        <v>167</v>
      </c>
      <c r="E16" s="1074">
        <v>77</v>
      </c>
      <c r="F16" s="1072">
        <f t="shared" si="2"/>
        <v>251</v>
      </c>
      <c r="G16" s="1074">
        <v>22</v>
      </c>
      <c r="H16" s="1074">
        <v>173</v>
      </c>
      <c r="I16" s="1074">
        <v>56</v>
      </c>
      <c r="J16" s="1071">
        <f t="shared" si="3"/>
        <v>272</v>
      </c>
      <c r="K16" s="1075">
        <v>22</v>
      </c>
      <c r="L16" s="1075">
        <v>180</v>
      </c>
      <c r="M16" s="1075">
        <v>70</v>
      </c>
      <c r="N16" s="689">
        <f t="shared" si="4"/>
        <v>262</v>
      </c>
      <c r="O16" s="1075">
        <v>22</v>
      </c>
      <c r="P16" s="1075">
        <v>180</v>
      </c>
      <c r="Q16" s="1075">
        <v>60</v>
      </c>
      <c r="R16" s="689">
        <f t="shared" si="5"/>
        <v>283</v>
      </c>
      <c r="S16" s="1076">
        <v>22</v>
      </c>
      <c r="T16" s="1076">
        <v>194</v>
      </c>
      <c r="U16" s="1077">
        <v>14</v>
      </c>
      <c r="V16" s="1076">
        <v>53</v>
      </c>
    </row>
    <row r="17" spans="1:22" s="1065" customFormat="1" ht="11.25" x14ac:dyDescent="0.15">
      <c r="A17" s="1073" t="s">
        <v>15</v>
      </c>
      <c r="B17" s="1071">
        <f t="shared" si="1"/>
        <v>177</v>
      </c>
      <c r="C17" s="1074">
        <v>20</v>
      </c>
      <c r="D17" s="1074">
        <v>133</v>
      </c>
      <c r="E17" s="1074">
        <v>24</v>
      </c>
      <c r="F17" s="1072">
        <f t="shared" si="2"/>
        <v>186</v>
      </c>
      <c r="G17" s="1074">
        <v>18</v>
      </c>
      <c r="H17" s="1074">
        <v>148</v>
      </c>
      <c r="I17" s="1074">
        <v>20</v>
      </c>
      <c r="J17" s="1071">
        <f t="shared" si="3"/>
        <v>192</v>
      </c>
      <c r="K17" s="1075">
        <v>15</v>
      </c>
      <c r="L17" s="1075">
        <v>153</v>
      </c>
      <c r="M17" s="1075">
        <v>24</v>
      </c>
      <c r="N17" s="689">
        <f t="shared" si="4"/>
        <v>194</v>
      </c>
      <c r="O17" s="1075">
        <v>15</v>
      </c>
      <c r="P17" s="1075">
        <v>158</v>
      </c>
      <c r="Q17" s="1075">
        <v>21</v>
      </c>
      <c r="R17" s="689">
        <f t="shared" si="5"/>
        <v>207</v>
      </c>
      <c r="S17" s="1076">
        <v>16</v>
      </c>
      <c r="T17" s="1076">
        <v>169</v>
      </c>
      <c r="U17" s="1077">
        <v>9</v>
      </c>
      <c r="V17" s="1076">
        <v>13</v>
      </c>
    </row>
    <row r="18" spans="1:22" s="1065" customFormat="1" ht="11.25" x14ac:dyDescent="0.15">
      <c r="A18" s="1073" t="s">
        <v>2452</v>
      </c>
      <c r="B18" s="1071">
        <f t="shared" si="1"/>
        <v>85</v>
      </c>
      <c r="C18" s="1074">
        <v>9</v>
      </c>
      <c r="D18" s="1074">
        <v>71</v>
      </c>
      <c r="E18" s="1074">
        <v>5</v>
      </c>
      <c r="F18" s="1072">
        <f t="shared" si="2"/>
        <v>87</v>
      </c>
      <c r="G18" s="1074">
        <v>7</v>
      </c>
      <c r="H18" s="1074">
        <v>78</v>
      </c>
      <c r="I18" s="1074">
        <v>2</v>
      </c>
      <c r="J18" s="1071">
        <f t="shared" si="3"/>
        <v>92</v>
      </c>
      <c r="K18" s="1075">
        <v>7</v>
      </c>
      <c r="L18" s="1075">
        <v>82</v>
      </c>
      <c r="M18" s="1075">
        <v>3</v>
      </c>
      <c r="N18" s="689">
        <f t="shared" si="4"/>
        <v>93</v>
      </c>
      <c r="O18" s="1075">
        <v>7</v>
      </c>
      <c r="P18" s="1075">
        <v>83</v>
      </c>
      <c r="Q18" s="1075">
        <v>3</v>
      </c>
      <c r="R18" s="689">
        <f t="shared" si="5"/>
        <v>97</v>
      </c>
      <c r="S18" s="1076">
        <v>7</v>
      </c>
      <c r="T18" s="1076">
        <v>87</v>
      </c>
      <c r="U18" s="1077">
        <v>2</v>
      </c>
      <c r="V18" s="1076">
        <v>1</v>
      </c>
    </row>
    <row r="19" spans="1:22" s="1065" customFormat="1" ht="11.25" x14ac:dyDescent="0.15">
      <c r="A19" s="1073" t="s">
        <v>17</v>
      </c>
      <c r="B19" s="1071">
        <f t="shared" si="1"/>
        <v>175</v>
      </c>
      <c r="C19" s="1074">
        <v>15</v>
      </c>
      <c r="D19" s="1074">
        <v>150</v>
      </c>
      <c r="E19" s="1074">
        <v>10</v>
      </c>
      <c r="F19" s="1072">
        <f t="shared" si="2"/>
        <v>185</v>
      </c>
      <c r="G19" s="1074">
        <v>15</v>
      </c>
      <c r="H19" s="1074">
        <v>162</v>
      </c>
      <c r="I19" s="1074">
        <v>8</v>
      </c>
      <c r="J19" s="1071">
        <f t="shared" si="3"/>
        <v>193</v>
      </c>
      <c r="K19" s="1075">
        <v>15</v>
      </c>
      <c r="L19" s="1075">
        <v>168</v>
      </c>
      <c r="M19" s="1075">
        <v>10</v>
      </c>
      <c r="N19" s="689">
        <f t="shared" si="4"/>
        <v>194</v>
      </c>
      <c r="O19" s="1075">
        <v>14</v>
      </c>
      <c r="P19" s="1075">
        <v>171</v>
      </c>
      <c r="Q19" s="1075">
        <v>9</v>
      </c>
      <c r="R19" s="689">
        <f t="shared" si="5"/>
        <v>202</v>
      </c>
      <c r="S19" s="1076">
        <v>13</v>
      </c>
      <c r="T19" s="1076">
        <v>177</v>
      </c>
      <c r="U19" s="1077">
        <v>4</v>
      </c>
      <c r="V19" s="1076">
        <v>8</v>
      </c>
    </row>
    <row r="20" spans="1:22" s="1065" customFormat="1" ht="11.25" x14ac:dyDescent="0.15">
      <c r="A20" s="1073" t="s">
        <v>18</v>
      </c>
      <c r="B20" s="1071">
        <f t="shared" si="1"/>
        <v>69</v>
      </c>
      <c r="C20" s="1074">
        <v>3</v>
      </c>
      <c r="D20" s="1074">
        <v>50</v>
      </c>
      <c r="E20" s="1074">
        <v>16</v>
      </c>
      <c r="F20" s="1072">
        <f t="shared" si="2"/>
        <v>60</v>
      </c>
      <c r="G20" s="1074">
        <v>3</v>
      </c>
      <c r="H20" s="1074">
        <v>51</v>
      </c>
      <c r="I20" s="1074">
        <v>6</v>
      </c>
      <c r="J20" s="1071">
        <f t="shared" si="3"/>
        <v>71</v>
      </c>
      <c r="K20" s="1075">
        <v>3</v>
      </c>
      <c r="L20" s="1075">
        <v>60</v>
      </c>
      <c r="M20" s="1075">
        <v>8</v>
      </c>
      <c r="N20" s="689">
        <f t="shared" si="4"/>
        <v>78</v>
      </c>
      <c r="O20" s="1075">
        <v>3</v>
      </c>
      <c r="P20" s="1075">
        <v>69</v>
      </c>
      <c r="Q20" s="1075">
        <v>6</v>
      </c>
      <c r="R20" s="689">
        <f t="shared" si="5"/>
        <v>79</v>
      </c>
      <c r="S20" s="1076">
        <v>3</v>
      </c>
      <c r="T20" s="1076">
        <v>70</v>
      </c>
      <c r="U20" s="1077">
        <v>2</v>
      </c>
      <c r="V20" s="1076">
        <v>4</v>
      </c>
    </row>
    <row r="21" spans="1:22" s="1065" customFormat="1" ht="11.25" x14ac:dyDescent="0.15">
      <c r="A21" s="1073" t="s">
        <v>19</v>
      </c>
      <c r="B21" s="1071">
        <f t="shared" si="1"/>
        <v>61</v>
      </c>
      <c r="C21" s="1074">
        <v>8</v>
      </c>
      <c r="D21" s="1074">
        <v>50</v>
      </c>
      <c r="E21" s="1074">
        <v>3</v>
      </c>
      <c r="F21" s="1072">
        <f t="shared" si="2"/>
        <v>64</v>
      </c>
      <c r="G21" s="1074">
        <v>8</v>
      </c>
      <c r="H21" s="1074">
        <v>54</v>
      </c>
      <c r="I21" s="1074">
        <v>2</v>
      </c>
      <c r="J21" s="1071">
        <f t="shared" si="3"/>
        <v>68</v>
      </c>
      <c r="K21" s="1075">
        <v>8</v>
      </c>
      <c r="L21" s="1075">
        <v>57</v>
      </c>
      <c r="M21" s="1075">
        <v>3</v>
      </c>
      <c r="N21" s="689">
        <f t="shared" si="4"/>
        <v>68</v>
      </c>
      <c r="O21" s="1075">
        <v>8</v>
      </c>
      <c r="P21" s="1075">
        <v>58</v>
      </c>
      <c r="Q21" s="1075">
        <v>2</v>
      </c>
      <c r="R21" s="689">
        <f t="shared" si="5"/>
        <v>67</v>
      </c>
      <c r="S21" s="1076">
        <v>7</v>
      </c>
      <c r="T21" s="1076">
        <v>58</v>
      </c>
      <c r="U21" s="1077" t="s">
        <v>193</v>
      </c>
      <c r="V21" s="1076">
        <v>2</v>
      </c>
    </row>
    <row r="22" spans="1:22" s="1065" customFormat="1" ht="6.75" customHeight="1" x14ac:dyDescent="0.15">
      <c r="A22" s="1078"/>
      <c r="B22" s="1071"/>
      <c r="C22" s="1074"/>
      <c r="D22" s="1074"/>
      <c r="E22" s="1074"/>
      <c r="F22" s="1071"/>
      <c r="G22" s="1074"/>
      <c r="H22" s="1074"/>
      <c r="I22" s="1074"/>
      <c r="J22" s="1071"/>
      <c r="K22" s="1075"/>
      <c r="L22" s="1075"/>
      <c r="M22" s="1075"/>
      <c r="N22" s="506"/>
      <c r="O22" s="506"/>
      <c r="P22" s="506"/>
      <c r="Q22" s="506"/>
      <c r="R22" s="1079"/>
      <c r="S22" s="1080"/>
      <c r="T22" s="785"/>
      <c r="U22" s="785"/>
      <c r="V22" s="785"/>
    </row>
    <row r="23" spans="1:22" s="1065" customFormat="1" ht="13.5" customHeight="1" x14ac:dyDescent="0.15">
      <c r="A23" s="1081"/>
      <c r="B23" s="1071"/>
      <c r="C23" s="1074"/>
      <c r="D23" s="1074"/>
      <c r="E23" s="1074"/>
      <c r="F23" s="1071"/>
      <c r="G23" s="1074"/>
      <c r="H23" s="1074"/>
      <c r="I23" s="1074"/>
      <c r="J23" s="1071"/>
      <c r="K23" s="1075"/>
      <c r="L23" s="1075"/>
      <c r="M23" s="1075"/>
      <c r="N23" s="506"/>
      <c r="O23" s="506"/>
      <c r="P23" s="506"/>
      <c r="Q23" s="506"/>
      <c r="R23" s="1079"/>
      <c r="S23" s="1080"/>
      <c r="T23" s="785"/>
      <c r="U23" s="785"/>
      <c r="V23" s="785"/>
    </row>
    <row r="24" spans="1:22" s="1065" customFormat="1" ht="67.5" customHeight="1" x14ac:dyDescent="0.15">
      <c r="A24" s="3058" t="s">
        <v>2453</v>
      </c>
      <c r="B24" s="3058"/>
      <c r="C24" s="3058"/>
      <c r="D24" s="3058"/>
      <c r="E24" s="3058"/>
      <c r="F24" s="3058"/>
      <c r="G24" s="3058"/>
      <c r="H24" s="3058"/>
      <c r="I24" s="3058"/>
      <c r="J24" s="3058"/>
      <c r="K24" s="3058"/>
      <c r="L24" s="3058"/>
      <c r="M24" s="3058"/>
      <c r="N24" s="3058"/>
      <c r="O24" s="3058"/>
      <c r="P24" s="3058"/>
      <c r="Q24" s="3058"/>
      <c r="R24" s="3058"/>
      <c r="S24" s="3058"/>
      <c r="T24" s="3058"/>
      <c r="U24" s="3058"/>
      <c r="V24" s="3058"/>
    </row>
    <row r="25" spans="1:22" ht="13.5" customHeight="1" x14ac:dyDescent="0.2">
      <c r="A25" s="1082" t="s">
        <v>2454</v>
      </c>
      <c r="B25" s="1083"/>
      <c r="C25" s="1083"/>
      <c r="D25" s="1083"/>
      <c r="E25" s="1083"/>
      <c r="F25" s="1083"/>
      <c r="G25" s="1083"/>
      <c r="H25" s="1083"/>
      <c r="I25" s="1083"/>
      <c r="J25" s="1083"/>
      <c r="K25" s="1083"/>
      <c r="L25" s="1083"/>
      <c r="M25" s="1083"/>
      <c r="N25" s="1083"/>
      <c r="O25" s="1083"/>
      <c r="P25" s="1083"/>
      <c r="Q25" s="1083"/>
      <c r="R25" s="1083"/>
      <c r="S25" s="1083"/>
      <c r="T25" s="1083"/>
      <c r="U25" s="1083"/>
      <c r="V25" s="1083"/>
    </row>
  </sheetData>
  <mergeCells count="8">
    <mergeCell ref="A24:V24"/>
    <mergeCell ref="A2:V2"/>
    <mergeCell ref="A4:A5"/>
    <mergeCell ref="B4:E4"/>
    <mergeCell ref="F4:I4"/>
    <mergeCell ref="J4:M4"/>
    <mergeCell ref="N4:Q4"/>
    <mergeCell ref="R4:V4"/>
  </mergeCells>
  <pageMargins left="0.7" right="0.7" top="0.75" bottom="0.75" header="0.3" footer="0.3"/>
  <pageSetup paperSize="14" scale="90"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C15"/>
  <sheetViews>
    <sheetView zoomScaleNormal="100" workbookViewId="0">
      <selection activeCell="A21" sqref="A21"/>
    </sheetView>
  </sheetViews>
  <sheetFormatPr baseColWidth="10" defaultColWidth="11.42578125" defaultRowHeight="12.75" x14ac:dyDescent="0.2"/>
  <cols>
    <col min="1" max="1" width="64.5703125" style="1085" customWidth="1"/>
    <col min="2" max="16384" width="11.42578125" style="1085"/>
  </cols>
  <sheetData>
    <row r="1" spans="1:3" x14ac:dyDescent="0.2">
      <c r="A1" s="1084"/>
    </row>
    <row r="2" spans="1:3" ht="23.25" customHeight="1" x14ac:dyDescent="0.2">
      <c r="A2" s="3062" t="s">
        <v>2455</v>
      </c>
      <c r="B2" s="3062"/>
    </row>
    <row r="3" spans="1:3" ht="10.5" customHeight="1" x14ac:dyDescent="0.2">
      <c r="A3" s="1086"/>
      <c r="B3" s="1087"/>
      <c r="C3" s="1087"/>
    </row>
    <row r="4" spans="1:3" ht="27.75" customHeight="1" x14ac:dyDescent="0.2">
      <c r="A4" s="1088" t="s">
        <v>2456</v>
      </c>
      <c r="B4" s="1089" t="s">
        <v>69</v>
      </c>
      <c r="C4" s="1087"/>
    </row>
    <row r="5" spans="1:3" x14ac:dyDescent="0.2">
      <c r="A5" s="1087" t="s">
        <v>2457</v>
      </c>
      <c r="B5" s="667">
        <v>55</v>
      </c>
      <c r="C5" s="1087"/>
    </row>
    <row r="6" spans="1:3" x14ac:dyDescent="0.2">
      <c r="A6" s="1090" t="s">
        <v>2458</v>
      </c>
      <c r="B6" s="667">
        <v>300</v>
      </c>
      <c r="C6" s="1087"/>
    </row>
    <row r="7" spans="1:3" x14ac:dyDescent="0.2">
      <c r="A7" s="1087" t="s">
        <v>2459</v>
      </c>
      <c r="B7" s="667">
        <v>5</v>
      </c>
      <c r="C7" s="1087"/>
    </row>
    <row r="8" spans="1:3" x14ac:dyDescent="0.2">
      <c r="A8" s="1087"/>
      <c r="B8" s="667"/>
      <c r="C8" s="1087"/>
    </row>
    <row r="9" spans="1:3" ht="32.25" customHeight="1" x14ac:dyDescent="0.2">
      <c r="A9" s="2433" t="s">
        <v>2460</v>
      </c>
      <c r="B9" s="2433"/>
    </row>
    <row r="10" spans="1:3" x14ac:dyDescent="0.2">
      <c r="A10" s="3063" t="s">
        <v>2461</v>
      </c>
      <c r="B10" s="3063"/>
    </row>
    <row r="11" spans="1:3" x14ac:dyDescent="0.2">
      <c r="A11" s="99" t="s">
        <v>2462</v>
      </c>
    </row>
    <row r="12" spans="1:3" x14ac:dyDescent="0.2">
      <c r="A12" s="1090" t="s">
        <v>1537</v>
      </c>
    </row>
    <row r="15" spans="1:3" x14ac:dyDescent="0.2">
      <c r="A15" s="1091"/>
    </row>
  </sheetData>
  <mergeCells count="3">
    <mergeCell ref="A2:B2"/>
    <mergeCell ref="A9:B9"/>
    <mergeCell ref="A10:B10"/>
  </mergeCells>
  <pageMargins left="0.7" right="0.7" top="0.75" bottom="0.75" header="0.3" footer="0.3"/>
  <pageSetup paperSize="14" scale="9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outlinePr summaryBelow="0" summaryRight="0"/>
  </sheetPr>
  <dimension ref="A2:Q28"/>
  <sheetViews>
    <sheetView zoomScaleNormal="100" workbookViewId="0">
      <selection activeCell="M31" sqref="A31:M31"/>
    </sheetView>
  </sheetViews>
  <sheetFormatPr baseColWidth="10" defaultColWidth="9.140625" defaultRowHeight="10.5" x14ac:dyDescent="0.15"/>
  <cols>
    <col min="1" max="1" width="20.28515625" style="1092" customWidth="1"/>
    <col min="2" max="2" width="9.140625" style="1092" customWidth="1"/>
    <col min="3" max="3" width="14.5703125" style="1092" bestFit="1" customWidth="1"/>
    <col min="4" max="4" width="11.140625" style="1092" bestFit="1" customWidth="1"/>
    <col min="5" max="5" width="6" style="1092" bestFit="1" customWidth="1"/>
    <col min="6" max="6" width="9.28515625" style="1092" customWidth="1"/>
    <col min="7" max="7" width="14.5703125" style="1092" bestFit="1" customWidth="1"/>
    <col min="8" max="8" width="11.140625" style="1092" bestFit="1" customWidth="1"/>
    <col min="9" max="9" width="6" style="1092" bestFit="1" customWidth="1"/>
    <col min="10" max="10" width="7.28515625" style="1092" bestFit="1" customWidth="1"/>
    <col min="11" max="11" width="14.5703125" style="1092" bestFit="1" customWidth="1"/>
    <col min="12" max="12" width="11.140625" style="1092" bestFit="1" customWidth="1"/>
    <col min="13" max="13" width="6" style="1092" bestFit="1" customWidth="1"/>
    <col min="14" max="14" width="6.85546875" style="1092" bestFit="1" customWidth="1"/>
    <col min="15" max="15" width="14.5703125" style="1092" bestFit="1" customWidth="1"/>
    <col min="16" max="16" width="13.7109375" style="1092" customWidth="1"/>
    <col min="17" max="17" width="6" style="1092" bestFit="1" customWidth="1"/>
    <col min="18" max="255" width="9.140625" style="1092"/>
    <col min="256" max="256" width="20.28515625" style="1092" customWidth="1"/>
    <col min="257" max="257" width="9.140625" style="1092" customWidth="1"/>
    <col min="258" max="258" width="14.85546875" style="1092" customWidth="1"/>
    <col min="259" max="260" width="13.7109375" style="1092" customWidth="1"/>
    <col min="261" max="261" width="9.28515625" style="1092" customWidth="1"/>
    <col min="262" max="262" width="16.140625" style="1092" customWidth="1"/>
    <col min="263" max="264" width="13.7109375" style="1092" customWidth="1"/>
    <col min="265" max="265" width="9.7109375" style="1092" customWidth="1"/>
    <col min="266" max="266" width="14.85546875" style="1092" customWidth="1"/>
    <col min="267" max="268" width="13.7109375" style="1092" customWidth="1"/>
    <col min="269" max="269" width="9.42578125" style="1092" customWidth="1"/>
    <col min="270" max="270" width="0.140625" style="1092" customWidth="1"/>
    <col min="271" max="271" width="16.140625" style="1092" customWidth="1"/>
    <col min="272" max="273" width="13.7109375" style="1092" customWidth="1"/>
    <col min="274" max="511" width="9.140625" style="1092"/>
    <col min="512" max="512" width="20.28515625" style="1092" customWidth="1"/>
    <col min="513" max="513" width="9.140625" style="1092" customWidth="1"/>
    <col min="514" max="514" width="14.85546875" style="1092" customWidth="1"/>
    <col min="515" max="516" width="13.7109375" style="1092" customWidth="1"/>
    <col min="517" max="517" width="9.28515625" style="1092" customWidth="1"/>
    <col min="518" max="518" width="16.140625" style="1092" customWidth="1"/>
    <col min="519" max="520" width="13.7109375" style="1092" customWidth="1"/>
    <col min="521" max="521" width="9.7109375" style="1092" customWidth="1"/>
    <col min="522" max="522" width="14.85546875" style="1092" customWidth="1"/>
    <col min="523" max="524" width="13.7109375" style="1092" customWidth="1"/>
    <col min="525" max="525" width="9.42578125" style="1092" customWidth="1"/>
    <col min="526" max="526" width="0.140625" style="1092" customWidth="1"/>
    <col min="527" max="527" width="16.140625" style="1092" customWidth="1"/>
    <col min="528" max="529" width="13.7109375" style="1092" customWidth="1"/>
    <col min="530" max="767" width="9.140625" style="1092"/>
    <col min="768" max="768" width="20.28515625" style="1092" customWidth="1"/>
    <col min="769" max="769" width="9.140625" style="1092" customWidth="1"/>
    <col min="770" max="770" width="14.85546875" style="1092" customWidth="1"/>
    <col min="771" max="772" width="13.7109375" style="1092" customWidth="1"/>
    <col min="773" max="773" width="9.28515625" style="1092" customWidth="1"/>
    <col min="774" max="774" width="16.140625" style="1092" customWidth="1"/>
    <col min="775" max="776" width="13.7109375" style="1092" customWidth="1"/>
    <col min="777" max="777" width="9.7109375" style="1092" customWidth="1"/>
    <col min="778" max="778" width="14.85546875" style="1092" customWidth="1"/>
    <col min="779" max="780" width="13.7109375" style="1092" customWidth="1"/>
    <col min="781" max="781" width="9.42578125" style="1092" customWidth="1"/>
    <col min="782" max="782" width="0.140625" style="1092" customWidth="1"/>
    <col min="783" max="783" width="16.140625" style="1092" customWidth="1"/>
    <col min="784" max="785" width="13.7109375" style="1092" customWidth="1"/>
    <col min="786" max="1023" width="9.140625" style="1092"/>
    <col min="1024" max="1024" width="20.28515625" style="1092" customWidth="1"/>
    <col min="1025" max="1025" width="9.140625" style="1092" customWidth="1"/>
    <col min="1026" max="1026" width="14.85546875" style="1092" customWidth="1"/>
    <col min="1027" max="1028" width="13.7109375" style="1092" customWidth="1"/>
    <col min="1029" max="1029" width="9.28515625" style="1092" customWidth="1"/>
    <col min="1030" max="1030" width="16.140625" style="1092" customWidth="1"/>
    <col min="1031" max="1032" width="13.7109375" style="1092" customWidth="1"/>
    <col min="1033" max="1033" width="9.7109375" style="1092" customWidth="1"/>
    <col min="1034" max="1034" width="14.85546875" style="1092" customWidth="1"/>
    <col min="1035" max="1036" width="13.7109375" style="1092" customWidth="1"/>
    <col min="1037" max="1037" width="9.42578125" style="1092" customWidth="1"/>
    <col min="1038" max="1038" width="0.140625" style="1092" customWidth="1"/>
    <col min="1039" max="1039" width="16.140625" style="1092" customWidth="1"/>
    <col min="1040" max="1041" width="13.7109375" style="1092" customWidth="1"/>
    <col min="1042" max="1279" width="9.140625" style="1092"/>
    <col min="1280" max="1280" width="20.28515625" style="1092" customWidth="1"/>
    <col min="1281" max="1281" width="9.140625" style="1092" customWidth="1"/>
    <col min="1282" max="1282" width="14.85546875" style="1092" customWidth="1"/>
    <col min="1283" max="1284" width="13.7109375" style="1092" customWidth="1"/>
    <col min="1285" max="1285" width="9.28515625" style="1092" customWidth="1"/>
    <col min="1286" max="1286" width="16.140625" style="1092" customWidth="1"/>
    <col min="1287" max="1288" width="13.7109375" style="1092" customWidth="1"/>
    <col min="1289" max="1289" width="9.7109375" style="1092" customWidth="1"/>
    <col min="1290" max="1290" width="14.85546875" style="1092" customWidth="1"/>
    <col min="1291" max="1292" width="13.7109375" style="1092" customWidth="1"/>
    <col min="1293" max="1293" width="9.42578125" style="1092" customWidth="1"/>
    <col min="1294" max="1294" width="0.140625" style="1092" customWidth="1"/>
    <col min="1295" max="1295" width="16.140625" style="1092" customWidth="1"/>
    <col min="1296" max="1297" width="13.7109375" style="1092" customWidth="1"/>
    <col min="1298" max="1535" width="9.140625" style="1092"/>
    <col min="1536" max="1536" width="20.28515625" style="1092" customWidth="1"/>
    <col min="1537" max="1537" width="9.140625" style="1092" customWidth="1"/>
    <col min="1538" max="1538" width="14.85546875" style="1092" customWidth="1"/>
    <col min="1539" max="1540" width="13.7109375" style="1092" customWidth="1"/>
    <col min="1541" max="1541" width="9.28515625" style="1092" customWidth="1"/>
    <col min="1542" max="1542" width="16.140625" style="1092" customWidth="1"/>
    <col min="1543" max="1544" width="13.7109375" style="1092" customWidth="1"/>
    <col min="1545" max="1545" width="9.7109375" style="1092" customWidth="1"/>
    <col min="1546" max="1546" width="14.85546875" style="1092" customWidth="1"/>
    <col min="1547" max="1548" width="13.7109375" style="1092" customWidth="1"/>
    <col min="1549" max="1549" width="9.42578125" style="1092" customWidth="1"/>
    <col min="1550" max="1550" width="0.140625" style="1092" customWidth="1"/>
    <col min="1551" max="1551" width="16.140625" style="1092" customWidth="1"/>
    <col min="1552" max="1553" width="13.7109375" style="1092" customWidth="1"/>
    <col min="1554" max="1791" width="9.140625" style="1092"/>
    <col min="1792" max="1792" width="20.28515625" style="1092" customWidth="1"/>
    <col min="1793" max="1793" width="9.140625" style="1092" customWidth="1"/>
    <col min="1794" max="1794" width="14.85546875" style="1092" customWidth="1"/>
    <col min="1795" max="1796" width="13.7109375" style="1092" customWidth="1"/>
    <col min="1797" max="1797" width="9.28515625" style="1092" customWidth="1"/>
    <col min="1798" max="1798" width="16.140625" style="1092" customWidth="1"/>
    <col min="1799" max="1800" width="13.7109375" style="1092" customWidth="1"/>
    <col min="1801" max="1801" width="9.7109375" style="1092" customWidth="1"/>
    <col min="1802" max="1802" width="14.85546875" style="1092" customWidth="1"/>
    <col min="1803" max="1804" width="13.7109375" style="1092" customWidth="1"/>
    <col min="1805" max="1805" width="9.42578125" style="1092" customWidth="1"/>
    <col min="1806" max="1806" width="0.140625" style="1092" customWidth="1"/>
    <col min="1807" max="1807" width="16.140625" style="1092" customWidth="1"/>
    <col min="1808" max="1809" width="13.7109375" style="1092" customWidth="1"/>
    <col min="1810" max="2047" width="9.140625" style="1092"/>
    <col min="2048" max="2048" width="20.28515625" style="1092" customWidth="1"/>
    <col min="2049" max="2049" width="9.140625" style="1092" customWidth="1"/>
    <col min="2050" max="2050" width="14.85546875" style="1092" customWidth="1"/>
    <col min="2051" max="2052" width="13.7109375" style="1092" customWidth="1"/>
    <col min="2053" max="2053" width="9.28515625" style="1092" customWidth="1"/>
    <col min="2054" max="2054" width="16.140625" style="1092" customWidth="1"/>
    <col min="2055" max="2056" width="13.7109375" style="1092" customWidth="1"/>
    <col min="2057" max="2057" width="9.7109375" style="1092" customWidth="1"/>
    <col min="2058" max="2058" width="14.85546875" style="1092" customWidth="1"/>
    <col min="2059" max="2060" width="13.7109375" style="1092" customWidth="1"/>
    <col min="2061" max="2061" width="9.42578125" style="1092" customWidth="1"/>
    <col min="2062" max="2062" width="0.140625" style="1092" customWidth="1"/>
    <col min="2063" max="2063" width="16.140625" style="1092" customWidth="1"/>
    <col min="2064" max="2065" width="13.7109375" style="1092" customWidth="1"/>
    <col min="2066" max="2303" width="9.140625" style="1092"/>
    <col min="2304" max="2304" width="20.28515625" style="1092" customWidth="1"/>
    <col min="2305" max="2305" width="9.140625" style="1092" customWidth="1"/>
    <col min="2306" max="2306" width="14.85546875" style="1092" customWidth="1"/>
    <col min="2307" max="2308" width="13.7109375" style="1092" customWidth="1"/>
    <col min="2309" max="2309" width="9.28515625" style="1092" customWidth="1"/>
    <col min="2310" max="2310" width="16.140625" style="1092" customWidth="1"/>
    <col min="2311" max="2312" width="13.7109375" style="1092" customWidth="1"/>
    <col min="2313" max="2313" width="9.7109375" style="1092" customWidth="1"/>
    <col min="2314" max="2314" width="14.85546875" style="1092" customWidth="1"/>
    <col min="2315" max="2316" width="13.7109375" style="1092" customWidth="1"/>
    <col min="2317" max="2317" width="9.42578125" style="1092" customWidth="1"/>
    <col min="2318" max="2318" width="0.140625" style="1092" customWidth="1"/>
    <col min="2319" max="2319" width="16.140625" style="1092" customWidth="1"/>
    <col min="2320" max="2321" width="13.7109375" style="1092" customWidth="1"/>
    <col min="2322" max="2559" width="9.140625" style="1092"/>
    <col min="2560" max="2560" width="20.28515625" style="1092" customWidth="1"/>
    <col min="2561" max="2561" width="9.140625" style="1092" customWidth="1"/>
    <col min="2562" max="2562" width="14.85546875" style="1092" customWidth="1"/>
    <col min="2563" max="2564" width="13.7109375" style="1092" customWidth="1"/>
    <col min="2565" max="2565" width="9.28515625" style="1092" customWidth="1"/>
    <col min="2566" max="2566" width="16.140625" style="1092" customWidth="1"/>
    <col min="2567" max="2568" width="13.7109375" style="1092" customWidth="1"/>
    <col min="2569" max="2569" width="9.7109375" style="1092" customWidth="1"/>
    <col min="2570" max="2570" width="14.85546875" style="1092" customWidth="1"/>
    <col min="2571" max="2572" width="13.7109375" style="1092" customWidth="1"/>
    <col min="2573" max="2573" width="9.42578125" style="1092" customWidth="1"/>
    <col min="2574" max="2574" width="0.140625" style="1092" customWidth="1"/>
    <col min="2575" max="2575" width="16.140625" style="1092" customWidth="1"/>
    <col min="2576" max="2577" width="13.7109375" style="1092" customWidth="1"/>
    <col min="2578" max="2815" width="9.140625" style="1092"/>
    <col min="2816" max="2816" width="20.28515625" style="1092" customWidth="1"/>
    <col min="2817" max="2817" width="9.140625" style="1092" customWidth="1"/>
    <col min="2818" max="2818" width="14.85546875" style="1092" customWidth="1"/>
    <col min="2819" max="2820" width="13.7109375" style="1092" customWidth="1"/>
    <col min="2821" max="2821" width="9.28515625" style="1092" customWidth="1"/>
    <col min="2822" max="2822" width="16.140625" style="1092" customWidth="1"/>
    <col min="2823" max="2824" width="13.7109375" style="1092" customWidth="1"/>
    <col min="2825" max="2825" width="9.7109375" style="1092" customWidth="1"/>
    <col min="2826" max="2826" width="14.85546875" style="1092" customWidth="1"/>
    <col min="2827" max="2828" width="13.7109375" style="1092" customWidth="1"/>
    <col min="2829" max="2829" width="9.42578125" style="1092" customWidth="1"/>
    <col min="2830" max="2830" width="0.140625" style="1092" customWidth="1"/>
    <col min="2831" max="2831" width="16.140625" style="1092" customWidth="1"/>
    <col min="2832" max="2833" width="13.7109375" style="1092" customWidth="1"/>
    <col min="2834" max="3071" width="9.140625" style="1092"/>
    <col min="3072" max="3072" width="20.28515625" style="1092" customWidth="1"/>
    <col min="3073" max="3073" width="9.140625" style="1092" customWidth="1"/>
    <col min="3074" max="3074" width="14.85546875" style="1092" customWidth="1"/>
    <col min="3075" max="3076" width="13.7109375" style="1092" customWidth="1"/>
    <col min="3077" max="3077" width="9.28515625" style="1092" customWidth="1"/>
    <col min="3078" max="3078" width="16.140625" style="1092" customWidth="1"/>
    <col min="3079" max="3080" width="13.7109375" style="1092" customWidth="1"/>
    <col min="3081" max="3081" width="9.7109375" style="1092" customWidth="1"/>
    <col min="3082" max="3082" width="14.85546875" style="1092" customWidth="1"/>
    <col min="3083" max="3084" width="13.7109375" style="1092" customWidth="1"/>
    <col min="3085" max="3085" width="9.42578125" style="1092" customWidth="1"/>
    <col min="3086" max="3086" width="0.140625" style="1092" customWidth="1"/>
    <col min="3087" max="3087" width="16.140625" style="1092" customWidth="1"/>
    <col min="3088" max="3089" width="13.7109375" style="1092" customWidth="1"/>
    <col min="3090" max="3327" width="9.140625" style="1092"/>
    <col min="3328" max="3328" width="20.28515625" style="1092" customWidth="1"/>
    <col min="3329" max="3329" width="9.140625" style="1092" customWidth="1"/>
    <col min="3330" max="3330" width="14.85546875" style="1092" customWidth="1"/>
    <col min="3331" max="3332" width="13.7109375" style="1092" customWidth="1"/>
    <col min="3333" max="3333" width="9.28515625" style="1092" customWidth="1"/>
    <col min="3334" max="3334" width="16.140625" style="1092" customWidth="1"/>
    <col min="3335" max="3336" width="13.7109375" style="1092" customWidth="1"/>
    <col min="3337" max="3337" width="9.7109375" style="1092" customWidth="1"/>
    <col min="3338" max="3338" width="14.85546875" style="1092" customWidth="1"/>
    <col min="3339" max="3340" width="13.7109375" style="1092" customWidth="1"/>
    <col min="3341" max="3341" width="9.42578125" style="1092" customWidth="1"/>
    <col min="3342" max="3342" width="0.140625" style="1092" customWidth="1"/>
    <col min="3343" max="3343" width="16.140625" style="1092" customWidth="1"/>
    <col min="3344" max="3345" width="13.7109375" style="1092" customWidth="1"/>
    <col min="3346" max="3583" width="9.140625" style="1092"/>
    <col min="3584" max="3584" width="20.28515625" style="1092" customWidth="1"/>
    <col min="3585" max="3585" width="9.140625" style="1092" customWidth="1"/>
    <col min="3586" max="3586" width="14.85546875" style="1092" customWidth="1"/>
    <col min="3587" max="3588" width="13.7109375" style="1092" customWidth="1"/>
    <col min="3589" max="3589" width="9.28515625" style="1092" customWidth="1"/>
    <col min="3590" max="3590" width="16.140625" style="1092" customWidth="1"/>
    <col min="3591" max="3592" width="13.7109375" style="1092" customWidth="1"/>
    <col min="3593" max="3593" width="9.7109375" style="1092" customWidth="1"/>
    <col min="3594" max="3594" width="14.85546875" style="1092" customWidth="1"/>
    <col min="3595" max="3596" width="13.7109375" style="1092" customWidth="1"/>
    <col min="3597" max="3597" width="9.42578125" style="1092" customWidth="1"/>
    <col min="3598" max="3598" width="0.140625" style="1092" customWidth="1"/>
    <col min="3599" max="3599" width="16.140625" style="1092" customWidth="1"/>
    <col min="3600" max="3601" width="13.7109375" style="1092" customWidth="1"/>
    <col min="3602" max="3839" width="9.140625" style="1092"/>
    <col min="3840" max="3840" width="20.28515625" style="1092" customWidth="1"/>
    <col min="3841" max="3841" width="9.140625" style="1092" customWidth="1"/>
    <col min="3842" max="3842" width="14.85546875" style="1092" customWidth="1"/>
    <col min="3843" max="3844" width="13.7109375" style="1092" customWidth="1"/>
    <col min="3845" max="3845" width="9.28515625" style="1092" customWidth="1"/>
    <col min="3846" max="3846" width="16.140625" style="1092" customWidth="1"/>
    <col min="3847" max="3848" width="13.7109375" style="1092" customWidth="1"/>
    <col min="3849" max="3849" width="9.7109375" style="1092" customWidth="1"/>
    <col min="3850" max="3850" width="14.85546875" style="1092" customWidth="1"/>
    <col min="3851" max="3852" width="13.7109375" style="1092" customWidth="1"/>
    <col min="3853" max="3853" width="9.42578125" style="1092" customWidth="1"/>
    <col min="3854" max="3854" width="0.140625" style="1092" customWidth="1"/>
    <col min="3855" max="3855" width="16.140625" style="1092" customWidth="1"/>
    <col min="3856" max="3857" width="13.7109375" style="1092" customWidth="1"/>
    <col min="3858" max="4095" width="9.140625" style="1092"/>
    <col min="4096" max="4096" width="20.28515625" style="1092" customWidth="1"/>
    <col min="4097" max="4097" width="9.140625" style="1092" customWidth="1"/>
    <col min="4098" max="4098" width="14.85546875" style="1092" customWidth="1"/>
    <col min="4099" max="4100" width="13.7109375" style="1092" customWidth="1"/>
    <col min="4101" max="4101" width="9.28515625" style="1092" customWidth="1"/>
    <col min="4102" max="4102" width="16.140625" style="1092" customWidth="1"/>
    <col min="4103" max="4104" width="13.7109375" style="1092" customWidth="1"/>
    <col min="4105" max="4105" width="9.7109375" style="1092" customWidth="1"/>
    <col min="4106" max="4106" width="14.85546875" style="1092" customWidth="1"/>
    <col min="4107" max="4108" width="13.7109375" style="1092" customWidth="1"/>
    <col min="4109" max="4109" width="9.42578125" style="1092" customWidth="1"/>
    <col min="4110" max="4110" width="0.140625" style="1092" customWidth="1"/>
    <col min="4111" max="4111" width="16.140625" style="1092" customWidth="1"/>
    <col min="4112" max="4113" width="13.7109375" style="1092" customWidth="1"/>
    <col min="4114" max="4351" width="9.140625" style="1092"/>
    <col min="4352" max="4352" width="20.28515625" style="1092" customWidth="1"/>
    <col min="4353" max="4353" width="9.140625" style="1092" customWidth="1"/>
    <col min="4354" max="4354" width="14.85546875" style="1092" customWidth="1"/>
    <col min="4355" max="4356" width="13.7109375" style="1092" customWidth="1"/>
    <col min="4357" max="4357" width="9.28515625" style="1092" customWidth="1"/>
    <col min="4358" max="4358" width="16.140625" style="1092" customWidth="1"/>
    <col min="4359" max="4360" width="13.7109375" style="1092" customWidth="1"/>
    <col min="4361" max="4361" width="9.7109375" style="1092" customWidth="1"/>
    <col min="4362" max="4362" width="14.85546875" style="1092" customWidth="1"/>
    <col min="4363" max="4364" width="13.7109375" style="1092" customWidth="1"/>
    <col min="4365" max="4365" width="9.42578125" style="1092" customWidth="1"/>
    <col min="4366" max="4366" width="0.140625" style="1092" customWidth="1"/>
    <col min="4367" max="4367" width="16.140625" style="1092" customWidth="1"/>
    <col min="4368" max="4369" width="13.7109375" style="1092" customWidth="1"/>
    <col min="4370" max="4607" width="9.140625" style="1092"/>
    <col min="4608" max="4608" width="20.28515625" style="1092" customWidth="1"/>
    <col min="4609" max="4609" width="9.140625" style="1092" customWidth="1"/>
    <col min="4610" max="4610" width="14.85546875" style="1092" customWidth="1"/>
    <col min="4611" max="4612" width="13.7109375" style="1092" customWidth="1"/>
    <col min="4613" max="4613" width="9.28515625" style="1092" customWidth="1"/>
    <col min="4614" max="4614" width="16.140625" style="1092" customWidth="1"/>
    <col min="4615" max="4616" width="13.7109375" style="1092" customWidth="1"/>
    <col min="4617" max="4617" width="9.7109375" style="1092" customWidth="1"/>
    <col min="4618" max="4618" width="14.85546875" style="1092" customWidth="1"/>
    <col min="4619" max="4620" width="13.7109375" style="1092" customWidth="1"/>
    <col min="4621" max="4621" width="9.42578125" style="1092" customWidth="1"/>
    <col min="4622" max="4622" width="0.140625" style="1092" customWidth="1"/>
    <col min="4623" max="4623" width="16.140625" style="1092" customWidth="1"/>
    <col min="4624" max="4625" width="13.7109375" style="1092" customWidth="1"/>
    <col min="4626" max="4863" width="9.140625" style="1092"/>
    <col min="4864" max="4864" width="20.28515625" style="1092" customWidth="1"/>
    <col min="4865" max="4865" width="9.140625" style="1092" customWidth="1"/>
    <col min="4866" max="4866" width="14.85546875" style="1092" customWidth="1"/>
    <col min="4867" max="4868" width="13.7109375" style="1092" customWidth="1"/>
    <col min="4869" max="4869" width="9.28515625" style="1092" customWidth="1"/>
    <col min="4870" max="4870" width="16.140625" style="1092" customWidth="1"/>
    <col min="4871" max="4872" width="13.7109375" style="1092" customWidth="1"/>
    <col min="4873" max="4873" width="9.7109375" style="1092" customWidth="1"/>
    <col min="4874" max="4874" width="14.85546875" style="1092" customWidth="1"/>
    <col min="4875" max="4876" width="13.7109375" style="1092" customWidth="1"/>
    <col min="4877" max="4877" width="9.42578125" style="1092" customWidth="1"/>
    <col min="4878" max="4878" width="0.140625" style="1092" customWidth="1"/>
    <col min="4879" max="4879" width="16.140625" style="1092" customWidth="1"/>
    <col min="4880" max="4881" width="13.7109375" style="1092" customWidth="1"/>
    <col min="4882" max="5119" width="9.140625" style="1092"/>
    <col min="5120" max="5120" width="20.28515625" style="1092" customWidth="1"/>
    <col min="5121" max="5121" width="9.140625" style="1092" customWidth="1"/>
    <col min="5122" max="5122" width="14.85546875" style="1092" customWidth="1"/>
    <col min="5123" max="5124" width="13.7109375" style="1092" customWidth="1"/>
    <col min="5125" max="5125" width="9.28515625" style="1092" customWidth="1"/>
    <col min="5126" max="5126" width="16.140625" style="1092" customWidth="1"/>
    <col min="5127" max="5128" width="13.7109375" style="1092" customWidth="1"/>
    <col min="5129" max="5129" width="9.7109375" style="1092" customWidth="1"/>
    <col min="5130" max="5130" width="14.85546875" style="1092" customWidth="1"/>
    <col min="5131" max="5132" width="13.7109375" style="1092" customWidth="1"/>
    <col min="5133" max="5133" width="9.42578125" style="1092" customWidth="1"/>
    <col min="5134" max="5134" width="0.140625" style="1092" customWidth="1"/>
    <col min="5135" max="5135" width="16.140625" style="1092" customWidth="1"/>
    <col min="5136" max="5137" width="13.7109375" style="1092" customWidth="1"/>
    <col min="5138" max="5375" width="9.140625" style="1092"/>
    <col min="5376" max="5376" width="20.28515625" style="1092" customWidth="1"/>
    <col min="5377" max="5377" width="9.140625" style="1092" customWidth="1"/>
    <col min="5378" max="5378" width="14.85546875" style="1092" customWidth="1"/>
    <col min="5379" max="5380" width="13.7109375" style="1092" customWidth="1"/>
    <col min="5381" max="5381" width="9.28515625" style="1092" customWidth="1"/>
    <col min="5382" max="5382" width="16.140625" style="1092" customWidth="1"/>
    <col min="5383" max="5384" width="13.7109375" style="1092" customWidth="1"/>
    <col min="5385" max="5385" width="9.7109375" style="1092" customWidth="1"/>
    <col min="5386" max="5386" width="14.85546875" style="1092" customWidth="1"/>
    <col min="5387" max="5388" width="13.7109375" style="1092" customWidth="1"/>
    <col min="5389" max="5389" width="9.42578125" style="1092" customWidth="1"/>
    <col min="5390" max="5390" width="0.140625" style="1092" customWidth="1"/>
    <col min="5391" max="5391" width="16.140625" style="1092" customWidth="1"/>
    <col min="5392" max="5393" width="13.7109375" style="1092" customWidth="1"/>
    <col min="5394" max="5631" width="9.140625" style="1092"/>
    <col min="5632" max="5632" width="20.28515625" style="1092" customWidth="1"/>
    <col min="5633" max="5633" width="9.140625" style="1092" customWidth="1"/>
    <col min="5634" max="5634" width="14.85546875" style="1092" customWidth="1"/>
    <col min="5635" max="5636" width="13.7109375" style="1092" customWidth="1"/>
    <col min="5637" max="5637" width="9.28515625" style="1092" customWidth="1"/>
    <col min="5638" max="5638" width="16.140625" style="1092" customWidth="1"/>
    <col min="5639" max="5640" width="13.7109375" style="1092" customWidth="1"/>
    <col min="5641" max="5641" width="9.7109375" style="1092" customWidth="1"/>
    <col min="5642" max="5642" width="14.85546875" style="1092" customWidth="1"/>
    <col min="5643" max="5644" width="13.7109375" style="1092" customWidth="1"/>
    <col min="5645" max="5645" width="9.42578125" style="1092" customWidth="1"/>
    <col min="5646" max="5646" width="0.140625" style="1092" customWidth="1"/>
    <col min="5647" max="5647" width="16.140625" style="1092" customWidth="1"/>
    <col min="5648" max="5649" width="13.7109375" style="1092" customWidth="1"/>
    <col min="5650" max="5887" width="9.140625" style="1092"/>
    <col min="5888" max="5888" width="20.28515625" style="1092" customWidth="1"/>
    <col min="5889" max="5889" width="9.140625" style="1092" customWidth="1"/>
    <col min="5890" max="5890" width="14.85546875" style="1092" customWidth="1"/>
    <col min="5891" max="5892" width="13.7109375" style="1092" customWidth="1"/>
    <col min="5893" max="5893" width="9.28515625" style="1092" customWidth="1"/>
    <col min="5894" max="5894" width="16.140625" style="1092" customWidth="1"/>
    <col min="5895" max="5896" width="13.7109375" style="1092" customWidth="1"/>
    <col min="5897" max="5897" width="9.7109375" style="1092" customWidth="1"/>
    <col min="5898" max="5898" width="14.85546875" style="1092" customWidth="1"/>
    <col min="5899" max="5900" width="13.7109375" style="1092" customWidth="1"/>
    <col min="5901" max="5901" width="9.42578125" style="1092" customWidth="1"/>
    <col min="5902" max="5902" width="0.140625" style="1092" customWidth="1"/>
    <col min="5903" max="5903" width="16.140625" style="1092" customWidth="1"/>
    <col min="5904" max="5905" width="13.7109375" style="1092" customWidth="1"/>
    <col min="5906" max="6143" width="9.140625" style="1092"/>
    <col min="6144" max="6144" width="20.28515625" style="1092" customWidth="1"/>
    <col min="6145" max="6145" width="9.140625" style="1092" customWidth="1"/>
    <col min="6146" max="6146" width="14.85546875" style="1092" customWidth="1"/>
    <col min="6147" max="6148" width="13.7109375" style="1092" customWidth="1"/>
    <col min="6149" max="6149" width="9.28515625" style="1092" customWidth="1"/>
    <col min="6150" max="6150" width="16.140625" style="1092" customWidth="1"/>
    <col min="6151" max="6152" width="13.7109375" style="1092" customWidth="1"/>
    <col min="6153" max="6153" width="9.7109375" style="1092" customWidth="1"/>
    <col min="6154" max="6154" width="14.85546875" style="1092" customWidth="1"/>
    <col min="6155" max="6156" width="13.7109375" style="1092" customWidth="1"/>
    <col min="6157" max="6157" width="9.42578125" style="1092" customWidth="1"/>
    <col min="6158" max="6158" width="0.140625" style="1092" customWidth="1"/>
    <col min="6159" max="6159" width="16.140625" style="1092" customWidth="1"/>
    <col min="6160" max="6161" width="13.7109375" style="1092" customWidth="1"/>
    <col min="6162" max="6399" width="9.140625" style="1092"/>
    <col min="6400" max="6400" width="20.28515625" style="1092" customWidth="1"/>
    <col min="6401" max="6401" width="9.140625" style="1092" customWidth="1"/>
    <col min="6402" max="6402" width="14.85546875" style="1092" customWidth="1"/>
    <col min="6403" max="6404" width="13.7109375" style="1092" customWidth="1"/>
    <col min="6405" max="6405" width="9.28515625" style="1092" customWidth="1"/>
    <col min="6406" max="6406" width="16.140625" style="1092" customWidth="1"/>
    <col min="6407" max="6408" width="13.7109375" style="1092" customWidth="1"/>
    <col min="6409" max="6409" width="9.7109375" style="1092" customWidth="1"/>
    <col min="6410" max="6410" width="14.85546875" style="1092" customWidth="1"/>
    <col min="6411" max="6412" width="13.7109375" style="1092" customWidth="1"/>
    <col min="6413" max="6413" width="9.42578125" style="1092" customWidth="1"/>
    <col min="6414" max="6414" width="0.140625" style="1092" customWidth="1"/>
    <col min="6415" max="6415" width="16.140625" style="1092" customWidth="1"/>
    <col min="6416" max="6417" width="13.7109375" style="1092" customWidth="1"/>
    <col min="6418" max="6655" width="9.140625" style="1092"/>
    <col min="6656" max="6656" width="20.28515625" style="1092" customWidth="1"/>
    <col min="6657" max="6657" width="9.140625" style="1092" customWidth="1"/>
    <col min="6658" max="6658" width="14.85546875" style="1092" customWidth="1"/>
    <col min="6659" max="6660" width="13.7109375" style="1092" customWidth="1"/>
    <col min="6661" max="6661" width="9.28515625" style="1092" customWidth="1"/>
    <col min="6662" max="6662" width="16.140625" style="1092" customWidth="1"/>
    <col min="6663" max="6664" width="13.7109375" style="1092" customWidth="1"/>
    <col min="6665" max="6665" width="9.7109375" style="1092" customWidth="1"/>
    <col min="6666" max="6666" width="14.85546875" style="1092" customWidth="1"/>
    <col min="6667" max="6668" width="13.7109375" style="1092" customWidth="1"/>
    <col min="6669" max="6669" width="9.42578125" style="1092" customWidth="1"/>
    <col min="6670" max="6670" width="0.140625" style="1092" customWidth="1"/>
    <col min="6671" max="6671" width="16.140625" style="1092" customWidth="1"/>
    <col min="6672" max="6673" width="13.7109375" style="1092" customWidth="1"/>
    <col min="6674" max="6911" width="9.140625" style="1092"/>
    <col min="6912" max="6912" width="20.28515625" style="1092" customWidth="1"/>
    <col min="6913" max="6913" width="9.140625" style="1092" customWidth="1"/>
    <col min="6914" max="6914" width="14.85546875" style="1092" customWidth="1"/>
    <col min="6915" max="6916" width="13.7109375" style="1092" customWidth="1"/>
    <col min="6917" max="6917" width="9.28515625" style="1092" customWidth="1"/>
    <col min="6918" max="6918" width="16.140625" style="1092" customWidth="1"/>
    <col min="6919" max="6920" width="13.7109375" style="1092" customWidth="1"/>
    <col min="6921" max="6921" width="9.7109375" style="1092" customWidth="1"/>
    <col min="6922" max="6922" width="14.85546875" style="1092" customWidth="1"/>
    <col min="6923" max="6924" width="13.7109375" style="1092" customWidth="1"/>
    <col min="6925" max="6925" width="9.42578125" style="1092" customWidth="1"/>
    <col min="6926" max="6926" width="0.140625" style="1092" customWidth="1"/>
    <col min="6927" max="6927" width="16.140625" style="1092" customWidth="1"/>
    <col min="6928" max="6929" width="13.7109375" style="1092" customWidth="1"/>
    <col min="6930" max="7167" width="9.140625" style="1092"/>
    <col min="7168" max="7168" width="20.28515625" style="1092" customWidth="1"/>
    <col min="7169" max="7169" width="9.140625" style="1092" customWidth="1"/>
    <col min="7170" max="7170" width="14.85546875" style="1092" customWidth="1"/>
    <col min="7171" max="7172" width="13.7109375" style="1092" customWidth="1"/>
    <col min="7173" max="7173" width="9.28515625" style="1092" customWidth="1"/>
    <col min="7174" max="7174" width="16.140625" style="1092" customWidth="1"/>
    <col min="7175" max="7176" width="13.7109375" style="1092" customWidth="1"/>
    <col min="7177" max="7177" width="9.7109375" style="1092" customWidth="1"/>
    <col min="7178" max="7178" width="14.85546875" style="1092" customWidth="1"/>
    <col min="7179" max="7180" width="13.7109375" style="1092" customWidth="1"/>
    <col min="7181" max="7181" width="9.42578125" style="1092" customWidth="1"/>
    <col min="7182" max="7182" width="0.140625" style="1092" customWidth="1"/>
    <col min="7183" max="7183" width="16.140625" style="1092" customWidth="1"/>
    <col min="7184" max="7185" width="13.7109375" style="1092" customWidth="1"/>
    <col min="7186" max="7423" width="9.140625" style="1092"/>
    <col min="7424" max="7424" width="20.28515625" style="1092" customWidth="1"/>
    <col min="7425" max="7425" width="9.140625" style="1092" customWidth="1"/>
    <col min="7426" max="7426" width="14.85546875" style="1092" customWidth="1"/>
    <col min="7427" max="7428" width="13.7109375" style="1092" customWidth="1"/>
    <col min="7429" max="7429" width="9.28515625" style="1092" customWidth="1"/>
    <col min="7430" max="7430" width="16.140625" style="1092" customWidth="1"/>
    <col min="7431" max="7432" width="13.7109375" style="1092" customWidth="1"/>
    <col min="7433" max="7433" width="9.7109375" style="1092" customWidth="1"/>
    <col min="7434" max="7434" width="14.85546875" style="1092" customWidth="1"/>
    <col min="7435" max="7436" width="13.7109375" style="1092" customWidth="1"/>
    <col min="7437" max="7437" width="9.42578125" style="1092" customWidth="1"/>
    <col min="7438" max="7438" width="0.140625" style="1092" customWidth="1"/>
    <col min="7439" max="7439" width="16.140625" style="1092" customWidth="1"/>
    <col min="7440" max="7441" width="13.7109375" style="1092" customWidth="1"/>
    <col min="7442" max="7679" width="9.140625" style="1092"/>
    <col min="7680" max="7680" width="20.28515625" style="1092" customWidth="1"/>
    <col min="7681" max="7681" width="9.140625" style="1092" customWidth="1"/>
    <col min="7682" max="7682" width="14.85546875" style="1092" customWidth="1"/>
    <col min="7683" max="7684" width="13.7109375" style="1092" customWidth="1"/>
    <col min="7685" max="7685" width="9.28515625" style="1092" customWidth="1"/>
    <col min="7686" max="7686" width="16.140625" style="1092" customWidth="1"/>
    <col min="7687" max="7688" width="13.7109375" style="1092" customWidth="1"/>
    <col min="7689" max="7689" width="9.7109375" style="1092" customWidth="1"/>
    <col min="7690" max="7690" width="14.85546875" style="1092" customWidth="1"/>
    <col min="7691" max="7692" width="13.7109375" style="1092" customWidth="1"/>
    <col min="7693" max="7693" width="9.42578125" style="1092" customWidth="1"/>
    <col min="7694" max="7694" width="0.140625" style="1092" customWidth="1"/>
    <col min="7695" max="7695" width="16.140625" style="1092" customWidth="1"/>
    <col min="7696" max="7697" width="13.7109375" style="1092" customWidth="1"/>
    <col min="7698" max="7935" width="9.140625" style="1092"/>
    <col min="7936" max="7936" width="20.28515625" style="1092" customWidth="1"/>
    <col min="7937" max="7937" width="9.140625" style="1092" customWidth="1"/>
    <col min="7938" max="7938" width="14.85546875" style="1092" customWidth="1"/>
    <col min="7939" max="7940" width="13.7109375" style="1092" customWidth="1"/>
    <col min="7941" max="7941" width="9.28515625" style="1092" customWidth="1"/>
    <col min="7942" max="7942" width="16.140625" style="1092" customWidth="1"/>
    <col min="7943" max="7944" width="13.7109375" style="1092" customWidth="1"/>
    <col min="7945" max="7945" width="9.7109375" style="1092" customWidth="1"/>
    <col min="7946" max="7946" width="14.85546875" style="1092" customWidth="1"/>
    <col min="7947" max="7948" width="13.7109375" style="1092" customWidth="1"/>
    <col min="7949" max="7949" width="9.42578125" style="1092" customWidth="1"/>
    <col min="7950" max="7950" width="0.140625" style="1092" customWidth="1"/>
    <col min="7951" max="7951" width="16.140625" style="1092" customWidth="1"/>
    <col min="7952" max="7953" width="13.7109375" style="1092" customWidth="1"/>
    <col min="7954" max="8191" width="9.140625" style="1092"/>
    <col min="8192" max="8192" width="20.28515625" style="1092" customWidth="1"/>
    <col min="8193" max="8193" width="9.140625" style="1092" customWidth="1"/>
    <col min="8194" max="8194" width="14.85546875" style="1092" customWidth="1"/>
    <col min="8195" max="8196" width="13.7109375" style="1092" customWidth="1"/>
    <col min="8197" max="8197" width="9.28515625" style="1092" customWidth="1"/>
    <col min="8198" max="8198" width="16.140625" style="1092" customWidth="1"/>
    <col min="8199" max="8200" width="13.7109375" style="1092" customWidth="1"/>
    <col min="8201" max="8201" width="9.7109375" style="1092" customWidth="1"/>
    <col min="8202" max="8202" width="14.85546875" style="1092" customWidth="1"/>
    <col min="8203" max="8204" width="13.7109375" style="1092" customWidth="1"/>
    <col min="8205" max="8205" width="9.42578125" style="1092" customWidth="1"/>
    <col min="8206" max="8206" width="0.140625" style="1092" customWidth="1"/>
    <col min="8207" max="8207" width="16.140625" style="1092" customWidth="1"/>
    <col min="8208" max="8209" width="13.7109375" style="1092" customWidth="1"/>
    <col min="8210" max="8447" width="9.140625" style="1092"/>
    <col min="8448" max="8448" width="20.28515625" style="1092" customWidth="1"/>
    <col min="8449" max="8449" width="9.140625" style="1092" customWidth="1"/>
    <col min="8450" max="8450" width="14.85546875" style="1092" customWidth="1"/>
    <col min="8451" max="8452" width="13.7109375" style="1092" customWidth="1"/>
    <col min="8453" max="8453" width="9.28515625" style="1092" customWidth="1"/>
    <col min="8454" max="8454" width="16.140625" style="1092" customWidth="1"/>
    <col min="8455" max="8456" width="13.7109375" style="1092" customWidth="1"/>
    <col min="8457" max="8457" width="9.7109375" style="1092" customWidth="1"/>
    <col min="8458" max="8458" width="14.85546875" style="1092" customWidth="1"/>
    <col min="8459" max="8460" width="13.7109375" style="1092" customWidth="1"/>
    <col min="8461" max="8461" width="9.42578125" style="1092" customWidth="1"/>
    <col min="8462" max="8462" width="0.140625" style="1092" customWidth="1"/>
    <col min="8463" max="8463" width="16.140625" style="1092" customWidth="1"/>
    <col min="8464" max="8465" width="13.7109375" style="1092" customWidth="1"/>
    <col min="8466" max="8703" width="9.140625" style="1092"/>
    <col min="8704" max="8704" width="20.28515625" style="1092" customWidth="1"/>
    <col min="8705" max="8705" width="9.140625" style="1092" customWidth="1"/>
    <col min="8706" max="8706" width="14.85546875" style="1092" customWidth="1"/>
    <col min="8707" max="8708" width="13.7109375" style="1092" customWidth="1"/>
    <col min="8709" max="8709" width="9.28515625" style="1092" customWidth="1"/>
    <col min="8710" max="8710" width="16.140625" style="1092" customWidth="1"/>
    <col min="8711" max="8712" width="13.7109375" style="1092" customWidth="1"/>
    <col min="8713" max="8713" width="9.7109375" style="1092" customWidth="1"/>
    <col min="8714" max="8714" width="14.85546875" style="1092" customWidth="1"/>
    <col min="8715" max="8716" width="13.7109375" style="1092" customWidth="1"/>
    <col min="8717" max="8717" width="9.42578125" style="1092" customWidth="1"/>
    <col min="8718" max="8718" width="0.140625" style="1092" customWidth="1"/>
    <col min="8719" max="8719" width="16.140625" style="1092" customWidth="1"/>
    <col min="8720" max="8721" width="13.7109375" style="1092" customWidth="1"/>
    <col min="8722" max="8959" width="9.140625" style="1092"/>
    <col min="8960" max="8960" width="20.28515625" style="1092" customWidth="1"/>
    <col min="8961" max="8961" width="9.140625" style="1092" customWidth="1"/>
    <col min="8962" max="8962" width="14.85546875" style="1092" customWidth="1"/>
    <col min="8963" max="8964" width="13.7109375" style="1092" customWidth="1"/>
    <col min="8965" max="8965" width="9.28515625" style="1092" customWidth="1"/>
    <col min="8966" max="8966" width="16.140625" style="1092" customWidth="1"/>
    <col min="8967" max="8968" width="13.7109375" style="1092" customWidth="1"/>
    <col min="8969" max="8969" width="9.7109375" style="1092" customWidth="1"/>
    <col min="8970" max="8970" width="14.85546875" style="1092" customWidth="1"/>
    <col min="8971" max="8972" width="13.7109375" style="1092" customWidth="1"/>
    <col min="8973" max="8973" width="9.42578125" style="1092" customWidth="1"/>
    <col min="8974" max="8974" width="0.140625" style="1092" customWidth="1"/>
    <col min="8975" max="8975" width="16.140625" style="1092" customWidth="1"/>
    <col min="8976" max="8977" width="13.7109375" style="1092" customWidth="1"/>
    <col min="8978" max="9215" width="9.140625" style="1092"/>
    <col min="9216" max="9216" width="20.28515625" style="1092" customWidth="1"/>
    <col min="9217" max="9217" width="9.140625" style="1092" customWidth="1"/>
    <col min="9218" max="9218" width="14.85546875" style="1092" customWidth="1"/>
    <col min="9219" max="9220" width="13.7109375" style="1092" customWidth="1"/>
    <col min="9221" max="9221" width="9.28515625" style="1092" customWidth="1"/>
    <col min="9222" max="9222" width="16.140625" style="1092" customWidth="1"/>
    <col min="9223" max="9224" width="13.7109375" style="1092" customWidth="1"/>
    <col min="9225" max="9225" width="9.7109375" style="1092" customWidth="1"/>
    <col min="9226" max="9226" width="14.85546875" style="1092" customWidth="1"/>
    <col min="9227" max="9228" width="13.7109375" style="1092" customWidth="1"/>
    <col min="9229" max="9229" width="9.42578125" style="1092" customWidth="1"/>
    <col min="9230" max="9230" width="0.140625" style="1092" customWidth="1"/>
    <col min="9231" max="9231" width="16.140625" style="1092" customWidth="1"/>
    <col min="9232" max="9233" width="13.7109375" style="1092" customWidth="1"/>
    <col min="9234" max="9471" width="9.140625" style="1092"/>
    <col min="9472" max="9472" width="20.28515625" style="1092" customWidth="1"/>
    <col min="9473" max="9473" width="9.140625" style="1092" customWidth="1"/>
    <col min="9474" max="9474" width="14.85546875" style="1092" customWidth="1"/>
    <col min="9475" max="9476" width="13.7109375" style="1092" customWidth="1"/>
    <col min="9477" max="9477" width="9.28515625" style="1092" customWidth="1"/>
    <col min="9478" max="9478" width="16.140625" style="1092" customWidth="1"/>
    <col min="9479" max="9480" width="13.7109375" style="1092" customWidth="1"/>
    <col min="9481" max="9481" width="9.7109375" style="1092" customWidth="1"/>
    <col min="9482" max="9482" width="14.85546875" style="1092" customWidth="1"/>
    <col min="9483" max="9484" width="13.7109375" style="1092" customWidth="1"/>
    <col min="9485" max="9485" width="9.42578125" style="1092" customWidth="1"/>
    <col min="9486" max="9486" width="0.140625" style="1092" customWidth="1"/>
    <col min="9487" max="9487" width="16.140625" style="1092" customWidth="1"/>
    <col min="9488" max="9489" width="13.7109375" style="1092" customWidth="1"/>
    <col min="9490" max="9727" width="9.140625" style="1092"/>
    <col min="9728" max="9728" width="20.28515625" style="1092" customWidth="1"/>
    <col min="9729" max="9729" width="9.140625" style="1092" customWidth="1"/>
    <col min="9730" max="9730" width="14.85546875" style="1092" customWidth="1"/>
    <col min="9731" max="9732" width="13.7109375" style="1092" customWidth="1"/>
    <col min="9733" max="9733" width="9.28515625" style="1092" customWidth="1"/>
    <col min="9734" max="9734" width="16.140625" style="1092" customWidth="1"/>
    <col min="9735" max="9736" width="13.7109375" style="1092" customWidth="1"/>
    <col min="9737" max="9737" width="9.7109375" style="1092" customWidth="1"/>
    <col min="9738" max="9738" width="14.85546875" style="1092" customWidth="1"/>
    <col min="9739" max="9740" width="13.7109375" style="1092" customWidth="1"/>
    <col min="9741" max="9741" width="9.42578125" style="1092" customWidth="1"/>
    <col min="9742" max="9742" width="0.140625" style="1092" customWidth="1"/>
    <col min="9743" max="9743" width="16.140625" style="1092" customWidth="1"/>
    <col min="9744" max="9745" width="13.7109375" style="1092" customWidth="1"/>
    <col min="9746" max="9983" width="9.140625" style="1092"/>
    <col min="9984" max="9984" width="20.28515625" style="1092" customWidth="1"/>
    <col min="9985" max="9985" width="9.140625" style="1092" customWidth="1"/>
    <col min="9986" max="9986" width="14.85546875" style="1092" customWidth="1"/>
    <col min="9987" max="9988" width="13.7109375" style="1092" customWidth="1"/>
    <col min="9989" max="9989" width="9.28515625" style="1092" customWidth="1"/>
    <col min="9990" max="9990" width="16.140625" style="1092" customWidth="1"/>
    <col min="9991" max="9992" width="13.7109375" style="1092" customWidth="1"/>
    <col min="9993" max="9993" width="9.7109375" style="1092" customWidth="1"/>
    <col min="9994" max="9994" width="14.85546875" style="1092" customWidth="1"/>
    <col min="9995" max="9996" width="13.7109375" style="1092" customWidth="1"/>
    <col min="9997" max="9997" width="9.42578125" style="1092" customWidth="1"/>
    <col min="9998" max="9998" width="0.140625" style="1092" customWidth="1"/>
    <col min="9999" max="9999" width="16.140625" style="1092" customWidth="1"/>
    <col min="10000" max="10001" width="13.7109375" style="1092" customWidth="1"/>
    <col min="10002" max="10239" width="9.140625" style="1092"/>
    <col min="10240" max="10240" width="20.28515625" style="1092" customWidth="1"/>
    <col min="10241" max="10241" width="9.140625" style="1092" customWidth="1"/>
    <col min="10242" max="10242" width="14.85546875" style="1092" customWidth="1"/>
    <col min="10243" max="10244" width="13.7109375" style="1092" customWidth="1"/>
    <col min="10245" max="10245" width="9.28515625" style="1092" customWidth="1"/>
    <col min="10246" max="10246" width="16.140625" style="1092" customWidth="1"/>
    <col min="10247" max="10248" width="13.7109375" style="1092" customWidth="1"/>
    <col min="10249" max="10249" width="9.7109375" style="1092" customWidth="1"/>
    <col min="10250" max="10250" width="14.85546875" style="1092" customWidth="1"/>
    <col min="10251" max="10252" width="13.7109375" style="1092" customWidth="1"/>
    <col min="10253" max="10253" width="9.42578125" style="1092" customWidth="1"/>
    <col min="10254" max="10254" width="0.140625" style="1092" customWidth="1"/>
    <col min="10255" max="10255" width="16.140625" style="1092" customWidth="1"/>
    <col min="10256" max="10257" width="13.7109375" style="1092" customWidth="1"/>
    <col min="10258" max="10495" width="9.140625" style="1092"/>
    <col min="10496" max="10496" width="20.28515625" style="1092" customWidth="1"/>
    <col min="10497" max="10497" width="9.140625" style="1092" customWidth="1"/>
    <col min="10498" max="10498" width="14.85546875" style="1092" customWidth="1"/>
    <col min="10499" max="10500" width="13.7109375" style="1092" customWidth="1"/>
    <col min="10501" max="10501" width="9.28515625" style="1092" customWidth="1"/>
    <col min="10502" max="10502" width="16.140625" style="1092" customWidth="1"/>
    <col min="10503" max="10504" width="13.7109375" style="1092" customWidth="1"/>
    <col min="10505" max="10505" width="9.7109375" style="1092" customWidth="1"/>
    <col min="10506" max="10506" width="14.85546875" style="1092" customWidth="1"/>
    <col min="10507" max="10508" width="13.7109375" style="1092" customWidth="1"/>
    <col min="10509" max="10509" width="9.42578125" style="1092" customWidth="1"/>
    <col min="10510" max="10510" width="0.140625" style="1092" customWidth="1"/>
    <col min="10511" max="10511" width="16.140625" style="1092" customWidth="1"/>
    <col min="10512" max="10513" width="13.7109375" style="1092" customWidth="1"/>
    <col min="10514" max="10751" width="9.140625" style="1092"/>
    <col min="10752" max="10752" width="20.28515625" style="1092" customWidth="1"/>
    <col min="10753" max="10753" width="9.140625" style="1092" customWidth="1"/>
    <col min="10754" max="10754" width="14.85546875" style="1092" customWidth="1"/>
    <col min="10755" max="10756" width="13.7109375" style="1092" customWidth="1"/>
    <col min="10757" max="10757" width="9.28515625" style="1092" customWidth="1"/>
    <col min="10758" max="10758" width="16.140625" style="1092" customWidth="1"/>
    <col min="10759" max="10760" width="13.7109375" style="1092" customWidth="1"/>
    <col min="10761" max="10761" width="9.7109375" style="1092" customWidth="1"/>
    <col min="10762" max="10762" width="14.85546875" style="1092" customWidth="1"/>
    <col min="10763" max="10764" width="13.7109375" style="1092" customWidth="1"/>
    <col min="10765" max="10765" width="9.42578125" style="1092" customWidth="1"/>
    <col min="10766" max="10766" width="0.140625" style="1092" customWidth="1"/>
    <col min="10767" max="10767" width="16.140625" style="1092" customWidth="1"/>
    <col min="10768" max="10769" width="13.7109375" style="1092" customWidth="1"/>
    <col min="10770" max="11007" width="9.140625" style="1092"/>
    <col min="11008" max="11008" width="20.28515625" style="1092" customWidth="1"/>
    <col min="11009" max="11009" width="9.140625" style="1092" customWidth="1"/>
    <col min="11010" max="11010" width="14.85546875" style="1092" customWidth="1"/>
    <col min="11011" max="11012" width="13.7109375" style="1092" customWidth="1"/>
    <col min="11013" max="11013" width="9.28515625" style="1092" customWidth="1"/>
    <col min="11014" max="11014" width="16.140625" style="1092" customWidth="1"/>
    <col min="11015" max="11016" width="13.7109375" style="1092" customWidth="1"/>
    <col min="11017" max="11017" width="9.7109375" style="1092" customWidth="1"/>
    <col min="11018" max="11018" width="14.85546875" style="1092" customWidth="1"/>
    <col min="11019" max="11020" width="13.7109375" style="1092" customWidth="1"/>
    <col min="11021" max="11021" width="9.42578125" style="1092" customWidth="1"/>
    <col min="11022" max="11022" width="0.140625" style="1092" customWidth="1"/>
    <col min="11023" max="11023" width="16.140625" style="1092" customWidth="1"/>
    <col min="11024" max="11025" width="13.7109375" style="1092" customWidth="1"/>
    <col min="11026" max="11263" width="9.140625" style="1092"/>
    <col min="11264" max="11264" width="20.28515625" style="1092" customWidth="1"/>
    <col min="11265" max="11265" width="9.140625" style="1092" customWidth="1"/>
    <col min="11266" max="11266" width="14.85546875" style="1092" customWidth="1"/>
    <col min="11267" max="11268" width="13.7109375" style="1092" customWidth="1"/>
    <col min="11269" max="11269" width="9.28515625" style="1092" customWidth="1"/>
    <col min="11270" max="11270" width="16.140625" style="1092" customWidth="1"/>
    <col min="11271" max="11272" width="13.7109375" style="1092" customWidth="1"/>
    <col min="11273" max="11273" width="9.7109375" style="1092" customWidth="1"/>
    <col min="11274" max="11274" width="14.85546875" style="1092" customWidth="1"/>
    <col min="11275" max="11276" width="13.7109375" style="1092" customWidth="1"/>
    <col min="11277" max="11277" width="9.42578125" style="1092" customWidth="1"/>
    <col min="11278" max="11278" width="0.140625" style="1092" customWidth="1"/>
    <col min="11279" max="11279" width="16.140625" style="1092" customWidth="1"/>
    <col min="11280" max="11281" width="13.7109375" style="1092" customWidth="1"/>
    <col min="11282" max="11519" width="9.140625" style="1092"/>
    <col min="11520" max="11520" width="20.28515625" style="1092" customWidth="1"/>
    <col min="11521" max="11521" width="9.140625" style="1092" customWidth="1"/>
    <col min="11522" max="11522" width="14.85546875" style="1092" customWidth="1"/>
    <col min="11523" max="11524" width="13.7109375" style="1092" customWidth="1"/>
    <col min="11525" max="11525" width="9.28515625" style="1092" customWidth="1"/>
    <col min="11526" max="11526" width="16.140625" style="1092" customWidth="1"/>
    <col min="11527" max="11528" width="13.7109375" style="1092" customWidth="1"/>
    <col min="11529" max="11529" width="9.7109375" style="1092" customWidth="1"/>
    <col min="11530" max="11530" width="14.85546875" style="1092" customWidth="1"/>
    <col min="11531" max="11532" width="13.7109375" style="1092" customWidth="1"/>
    <col min="11533" max="11533" width="9.42578125" style="1092" customWidth="1"/>
    <col min="11534" max="11534" width="0.140625" style="1092" customWidth="1"/>
    <col min="11535" max="11535" width="16.140625" style="1092" customWidth="1"/>
    <col min="11536" max="11537" width="13.7109375" style="1092" customWidth="1"/>
    <col min="11538" max="11775" width="9.140625" style="1092"/>
    <col min="11776" max="11776" width="20.28515625" style="1092" customWidth="1"/>
    <col min="11777" max="11777" width="9.140625" style="1092" customWidth="1"/>
    <col min="11778" max="11778" width="14.85546875" style="1092" customWidth="1"/>
    <col min="11779" max="11780" width="13.7109375" style="1092" customWidth="1"/>
    <col min="11781" max="11781" width="9.28515625" style="1092" customWidth="1"/>
    <col min="11782" max="11782" width="16.140625" style="1092" customWidth="1"/>
    <col min="11783" max="11784" width="13.7109375" style="1092" customWidth="1"/>
    <col min="11785" max="11785" width="9.7109375" style="1092" customWidth="1"/>
    <col min="11786" max="11786" width="14.85546875" style="1092" customWidth="1"/>
    <col min="11787" max="11788" width="13.7109375" style="1092" customWidth="1"/>
    <col min="11789" max="11789" width="9.42578125" style="1092" customWidth="1"/>
    <col min="11790" max="11790" width="0.140625" style="1092" customWidth="1"/>
    <col min="11791" max="11791" width="16.140625" style="1092" customWidth="1"/>
    <col min="11792" max="11793" width="13.7109375" style="1092" customWidth="1"/>
    <col min="11794" max="12031" width="9.140625" style="1092"/>
    <col min="12032" max="12032" width="20.28515625" style="1092" customWidth="1"/>
    <col min="12033" max="12033" width="9.140625" style="1092" customWidth="1"/>
    <col min="12034" max="12034" width="14.85546875" style="1092" customWidth="1"/>
    <col min="12035" max="12036" width="13.7109375" style="1092" customWidth="1"/>
    <col min="12037" max="12037" width="9.28515625" style="1092" customWidth="1"/>
    <col min="12038" max="12038" width="16.140625" style="1092" customWidth="1"/>
    <col min="12039" max="12040" width="13.7109375" style="1092" customWidth="1"/>
    <col min="12041" max="12041" width="9.7109375" style="1092" customWidth="1"/>
    <col min="12042" max="12042" width="14.85546875" style="1092" customWidth="1"/>
    <col min="12043" max="12044" width="13.7109375" style="1092" customWidth="1"/>
    <col min="12045" max="12045" width="9.42578125" style="1092" customWidth="1"/>
    <col min="12046" max="12046" width="0.140625" style="1092" customWidth="1"/>
    <col min="12047" max="12047" width="16.140625" style="1092" customWidth="1"/>
    <col min="12048" max="12049" width="13.7109375" style="1092" customWidth="1"/>
    <col min="12050" max="12287" width="9.140625" style="1092"/>
    <col min="12288" max="12288" width="20.28515625" style="1092" customWidth="1"/>
    <col min="12289" max="12289" width="9.140625" style="1092" customWidth="1"/>
    <col min="12290" max="12290" width="14.85546875" style="1092" customWidth="1"/>
    <col min="12291" max="12292" width="13.7109375" style="1092" customWidth="1"/>
    <col min="12293" max="12293" width="9.28515625" style="1092" customWidth="1"/>
    <col min="12294" max="12294" width="16.140625" style="1092" customWidth="1"/>
    <col min="12295" max="12296" width="13.7109375" style="1092" customWidth="1"/>
    <col min="12297" max="12297" width="9.7109375" style="1092" customWidth="1"/>
    <col min="12298" max="12298" width="14.85546875" style="1092" customWidth="1"/>
    <col min="12299" max="12300" width="13.7109375" style="1092" customWidth="1"/>
    <col min="12301" max="12301" width="9.42578125" style="1092" customWidth="1"/>
    <col min="12302" max="12302" width="0.140625" style="1092" customWidth="1"/>
    <col min="12303" max="12303" width="16.140625" style="1092" customWidth="1"/>
    <col min="12304" max="12305" width="13.7109375" style="1092" customWidth="1"/>
    <col min="12306" max="12543" width="9.140625" style="1092"/>
    <col min="12544" max="12544" width="20.28515625" style="1092" customWidth="1"/>
    <col min="12545" max="12545" width="9.140625" style="1092" customWidth="1"/>
    <col min="12546" max="12546" width="14.85546875" style="1092" customWidth="1"/>
    <col min="12547" max="12548" width="13.7109375" style="1092" customWidth="1"/>
    <col min="12549" max="12549" width="9.28515625" style="1092" customWidth="1"/>
    <col min="12550" max="12550" width="16.140625" style="1092" customWidth="1"/>
    <col min="12551" max="12552" width="13.7109375" style="1092" customWidth="1"/>
    <col min="12553" max="12553" width="9.7109375" style="1092" customWidth="1"/>
    <col min="12554" max="12554" width="14.85546875" style="1092" customWidth="1"/>
    <col min="12555" max="12556" width="13.7109375" style="1092" customWidth="1"/>
    <col min="12557" max="12557" width="9.42578125" style="1092" customWidth="1"/>
    <col min="12558" max="12558" width="0.140625" style="1092" customWidth="1"/>
    <col min="12559" max="12559" width="16.140625" style="1092" customWidth="1"/>
    <col min="12560" max="12561" width="13.7109375" style="1092" customWidth="1"/>
    <col min="12562" max="12799" width="9.140625" style="1092"/>
    <col min="12800" max="12800" width="20.28515625" style="1092" customWidth="1"/>
    <col min="12801" max="12801" width="9.140625" style="1092" customWidth="1"/>
    <col min="12802" max="12802" width="14.85546875" style="1092" customWidth="1"/>
    <col min="12803" max="12804" width="13.7109375" style="1092" customWidth="1"/>
    <col min="12805" max="12805" width="9.28515625" style="1092" customWidth="1"/>
    <col min="12806" max="12806" width="16.140625" style="1092" customWidth="1"/>
    <col min="12807" max="12808" width="13.7109375" style="1092" customWidth="1"/>
    <col min="12809" max="12809" width="9.7109375" style="1092" customWidth="1"/>
    <col min="12810" max="12810" width="14.85546875" style="1092" customWidth="1"/>
    <col min="12811" max="12812" width="13.7109375" style="1092" customWidth="1"/>
    <col min="12813" max="12813" width="9.42578125" style="1092" customWidth="1"/>
    <col min="12814" max="12814" width="0.140625" style="1092" customWidth="1"/>
    <col min="12815" max="12815" width="16.140625" style="1092" customWidth="1"/>
    <col min="12816" max="12817" width="13.7109375" style="1092" customWidth="1"/>
    <col min="12818" max="13055" width="9.140625" style="1092"/>
    <col min="13056" max="13056" width="20.28515625" style="1092" customWidth="1"/>
    <col min="13057" max="13057" width="9.140625" style="1092" customWidth="1"/>
    <col min="13058" max="13058" width="14.85546875" style="1092" customWidth="1"/>
    <col min="13059" max="13060" width="13.7109375" style="1092" customWidth="1"/>
    <col min="13061" max="13061" width="9.28515625" style="1092" customWidth="1"/>
    <col min="13062" max="13062" width="16.140625" style="1092" customWidth="1"/>
    <col min="13063" max="13064" width="13.7109375" style="1092" customWidth="1"/>
    <col min="13065" max="13065" width="9.7109375" style="1092" customWidth="1"/>
    <col min="13066" max="13066" width="14.85546875" style="1092" customWidth="1"/>
    <col min="13067" max="13068" width="13.7109375" style="1092" customWidth="1"/>
    <col min="13069" max="13069" width="9.42578125" style="1092" customWidth="1"/>
    <col min="13070" max="13070" width="0.140625" style="1092" customWidth="1"/>
    <col min="13071" max="13071" width="16.140625" style="1092" customWidth="1"/>
    <col min="13072" max="13073" width="13.7109375" style="1092" customWidth="1"/>
    <col min="13074" max="13311" width="9.140625" style="1092"/>
    <col min="13312" max="13312" width="20.28515625" style="1092" customWidth="1"/>
    <col min="13313" max="13313" width="9.140625" style="1092" customWidth="1"/>
    <col min="13314" max="13314" width="14.85546875" style="1092" customWidth="1"/>
    <col min="13315" max="13316" width="13.7109375" style="1092" customWidth="1"/>
    <col min="13317" max="13317" width="9.28515625" style="1092" customWidth="1"/>
    <col min="13318" max="13318" width="16.140625" style="1092" customWidth="1"/>
    <col min="13319" max="13320" width="13.7109375" style="1092" customWidth="1"/>
    <col min="13321" max="13321" width="9.7109375" style="1092" customWidth="1"/>
    <col min="13322" max="13322" width="14.85546875" style="1092" customWidth="1"/>
    <col min="13323" max="13324" width="13.7109375" style="1092" customWidth="1"/>
    <col min="13325" max="13325" width="9.42578125" style="1092" customWidth="1"/>
    <col min="13326" max="13326" width="0.140625" style="1092" customWidth="1"/>
    <col min="13327" max="13327" width="16.140625" style="1092" customWidth="1"/>
    <col min="13328" max="13329" width="13.7109375" style="1092" customWidth="1"/>
    <col min="13330" max="13567" width="9.140625" style="1092"/>
    <col min="13568" max="13568" width="20.28515625" style="1092" customWidth="1"/>
    <col min="13569" max="13569" width="9.140625" style="1092" customWidth="1"/>
    <col min="13570" max="13570" width="14.85546875" style="1092" customWidth="1"/>
    <col min="13571" max="13572" width="13.7109375" style="1092" customWidth="1"/>
    <col min="13573" max="13573" width="9.28515625" style="1092" customWidth="1"/>
    <col min="13574" max="13574" width="16.140625" style="1092" customWidth="1"/>
    <col min="13575" max="13576" width="13.7109375" style="1092" customWidth="1"/>
    <col min="13577" max="13577" width="9.7109375" style="1092" customWidth="1"/>
    <col min="13578" max="13578" width="14.85546875" style="1092" customWidth="1"/>
    <col min="13579" max="13580" width="13.7109375" style="1092" customWidth="1"/>
    <col min="13581" max="13581" width="9.42578125" style="1092" customWidth="1"/>
    <col min="13582" max="13582" width="0.140625" style="1092" customWidth="1"/>
    <col min="13583" max="13583" width="16.140625" style="1092" customWidth="1"/>
    <col min="13584" max="13585" width="13.7109375" style="1092" customWidth="1"/>
    <col min="13586" max="13823" width="9.140625" style="1092"/>
    <col min="13824" max="13824" width="20.28515625" style="1092" customWidth="1"/>
    <col min="13825" max="13825" width="9.140625" style="1092" customWidth="1"/>
    <col min="13826" max="13826" width="14.85546875" style="1092" customWidth="1"/>
    <col min="13827" max="13828" width="13.7109375" style="1092" customWidth="1"/>
    <col min="13829" max="13829" width="9.28515625" style="1092" customWidth="1"/>
    <col min="13830" max="13830" width="16.140625" style="1092" customWidth="1"/>
    <col min="13831" max="13832" width="13.7109375" style="1092" customWidth="1"/>
    <col min="13833" max="13833" width="9.7109375" style="1092" customWidth="1"/>
    <col min="13834" max="13834" width="14.85546875" style="1092" customWidth="1"/>
    <col min="13835" max="13836" width="13.7109375" style="1092" customWidth="1"/>
    <col min="13837" max="13837" width="9.42578125" style="1092" customWidth="1"/>
    <col min="13838" max="13838" width="0.140625" style="1092" customWidth="1"/>
    <col min="13839" max="13839" width="16.140625" style="1092" customWidth="1"/>
    <col min="13840" max="13841" width="13.7109375" style="1092" customWidth="1"/>
    <col min="13842" max="14079" width="9.140625" style="1092"/>
    <col min="14080" max="14080" width="20.28515625" style="1092" customWidth="1"/>
    <col min="14081" max="14081" width="9.140625" style="1092" customWidth="1"/>
    <col min="14082" max="14082" width="14.85546875" style="1092" customWidth="1"/>
    <col min="14083" max="14084" width="13.7109375" style="1092" customWidth="1"/>
    <col min="14085" max="14085" width="9.28515625" style="1092" customWidth="1"/>
    <col min="14086" max="14086" width="16.140625" style="1092" customWidth="1"/>
    <col min="14087" max="14088" width="13.7109375" style="1092" customWidth="1"/>
    <col min="14089" max="14089" width="9.7109375" style="1092" customWidth="1"/>
    <col min="14090" max="14090" width="14.85546875" style="1092" customWidth="1"/>
    <col min="14091" max="14092" width="13.7109375" style="1092" customWidth="1"/>
    <col min="14093" max="14093" width="9.42578125" style="1092" customWidth="1"/>
    <col min="14094" max="14094" width="0.140625" style="1092" customWidth="1"/>
    <col min="14095" max="14095" width="16.140625" style="1092" customWidth="1"/>
    <col min="14096" max="14097" width="13.7109375" style="1092" customWidth="1"/>
    <col min="14098" max="14335" width="9.140625" style="1092"/>
    <col min="14336" max="14336" width="20.28515625" style="1092" customWidth="1"/>
    <col min="14337" max="14337" width="9.140625" style="1092" customWidth="1"/>
    <col min="14338" max="14338" width="14.85546875" style="1092" customWidth="1"/>
    <col min="14339" max="14340" width="13.7109375" style="1092" customWidth="1"/>
    <col min="14341" max="14341" width="9.28515625" style="1092" customWidth="1"/>
    <col min="14342" max="14342" width="16.140625" style="1092" customWidth="1"/>
    <col min="14343" max="14344" width="13.7109375" style="1092" customWidth="1"/>
    <col min="14345" max="14345" width="9.7109375" style="1092" customWidth="1"/>
    <col min="14346" max="14346" width="14.85546875" style="1092" customWidth="1"/>
    <col min="14347" max="14348" width="13.7109375" style="1092" customWidth="1"/>
    <col min="14349" max="14349" width="9.42578125" style="1092" customWidth="1"/>
    <col min="14350" max="14350" width="0.140625" style="1092" customWidth="1"/>
    <col min="14351" max="14351" width="16.140625" style="1092" customWidth="1"/>
    <col min="14352" max="14353" width="13.7109375" style="1092" customWidth="1"/>
    <col min="14354" max="14591" width="9.140625" style="1092"/>
    <col min="14592" max="14592" width="20.28515625" style="1092" customWidth="1"/>
    <col min="14593" max="14593" width="9.140625" style="1092" customWidth="1"/>
    <col min="14594" max="14594" width="14.85546875" style="1092" customWidth="1"/>
    <col min="14595" max="14596" width="13.7109375" style="1092" customWidth="1"/>
    <col min="14597" max="14597" width="9.28515625" style="1092" customWidth="1"/>
    <col min="14598" max="14598" width="16.140625" style="1092" customWidth="1"/>
    <col min="14599" max="14600" width="13.7109375" style="1092" customWidth="1"/>
    <col min="14601" max="14601" width="9.7109375" style="1092" customWidth="1"/>
    <col min="14602" max="14602" width="14.85546875" style="1092" customWidth="1"/>
    <col min="14603" max="14604" width="13.7109375" style="1092" customWidth="1"/>
    <col min="14605" max="14605" width="9.42578125" style="1092" customWidth="1"/>
    <col min="14606" max="14606" width="0.140625" style="1092" customWidth="1"/>
    <col min="14607" max="14607" width="16.140625" style="1092" customWidth="1"/>
    <col min="14608" max="14609" width="13.7109375" style="1092" customWidth="1"/>
    <col min="14610" max="14847" width="9.140625" style="1092"/>
    <col min="14848" max="14848" width="20.28515625" style="1092" customWidth="1"/>
    <col min="14849" max="14849" width="9.140625" style="1092" customWidth="1"/>
    <col min="14850" max="14850" width="14.85546875" style="1092" customWidth="1"/>
    <col min="14851" max="14852" width="13.7109375" style="1092" customWidth="1"/>
    <col min="14853" max="14853" width="9.28515625" style="1092" customWidth="1"/>
    <col min="14854" max="14854" width="16.140625" style="1092" customWidth="1"/>
    <col min="14855" max="14856" width="13.7109375" style="1092" customWidth="1"/>
    <col min="14857" max="14857" width="9.7109375" style="1092" customWidth="1"/>
    <col min="14858" max="14858" width="14.85546875" style="1092" customWidth="1"/>
    <col min="14859" max="14860" width="13.7109375" style="1092" customWidth="1"/>
    <col min="14861" max="14861" width="9.42578125" style="1092" customWidth="1"/>
    <col min="14862" max="14862" width="0.140625" style="1092" customWidth="1"/>
    <col min="14863" max="14863" width="16.140625" style="1092" customWidth="1"/>
    <col min="14864" max="14865" width="13.7109375" style="1092" customWidth="1"/>
    <col min="14866" max="15103" width="9.140625" style="1092"/>
    <col min="15104" max="15104" width="20.28515625" style="1092" customWidth="1"/>
    <col min="15105" max="15105" width="9.140625" style="1092" customWidth="1"/>
    <col min="15106" max="15106" width="14.85546875" style="1092" customWidth="1"/>
    <col min="15107" max="15108" width="13.7109375" style="1092" customWidth="1"/>
    <col min="15109" max="15109" width="9.28515625" style="1092" customWidth="1"/>
    <col min="15110" max="15110" width="16.140625" style="1092" customWidth="1"/>
    <col min="15111" max="15112" width="13.7109375" style="1092" customWidth="1"/>
    <col min="15113" max="15113" width="9.7109375" style="1092" customWidth="1"/>
    <col min="15114" max="15114" width="14.85546875" style="1092" customWidth="1"/>
    <col min="15115" max="15116" width="13.7109375" style="1092" customWidth="1"/>
    <col min="15117" max="15117" width="9.42578125" style="1092" customWidth="1"/>
    <col min="15118" max="15118" width="0.140625" style="1092" customWidth="1"/>
    <col min="15119" max="15119" width="16.140625" style="1092" customWidth="1"/>
    <col min="15120" max="15121" width="13.7109375" style="1092" customWidth="1"/>
    <col min="15122" max="15359" width="9.140625" style="1092"/>
    <col min="15360" max="15360" width="20.28515625" style="1092" customWidth="1"/>
    <col min="15361" max="15361" width="9.140625" style="1092" customWidth="1"/>
    <col min="15362" max="15362" width="14.85546875" style="1092" customWidth="1"/>
    <col min="15363" max="15364" width="13.7109375" style="1092" customWidth="1"/>
    <col min="15365" max="15365" width="9.28515625" style="1092" customWidth="1"/>
    <col min="15366" max="15366" width="16.140625" style="1092" customWidth="1"/>
    <col min="15367" max="15368" width="13.7109375" style="1092" customWidth="1"/>
    <col min="15369" max="15369" width="9.7109375" style="1092" customWidth="1"/>
    <col min="15370" max="15370" width="14.85546875" style="1092" customWidth="1"/>
    <col min="15371" max="15372" width="13.7109375" style="1092" customWidth="1"/>
    <col min="15373" max="15373" width="9.42578125" style="1092" customWidth="1"/>
    <col min="15374" max="15374" width="0.140625" style="1092" customWidth="1"/>
    <col min="15375" max="15375" width="16.140625" style="1092" customWidth="1"/>
    <col min="15376" max="15377" width="13.7109375" style="1092" customWidth="1"/>
    <col min="15378" max="15615" width="9.140625" style="1092"/>
    <col min="15616" max="15616" width="20.28515625" style="1092" customWidth="1"/>
    <col min="15617" max="15617" width="9.140625" style="1092" customWidth="1"/>
    <col min="15618" max="15618" width="14.85546875" style="1092" customWidth="1"/>
    <col min="15619" max="15620" width="13.7109375" style="1092" customWidth="1"/>
    <col min="15621" max="15621" width="9.28515625" style="1092" customWidth="1"/>
    <col min="15622" max="15622" width="16.140625" style="1092" customWidth="1"/>
    <col min="15623" max="15624" width="13.7109375" style="1092" customWidth="1"/>
    <col min="15625" max="15625" width="9.7109375" style="1092" customWidth="1"/>
    <col min="15626" max="15626" width="14.85546875" style="1092" customWidth="1"/>
    <col min="15627" max="15628" width="13.7109375" style="1092" customWidth="1"/>
    <col min="15629" max="15629" width="9.42578125" style="1092" customWidth="1"/>
    <col min="15630" max="15630" width="0.140625" style="1092" customWidth="1"/>
    <col min="15631" max="15631" width="16.140625" style="1092" customWidth="1"/>
    <col min="15632" max="15633" width="13.7109375" style="1092" customWidth="1"/>
    <col min="15634" max="15871" width="9.140625" style="1092"/>
    <col min="15872" max="15872" width="20.28515625" style="1092" customWidth="1"/>
    <col min="15873" max="15873" width="9.140625" style="1092" customWidth="1"/>
    <col min="15874" max="15874" width="14.85546875" style="1092" customWidth="1"/>
    <col min="15875" max="15876" width="13.7109375" style="1092" customWidth="1"/>
    <col min="15877" max="15877" width="9.28515625" style="1092" customWidth="1"/>
    <col min="15878" max="15878" width="16.140625" style="1092" customWidth="1"/>
    <col min="15879" max="15880" width="13.7109375" style="1092" customWidth="1"/>
    <col min="15881" max="15881" width="9.7109375" style="1092" customWidth="1"/>
    <col min="15882" max="15882" width="14.85546875" style="1092" customWidth="1"/>
    <col min="15883" max="15884" width="13.7109375" style="1092" customWidth="1"/>
    <col min="15885" max="15885" width="9.42578125" style="1092" customWidth="1"/>
    <col min="15886" max="15886" width="0.140625" style="1092" customWidth="1"/>
    <col min="15887" max="15887" width="16.140625" style="1092" customWidth="1"/>
    <col min="15888" max="15889" width="13.7109375" style="1092" customWidth="1"/>
    <col min="15890" max="16127" width="9.140625" style="1092"/>
    <col min="16128" max="16128" width="20.28515625" style="1092" customWidth="1"/>
    <col min="16129" max="16129" width="9.140625" style="1092" customWidth="1"/>
    <col min="16130" max="16130" width="14.85546875" style="1092" customWidth="1"/>
    <col min="16131" max="16132" width="13.7109375" style="1092" customWidth="1"/>
    <col min="16133" max="16133" width="9.28515625" style="1092" customWidth="1"/>
    <col min="16134" max="16134" width="16.140625" style="1092" customWidth="1"/>
    <col min="16135" max="16136" width="13.7109375" style="1092" customWidth="1"/>
    <col min="16137" max="16137" width="9.7109375" style="1092" customWidth="1"/>
    <col min="16138" max="16138" width="14.85546875" style="1092" customWidth="1"/>
    <col min="16139" max="16140" width="13.7109375" style="1092" customWidth="1"/>
    <col min="16141" max="16141" width="9.42578125" style="1092" customWidth="1"/>
    <col min="16142" max="16142" width="0.140625" style="1092" customWidth="1"/>
    <col min="16143" max="16143" width="16.140625" style="1092" customWidth="1"/>
    <col min="16144" max="16145" width="13.7109375" style="1092" customWidth="1"/>
    <col min="16146" max="16384" width="9.140625" style="1092"/>
  </cols>
  <sheetData>
    <row r="2" spans="1:17" ht="15" customHeight="1" x14ac:dyDescent="0.15">
      <c r="A2" s="3064" t="s">
        <v>2463</v>
      </c>
      <c r="B2" s="3064"/>
      <c r="C2" s="3064"/>
      <c r="D2" s="3064"/>
      <c r="E2" s="3064"/>
      <c r="F2" s="3064"/>
      <c r="G2" s="3064"/>
      <c r="H2" s="3064"/>
      <c r="I2" s="3064"/>
      <c r="J2" s="3064"/>
      <c r="K2" s="3064"/>
      <c r="L2" s="3064"/>
      <c r="M2" s="3064"/>
      <c r="N2" s="3064"/>
      <c r="O2" s="3064"/>
      <c r="P2" s="3064"/>
      <c r="Q2" s="3064"/>
    </row>
    <row r="3" spans="1:17" x14ac:dyDescent="0.15">
      <c r="A3" s="3065"/>
      <c r="B3" s="3065"/>
      <c r="C3" s="3065"/>
      <c r="D3" s="3065"/>
      <c r="E3" s="3065"/>
      <c r="F3" s="3065"/>
      <c r="G3" s="3065"/>
      <c r="H3" s="3065"/>
      <c r="I3" s="3065"/>
      <c r="J3" s="3065"/>
      <c r="K3" s="3065"/>
      <c r="L3" s="3065"/>
      <c r="M3" s="3065"/>
      <c r="N3" s="3065"/>
      <c r="O3" s="3065"/>
      <c r="P3" s="3065"/>
      <c r="Q3" s="3065"/>
    </row>
    <row r="4" spans="1:17" ht="10.5" customHeight="1" x14ac:dyDescent="0.15">
      <c r="A4" s="3066" t="s">
        <v>1</v>
      </c>
      <c r="B4" s="3069" t="s">
        <v>2464</v>
      </c>
      <c r="C4" s="3070"/>
      <c r="D4" s="3070"/>
      <c r="E4" s="3070"/>
      <c r="F4" s="3070"/>
      <c r="G4" s="3070"/>
      <c r="H4" s="3070"/>
      <c r="I4" s="3070"/>
      <c r="J4" s="3070"/>
      <c r="K4" s="3070"/>
      <c r="L4" s="3070"/>
      <c r="M4" s="3070"/>
      <c r="N4" s="3070"/>
      <c r="O4" s="3070"/>
      <c r="P4" s="3070"/>
      <c r="Q4" s="3071"/>
    </row>
    <row r="5" spans="1:17" ht="12.75" customHeight="1" x14ac:dyDescent="0.15">
      <c r="A5" s="3067"/>
      <c r="B5" s="3072" t="s">
        <v>141</v>
      </c>
      <c r="C5" s="3074" t="s">
        <v>2465</v>
      </c>
      <c r="D5" s="3074"/>
      <c r="E5" s="3074"/>
      <c r="F5" s="3074" t="s">
        <v>2466</v>
      </c>
      <c r="G5" s="3074"/>
      <c r="H5" s="3074"/>
      <c r="I5" s="3074"/>
      <c r="J5" s="3074" t="s">
        <v>2467</v>
      </c>
      <c r="K5" s="3074"/>
      <c r="L5" s="3074"/>
      <c r="M5" s="3074"/>
      <c r="N5" s="3075" t="s">
        <v>2468</v>
      </c>
      <c r="O5" s="3076"/>
      <c r="P5" s="3076"/>
      <c r="Q5" s="3077"/>
    </row>
    <row r="6" spans="1:17" x14ac:dyDescent="0.15">
      <c r="A6" s="3068"/>
      <c r="B6" s="3073"/>
      <c r="C6" s="1093" t="s">
        <v>2469</v>
      </c>
      <c r="D6" s="1093" t="s">
        <v>2470</v>
      </c>
      <c r="E6" s="1093" t="s">
        <v>2471</v>
      </c>
      <c r="F6" s="1093" t="s">
        <v>141</v>
      </c>
      <c r="G6" s="1093" t="s">
        <v>2472</v>
      </c>
      <c r="H6" s="1093" t="s">
        <v>2473</v>
      </c>
      <c r="I6" s="1093" t="s">
        <v>2474</v>
      </c>
      <c r="J6" s="1093" t="s">
        <v>141</v>
      </c>
      <c r="K6" s="1093" t="s">
        <v>2469</v>
      </c>
      <c r="L6" s="1093" t="s">
        <v>2473</v>
      </c>
      <c r="M6" s="1093" t="s">
        <v>2474</v>
      </c>
      <c r="N6" s="1094" t="s">
        <v>141</v>
      </c>
      <c r="O6" s="1093" t="s">
        <v>2472</v>
      </c>
      <c r="P6" s="1093" t="s">
        <v>2470</v>
      </c>
      <c r="Q6" s="1093" t="s">
        <v>2474</v>
      </c>
    </row>
    <row r="7" spans="1:17" ht="12.75" customHeight="1" x14ac:dyDescent="0.15">
      <c r="A7" s="1095" t="s">
        <v>141</v>
      </c>
      <c r="B7" s="1096">
        <f t="shared" ref="B7:M7" si="0">SUM(B8:B22)</f>
        <v>1724</v>
      </c>
      <c r="C7" s="1096">
        <f t="shared" si="0"/>
        <v>676</v>
      </c>
      <c r="D7" s="1096">
        <f t="shared" si="0"/>
        <v>742</v>
      </c>
      <c r="E7" s="1096">
        <f t="shared" si="0"/>
        <v>306</v>
      </c>
      <c r="F7" s="1096">
        <f t="shared" si="0"/>
        <v>116</v>
      </c>
      <c r="G7" s="1096">
        <f t="shared" si="0"/>
        <v>57</v>
      </c>
      <c r="H7" s="1096">
        <f t="shared" si="0"/>
        <v>32</v>
      </c>
      <c r="I7" s="1096">
        <f t="shared" si="0"/>
        <v>27</v>
      </c>
      <c r="J7" s="1096">
        <f t="shared" si="0"/>
        <v>1397</v>
      </c>
      <c r="K7" s="1096">
        <f t="shared" si="0"/>
        <v>468</v>
      </c>
      <c r="L7" s="1096">
        <f t="shared" si="0"/>
        <v>692</v>
      </c>
      <c r="M7" s="1096">
        <f t="shared" si="0"/>
        <v>237</v>
      </c>
      <c r="N7" s="1097">
        <f>SUM(N8:N22)</f>
        <v>211</v>
      </c>
      <c r="O7" s="1096">
        <f>SUM(O8:O22)</f>
        <v>151</v>
      </c>
      <c r="P7" s="1096">
        <f>SUM(P8:P22)</f>
        <v>18</v>
      </c>
      <c r="Q7" s="1096">
        <f>SUM(Q8:Q22)</f>
        <v>42</v>
      </c>
    </row>
    <row r="8" spans="1:17" ht="12.75" customHeight="1" x14ac:dyDescent="0.15">
      <c r="A8" s="1098" t="s">
        <v>5</v>
      </c>
      <c r="B8" s="1096">
        <f>SUM(C8:E8)</f>
        <v>35</v>
      </c>
      <c r="C8" s="1099">
        <f t="shared" ref="C8:E22" si="1">SUM(G8,K8,O8)</f>
        <v>11</v>
      </c>
      <c r="D8" s="1099">
        <f t="shared" si="1"/>
        <v>18</v>
      </c>
      <c r="E8" s="1099">
        <f t="shared" si="1"/>
        <v>6</v>
      </c>
      <c r="F8" s="1096">
        <f>SUM(G8:I8)</f>
        <v>1</v>
      </c>
      <c r="G8" s="1100">
        <v>0</v>
      </c>
      <c r="H8" s="1100">
        <v>0</v>
      </c>
      <c r="I8" s="1100">
        <v>1</v>
      </c>
      <c r="J8" s="1096">
        <f>SUM(K8:M8)</f>
        <v>34</v>
      </c>
      <c r="K8" s="1100">
        <v>11</v>
      </c>
      <c r="L8" s="1100">
        <v>18</v>
      </c>
      <c r="M8" s="1100">
        <v>5</v>
      </c>
      <c r="N8" s="1096">
        <f>SUM(O8:Q8)</f>
        <v>0</v>
      </c>
      <c r="O8" s="1100">
        <v>0</v>
      </c>
      <c r="P8" s="1100">
        <v>0</v>
      </c>
      <c r="Q8" s="1100">
        <v>0</v>
      </c>
    </row>
    <row r="9" spans="1:17" ht="12.75" customHeight="1" x14ac:dyDescent="0.15">
      <c r="A9" s="1098" t="s">
        <v>6</v>
      </c>
      <c r="B9" s="1096">
        <f t="shared" ref="B9:B22" si="2">SUM(C9:E9)</f>
        <v>39</v>
      </c>
      <c r="C9" s="1099">
        <f t="shared" si="1"/>
        <v>11</v>
      </c>
      <c r="D9" s="1099">
        <f t="shared" si="1"/>
        <v>24</v>
      </c>
      <c r="E9" s="1099">
        <f t="shared" si="1"/>
        <v>4</v>
      </c>
      <c r="F9" s="1096">
        <f t="shared" ref="F9:F22" si="3">SUM(G9:I9)</f>
        <v>1</v>
      </c>
      <c r="G9" s="1100">
        <v>0</v>
      </c>
      <c r="H9" s="1100">
        <v>1</v>
      </c>
      <c r="I9" s="1100">
        <v>0</v>
      </c>
      <c r="J9" s="1096">
        <f t="shared" ref="J9:J22" si="4">SUM(K9:M9)</f>
        <v>36</v>
      </c>
      <c r="K9" s="1100">
        <v>9</v>
      </c>
      <c r="L9" s="1100">
        <v>23</v>
      </c>
      <c r="M9" s="1100">
        <v>4</v>
      </c>
      <c r="N9" s="1096">
        <f t="shared" ref="N9:N22" si="5">SUM(O9:Q9)</f>
        <v>2</v>
      </c>
      <c r="O9" s="1100">
        <v>2</v>
      </c>
      <c r="P9" s="1100">
        <v>0</v>
      </c>
      <c r="Q9" s="1100">
        <v>0</v>
      </c>
    </row>
    <row r="10" spans="1:17" ht="12.75" customHeight="1" x14ac:dyDescent="0.15">
      <c r="A10" s="1098" t="s">
        <v>7</v>
      </c>
      <c r="B10" s="1096">
        <f t="shared" si="2"/>
        <v>105</v>
      </c>
      <c r="C10" s="1099">
        <f t="shared" si="1"/>
        <v>27</v>
      </c>
      <c r="D10" s="1099">
        <f t="shared" si="1"/>
        <v>58</v>
      </c>
      <c r="E10" s="1099">
        <f t="shared" si="1"/>
        <v>20</v>
      </c>
      <c r="F10" s="1096">
        <f t="shared" si="3"/>
        <v>1</v>
      </c>
      <c r="G10" s="1100">
        <v>0</v>
      </c>
      <c r="H10" s="1100">
        <v>1</v>
      </c>
      <c r="I10" s="1100">
        <v>0</v>
      </c>
      <c r="J10" s="1096">
        <f t="shared" si="4"/>
        <v>101</v>
      </c>
      <c r="K10" s="1100">
        <v>26</v>
      </c>
      <c r="L10" s="1100">
        <v>57</v>
      </c>
      <c r="M10" s="1100">
        <v>18</v>
      </c>
      <c r="N10" s="1096">
        <f t="shared" si="5"/>
        <v>3</v>
      </c>
      <c r="O10" s="1100">
        <v>1</v>
      </c>
      <c r="P10" s="1100">
        <v>0</v>
      </c>
      <c r="Q10" s="1100">
        <v>2</v>
      </c>
    </row>
    <row r="11" spans="1:17" ht="12.75" customHeight="1" x14ac:dyDescent="0.15">
      <c r="A11" s="1098" t="s">
        <v>8</v>
      </c>
      <c r="B11" s="1096">
        <f t="shared" si="2"/>
        <v>121</v>
      </c>
      <c r="C11" s="1099">
        <f t="shared" si="1"/>
        <v>38</v>
      </c>
      <c r="D11" s="1099">
        <f t="shared" si="1"/>
        <v>71</v>
      </c>
      <c r="E11" s="1099">
        <f t="shared" si="1"/>
        <v>12</v>
      </c>
      <c r="F11" s="1096">
        <f t="shared" si="3"/>
        <v>1</v>
      </c>
      <c r="G11" s="1100">
        <v>0</v>
      </c>
      <c r="H11" s="1100">
        <v>1</v>
      </c>
      <c r="I11" s="1100">
        <v>0</v>
      </c>
      <c r="J11" s="1096">
        <f t="shared" si="4"/>
        <v>112</v>
      </c>
      <c r="K11" s="1100">
        <v>32</v>
      </c>
      <c r="L11" s="1100">
        <v>70</v>
      </c>
      <c r="M11" s="1100">
        <v>10</v>
      </c>
      <c r="N11" s="1096">
        <f t="shared" si="5"/>
        <v>8</v>
      </c>
      <c r="O11" s="1100">
        <v>6</v>
      </c>
      <c r="P11" s="1100">
        <v>0</v>
      </c>
      <c r="Q11" s="1100">
        <v>2</v>
      </c>
    </row>
    <row r="12" spans="1:17" ht="12.75" customHeight="1" x14ac:dyDescent="0.15">
      <c r="A12" s="1098" t="s">
        <v>9</v>
      </c>
      <c r="B12" s="1096">
        <f t="shared" si="2"/>
        <v>120</v>
      </c>
      <c r="C12" s="1099">
        <f t="shared" si="1"/>
        <v>35</v>
      </c>
      <c r="D12" s="1099">
        <f t="shared" si="1"/>
        <v>65</v>
      </c>
      <c r="E12" s="1099">
        <f t="shared" si="1"/>
        <v>20</v>
      </c>
      <c r="F12" s="1096">
        <f t="shared" si="3"/>
        <v>7</v>
      </c>
      <c r="G12" s="1100">
        <v>2</v>
      </c>
      <c r="H12" s="1100">
        <v>2</v>
      </c>
      <c r="I12" s="1100">
        <v>3</v>
      </c>
      <c r="J12" s="1096">
        <f t="shared" si="4"/>
        <v>106</v>
      </c>
      <c r="K12" s="1100">
        <v>29</v>
      </c>
      <c r="L12" s="1100">
        <v>63</v>
      </c>
      <c r="M12" s="1100">
        <v>14</v>
      </c>
      <c r="N12" s="1096">
        <f t="shared" si="5"/>
        <v>7</v>
      </c>
      <c r="O12" s="1100">
        <v>4</v>
      </c>
      <c r="P12" s="1100">
        <v>0</v>
      </c>
      <c r="Q12" s="1100">
        <v>3</v>
      </c>
    </row>
    <row r="13" spans="1:17" ht="12.75" customHeight="1" x14ac:dyDescent="0.15">
      <c r="A13" s="1098" t="s">
        <v>10</v>
      </c>
      <c r="B13" s="1096">
        <f t="shared" si="2"/>
        <v>180</v>
      </c>
      <c r="C13" s="1099">
        <f t="shared" si="1"/>
        <v>59</v>
      </c>
      <c r="D13" s="1099">
        <f t="shared" si="1"/>
        <v>89</v>
      </c>
      <c r="E13" s="1099">
        <f t="shared" si="1"/>
        <v>32</v>
      </c>
      <c r="F13" s="1096">
        <f t="shared" si="3"/>
        <v>18</v>
      </c>
      <c r="G13" s="1100">
        <v>8</v>
      </c>
      <c r="H13" s="1100">
        <v>5</v>
      </c>
      <c r="I13" s="1100">
        <v>5</v>
      </c>
      <c r="J13" s="1096">
        <f t="shared" si="4"/>
        <v>128</v>
      </c>
      <c r="K13" s="1100">
        <v>32</v>
      </c>
      <c r="L13" s="1100">
        <v>75</v>
      </c>
      <c r="M13" s="1100">
        <v>21</v>
      </c>
      <c r="N13" s="1096">
        <f t="shared" si="5"/>
        <v>34</v>
      </c>
      <c r="O13" s="1100">
        <v>19</v>
      </c>
      <c r="P13" s="1100">
        <v>9</v>
      </c>
      <c r="Q13" s="1100">
        <v>6</v>
      </c>
    </row>
    <row r="14" spans="1:17" ht="12.75" customHeight="1" x14ac:dyDescent="0.15">
      <c r="A14" s="1098" t="s">
        <v>11</v>
      </c>
      <c r="B14" s="1096">
        <f t="shared" si="2"/>
        <v>113</v>
      </c>
      <c r="C14" s="1099">
        <f t="shared" si="1"/>
        <v>87</v>
      </c>
      <c r="D14" s="1099">
        <f t="shared" si="1"/>
        <v>8</v>
      </c>
      <c r="E14" s="1099">
        <f t="shared" si="1"/>
        <v>18</v>
      </c>
      <c r="F14" s="1096">
        <f t="shared" si="3"/>
        <v>19</v>
      </c>
      <c r="G14" s="1100">
        <v>12</v>
      </c>
      <c r="H14" s="1100">
        <v>5</v>
      </c>
      <c r="I14" s="1100">
        <v>2</v>
      </c>
      <c r="J14" s="1096">
        <f t="shared" si="4"/>
        <v>52</v>
      </c>
      <c r="K14" s="1100">
        <v>42</v>
      </c>
      <c r="L14" s="1100">
        <v>3</v>
      </c>
      <c r="M14" s="1100">
        <v>7</v>
      </c>
      <c r="N14" s="1096">
        <f t="shared" si="5"/>
        <v>42</v>
      </c>
      <c r="O14" s="1100">
        <v>33</v>
      </c>
      <c r="P14" s="1100">
        <v>0</v>
      </c>
      <c r="Q14" s="1100">
        <v>9</v>
      </c>
    </row>
    <row r="15" spans="1:17" ht="12.75" customHeight="1" x14ac:dyDescent="0.15">
      <c r="A15" s="1098" t="s">
        <v>12</v>
      </c>
      <c r="B15" s="1096">
        <f t="shared" si="2"/>
        <v>112</v>
      </c>
      <c r="C15" s="1099">
        <f t="shared" si="1"/>
        <v>66</v>
      </c>
      <c r="D15" s="1099">
        <f t="shared" si="1"/>
        <v>34</v>
      </c>
      <c r="E15" s="1099">
        <f t="shared" si="1"/>
        <v>12</v>
      </c>
      <c r="F15" s="1096">
        <f t="shared" si="3"/>
        <v>5</v>
      </c>
      <c r="G15" s="1100">
        <v>3</v>
      </c>
      <c r="H15" s="1100">
        <v>2</v>
      </c>
      <c r="I15" s="1100">
        <v>0</v>
      </c>
      <c r="J15" s="1096">
        <f t="shared" si="4"/>
        <v>83</v>
      </c>
      <c r="K15" s="1100">
        <v>42</v>
      </c>
      <c r="L15" s="1100">
        <v>31</v>
      </c>
      <c r="M15" s="1100">
        <v>10</v>
      </c>
      <c r="N15" s="1096">
        <f t="shared" si="5"/>
        <v>24</v>
      </c>
      <c r="O15" s="1100">
        <v>21</v>
      </c>
      <c r="P15" s="1100">
        <v>1</v>
      </c>
      <c r="Q15" s="1100">
        <v>2</v>
      </c>
    </row>
    <row r="16" spans="1:17" ht="12.75" customHeight="1" x14ac:dyDescent="0.15">
      <c r="A16" s="1098" t="s">
        <v>13</v>
      </c>
      <c r="B16" s="1096">
        <f t="shared" si="2"/>
        <v>135</v>
      </c>
      <c r="C16" s="1099">
        <f t="shared" si="1"/>
        <v>58</v>
      </c>
      <c r="D16" s="1099">
        <f t="shared" si="1"/>
        <v>62</v>
      </c>
      <c r="E16" s="1099">
        <f t="shared" si="1"/>
        <v>15</v>
      </c>
      <c r="F16" s="1096">
        <f t="shared" si="3"/>
        <v>9</v>
      </c>
      <c r="G16" s="1100">
        <v>3</v>
      </c>
      <c r="H16" s="1100">
        <v>3</v>
      </c>
      <c r="I16" s="1100">
        <v>3</v>
      </c>
      <c r="J16" s="1096">
        <f t="shared" si="4"/>
        <v>110</v>
      </c>
      <c r="K16" s="1100">
        <v>43</v>
      </c>
      <c r="L16" s="1100">
        <v>57</v>
      </c>
      <c r="M16" s="1100">
        <v>10</v>
      </c>
      <c r="N16" s="1096">
        <f t="shared" si="5"/>
        <v>16</v>
      </c>
      <c r="O16" s="1100">
        <v>12</v>
      </c>
      <c r="P16" s="1100">
        <v>2</v>
      </c>
      <c r="Q16" s="1100">
        <v>2</v>
      </c>
    </row>
    <row r="17" spans="1:17" ht="12.75" customHeight="1" x14ac:dyDescent="0.15">
      <c r="A17" s="1098" t="s">
        <v>14</v>
      </c>
      <c r="B17" s="1096">
        <f t="shared" si="2"/>
        <v>230</v>
      </c>
      <c r="C17" s="1099">
        <f t="shared" si="1"/>
        <v>131</v>
      </c>
      <c r="D17" s="1099">
        <f t="shared" si="1"/>
        <v>64</v>
      </c>
      <c r="E17" s="1099">
        <f t="shared" si="1"/>
        <v>35</v>
      </c>
      <c r="F17" s="1096">
        <f t="shared" si="3"/>
        <v>20</v>
      </c>
      <c r="G17" s="1100">
        <v>10</v>
      </c>
      <c r="H17" s="1100">
        <v>4</v>
      </c>
      <c r="I17" s="1100">
        <v>6</v>
      </c>
      <c r="J17" s="1096">
        <f t="shared" si="4"/>
        <v>167</v>
      </c>
      <c r="K17" s="1100">
        <v>87</v>
      </c>
      <c r="L17" s="1100">
        <v>58</v>
      </c>
      <c r="M17" s="1100">
        <v>22</v>
      </c>
      <c r="N17" s="1096">
        <f t="shared" si="5"/>
        <v>43</v>
      </c>
      <c r="O17" s="1100">
        <v>34</v>
      </c>
      <c r="P17" s="1100">
        <v>2</v>
      </c>
      <c r="Q17" s="1100">
        <v>7</v>
      </c>
    </row>
    <row r="18" spans="1:17" ht="12.75" customHeight="1" x14ac:dyDescent="0.15">
      <c r="A18" s="1098" t="s">
        <v>15</v>
      </c>
      <c r="B18" s="1096">
        <f t="shared" si="2"/>
        <v>173</v>
      </c>
      <c r="C18" s="1099">
        <f t="shared" si="1"/>
        <v>54</v>
      </c>
      <c r="D18" s="1099">
        <f t="shared" si="1"/>
        <v>81</v>
      </c>
      <c r="E18" s="1099">
        <f t="shared" si="1"/>
        <v>38</v>
      </c>
      <c r="F18" s="1096">
        <f t="shared" si="3"/>
        <v>10</v>
      </c>
      <c r="G18" s="1100">
        <v>5</v>
      </c>
      <c r="H18" s="1100">
        <v>3</v>
      </c>
      <c r="I18" s="1100">
        <v>2</v>
      </c>
      <c r="J18" s="1096">
        <f t="shared" si="4"/>
        <v>145</v>
      </c>
      <c r="K18" s="1100">
        <v>37</v>
      </c>
      <c r="L18" s="1100">
        <v>77</v>
      </c>
      <c r="M18" s="1100">
        <v>31</v>
      </c>
      <c r="N18" s="1096">
        <f t="shared" si="5"/>
        <v>18</v>
      </c>
      <c r="O18" s="1100">
        <v>12</v>
      </c>
      <c r="P18" s="1100">
        <v>1</v>
      </c>
      <c r="Q18" s="1100">
        <v>5</v>
      </c>
    </row>
    <row r="19" spans="1:17" ht="12.75" customHeight="1" x14ac:dyDescent="0.15">
      <c r="A19" s="1098" t="s">
        <v>16</v>
      </c>
      <c r="B19" s="1096">
        <f t="shared" si="2"/>
        <v>75</v>
      </c>
      <c r="C19" s="1099">
        <f t="shared" si="1"/>
        <v>28</v>
      </c>
      <c r="D19" s="1099">
        <f t="shared" si="1"/>
        <v>31</v>
      </c>
      <c r="E19" s="1099">
        <f t="shared" si="1"/>
        <v>16</v>
      </c>
      <c r="F19" s="1096">
        <f t="shared" si="3"/>
        <v>4</v>
      </c>
      <c r="G19" s="1100">
        <v>3</v>
      </c>
      <c r="H19" s="1100">
        <v>0</v>
      </c>
      <c r="I19" s="1100">
        <v>1</v>
      </c>
      <c r="J19" s="1096">
        <f t="shared" si="4"/>
        <v>68</v>
      </c>
      <c r="K19" s="1100">
        <v>24</v>
      </c>
      <c r="L19" s="1100">
        <v>31</v>
      </c>
      <c r="M19" s="1100">
        <v>13</v>
      </c>
      <c r="N19" s="1096">
        <f t="shared" si="5"/>
        <v>3</v>
      </c>
      <c r="O19" s="1100">
        <v>1</v>
      </c>
      <c r="P19" s="1100">
        <v>0</v>
      </c>
      <c r="Q19" s="1100">
        <v>2</v>
      </c>
    </row>
    <row r="20" spans="1:17" ht="12.75" customHeight="1" x14ac:dyDescent="0.15">
      <c r="A20" s="1098" t="s">
        <v>17</v>
      </c>
      <c r="B20" s="1096">
        <f t="shared" si="2"/>
        <v>169</v>
      </c>
      <c r="C20" s="1099">
        <f t="shared" si="1"/>
        <v>46</v>
      </c>
      <c r="D20" s="1099">
        <f t="shared" si="1"/>
        <v>77</v>
      </c>
      <c r="E20" s="1099">
        <f t="shared" si="1"/>
        <v>46</v>
      </c>
      <c r="F20" s="1096">
        <f t="shared" si="3"/>
        <v>11</v>
      </c>
      <c r="G20" s="1100">
        <v>6</v>
      </c>
      <c r="H20" s="1100">
        <v>3</v>
      </c>
      <c r="I20" s="1100">
        <v>2</v>
      </c>
      <c r="J20" s="1096">
        <f t="shared" si="4"/>
        <v>152</v>
      </c>
      <c r="K20" s="1100">
        <v>37</v>
      </c>
      <c r="L20" s="1100">
        <v>72</v>
      </c>
      <c r="M20" s="1100">
        <v>43</v>
      </c>
      <c r="N20" s="1096">
        <f t="shared" si="5"/>
        <v>6</v>
      </c>
      <c r="O20" s="1100">
        <v>3</v>
      </c>
      <c r="P20" s="1100">
        <v>2</v>
      </c>
      <c r="Q20" s="1100">
        <v>1</v>
      </c>
    </row>
    <row r="21" spans="1:17" ht="12.75" customHeight="1" x14ac:dyDescent="0.15">
      <c r="A21" s="1098" t="s">
        <v>18</v>
      </c>
      <c r="B21" s="1096">
        <f t="shared" si="2"/>
        <v>60</v>
      </c>
      <c r="C21" s="1099">
        <f t="shared" si="1"/>
        <v>11</v>
      </c>
      <c r="D21" s="1099">
        <f t="shared" si="1"/>
        <v>27</v>
      </c>
      <c r="E21" s="1099">
        <f t="shared" si="1"/>
        <v>22</v>
      </c>
      <c r="F21" s="1096">
        <f t="shared" si="3"/>
        <v>2</v>
      </c>
      <c r="G21" s="1100">
        <v>2</v>
      </c>
      <c r="H21" s="1100">
        <v>0</v>
      </c>
      <c r="I21" s="1100">
        <v>0</v>
      </c>
      <c r="J21" s="1096">
        <f t="shared" si="4"/>
        <v>54</v>
      </c>
      <c r="K21" s="1100">
        <v>7</v>
      </c>
      <c r="L21" s="1100">
        <v>26</v>
      </c>
      <c r="M21" s="1100">
        <v>21</v>
      </c>
      <c r="N21" s="1096">
        <f t="shared" si="5"/>
        <v>4</v>
      </c>
      <c r="O21" s="1100">
        <v>2</v>
      </c>
      <c r="P21" s="1100">
        <v>1</v>
      </c>
      <c r="Q21" s="1100">
        <v>1</v>
      </c>
    </row>
    <row r="22" spans="1:17" ht="12.75" customHeight="1" x14ac:dyDescent="0.15">
      <c r="A22" s="1098" t="s">
        <v>19</v>
      </c>
      <c r="B22" s="1096">
        <f t="shared" si="2"/>
        <v>57</v>
      </c>
      <c r="C22" s="1099">
        <f t="shared" si="1"/>
        <v>14</v>
      </c>
      <c r="D22" s="1099">
        <f t="shared" si="1"/>
        <v>33</v>
      </c>
      <c r="E22" s="1099">
        <f t="shared" si="1"/>
        <v>10</v>
      </c>
      <c r="F22" s="1096">
        <f t="shared" si="3"/>
        <v>7</v>
      </c>
      <c r="G22" s="1100">
        <v>3</v>
      </c>
      <c r="H22" s="1100">
        <v>2</v>
      </c>
      <c r="I22" s="1100">
        <v>2</v>
      </c>
      <c r="J22" s="1096">
        <f t="shared" si="4"/>
        <v>49</v>
      </c>
      <c r="K22" s="1100">
        <v>10</v>
      </c>
      <c r="L22" s="1100">
        <v>31</v>
      </c>
      <c r="M22" s="1100">
        <v>8</v>
      </c>
      <c r="N22" s="1096">
        <f t="shared" si="5"/>
        <v>1</v>
      </c>
      <c r="O22" s="1100">
        <v>1</v>
      </c>
      <c r="P22" s="1100">
        <v>0</v>
      </c>
      <c r="Q22" s="1100">
        <v>0</v>
      </c>
    </row>
    <row r="23" spans="1:17" ht="11.25" customHeight="1" x14ac:dyDescent="0.15">
      <c r="A23" s="1101"/>
      <c r="B23" s="1102"/>
      <c r="C23" s="1103"/>
      <c r="D23" s="1103"/>
      <c r="E23" s="1103"/>
      <c r="F23" s="1102"/>
      <c r="G23" s="1103"/>
      <c r="H23" s="1103"/>
      <c r="I23" s="1103"/>
      <c r="J23" s="1102"/>
      <c r="K23" s="1103"/>
      <c r="L23" s="1103"/>
      <c r="M23" s="1103"/>
      <c r="N23" s="1102"/>
      <c r="O23" s="1103"/>
      <c r="P23" s="1103"/>
      <c r="Q23" s="1103"/>
    </row>
    <row r="24" spans="1:17" ht="11.25" customHeight="1" x14ac:dyDescent="0.15">
      <c r="A24" s="3078" t="s">
        <v>2475</v>
      </c>
      <c r="B24" s="3078"/>
      <c r="C24" s="3078"/>
      <c r="D24" s="3078"/>
      <c r="E24" s="3078"/>
      <c r="F24" s="3078"/>
      <c r="G24" s="3078"/>
      <c r="H24" s="3078"/>
      <c r="I24" s="3078"/>
      <c r="J24" s="3078"/>
      <c r="K24" s="3078"/>
      <c r="L24" s="3078"/>
      <c r="M24" s="3078"/>
      <c r="N24" s="3078"/>
      <c r="O24" s="3078"/>
      <c r="P24" s="3078"/>
      <c r="Q24" s="3078"/>
    </row>
    <row r="25" spans="1:17" ht="21" customHeight="1" x14ac:dyDescent="0.15">
      <c r="A25" s="3078" t="s">
        <v>2476</v>
      </c>
      <c r="B25" s="3078"/>
      <c r="C25" s="3078"/>
      <c r="D25" s="3078"/>
      <c r="E25" s="3078"/>
      <c r="F25" s="3078"/>
      <c r="G25" s="3078"/>
      <c r="H25" s="3078"/>
      <c r="I25" s="3078"/>
      <c r="J25" s="3078"/>
      <c r="K25" s="3078"/>
      <c r="L25" s="3078"/>
      <c r="M25" s="3078"/>
      <c r="N25" s="3078"/>
      <c r="O25" s="3078"/>
      <c r="P25" s="3078"/>
      <c r="Q25" s="3078"/>
    </row>
    <row r="26" spans="1:17" ht="10.5" customHeight="1" x14ac:dyDescent="0.15">
      <c r="A26" s="3078" t="s">
        <v>2477</v>
      </c>
      <c r="B26" s="3078"/>
      <c r="C26" s="3078"/>
      <c r="D26" s="3078"/>
      <c r="E26" s="3078"/>
      <c r="F26" s="3078"/>
      <c r="G26" s="3078"/>
      <c r="H26" s="3078"/>
      <c r="I26" s="3078"/>
      <c r="J26" s="3078"/>
      <c r="K26" s="3078"/>
      <c r="L26" s="3078"/>
      <c r="M26" s="3078"/>
      <c r="N26" s="3078"/>
      <c r="O26" s="3078"/>
      <c r="P26" s="3078"/>
      <c r="Q26" s="3078"/>
    </row>
    <row r="27" spans="1:17" ht="11.25" customHeight="1" x14ac:dyDescent="0.15">
      <c r="A27" s="3079" t="s">
        <v>20</v>
      </c>
      <c r="B27" s="3079"/>
      <c r="C27" s="3079"/>
      <c r="D27" s="3079"/>
      <c r="E27" s="3079"/>
      <c r="F27" s="3079"/>
      <c r="G27" s="3079"/>
      <c r="H27" s="3079"/>
      <c r="I27" s="3079"/>
      <c r="J27" s="3079"/>
      <c r="K27" s="3079"/>
      <c r="L27" s="3079"/>
      <c r="M27" s="3079"/>
      <c r="N27" s="3079"/>
      <c r="O27" s="3079"/>
      <c r="P27" s="3079"/>
      <c r="Q27" s="3079"/>
    </row>
    <row r="28" spans="1:17" ht="11.25" customHeight="1" x14ac:dyDescent="0.15">
      <c r="A28" s="3078" t="s">
        <v>2478</v>
      </c>
      <c r="B28" s="3078"/>
      <c r="C28" s="3078"/>
      <c r="D28" s="3078"/>
      <c r="E28" s="3078"/>
      <c r="F28" s="3078"/>
      <c r="G28" s="3078"/>
      <c r="H28" s="3078"/>
      <c r="I28" s="3078"/>
      <c r="J28" s="3078"/>
      <c r="K28" s="3078"/>
      <c r="L28" s="3078"/>
      <c r="M28" s="3078"/>
      <c r="N28" s="3078"/>
      <c r="O28" s="3078"/>
      <c r="P28" s="3078"/>
      <c r="Q28" s="3078"/>
    </row>
  </sheetData>
  <mergeCells count="14">
    <mergeCell ref="A24:Q24"/>
    <mergeCell ref="A25:Q25"/>
    <mergeCell ref="A26:Q26"/>
    <mergeCell ref="A27:Q27"/>
    <mergeCell ref="A28:Q28"/>
    <mergeCell ref="A2:Q2"/>
    <mergeCell ref="A3:Q3"/>
    <mergeCell ref="A4:A6"/>
    <mergeCell ref="B4:Q4"/>
    <mergeCell ref="B5:B6"/>
    <mergeCell ref="C5:E5"/>
    <mergeCell ref="F5:I5"/>
    <mergeCell ref="J5:M5"/>
    <mergeCell ref="N5:Q5"/>
  </mergeCells>
  <conditionalFormatting sqref="B7:Q22">
    <cfRule type="expression" dxfId="14"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outlinePr summaryBelow="0" summaryRight="0"/>
  </sheetPr>
  <dimension ref="A1:D16"/>
  <sheetViews>
    <sheetView zoomScaleNormal="100" workbookViewId="0">
      <selection activeCell="E22" sqref="E22"/>
    </sheetView>
  </sheetViews>
  <sheetFormatPr baseColWidth="10" defaultColWidth="9.140625" defaultRowHeight="10.5" x14ac:dyDescent="0.15"/>
  <cols>
    <col min="1" max="1" width="39.7109375" style="1105" customWidth="1"/>
    <col min="2" max="3" width="17.28515625" style="1105" customWidth="1"/>
    <col min="4" max="4" width="7.5703125" style="1105" customWidth="1"/>
    <col min="5" max="250" width="9.140625" style="1105"/>
    <col min="251" max="251" width="39.7109375" style="1105" customWidth="1"/>
    <col min="252" max="253" width="17.28515625" style="1105" customWidth="1"/>
    <col min="254" max="254" width="7.5703125" style="1105" customWidth="1"/>
    <col min="255" max="506" width="9.140625" style="1105"/>
    <col min="507" max="507" width="39.7109375" style="1105" customWidth="1"/>
    <col min="508" max="509" width="17.28515625" style="1105" customWidth="1"/>
    <col min="510" max="510" width="7.5703125" style="1105" customWidth="1"/>
    <col min="511" max="762" width="9.140625" style="1105"/>
    <col min="763" max="763" width="39.7109375" style="1105" customWidth="1"/>
    <col min="764" max="765" width="17.28515625" style="1105" customWidth="1"/>
    <col min="766" max="766" width="7.5703125" style="1105" customWidth="1"/>
    <col min="767" max="1018" width="9.140625" style="1105"/>
    <col min="1019" max="1019" width="39.7109375" style="1105" customWidth="1"/>
    <col min="1020" max="1021" width="17.28515625" style="1105" customWidth="1"/>
    <col min="1022" max="1022" width="7.5703125" style="1105" customWidth="1"/>
    <col min="1023" max="1274" width="9.140625" style="1105"/>
    <col min="1275" max="1275" width="39.7109375" style="1105" customWidth="1"/>
    <col min="1276" max="1277" width="17.28515625" style="1105" customWidth="1"/>
    <col min="1278" max="1278" width="7.5703125" style="1105" customWidth="1"/>
    <col min="1279" max="1530" width="9.140625" style="1105"/>
    <col min="1531" max="1531" width="39.7109375" style="1105" customWidth="1"/>
    <col min="1532" max="1533" width="17.28515625" style="1105" customWidth="1"/>
    <col min="1534" max="1534" width="7.5703125" style="1105" customWidth="1"/>
    <col min="1535" max="1786" width="9.140625" style="1105"/>
    <col min="1787" max="1787" width="39.7109375" style="1105" customWidth="1"/>
    <col min="1788" max="1789" width="17.28515625" style="1105" customWidth="1"/>
    <col min="1790" max="1790" width="7.5703125" style="1105" customWidth="1"/>
    <col min="1791" max="2042" width="9.140625" style="1105"/>
    <col min="2043" max="2043" width="39.7109375" style="1105" customWidth="1"/>
    <col min="2044" max="2045" width="17.28515625" style="1105" customWidth="1"/>
    <col min="2046" max="2046" width="7.5703125" style="1105" customWidth="1"/>
    <col min="2047" max="2298" width="9.140625" style="1105"/>
    <col min="2299" max="2299" width="39.7109375" style="1105" customWidth="1"/>
    <col min="2300" max="2301" width="17.28515625" style="1105" customWidth="1"/>
    <col min="2302" max="2302" width="7.5703125" style="1105" customWidth="1"/>
    <col min="2303" max="2554" width="9.140625" style="1105"/>
    <col min="2555" max="2555" width="39.7109375" style="1105" customWidth="1"/>
    <col min="2556" max="2557" width="17.28515625" style="1105" customWidth="1"/>
    <col min="2558" max="2558" width="7.5703125" style="1105" customWidth="1"/>
    <col min="2559" max="2810" width="9.140625" style="1105"/>
    <col min="2811" max="2811" width="39.7109375" style="1105" customWidth="1"/>
    <col min="2812" max="2813" width="17.28515625" style="1105" customWidth="1"/>
    <col min="2814" max="2814" width="7.5703125" style="1105" customWidth="1"/>
    <col min="2815" max="3066" width="9.140625" style="1105"/>
    <col min="3067" max="3067" width="39.7109375" style="1105" customWidth="1"/>
    <col min="3068" max="3069" width="17.28515625" style="1105" customWidth="1"/>
    <col min="3070" max="3070" width="7.5703125" style="1105" customWidth="1"/>
    <col min="3071" max="3322" width="9.140625" style="1105"/>
    <col min="3323" max="3323" width="39.7109375" style="1105" customWidth="1"/>
    <col min="3324" max="3325" width="17.28515625" style="1105" customWidth="1"/>
    <col min="3326" max="3326" width="7.5703125" style="1105" customWidth="1"/>
    <col min="3327" max="3578" width="9.140625" style="1105"/>
    <col min="3579" max="3579" width="39.7109375" style="1105" customWidth="1"/>
    <col min="3580" max="3581" width="17.28515625" style="1105" customWidth="1"/>
    <col min="3582" max="3582" width="7.5703125" style="1105" customWidth="1"/>
    <col min="3583" max="3834" width="9.140625" style="1105"/>
    <col min="3835" max="3835" width="39.7109375" style="1105" customWidth="1"/>
    <col min="3836" max="3837" width="17.28515625" style="1105" customWidth="1"/>
    <col min="3838" max="3838" width="7.5703125" style="1105" customWidth="1"/>
    <col min="3839" max="4090" width="9.140625" style="1105"/>
    <col min="4091" max="4091" width="39.7109375" style="1105" customWidth="1"/>
    <col min="4092" max="4093" width="17.28515625" style="1105" customWidth="1"/>
    <col min="4094" max="4094" width="7.5703125" style="1105" customWidth="1"/>
    <col min="4095" max="4346" width="9.140625" style="1105"/>
    <col min="4347" max="4347" width="39.7109375" style="1105" customWidth="1"/>
    <col min="4348" max="4349" width="17.28515625" style="1105" customWidth="1"/>
    <col min="4350" max="4350" width="7.5703125" style="1105" customWidth="1"/>
    <col min="4351" max="4602" width="9.140625" style="1105"/>
    <col min="4603" max="4603" width="39.7109375" style="1105" customWidth="1"/>
    <col min="4604" max="4605" width="17.28515625" style="1105" customWidth="1"/>
    <col min="4606" max="4606" width="7.5703125" style="1105" customWidth="1"/>
    <col min="4607" max="4858" width="9.140625" style="1105"/>
    <col min="4859" max="4859" width="39.7109375" style="1105" customWidth="1"/>
    <col min="4860" max="4861" width="17.28515625" style="1105" customWidth="1"/>
    <col min="4862" max="4862" width="7.5703125" style="1105" customWidth="1"/>
    <col min="4863" max="5114" width="9.140625" style="1105"/>
    <col min="5115" max="5115" width="39.7109375" style="1105" customWidth="1"/>
    <col min="5116" max="5117" width="17.28515625" style="1105" customWidth="1"/>
    <col min="5118" max="5118" width="7.5703125" style="1105" customWidth="1"/>
    <col min="5119" max="5370" width="9.140625" style="1105"/>
    <col min="5371" max="5371" width="39.7109375" style="1105" customWidth="1"/>
    <col min="5372" max="5373" width="17.28515625" style="1105" customWidth="1"/>
    <col min="5374" max="5374" width="7.5703125" style="1105" customWidth="1"/>
    <col min="5375" max="5626" width="9.140625" style="1105"/>
    <col min="5627" max="5627" width="39.7109375" style="1105" customWidth="1"/>
    <col min="5628" max="5629" width="17.28515625" style="1105" customWidth="1"/>
    <col min="5630" max="5630" width="7.5703125" style="1105" customWidth="1"/>
    <col min="5631" max="5882" width="9.140625" style="1105"/>
    <col min="5883" max="5883" width="39.7109375" style="1105" customWidth="1"/>
    <col min="5884" max="5885" width="17.28515625" style="1105" customWidth="1"/>
    <col min="5886" max="5886" width="7.5703125" style="1105" customWidth="1"/>
    <col min="5887" max="6138" width="9.140625" style="1105"/>
    <col min="6139" max="6139" width="39.7109375" style="1105" customWidth="1"/>
    <col min="6140" max="6141" width="17.28515625" style="1105" customWidth="1"/>
    <col min="6142" max="6142" width="7.5703125" style="1105" customWidth="1"/>
    <col min="6143" max="6394" width="9.140625" style="1105"/>
    <col min="6395" max="6395" width="39.7109375" style="1105" customWidth="1"/>
    <col min="6396" max="6397" width="17.28515625" style="1105" customWidth="1"/>
    <col min="6398" max="6398" width="7.5703125" style="1105" customWidth="1"/>
    <col min="6399" max="6650" width="9.140625" style="1105"/>
    <col min="6651" max="6651" width="39.7109375" style="1105" customWidth="1"/>
    <col min="6652" max="6653" width="17.28515625" style="1105" customWidth="1"/>
    <col min="6654" max="6654" width="7.5703125" style="1105" customWidth="1"/>
    <col min="6655" max="6906" width="9.140625" style="1105"/>
    <col min="6907" max="6907" width="39.7109375" style="1105" customWidth="1"/>
    <col min="6908" max="6909" width="17.28515625" style="1105" customWidth="1"/>
    <col min="6910" max="6910" width="7.5703125" style="1105" customWidth="1"/>
    <col min="6911" max="7162" width="9.140625" style="1105"/>
    <col min="7163" max="7163" width="39.7109375" style="1105" customWidth="1"/>
    <col min="7164" max="7165" width="17.28515625" style="1105" customWidth="1"/>
    <col min="7166" max="7166" width="7.5703125" style="1105" customWidth="1"/>
    <col min="7167" max="7418" width="9.140625" style="1105"/>
    <col min="7419" max="7419" width="39.7109375" style="1105" customWidth="1"/>
    <col min="7420" max="7421" width="17.28515625" style="1105" customWidth="1"/>
    <col min="7422" max="7422" width="7.5703125" style="1105" customWidth="1"/>
    <col min="7423" max="7674" width="9.140625" style="1105"/>
    <col min="7675" max="7675" width="39.7109375" style="1105" customWidth="1"/>
    <col min="7676" max="7677" width="17.28515625" style="1105" customWidth="1"/>
    <col min="7678" max="7678" width="7.5703125" style="1105" customWidth="1"/>
    <col min="7679" max="7930" width="9.140625" style="1105"/>
    <col min="7931" max="7931" width="39.7109375" style="1105" customWidth="1"/>
    <col min="7932" max="7933" width="17.28515625" style="1105" customWidth="1"/>
    <col min="7934" max="7934" width="7.5703125" style="1105" customWidth="1"/>
    <col min="7935" max="8186" width="9.140625" style="1105"/>
    <col min="8187" max="8187" width="39.7109375" style="1105" customWidth="1"/>
    <col min="8188" max="8189" width="17.28515625" style="1105" customWidth="1"/>
    <col min="8190" max="8190" width="7.5703125" style="1105" customWidth="1"/>
    <col min="8191" max="8442" width="9.140625" style="1105"/>
    <col min="8443" max="8443" width="39.7109375" style="1105" customWidth="1"/>
    <col min="8444" max="8445" width="17.28515625" style="1105" customWidth="1"/>
    <col min="8446" max="8446" width="7.5703125" style="1105" customWidth="1"/>
    <col min="8447" max="8698" width="9.140625" style="1105"/>
    <col min="8699" max="8699" width="39.7109375" style="1105" customWidth="1"/>
    <col min="8700" max="8701" width="17.28515625" style="1105" customWidth="1"/>
    <col min="8702" max="8702" width="7.5703125" style="1105" customWidth="1"/>
    <col min="8703" max="8954" width="9.140625" style="1105"/>
    <col min="8955" max="8955" width="39.7109375" style="1105" customWidth="1"/>
    <col min="8956" max="8957" width="17.28515625" style="1105" customWidth="1"/>
    <col min="8958" max="8958" width="7.5703125" style="1105" customWidth="1"/>
    <col min="8959" max="9210" width="9.140625" style="1105"/>
    <col min="9211" max="9211" width="39.7109375" style="1105" customWidth="1"/>
    <col min="9212" max="9213" width="17.28515625" style="1105" customWidth="1"/>
    <col min="9214" max="9214" width="7.5703125" style="1105" customWidth="1"/>
    <col min="9215" max="9466" width="9.140625" style="1105"/>
    <col min="9467" max="9467" width="39.7109375" style="1105" customWidth="1"/>
    <col min="9468" max="9469" width="17.28515625" style="1105" customWidth="1"/>
    <col min="9470" max="9470" width="7.5703125" style="1105" customWidth="1"/>
    <col min="9471" max="9722" width="9.140625" style="1105"/>
    <col min="9723" max="9723" width="39.7109375" style="1105" customWidth="1"/>
    <col min="9724" max="9725" width="17.28515625" style="1105" customWidth="1"/>
    <col min="9726" max="9726" width="7.5703125" style="1105" customWidth="1"/>
    <col min="9727" max="9978" width="9.140625" style="1105"/>
    <col min="9979" max="9979" width="39.7109375" style="1105" customWidth="1"/>
    <col min="9980" max="9981" width="17.28515625" style="1105" customWidth="1"/>
    <col min="9982" max="9982" width="7.5703125" style="1105" customWidth="1"/>
    <col min="9983" max="10234" width="9.140625" style="1105"/>
    <col min="10235" max="10235" width="39.7109375" style="1105" customWidth="1"/>
    <col min="10236" max="10237" width="17.28515625" style="1105" customWidth="1"/>
    <col min="10238" max="10238" width="7.5703125" style="1105" customWidth="1"/>
    <col min="10239" max="10490" width="9.140625" style="1105"/>
    <col min="10491" max="10491" width="39.7109375" style="1105" customWidth="1"/>
    <col min="10492" max="10493" width="17.28515625" style="1105" customWidth="1"/>
    <col min="10494" max="10494" width="7.5703125" style="1105" customWidth="1"/>
    <col min="10495" max="10746" width="9.140625" style="1105"/>
    <col min="10747" max="10747" width="39.7109375" style="1105" customWidth="1"/>
    <col min="10748" max="10749" width="17.28515625" style="1105" customWidth="1"/>
    <col min="10750" max="10750" width="7.5703125" style="1105" customWidth="1"/>
    <col min="10751" max="11002" width="9.140625" style="1105"/>
    <col min="11003" max="11003" width="39.7109375" style="1105" customWidth="1"/>
    <col min="11004" max="11005" width="17.28515625" style="1105" customWidth="1"/>
    <col min="11006" max="11006" width="7.5703125" style="1105" customWidth="1"/>
    <col min="11007" max="11258" width="9.140625" style="1105"/>
    <col min="11259" max="11259" width="39.7109375" style="1105" customWidth="1"/>
    <col min="11260" max="11261" width="17.28515625" style="1105" customWidth="1"/>
    <col min="11262" max="11262" width="7.5703125" style="1105" customWidth="1"/>
    <col min="11263" max="11514" width="9.140625" style="1105"/>
    <col min="11515" max="11515" width="39.7109375" style="1105" customWidth="1"/>
    <col min="11516" max="11517" width="17.28515625" style="1105" customWidth="1"/>
    <col min="11518" max="11518" width="7.5703125" style="1105" customWidth="1"/>
    <col min="11519" max="11770" width="9.140625" style="1105"/>
    <col min="11771" max="11771" width="39.7109375" style="1105" customWidth="1"/>
    <col min="11772" max="11773" width="17.28515625" style="1105" customWidth="1"/>
    <col min="11774" max="11774" width="7.5703125" style="1105" customWidth="1"/>
    <col min="11775" max="12026" width="9.140625" style="1105"/>
    <col min="12027" max="12027" width="39.7109375" style="1105" customWidth="1"/>
    <col min="12028" max="12029" width="17.28515625" style="1105" customWidth="1"/>
    <col min="12030" max="12030" width="7.5703125" style="1105" customWidth="1"/>
    <col min="12031" max="12282" width="9.140625" style="1105"/>
    <col min="12283" max="12283" width="39.7109375" style="1105" customWidth="1"/>
    <col min="12284" max="12285" width="17.28515625" style="1105" customWidth="1"/>
    <col min="12286" max="12286" width="7.5703125" style="1105" customWidth="1"/>
    <col min="12287" max="12538" width="9.140625" style="1105"/>
    <col min="12539" max="12539" width="39.7109375" style="1105" customWidth="1"/>
    <col min="12540" max="12541" width="17.28515625" style="1105" customWidth="1"/>
    <col min="12542" max="12542" width="7.5703125" style="1105" customWidth="1"/>
    <col min="12543" max="12794" width="9.140625" style="1105"/>
    <col min="12795" max="12795" width="39.7109375" style="1105" customWidth="1"/>
    <col min="12796" max="12797" width="17.28515625" style="1105" customWidth="1"/>
    <col min="12798" max="12798" width="7.5703125" style="1105" customWidth="1"/>
    <col min="12799" max="13050" width="9.140625" style="1105"/>
    <col min="13051" max="13051" width="39.7109375" style="1105" customWidth="1"/>
    <col min="13052" max="13053" width="17.28515625" style="1105" customWidth="1"/>
    <col min="13054" max="13054" width="7.5703125" style="1105" customWidth="1"/>
    <col min="13055" max="13306" width="9.140625" style="1105"/>
    <col min="13307" max="13307" width="39.7109375" style="1105" customWidth="1"/>
    <col min="13308" max="13309" width="17.28515625" style="1105" customWidth="1"/>
    <col min="13310" max="13310" width="7.5703125" style="1105" customWidth="1"/>
    <col min="13311" max="13562" width="9.140625" style="1105"/>
    <col min="13563" max="13563" width="39.7109375" style="1105" customWidth="1"/>
    <col min="13564" max="13565" width="17.28515625" style="1105" customWidth="1"/>
    <col min="13566" max="13566" width="7.5703125" style="1105" customWidth="1"/>
    <col min="13567" max="13818" width="9.140625" style="1105"/>
    <col min="13819" max="13819" width="39.7109375" style="1105" customWidth="1"/>
    <col min="13820" max="13821" width="17.28515625" style="1105" customWidth="1"/>
    <col min="13822" max="13822" width="7.5703125" style="1105" customWidth="1"/>
    <col min="13823" max="14074" width="9.140625" style="1105"/>
    <col min="14075" max="14075" width="39.7109375" style="1105" customWidth="1"/>
    <col min="14076" max="14077" width="17.28515625" style="1105" customWidth="1"/>
    <col min="14078" max="14078" width="7.5703125" style="1105" customWidth="1"/>
    <col min="14079" max="14330" width="9.140625" style="1105"/>
    <col min="14331" max="14331" width="39.7109375" style="1105" customWidth="1"/>
    <col min="14332" max="14333" width="17.28515625" style="1105" customWidth="1"/>
    <col min="14334" max="14334" width="7.5703125" style="1105" customWidth="1"/>
    <col min="14335" max="14586" width="9.140625" style="1105"/>
    <col min="14587" max="14587" width="39.7109375" style="1105" customWidth="1"/>
    <col min="14588" max="14589" width="17.28515625" style="1105" customWidth="1"/>
    <col min="14590" max="14590" width="7.5703125" style="1105" customWidth="1"/>
    <col min="14591" max="14842" width="9.140625" style="1105"/>
    <col min="14843" max="14843" width="39.7109375" style="1105" customWidth="1"/>
    <col min="14844" max="14845" width="17.28515625" style="1105" customWidth="1"/>
    <col min="14846" max="14846" width="7.5703125" style="1105" customWidth="1"/>
    <col min="14847" max="15098" width="9.140625" style="1105"/>
    <col min="15099" max="15099" width="39.7109375" style="1105" customWidth="1"/>
    <col min="15100" max="15101" width="17.28515625" style="1105" customWidth="1"/>
    <col min="15102" max="15102" width="7.5703125" style="1105" customWidth="1"/>
    <col min="15103" max="15354" width="9.140625" style="1105"/>
    <col min="15355" max="15355" width="39.7109375" style="1105" customWidth="1"/>
    <col min="15356" max="15357" width="17.28515625" style="1105" customWidth="1"/>
    <col min="15358" max="15358" width="7.5703125" style="1105" customWidth="1"/>
    <col min="15359" max="15610" width="9.140625" style="1105"/>
    <col min="15611" max="15611" width="39.7109375" style="1105" customWidth="1"/>
    <col min="15612" max="15613" width="17.28515625" style="1105" customWidth="1"/>
    <col min="15614" max="15614" width="7.5703125" style="1105" customWidth="1"/>
    <col min="15615" max="15866" width="9.140625" style="1105"/>
    <col min="15867" max="15867" width="39.7109375" style="1105" customWidth="1"/>
    <col min="15868" max="15869" width="17.28515625" style="1105" customWidth="1"/>
    <col min="15870" max="15870" width="7.5703125" style="1105" customWidth="1"/>
    <col min="15871" max="16122" width="9.140625" style="1105"/>
    <col min="16123" max="16123" width="39.7109375" style="1105" customWidth="1"/>
    <col min="16124" max="16125" width="17.28515625" style="1105" customWidth="1"/>
    <col min="16126" max="16126" width="7.5703125" style="1105" customWidth="1"/>
    <col min="16127" max="16384" width="9.140625" style="1105"/>
  </cols>
  <sheetData>
    <row r="1" spans="1:4" x14ac:dyDescent="0.15">
      <c r="A1" s="1104"/>
      <c r="B1" s="1104"/>
      <c r="C1" s="1104"/>
      <c r="D1" s="1104"/>
    </row>
    <row r="2" spans="1:4" ht="22.5" customHeight="1" x14ac:dyDescent="0.15">
      <c r="A2" s="3064" t="s">
        <v>2479</v>
      </c>
      <c r="B2" s="3064"/>
      <c r="C2" s="3064"/>
      <c r="D2" s="1095"/>
    </row>
    <row r="3" spans="1:4" ht="11.25" customHeight="1" x14ac:dyDescent="0.15">
      <c r="A3" s="3080"/>
      <c r="B3" s="3080"/>
      <c r="C3" s="3080"/>
      <c r="D3" s="1104"/>
    </row>
    <row r="4" spans="1:4" x14ac:dyDescent="0.15">
      <c r="A4" s="3072" t="s">
        <v>2480</v>
      </c>
      <c r="B4" s="3081" t="s">
        <v>2481</v>
      </c>
      <c r="C4" s="3081"/>
      <c r="D4" s="1104"/>
    </row>
    <row r="5" spans="1:4" s="1109" customFormat="1" x14ac:dyDescent="0.25">
      <c r="A5" s="3073"/>
      <c r="B5" s="1106" t="s">
        <v>1573</v>
      </c>
      <c r="C5" s="1107" t="s">
        <v>2482</v>
      </c>
      <c r="D5" s="1108"/>
    </row>
    <row r="6" spans="1:4" ht="12.75" customHeight="1" x14ac:dyDescent="0.15">
      <c r="A6" s="1110" t="s">
        <v>2483</v>
      </c>
      <c r="B6" s="1111">
        <f>SUM(B7:B9)</f>
        <v>1724</v>
      </c>
      <c r="C6" s="1112">
        <f>SUM(C7:C9)</f>
        <v>1</v>
      </c>
      <c r="D6" s="1104"/>
    </row>
    <row r="7" spans="1:4" ht="12.75" customHeight="1" x14ac:dyDescent="0.15">
      <c r="A7" s="1113" t="s">
        <v>2484</v>
      </c>
      <c r="B7" s="1114">
        <v>1257</v>
      </c>
      <c r="C7" s="1115">
        <f>B7/$B$6</f>
        <v>0.72911832946635735</v>
      </c>
    </row>
    <row r="8" spans="1:4" ht="12.75" customHeight="1" x14ac:dyDescent="0.15">
      <c r="A8" s="1113" t="s">
        <v>2485</v>
      </c>
      <c r="B8" s="1114">
        <v>121</v>
      </c>
      <c r="C8" s="1115">
        <f t="shared" ref="C8:C9" si="0">B8/$B$6</f>
        <v>7.0185614849187936E-2</v>
      </c>
      <c r="D8" s="1104"/>
    </row>
    <row r="9" spans="1:4" ht="12.75" customHeight="1" x14ac:dyDescent="0.15">
      <c r="A9" s="1113" t="s">
        <v>2486</v>
      </c>
      <c r="B9" s="1114">
        <v>346</v>
      </c>
      <c r="C9" s="1115">
        <f t="shared" si="0"/>
        <v>0.20069605568445475</v>
      </c>
      <c r="D9" s="1104"/>
    </row>
    <row r="10" spans="1:4" ht="11.25" customHeight="1" x14ac:dyDescent="0.15">
      <c r="A10" s="1113"/>
      <c r="B10" s="1116"/>
      <c r="C10" s="1117"/>
      <c r="D10" s="1104"/>
    </row>
    <row r="11" spans="1:4" ht="22.5" customHeight="1" x14ac:dyDescent="0.15">
      <c r="A11" s="2756" t="s">
        <v>2487</v>
      </c>
      <c r="B11" s="2756"/>
      <c r="C11" s="2756"/>
      <c r="D11" s="1104"/>
    </row>
    <row r="12" spans="1:4" ht="22.5" customHeight="1" x14ac:dyDescent="0.15">
      <c r="A12" s="3078" t="s">
        <v>2488</v>
      </c>
      <c r="B12" s="3078"/>
      <c r="C12" s="3078"/>
      <c r="D12" s="1104"/>
    </row>
    <row r="13" spans="1:4" ht="49.5" customHeight="1" x14ac:dyDescent="0.15">
      <c r="A13" s="3078" t="s">
        <v>2489</v>
      </c>
      <c r="B13" s="3078"/>
      <c r="C13" s="3078"/>
      <c r="D13" s="1104"/>
    </row>
    <row r="14" spans="1:4" x14ac:dyDescent="0.15">
      <c r="A14" s="3078" t="s">
        <v>2478</v>
      </c>
      <c r="B14" s="3078"/>
      <c r="C14" s="3078"/>
      <c r="D14" s="1104"/>
    </row>
    <row r="15" spans="1:4" ht="7.15" customHeight="1" x14ac:dyDescent="0.15">
      <c r="A15" s="1104"/>
      <c r="B15" s="1118"/>
      <c r="C15" s="1118"/>
      <c r="D15" s="1104"/>
    </row>
    <row r="16" spans="1:4" x14ac:dyDescent="0.15">
      <c r="A16" s="1104"/>
      <c r="B16" s="1104"/>
      <c r="C16" s="1104"/>
    </row>
  </sheetData>
  <mergeCells count="8">
    <mergeCell ref="A13:C13"/>
    <mergeCell ref="A14:C14"/>
    <mergeCell ref="A2:C2"/>
    <mergeCell ref="A3:C3"/>
    <mergeCell ref="A4:A5"/>
    <mergeCell ref="B4:C4"/>
    <mergeCell ref="A11:C11"/>
    <mergeCell ref="A12:C12"/>
  </mergeCells>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outlinePr summaryBelow="0" summaryRight="0"/>
  </sheetPr>
  <dimension ref="A1:O77"/>
  <sheetViews>
    <sheetView workbookViewId="0">
      <selection activeCell="L9" sqref="L9"/>
    </sheetView>
  </sheetViews>
  <sheetFormatPr baseColWidth="10" defaultColWidth="9.140625" defaultRowHeight="10.5" x14ac:dyDescent="0.15"/>
  <cols>
    <col min="1" max="1" width="49.42578125" style="1105" customWidth="1"/>
    <col min="2" max="9" width="13.7109375" style="1105" customWidth="1"/>
    <col min="10" max="253" width="9.140625" style="1105"/>
    <col min="254" max="254" width="49.42578125" style="1105" customWidth="1"/>
    <col min="255" max="262" width="13.7109375" style="1105" customWidth="1"/>
    <col min="263" max="509" width="9.140625" style="1105"/>
    <col min="510" max="510" width="49.42578125" style="1105" customWidth="1"/>
    <col min="511" max="518" width="13.7109375" style="1105" customWidth="1"/>
    <col min="519" max="765" width="9.140625" style="1105"/>
    <col min="766" max="766" width="49.42578125" style="1105" customWidth="1"/>
    <col min="767" max="774" width="13.7109375" style="1105" customWidth="1"/>
    <col min="775" max="1021" width="9.140625" style="1105"/>
    <col min="1022" max="1022" width="49.42578125" style="1105" customWidth="1"/>
    <col min="1023" max="1030" width="13.7109375" style="1105" customWidth="1"/>
    <col min="1031" max="1277" width="9.140625" style="1105"/>
    <col min="1278" max="1278" width="49.42578125" style="1105" customWidth="1"/>
    <col min="1279" max="1286" width="13.7109375" style="1105" customWidth="1"/>
    <col min="1287" max="1533" width="9.140625" style="1105"/>
    <col min="1534" max="1534" width="49.42578125" style="1105" customWidth="1"/>
    <col min="1535" max="1542" width="13.7109375" style="1105" customWidth="1"/>
    <col min="1543" max="1789" width="9.140625" style="1105"/>
    <col min="1790" max="1790" width="49.42578125" style="1105" customWidth="1"/>
    <col min="1791" max="1798" width="13.7109375" style="1105" customWidth="1"/>
    <col min="1799" max="2045" width="9.140625" style="1105"/>
    <col min="2046" max="2046" width="49.42578125" style="1105" customWidth="1"/>
    <col min="2047" max="2054" width="13.7109375" style="1105" customWidth="1"/>
    <col min="2055" max="2301" width="9.140625" style="1105"/>
    <col min="2302" max="2302" width="49.42578125" style="1105" customWidth="1"/>
    <col min="2303" max="2310" width="13.7109375" style="1105" customWidth="1"/>
    <col min="2311" max="2557" width="9.140625" style="1105"/>
    <col min="2558" max="2558" width="49.42578125" style="1105" customWidth="1"/>
    <col min="2559" max="2566" width="13.7109375" style="1105" customWidth="1"/>
    <col min="2567" max="2813" width="9.140625" style="1105"/>
    <col min="2814" max="2814" width="49.42578125" style="1105" customWidth="1"/>
    <col min="2815" max="2822" width="13.7109375" style="1105" customWidth="1"/>
    <col min="2823" max="3069" width="9.140625" style="1105"/>
    <col min="3070" max="3070" width="49.42578125" style="1105" customWidth="1"/>
    <col min="3071" max="3078" width="13.7109375" style="1105" customWidth="1"/>
    <col min="3079" max="3325" width="9.140625" style="1105"/>
    <col min="3326" max="3326" width="49.42578125" style="1105" customWidth="1"/>
    <col min="3327" max="3334" width="13.7109375" style="1105" customWidth="1"/>
    <col min="3335" max="3581" width="9.140625" style="1105"/>
    <col min="3582" max="3582" width="49.42578125" style="1105" customWidth="1"/>
    <col min="3583" max="3590" width="13.7109375" style="1105" customWidth="1"/>
    <col min="3591" max="3837" width="9.140625" style="1105"/>
    <col min="3838" max="3838" width="49.42578125" style="1105" customWidth="1"/>
    <col min="3839" max="3846" width="13.7109375" style="1105" customWidth="1"/>
    <col min="3847" max="4093" width="9.140625" style="1105"/>
    <col min="4094" max="4094" width="49.42578125" style="1105" customWidth="1"/>
    <col min="4095" max="4102" width="13.7109375" style="1105" customWidth="1"/>
    <col min="4103" max="4349" width="9.140625" style="1105"/>
    <col min="4350" max="4350" width="49.42578125" style="1105" customWidth="1"/>
    <col min="4351" max="4358" width="13.7109375" style="1105" customWidth="1"/>
    <col min="4359" max="4605" width="9.140625" style="1105"/>
    <col min="4606" max="4606" width="49.42578125" style="1105" customWidth="1"/>
    <col min="4607" max="4614" width="13.7109375" style="1105" customWidth="1"/>
    <col min="4615" max="4861" width="9.140625" style="1105"/>
    <col min="4862" max="4862" width="49.42578125" style="1105" customWidth="1"/>
    <col min="4863" max="4870" width="13.7109375" style="1105" customWidth="1"/>
    <col min="4871" max="5117" width="9.140625" style="1105"/>
    <col min="5118" max="5118" width="49.42578125" style="1105" customWidth="1"/>
    <col min="5119" max="5126" width="13.7109375" style="1105" customWidth="1"/>
    <col min="5127" max="5373" width="9.140625" style="1105"/>
    <col min="5374" max="5374" width="49.42578125" style="1105" customWidth="1"/>
    <col min="5375" max="5382" width="13.7109375" style="1105" customWidth="1"/>
    <col min="5383" max="5629" width="9.140625" style="1105"/>
    <col min="5630" max="5630" width="49.42578125" style="1105" customWidth="1"/>
    <col min="5631" max="5638" width="13.7109375" style="1105" customWidth="1"/>
    <col min="5639" max="5885" width="9.140625" style="1105"/>
    <col min="5886" max="5886" width="49.42578125" style="1105" customWidth="1"/>
    <col min="5887" max="5894" width="13.7109375" style="1105" customWidth="1"/>
    <col min="5895" max="6141" width="9.140625" style="1105"/>
    <col min="6142" max="6142" width="49.42578125" style="1105" customWidth="1"/>
    <col min="6143" max="6150" width="13.7109375" style="1105" customWidth="1"/>
    <col min="6151" max="6397" width="9.140625" style="1105"/>
    <col min="6398" max="6398" width="49.42578125" style="1105" customWidth="1"/>
    <col min="6399" max="6406" width="13.7109375" style="1105" customWidth="1"/>
    <col min="6407" max="6653" width="9.140625" style="1105"/>
    <col min="6654" max="6654" width="49.42578125" style="1105" customWidth="1"/>
    <col min="6655" max="6662" width="13.7109375" style="1105" customWidth="1"/>
    <col min="6663" max="6909" width="9.140625" style="1105"/>
    <col min="6910" max="6910" width="49.42578125" style="1105" customWidth="1"/>
    <col min="6911" max="6918" width="13.7109375" style="1105" customWidth="1"/>
    <col min="6919" max="7165" width="9.140625" style="1105"/>
    <col min="7166" max="7166" width="49.42578125" style="1105" customWidth="1"/>
    <col min="7167" max="7174" width="13.7109375" style="1105" customWidth="1"/>
    <col min="7175" max="7421" width="9.140625" style="1105"/>
    <col min="7422" max="7422" width="49.42578125" style="1105" customWidth="1"/>
    <col min="7423" max="7430" width="13.7109375" style="1105" customWidth="1"/>
    <col min="7431" max="7677" width="9.140625" style="1105"/>
    <col min="7678" max="7678" width="49.42578125" style="1105" customWidth="1"/>
    <col min="7679" max="7686" width="13.7109375" style="1105" customWidth="1"/>
    <col min="7687" max="7933" width="9.140625" style="1105"/>
    <col min="7934" max="7934" width="49.42578125" style="1105" customWidth="1"/>
    <col min="7935" max="7942" width="13.7109375" style="1105" customWidth="1"/>
    <col min="7943" max="8189" width="9.140625" style="1105"/>
    <col min="8190" max="8190" width="49.42578125" style="1105" customWidth="1"/>
    <col min="8191" max="8198" width="13.7109375" style="1105" customWidth="1"/>
    <col min="8199" max="8445" width="9.140625" style="1105"/>
    <col min="8446" max="8446" width="49.42578125" style="1105" customWidth="1"/>
    <col min="8447" max="8454" width="13.7109375" style="1105" customWidth="1"/>
    <col min="8455" max="8701" width="9.140625" style="1105"/>
    <col min="8702" max="8702" width="49.42578125" style="1105" customWidth="1"/>
    <col min="8703" max="8710" width="13.7109375" style="1105" customWidth="1"/>
    <col min="8711" max="8957" width="9.140625" style="1105"/>
    <col min="8958" max="8958" width="49.42578125" style="1105" customWidth="1"/>
    <col min="8959" max="8966" width="13.7109375" style="1105" customWidth="1"/>
    <col min="8967" max="9213" width="9.140625" style="1105"/>
    <col min="9214" max="9214" width="49.42578125" style="1105" customWidth="1"/>
    <col min="9215" max="9222" width="13.7109375" style="1105" customWidth="1"/>
    <col min="9223" max="9469" width="9.140625" style="1105"/>
    <col min="9470" max="9470" width="49.42578125" style="1105" customWidth="1"/>
    <col min="9471" max="9478" width="13.7109375" style="1105" customWidth="1"/>
    <col min="9479" max="9725" width="9.140625" style="1105"/>
    <col min="9726" max="9726" width="49.42578125" style="1105" customWidth="1"/>
    <col min="9727" max="9734" width="13.7109375" style="1105" customWidth="1"/>
    <col min="9735" max="9981" width="9.140625" style="1105"/>
    <col min="9982" max="9982" width="49.42578125" style="1105" customWidth="1"/>
    <col min="9983" max="9990" width="13.7109375" style="1105" customWidth="1"/>
    <col min="9991" max="10237" width="9.140625" style="1105"/>
    <col min="10238" max="10238" width="49.42578125" style="1105" customWidth="1"/>
    <col min="10239" max="10246" width="13.7109375" style="1105" customWidth="1"/>
    <col min="10247" max="10493" width="9.140625" style="1105"/>
    <col min="10494" max="10494" width="49.42578125" style="1105" customWidth="1"/>
    <col min="10495" max="10502" width="13.7109375" style="1105" customWidth="1"/>
    <col min="10503" max="10749" width="9.140625" style="1105"/>
    <col min="10750" max="10750" width="49.42578125" style="1105" customWidth="1"/>
    <col min="10751" max="10758" width="13.7109375" style="1105" customWidth="1"/>
    <col min="10759" max="11005" width="9.140625" style="1105"/>
    <col min="11006" max="11006" width="49.42578125" style="1105" customWidth="1"/>
    <col min="11007" max="11014" width="13.7109375" style="1105" customWidth="1"/>
    <col min="11015" max="11261" width="9.140625" style="1105"/>
    <col min="11262" max="11262" width="49.42578125" style="1105" customWidth="1"/>
    <col min="11263" max="11270" width="13.7109375" style="1105" customWidth="1"/>
    <col min="11271" max="11517" width="9.140625" style="1105"/>
    <col min="11518" max="11518" width="49.42578125" style="1105" customWidth="1"/>
    <col min="11519" max="11526" width="13.7109375" style="1105" customWidth="1"/>
    <col min="11527" max="11773" width="9.140625" style="1105"/>
    <col min="11774" max="11774" width="49.42578125" style="1105" customWidth="1"/>
    <col min="11775" max="11782" width="13.7109375" style="1105" customWidth="1"/>
    <col min="11783" max="12029" width="9.140625" style="1105"/>
    <col min="12030" max="12030" width="49.42578125" style="1105" customWidth="1"/>
    <col min="12031" max="12038" width="13.7109375" style="1105" customWidth="1"/>
    <col min="12039" max="12285" width="9.140625" style="1105"/>
    <col min="12286" max="12286" width="49.42578125" style="1105" customWidth="1"/>
    <col min="12287" max="12294" width="13.7109375" style="1105" customWidth="1"/>
    <col min="12295" max="12541" width="9.140625" style="1105"/>
    <col min="12542" max="12542" width="49.42578125" style="1105" customWidth="1"/>
    <col min="12543" max="12550" width="13.7109375" style="1105" customWidth="1"/>
    <col min="12551" max="12797" width="9.140625" style="1105"/>
    <col min="12798" max="12798" width="49.42578125" style="1105" customWidth="1"/>
    <col min="12799" max="12806" width="13.7109375" style="1105" customWidth="1"/>
    <col min="12807" max="13053" width="9.140625" style="1105"/>
    <col min="13054" max="13054" width="49.42578125" style="1105" customWidth="1"/>
    <col min="13055" max="13062" width="13.7109375" style="1105" customWidth="1"/>
    <col min="13063" max="13309" width="9.140625" style="1105"/>
    <col min="13310" max="13310" width="49.42578125" style="1105" customWidth="1"/>
    <col min="13311" max="13318" width="13.7109375" style="1105" customWidth="1"/>
    <col min="13319" max="13565" width="9.140625" style="1105"/>
    <col min="13566" max="13566" width="49.42578125" style="1105" customWidth="1"/>
    <col min="13567" max="13574" width="13.7109375" style="1105" customWidth="1"/>
    <col min="13575" max="13821" width="9.140625" style="1105"/>
    <col min="13822" max="13822" width="49.42578125" style="1105" customWidth="1"/>
    <col min="13823" max="13830" width="13.7109375" style="1105" customWidth="1"/>
    <col min="13831" max="14077" width="9.140625" style="1105"/>
    <col min="14078" max="14078" width="49.42578125" style="1105" customWidth="1"/>
    <col min="14079" max="14086" width="13.7109375" style="1105" customWidth="1"/>
    <col min="14087" max="14333" width="9.140625" style="1105"/>
    <col min="14334" max="14334" width="49.42578125" style="1105" customWidth="1"/>
    <col min="14335" max="14342" width="13.7109375" style="1105" customWidth="1"/>
    <col min="14343" max="14589" width="9.140625" style="1105"/>
    <col min="14590" max="14590" width="49.42578125" style="1105" customWidth="1"/>
    <col min="14591" max="14598" width="13.7109375" style="1105" customWidth="1"/>
    <col min="14599" max="14845" width="9.140625" style="1105"/>
    <col min="14846" max="14846" width="49.42578125" style="1105" customWidth="1"/>
    <col min="14847" max="14854" width="13.7109375" style="1105" customWidth="1"/>
    <col min="14855" max="15101" width="9.140625" style="1105"/>
    <col min="15102" max="15102" width="49.42578125" style="1105" customWidth="1"/>
    <col min="15103" max="15110" width="13.7109375" style="1105" customWidth="1"/>
    <col min="15111" max="15357" width="9.140625" style="1105"/>
    <col min="15358" max="15358" width="49.42578125" style="1105" customWidth="1"/>
    <col min="15359" max="15366" width="13.7109375" style="1105" customWidth="1"/>
    <col min="15367" max="15613" width="9.140625" style="1105"/>
    <col min="15614" max="15614" width="49.42578125" style="1105" customWidth="1"/>
    <col min="15615" max="15622" width="13.7109375" style="1105" customWidth="1"/>
    <col min="15623" max="15869" width="9.140625" style="1105"/>
    <col min="15870" max="15870" width="49.42578125" style="1105" customWidth="1"/>
    <col min="15871" max="15878" width="13.7109375" style="1105" customWidth="1"/>
    <col min="15879" max="16125" width="9.140625" style="1105"/>
    <col min="16126" max="16126" width="49.42578125" style="1105" customWidth="1"/>
    <col min="16127" max="16134" width="13.7109375" style="1105" customWidth="1"/>
    <col min="16135" max="16384" width="9.140625" style="1105"/>
  </cols>
  <sheetData>
    <row r="1" spans="1:9" ht="11.25" customHeight="1" x14ac:dyDescent="0.15">
      <c r="A1" s="1104"/>
      <c r="B1" s="1104"/>
      <c r="C1" s="1104"/>
      <c r="D1" s="1104"/>
      <c r="E1" s="1104"/>
      <c r="F1" s="1104"/>
      <c r="G1" s="1104"/>
      <c r="H1" s="1104"/>
      <c r="I1" s="1104"/>
    </row>
    <row r="2" spans="1:9" ht="15" customHeight="1" x14ac:dyDescent="0.15">
      <c r="A2" s="3064" t="s">
        <v>2490</v>
      </c>
      <c r="B2" s="3064"/>
      <c r="C2" s="3064"/>
      <c r="D2" s="3064"/>
      <c r="E2" s="3064"/>
      <c r="F2" s="3064"/>
      <c r="G2" s="3064"/>
      <c r="H2" s="3064"/>
      <c r="I2" s="3064"/>
    </row>
    <row r="3" spans="1:9" x14ac:dyDescent="0.15">
      <c r="A3" s="3080"/>
      <c r="B3" s="3080"/>
      <c r="C3" s="3080"/>
      <c r="D3" s="3080"/>
      <c r="E3" s="3080"/>
      <c r="F3" s="3080"/>
      <c r="G3" s="3080"/>
      <c r="H3" s="3080"/>
      <c r="I3" s="3080"/>
    </row>
    <row r="4" spans="1:9" x14ac:dyDescent="0.15">
      <c r="A4" s="3066" t="s">
        <v>2491</v>
      </c>
      <c r="B4" s="3074" t="s">
        <v>2464</v>
      </c>
      <c r="C4" s="3074"/>
      <c r="D4" s="3074"/>
      <c r="E4" s="3074"/>
      <c r="F4" s="3074"/>
      <c r="G4" s="3074"/>
      <c r="H4" s="3074"/>
      <c r="I4" s="3074"/>
    </row>
    <row r="5" spans="1:9" x14ac:dyDescent="0.15">
      <c r="A5" s="3067"/>
      <c r="B5" s="1093"/>
      <c r="C5" s="3074" t="s">
        <v>2492</v>
      </c>
      <c r="D5" s="3074"/>
      <c r="E5" s="3074"/>
      <c r="F5" s="3074"/>
      <c r="G5" s="3074"/>
      <c r="H5" s="3074"/>
      <c r="I5" s="3074"/>
    </row>
    <row r="6" spans="1:9" ht="21" customHeight="1" x14ac:dyDescent="0.15">
      <c r="A6" s="3068"/>
      <c r="B6" s="1093" t="s">
        <v>2493</v>
      </c>
      <c r="C6" s="1093" t="s">
        <v>2494</v>
      </c>
      <c r="D6" s="1093" t="s">
        <v>2495</v>
      </c>
      <c r="E6" s="1093" t="s">
        <v>2496</v>
      </c>
      <c r="F6" s="1093" t="s">
        <v>2497</v>
      </c>
      <c r="G6" s="1093" t="s">
        <v>2498</v>
      </c>
      <c r="H6" s="1093" t="s">
        <v>2499</v>
      </c>
      <c r="I6" s="1093" t="s">
        <v>2500</v>
      </c>
    </row>
    <row r="7" spans="1:9" x14ac:dyDescent="0.15">
      <c r="A7" s="1095" t="s">
        <v>141</v>
      </c>
      <c r="B7" s="1096">
        <f>SUM(B8:B22)</f>
        <v>1724</v>
      </c>
      <c r="C7" s="1096">
        <f t="shared" ref="C7:H7" si="0">SUM(C8:C22)</f>
        <v>271</v>
      </c>
      <c r="D7" s="1096">
        <f t="shared" si="0"/>
        <v>785</v>
      </c>
      <c r="E7" s="1096">
        <f t="shared" si="0"/>
        <v>568</v>
      </c>
      <c r="F7" s="1096">
        <f t="shared" si="0"/>
        <v>17</v>
      </c>
      <c r="G7" s="1096">
        <f t="shared" si="0"/>
        <v>77</v>
      </c>
      <c r="H7" s="1096">
        <f t="shared" si="0"/>
        <v>5</v>
      </c>
      <c r="I7" s="1111">
        <f>SUM(I8:I22)</f>
        <v>1</v>
      </c>
    </row>
    <row r="8" spans="1:9" ht="12.75" customHeight="1" x14ac:dyDescent="0.15">
      <c r="A8" s="1098" t="s">
        <v>5</v>
      </c>
      <c r="B8" s="1096">
        <f t="shared" ref="B8:B22" si="1">SUM(C8:I8)</f>
        <v>35</v>
      </c>
      <c r="C8" s="1099">
        <f>SUM(C24,C40,C56)</f>
        <v>0</v>
      </c>
      <c r="D8" s="1099">
        <f t="shared" ref="D8:I8" si="2">SUM(D24,D40,D56)</f>
        <v>4</v>
      </c>
      <c r="E8" s="1099">
        <f t="shared" si="2"/>
        <v>29</v>
      </c>
      <c r="F8" s="1099">
        <f t="shared" si="2"/>
        <v>2</v>
      </c>
      <c r="G8" s="1099">
        <f t="shared" si="2"/>
        <v>0</v>
      </c>
      <c r="H8" s="1099">
        <f t="shared" si="2"/>
        <v>0</v>
      </c>
      <c r="I8" s="1099">
        <f t="shared" si="2"/>
        <v>0</v>
      </c>
    </row>
    <row r="9" spans="1:9" ht="12.75" customHeight="1" x14ac:dyDescent="0.15">
      <c r="A9" s="1098" t="s">
        <v>6</v>
      </c>
      <c r="B9" s="1096">
        <f t="shared" si="1"/>
        <v>39</v>
      </c>
      <c r="C9" s="1099">
        <f t="shared" ref="C9:I22" si="3">SUM(C25,C41,C57)</f>
        <v>2</v>
      </c>
      <c r="D9" s="1099">
        <f t="shared" si="3"/>
        <v>6</v>
      </c>
      <c r="E9" s="1099">
        <f t="shared" si="3"/>
        <v>31</v>
      </c>
      <c r="F9" s="1099">
        <f t="shared" si="3"/>
        <v>0</v>
      </c>
      <c r="G9" s="1099">
        <f t="shared" si="3"/>
        <v>0</v>
      </c>
      <c r="H9" s="1099">
        <f t="shared" si="3"/>
        <v>0</v>
      </c>
      <c r="I9" s="1099">
        <f t="shared" si="3"/>
        <v>0</v>
      </c>
    </row>
    <row r="10" spans="1:9" ht="12.75" customHeight="1" x14ac:dyDescent="0.15">
      <c r="A10" s="1098" t="s">
        <v>7</v>
      </c>
      <c r="B10" s="1096">
        <f t="shared" si="1"/>
        <v>105</v>
      </c>
      <c r="C10" s="1099">
        <f t="shared" si="3"/>
        <v>3</v>
      </c>
      <c r="D10" s="1099">
        <f t="shared" si="3"/>
        <v>41</v>
      </c>
      <c r="E10" s="1099">
        <f t="shared" si="3"/>
        <v>60</v>
      </c>
      <c r="F10" s="1099">
        <f t="shared" si="3"/>
        <v>1</v>
      </c>
      <c r="G10" s="1099">
        <f t="shared" si="3"/>
        <v>0</v>
      </c>
      <c r="H10" s="1099">
        <f t="shared" si="3"/>
        <v>0</v>
      </c>
      <c r="I10" s="1099">
        <f t="shared" si="3"/>
        <v>0</v>
      </c>
    </row>
    <row r="11" spans="1:9" ht="12.75" customHeight="1" x14ac:dyDescent="0.15">
      <c r="A11" s="1098" t="s">
        <v>8</v>
      </c>
      <c r="B11" s="1096">
        <f t="shared" si="1"/>
        <v>121</v>
      </c>
      <c r="C11" s="1099">
        <f t="shared" si="3"/>
        <v>10</v>
      </c>
      <c r="D11" s="1099">
        <f t="shared" si="3"/>
        <v>81</v>
      </c>
      <c r="E11" s="1099">
        <f t="shared" si="3"/>
        <v>30</v>
      </c>
      <c r="F11" s="1099">
        <f t="shared" si="3"/>
        <v>0</v>
      </c>
      <c r="G11" s="1099">
        <f t="shared" si="3"/>
        <v>0</v>
      </c>
      <c r="H11" s="1099">
        <f t="shared" si="3"/>
        <v>0</v>
      </c>
      <c r="I11" s="1099">
        <f t="shared" si="3"/>
        <v>0</v>
      </c>
    </row>
    <row r="12" spans="1:9" ht="12.75" customHeight="1" x14ac:dyDescent="0.15">
      <c r="A12" s="1098" t="s">
        <v>9</v>
      </c>
      <c r="B12" s="1096">
        <f t="shared" si="1"/>
        <v>120</v>
      </c>
      <c r="C12" s="1099">
        <f t="shared" si="3"/>
        <v>12</v>
      </c>
      <c r="D12" s="1099">
        <f t="shared" si="3"/>
        <v>60</v>
      </c>
      <c r="E12" s="1099">
        <f t="shared" si="3"/>
        <v>47</v>
      </c>
      <c r="F12" s="1099">
        <f t="shared" si="3"/>
        <v>0</v>
      </c>
      <c r="G12" s="1099">
        <f t="shared" si="3"/>
        <v>1</v>
      </c>
      <c r="H12" s="1099">
        <f t="shared" si="3"/>
        <v>0</v>
      </c>
      <c r="I12" s="1099">
        <f t="shared" si="3"/>
        <v>0</v>
      </c>
    </row>
    <row r="13" spans="1:9" ht="12.75" customHeight="1" x14ac:dyDescent="0.15">
      <c r="A13" s="1098" t="s">
        <v>10</v>
      </c>
      <c r="B13" s="1096">
        <f t="shared" si="1"/>
        <v>180</v>
      </c>
      <c r="C13" s="1099">
        <f t="shared" si="3"/>
        <v>38</v>
      </c>
      <c r="D13" s="1099">
        <f t="shared" si="3"/>
        <v>72</v>
      </c>
      <c r="E13" s="1099">
        <f t="shared" si="3"/>
        <v>54</v>
      </c>
      <c r="F13" s="1099">
        <f t="shared" si="3"/>
        <v>1</v>
      </c>
      <c r="G13" s="1099">
        <f t="shared" si="3"/>
        <v>15</v>
      </c>
      <c r="H13" s="1099">
        <f t="shared" si="3"/>
        <v>0</v>
      </c>
      <c r="I13" s="1099">
        <f t="shared" si="3"/>
        <v>0</v>
      </c>
    </row>
    <row r="14" spans="1:9" ht="12.75" customHeight="1" x14ac:dyDescent="0.15">
      <c r="A14" s="1098" t="s">
        <v>11</v>
      </c>
      <c r="B14" s="1096">
        <f t="shared" si="1"/>
        <v>113</v>
      </c>
      <c r="C14" s="1099">
        <f t="shared" si="3"/>
        <v>44</v>
      </c>
      <c r="D14" s="1099">
        <f t="shared" si="3"/>
        <v>10</v>
      </c>
      <c r="E14" s="1099">
        <f t="shared" si="3"/>
        <v>17</v>
      </c>
      <c r="F14" s="1099">
        <f t="shared" si="3"/>
        <v>0</v>
      </c>
      <c r="G14" s="1099">
        <f t="shared" si="3"/>
        <v>36</v>
      </c>
      <c r="H14" s="1099">
        <f t="shared" si="3"/>
        <v>5</v>
      </c>
      <c r="I14" s="1099">
        <f t="shared" si="3"/>
        <v>1</v>
      </c>
    </row>
    <row r="15" spans="1:9" ht="12.75" customHeight="1" x14ac:dyDescent="0.15">
      <c r="A15" s="1098" t="s">
        <v>12</v>
      </c>
      <c r="B15" s="1096">
        <f t="shared" si="1"/>
        <v>112</v>
      </c>
      <c r="C15" s="1099">
        <f>SUM(C31,C47,C63)</f>
        <v>28</v>
      </c>
      <c r="D15" s="1099">
        <f t="shared" si="3"/>
        <v>43</v>
      </c>
      <c r="E15" s="1099">
        <f t="shared" si="3"/>
        <v>41</v>
      </c>
      <c r="F15" s="1099">
        <f t="shared" si="3"/>
        <v>0</v>
      </c>
      <c r="G15" s="1099">
        <f t="shared" si="3"/>
        <v>0</v>
      </c>
      <c r="H15" s="1099">
        <f t="shared" si="3"/>
        <v>0</v>
      </c>
      <c r="I15" s="1099">
        <f t="shared" si="3"/>
        <v>0</v>
      </c>
    </row>
    <row r="16" spans="1:9" ht="12.75" customHeight="1" x14ac:dyDescent="0.15">
      <c r="A16" s="1098" t="s">
        <v>13</v>
      </c>
      <c r="B16" s="1096">
        <f t="shared" si="1"/>
        <v>135</v>
      </c>
      <c r="C16" s="1099">
        <f t="shared" si="3"/>
        <v>21</v>
      </c>
      <c r="D16" s="1099">
        <f t="shared" si="3"/>
        <v>65</v>
      </c>
      <c r="E16" s="1099">
        <f t="shared" si="3"/>
        <v>45</v>
      </c>
      <c r="F16" s="1099">
        <f t="shared" si="3"/>
        <v>4</v>
      </c>
      <c r="G16" s="1099">
        <f t="shared" si="3"/>
        <v>0</v>
      </c>
      <c r="H16" s="1099">
        <f t="shared" si="3"/>
        <v>0</v>
      </c>
      <c r="I16" s="1099">
        <f t="shared" si="3"/>
        <v>0</v>
      </c>
    </row>
    <row r="17" spans="1:9" ht="12.75" customHeight="1" x14ac:dyDescent="0.15">
      <c r="A17" s="1098" t="s">
        <v>14</v>
      </c>
      <c r="B17" s="1096">
        <f t="shared" si="1"/>
        <v>230</v>
      </c>
      <c r="C17" s="1099">
        <f t="shared" si="3"/>
        <v>54</v>
      </c>
      <c r="D17" s="1099">
        <f t="shared" si="3"/>
        <v>113</v>
      </c>
      <c r="E17" s="1099">
        <f t="shared" si="3"/>
        <v>49</v>
      </c>
      <c r="F17" s="1099">
        <f t="shared" si="3"/>
        <v>4</v>
      </c>
      <c r="G17" s="1099">
        <f t="shared" si="3"/>
        <v>10</v>
      </c>
      <c r="H17" s="1099">
        <f t="shared" si="3"/>
        <v>0</v>
      </c>
      <c r="I17" s="1099">
        <f t="shared" si="3"/>
        <v>0</v>
      </c>
    </row>
    <row r="18" spans="1:9" ht="12.75" customHeight="1" x14ac:dyDescent="0.15">
      <c r="A18" s="1098" t="s">
        <v>15</v>
      </c>
      <c r="B18" s="1096">
        <f t="shared" si="1"/>
        <v>173</v>
      </c>
      <c r="C18" s="1099">
        <f t="shared" si="3"/>
        <v>32</v>
      </c>
      <c r="D18" s="1099">
        <f t="shared" si="3"/>
        <v>90</v>
      </c>
      <c r="E18" s="1099">
        <f t="shared" si="3"/>
        <v>44</v>
      </c>
      <c r="F18" s="1099">
        <f t="shared" si="3"/>
        <v>1</v>
      </c>
      <c r="G18" s="1099">
        <f t="shared" si="3"/>
        <v>6</v>
      </c>
      <c r="H18" s="1099">
        <f t="shared" si="3"/>
        <v>0</v>
      </c>
      <c r="I18" s="1099">
        <f t="shared" si="3"/>
        <v>0</v>
      </c>
    </row>
    <row r="19" spans="1:9" ht="12.75" customHeight="1" x14ac:dyDescent="0.15">
      <c r="A19" s="1098" t="s">
        <v>16</v>
      </c>
      <c r="B19" s="1096">
        <f t="shared" si="1"/>
        <v>75</v>
      </c>
      <c r="C19" s="1099">
        <f t="shared" si="3"/>
        <v>5</v>
      </c>
      <c r="D19" s="1099">
        <f t="shared" si="3"/>
        <v>43</v>
      </c>
      <c r="E19" s="1099">
        <f t="shared" si="3"/>
        <v>27</v>
      </c>
      <c r="F19" s="1099">
        <f t="shared" si="3"/>
        <v>0</v>
      </c>
      <c r="G19" s="1099">
        <f t="shared" si="3"/>
        <v>0</v>
      </c>
      <c r="H19" s="1099">
        <f t="shared" si="3"/>
        <v>0</v>
      </c>
      <c r="I19" s="1099">
        <f t="shared" si="3"/>
        <v>0</v>
      </c>
    </row>
    <row r="20" spans="1:9" ht="12.75" customHeight="1" x14ac:dyDescent="0.15">
      <c r="A20" s="1098" t="s">
        <v>17</v>
      </c>
      <c r="B20" s="1096">
        <f t="shared" si="1"/>
        <v>169</v>
      </c>
      <c r="C20" s="1099">
        <f t="shared" si="3"/>
        <v>14</v>
      </c>
      <c r="D20" s="1099">
        <f t="shared" si="3"/>
        <v>92</v>
      </c>
      <c r="E20" s="1099">
        <f t="shared" si="3"/>
        <v>56</v>
      </c>
      <c r="F20" s="1099">
        <f t="shared" si="3"/>
        <v>2</v>
      </c>
      <c r="G20" s="1099">
        <f t="shared" si="3"/>
        <v>5</v>
      </c>
      <c r="H20" s="1099">
        <f t="shared" si="3"/>
        <v>0</v>
      </c>
      <c r="I20" s="1099">
        <f t="shared" si="3"/>
        <v>0</v>
      </c>
    </row>
    <row r="21" spans="1:9" ht="12.75" customHeight="1" x14ac:dyDescent="0.15">
      <c r="A21" s="1098" t="s">
        <v>18</v>
      </c>
      <c r="B21" s="1096">
        <f t="shared" si="1"/>
        <v>60</v>
      </c>
      <c r="C21" s="1099">
        <f t="shared" si="3"/>
        <v>5</v>
      </c>
      <c r="D21" s="1099">
        <f t="shared" si="3"/>
        <v>42</v>
      </c>
      <c r="E21" s="1099">
        <f t="shared" si="3"/>
        <v>12</v>
      </c>
      <c r="F21" s="1099">
        <f t="shared" si="3"/>
        <v>0</v>
      </c>
      <c r="G21" s="1099">
        <f t="shared" si="3"/>
        <v>1</v>
      </c>
      <c r="H21" s="1099">
        <f t="shared" si="3"/>
        <v>0</v>
      </c>
      <c r="I21" s="1099">
        <f t="shared" si="3"/>
        <v>0</v>
      </c>
    </row>
    <row r="22" spans="1:9" ht="12.75" customHeight="1" x14ac:dyDescent="0.15">
      <c r="A22" s="1098" t="s">
        <v>19</v>
      </c>
      <c r="B22" s="1096">
        <f t="shared" si="1"/>
        <v>57</v>
      </c>
      <c r="C22" s="1099">
        <f t="shared" si="3"/>
        <v>3</v>
      </c>
      <c r="D22" s="1099">
        <f t="shared" si="3"/>
        <v>23</v>
      </c>
      <c r="E22" s="1099">
        <f t="shared" si="3"/>
        <v>26</v>
      </c>
      <c r="F22" s="1099">
        <f t="shared" si="3"/>
        <v>2</v>
      </c>
      <c r="G22" s="1099">
        <f t="shared" si="3"/>
        <v>3</v>
      </c>
      <c r="H22" s="1099">
        <f t="shared" si="3"/>
        <v>0</v>
      </c>
      <c r="I22" s="1099">
        <f t="shared" si="3"/>
        <v>0</v>
      </c>
    </row>
    <row r="23" spans="1:9" x14ac:dyDescent="0.15">
      <c r="A23" s="1119" t="s">
        <v>2448</v>
      </c>
      <c r="B23" s="1096">
        <f t="shared" ref="B23:H23" si="4">SUM(B24:B38)</f>
        <v>116</v>
      </c>
      <c r="C23" s="1099">
        <f t="shared" si="4"/>
        <v>0</v>
      </c>
      <c r="D23" s="1099">
        <f t="shared" si="4"/>
        <v>8</v>
      </c>
      <c r="E23" s="1099">
        <f t="shared" si="4"/>
        <v>60</v>
      </c>
      <c r="F23" s="1099">
        <f t="shared" si="4"/>
        <v>13</v>
      </c>
      <c r="G23" s="1099">
        <f t="shared" si="4"/>
        <v>29</v>
      </c>
      <c r="H23" s="1099">
        <f t="shared" si="4"/>
        <v>5</v>
      </c>
      <c r="I23" s="1099">
        <f>SUM(I24:I38)</f>
        <v>1</v>
      </c>
    </row>
    <row r="24" spans="1:9" ht="12.75" customHeight="1" x14ac:dyDescent="0.15">
      <c r="A24" s="1098" t="s">
        <v>5</v>
      </c>
      <c r="B24" s="1096">
        <f t="shared" ref="B24:B38" si="5">SUM(C24:I24)</f>
        <v>1</v>
      </c>
      <c r="C24" s="1100">
        <v>0</v>
      </c>
      <c r="D24" s="1100">
        <v>0</v>
      </c>
      <c r="E24" s="1100">
        <v>0</v>
      </c>
      <c r="F24" s="1100">
        <v>1</v>
      </c>
      <c r="G24" s="1100">
        <v>0</v>
      </c>
      <c r="H24" s="1100">
        <v>0</v>
      </c>
      <c r="I24" s="1100">
        <v>0</v>
      </c>
    </row>
    <row r="25" spans="1:9" ht="12.75" customHeight="1" x14ac:dyDescent="0.15">
      <c r="A25" s="1098" t="s">
        <v>6</v>
      </c>
      <c r="B25" s="1096">
        <f t="shared" si="5"/>
        <v>1</v>
      </c>
      <c r="C25" s="1100">
        <v>0</v>
      </c>
      <c r="D25" s="1100">
        <v>0</v>
      </c>
      <c r="E25" s="1100">
        <v>1</v>
      </c>
      <c r="F25" s="1100">
        <v>0</v>
      </c>
      <c r="G25" s="1100">
        <v>0</v>
      </c>
      <c r="H25" s="1100">
        <v>0</v>
      </c>
      <c r="I25" s="1100">
        <v>0</v>
      </c>
    </row>
    <row r="26" spans="1:9" ht="12.75" customHeight="1" x14ac:dyDescent="0.15">
      <c r="A26" s="1098" t="s">
        <v>7</v>
      </c>
      <c r="B26" s="1096">
        <f t="shared" si="5"/>
        <v>1</v>
      </c>
      <c r="C26" s="1100">
        <v>0</v>
      </c>
      <c r="D26" s="1100">
        <v>1</v>
      </c>
      <c r="E26" s="1100">
        <v>0</v>
      </c>
      <c r="F26" s="1100">
        <v>0</v>
      </c>
      <c r="G26" s="1100">
        <v>0</v>
      </c>
      <c r="H26" s="1100">
        <v>0</v>
      </c>
      <c r="I26" s="1100">
        <v>0</v>
      </c>
    </row>
    <row r="27" spans="1:9" ht="12.75" customHeight="1" x14ac:dyDescent="0.15">
      <c r="A27" s="1098" t="s">
        <v>8</v>
      </c>
      <c r="B27" s="1096">
        <f t="shared" si="5"/>
        <v>1</v>
      </c>
      <c r="C27" s="1100">
        <v>0</v>
      </c>
      <c r="D27" s="1100">
        <v>0</v>
      </c>
      <c r="E27" s="1100">
        <v>1</v>
      </c>
      <c r="F27" s="1100">
        <v>0</v>
      </c>
      <c r="G27" s="1100">
        <v>0</v>
      </c>
      <c r="H27" s="1100">
        <v>0</v>
      </c>
      <c r="I27" s="1100">
        <v>0</v>
      </c>
    </row>
    <row r="28" spans="1:9" ht="12.75" customHeight="1" x14ac:dyDescent="0.15">
      <c r="A28" s="1098" t="s">
        <v>9</v>
      </c>
      <c r="B28" s="1096">
        <f t="shared" si="5"/>
        <v>7</v>
      </c>
      <c r="C28" s="1100">
        <v>0</v>
      </c>
      <c r="D28" s="1100">
        <v>0</v>
      </c>
      <c r="E28" s="1100">
        <v>6</v>
      </c>
      <c r="F28" s="1100">
        <v>0</v>
      </c>
      <c r="G28" s="1100">
        <v>1</v>
      </c>
      <c r="H28" s="1100">
        <v>0</v>
      </c>
      <c r="I28" s="1100">
        <v>0</v>
      </c>
    </row>
    <row r="29" spans="1:9" ht="12.75" customHeight="1" x14ac:dyDescent="0.15">
      <c r="A29" s="1098" t="s">
        <v>10</v>
      </c>
      <c r="B29" s="1096">
        <f t="shared" si="5"/>
        <v>18</v>
      </c>
      <c r="C29" s="1100">
        <v>0</v>
      </c>
      <c r="D29" s="1100">
        <v>1</v>
      </c>
      <c r="E29" s="1100">
        <v>9</v>
      </c>
      <c r="F29" s="1100">
        <v>1</v>
      </c>
      <c r="G29" s="1100">
        <v>7</v>
      </c>
      <c r="H29" s="1100">
        <v>0</v>
      </c>
      <c r="I29" s="1100">
        <v>0</v>
      </c>
    </row>
    <row r="30" spans="1:9" ht="12.75" customHeight="1" x14ac:dyDescent="0.15">
      <c r="A30" s="1098" t="s">
        <v>11</v>
      </c>
      <c r="B30" s="1096">
        <f t="shared" si="5"/>
        <v>19</v>
      </c>
      <c r="C30" s="1100">
        <v>0</v>
      </c>
      <c r="D30" s="1100">
        <v>1</v>
      </c>
      <c r="E30" s="1100">
        <v>6</v>
      </c>
      <c r="F30" s="1100">
        <v>0</v>
      </c>
      <c r="G30" s="1100">
        <v>6</v>
      </c>
      <c r="H30" s="1100">
        <v>5</v>
      </c>
      <c r="I30" s="1100">
        <v>1</v>
      </c>
    </row>
    <row r="31" spans="1:9" ht="12.75" customHeight="1" x14ac:dyDescent="0.15">
      <c r="A31" s="1098" t="s">
        <v>12</v>
      </c>
      <c r="B31" s="1096">
        <f t="shared" si="5"/>
        <v>5</v>
      </c>
      <c r="C31" s="1100">
        <v>0</v>
      </c>
      <c r="D31" s="1100">
        <v>1</v>
      </c>
      <c r="E31" s="1100">
        <v>4</v>
      </c>
      <c r="F31" s="1100">
        <v>0</v>
      </c>
      <c r="G31" s="1100">
        <v>0</v>
      </c>
      <c r="H31" s="1100">
        <v>0</v>
      </c>
      <c r="I31" s="1100">
        <v>0</v>
      </c>
    </row>
    <row r="32" spans="1:9" ht="12.75" customHeight="1" x14ac:dyDescent="0.15">
      <c r="A32" s="1098" t="s">
        <v>13</v>
      </c>
      <c r="B32" s="1096">
        <f t="shared" si="5"/>
        <v>9</v>
      </c>
      <c r="C32" s="1100">
        <v>0</v>
      </c>
      <c r="D32" s="1100">
        <v>2</v>
      </c>
      <c r="E32" s="1100">
        <v>4</v>
      </c>
      <c r="F32" s="1100">
        <v>3</v>
      </c>
      <c r="G32" s="1100">
        <v>0</v>
      </c>
      <c r="H32" s="1100">
        <v>0</v>
      </c>
      <c r="I32" s="1100">
        <v>0</v>
      </c>
    </row>
    <row r="33" spans="1:9" ht="12.75" customHeight="1" x14ac:dyDescent="0.15">
      <c r="A33" s="1098" t="s">
        <v>14</v>
      </c>
      <c r="B33" s="1096">
        <f t="shared" si="5"/>
        <v>20</v>
      </c>
      <c r="C33" s="1100">
        <v>0</v>
      </c>
      <c r="D33" s="1100">
        <v>1</v>
      </c>
      <c r="E33" s="1100">
        <v>11</v>
      </c>
      <c r="F33" s="1100">
        <v>3</v>
      </c>
      <c r="G33" s="1100">
        <v>5</v>
      </c>
      <c r="H33" s="1100">
        <v>0</v>
      </c>
      <c r="I33" s="1100">
        <v>0</v>
      </c>
    </row>
    <row r="34" spans="1:9" ht="12.75" customHeight="1" x14ac:dyDescent="0.15">
      <c r="A34" s="1098" t="s">
        <v>15</v>
      </c>
      <c r="B34" s="1096">
        <f t="shared" si="5"/>
        <v>10</v>
      </c>
      <c r="C34" s="1100">
        <v>0</v>
      </c>
      <c r="D34" s="1100">
        <v>0</v>
      </c>
      <c r="E34" s="1100">
        <v>6</v>
      </c>
      <c r="F34" s="1100">
        <v>1</v>
      </c>
      <c r="G34" s="1100">
        <v>3</v>
      </c>
      <c r="H34" s="1100">
        <v>0</v>
      </c>
      <c r="I34" s="1100">
        <v>0</v>
      </c>
    </row>
    <row r="35" spans="1:9" ht="12.75" customHeight="1" x14ac:dyDescent="0.15">
      <c r="A35" s="1098" t="s">
        <v>16</v>
      </c>
      <c r="B35" s="1096">
        <f t="shared" si="5"/>
        <v>4</v>
      </c>
      <c r="C35" s="1100">
        <v>0</v>
      </c>
      <c r="D35" s="1100">
        <v>0</v>
      </c>
      <c r="E35" s="1100">
        <v>4</v>
      </c>
      <c r="F35" s="1100">
        <v>0</v>
      </c>
      <c r="G35" s="1100">
        <v>0</v>
      </c>
      <c r="H35" s="1100">
        <v>0</v>
      </c>
      <c r="I35" s="1100">
        <v>0</v>
      </c>
    </row>
    <row r="36" spans="1:9" ht="12.75" customHeight="1" x14ac:dyDescent="0.15">
      <c r="A36" s="1098" t="s">
        <v>17</v>
      </c>
      <c r="B36" s="1096">
        <f t="shared" si="5"/>
        <v>11</v>
      </c>
      <c r="C36" s="1100">
        <v>0</v>
      </c>
      <c r="D36" s="1100">
        <v>1</v>
      </c>
      <c r="E36" s="1100">
        <v>5</v>
      </c>
      <c r="F36" s="1100">
        <v>2</v>
      </c>
      <c r="G36" s="1100">
        <v>3</v>
      </c>
      <c r="H36" s="1100">
        <v>0</v>
      </c>
      <c r="I36" s="1100">
        <v>0</v>
      </c>
    </row>
    <row r="37" spans="1:9" ht="12.75" customHeight="1" x14ac:dyDescent="0.15">
      <c r="A37" s="1098" t="s">
        <v>18</v>
      </c>
      <c r="B37" s="1096">
        <f t="shared" si="5"/>
        <v>2</v>
      </c>
      <c r="C37" s="1100">
        <v>0</v>
      </c>
      <c r="D37" s="1100">
        <v>0</v>
      </c>
      <c r="E37" s="1100">
        <v>1</v>
      </c>
      <c r="F37" s="1100">
        <v>0</v>
      </c>
      <c r="G37" s="1100">
        <v>1</v>
      </c>
      <c r="H37" s="1100">
        <v>0</v>
      </c>
      <c r="I37" s="1100">
        <v>0</v>
      </c>
    </row>
    <row r="38" spans="1:9" ht="12.75" customHeight="1" x14ac:dyDescent="0.15">
      <c r="A38" s="1098" t="s">
        <v>19</v>
      </c>
      <c r="B38" s="1096">
        <f t="shared" si="5"/>
        <v>7</v>
      </c>
      <c r="C38" s="1100">
        <v>0</v>
      </c>
      <c r="D38" s="1100">
        <v>0</v>
      </c>
      <c r="E38" s="1100">
        <v>2</v>
      </c>
      <c r="F38" s="1100">
        <v>2</v>
      </c>
      <c r="G38" s="1100">
        <v>3</v>
      </c>
      <c r="H38" s="1100">
        <v>0</v>
      </c>
      <c r="I38" s="1100">
        <v>0</v>
      </c>
    </row>
    <row r="39" spans="1:9" x14ac:dyDescent="0.15">
      <c r="A39" s="1119" t="s">
        <v>2449</v>
      </c>
      <c r="B39" s="1096">
        <f t="shared" ref="B39:I39" si="6">SUM(B40:B54)</f>
        <v>1397</v>
      </c>
      <c r="C39" s="1099">
        <f t="shared" si="6"/>
        <v>60</v>
      </c>
      <c r="D39" s="1099">
        <f t="shared" si="6"/>
        <v>777</v>
      </c>
      <c r="E39" s="1099">
        <f t="shared" si="6"/>
        <v>508</v>
      </c>
      <c r="F39" s="1099">
        <f t="shared" si="6"/>
        <v>4</v>
      </c>
      <c r="G39" s="1099">
        <f t="shared" si="6"/>
        <v>48</v>
      </c>
      <c r="H39" s="1099">
        <f t="shared" si="6"/>
        <v>0</v>
      </c>
      <c r="I39" s="1099">
        <f t="shared" si="6"/>
        <v>0</v>
      </c>
    </row>
    <row r="40" spans="1:9" ht="12.75" customHeight="1" x14ac:dyDescent="0.15">
      <c r="A40" s="1098" t="s">
        <v>5</v>
      </c>
      <c r="B40" s="1096">
        <f t="shared" ref="B40:B54" si="7">SUM(C40:I40)</f>
        <v>34</v>
      </c>
      <c r="C40" s="1100">
        <v>0</v>
      </c>
      <c r="D40" s="1100">
        <v>4</v>
      </c>
      <c r="E40" s="1100">
        <v>29</v>
      </c>
      <c r="F40" s="1100">
        <v>1</v>
      </c>
      <c r="G40" s="1100">
        <v>0</v>
      </c>
      <c r="H40" s="1100">
        <v>0</v>
      </c>
      <c r="I40" s="1100">
        <v>0</v>
      </c>
    </row>
    <row r="41" spans="1:9" ht="12.75" customHeight="1" x14ac:dyDescent="0.15">
      <c r="A41" s="1098" t="s">
        <v>6</v>
      </c>
      <c r="B41" s="1096">
        <f t="shared" si="7"/>
        <v>36</v>
      </c>
      <c r="C41" s="1100">
        <v>0</v>
      </c>
      <c r="D41" s="1100">
        <v>6</v>
      </c>
      <c r="E41" s="1100">
        <v>30</v>
      </c>
      <c r="F41" s="1100">
        <v>0</v>
      </c>
      <c r="G41" s="1100">
        <v>0</v>
      </c>
      <c r="H41" s="1100">
        <v>0</v>
      </c>
      <c r="I41" s="1100">
        <v>0</v>
      </c>
    </row>
    <row r="42" spans="1:9" ht="12.75" customHeight="1" x14ac:dyDescent="0.15">
      <c r="A42" s="1098" t="s">
        <v>7</v>
      </c>
      <c r="B42" s="1096">
        <f t="shared" si="7"/>
        <v>101</v>
      </c>
      <c r="C42" s="1100">
        <v>0</v>
      </c>
      <c r="D42" s="1100">
        <v>40</v>
      </c>
      <c r="E42" s="1100">
        <v>60</v>
      </c>
      <c r="F42" s="1100">
        <v>1</v>
      </c>
      <c r="G42" s="1100">
        <v>0</v>
      </c>
      <c r="H42" s="1100">
        <v>0</v>
      </c>
      <c r="I42" s="1100">
        <v>0</v>
      </c>
    </row>
    <row r="43" spans="1:9" ht="12.75" customHeight="1" x14ac:dyDescent="0.15">
      <c r="A43" s="1098" t="s">
        <v>8</v>
      </c>
      <c r="B43" s="1096">
        <f t="shared" si="7"/>
        <v>112</v>
      </c>
      <c r="C43" s="1100">
        <v>2</v>
      </c>
      <c r="D43" s="1100">
        <v>81</v>
      </c>
      <c r="E43" s="1100">
        <v>29</v>
      </c>
      <c r="F43" s="1100">
        <v>0</v>
      </c>
      <c r="G43" s="1100">
        <v>0</v>
      </c>
      <c r="H43" s="1100">
        <v>0</v>
      </c>
      <c r="I43" s="1100">
        <v>0</v>
      </c>
    </row>
    <row r="44" spans="1:9" ht="12.75" customHeight="1" x14ac:dyDescent="0.15">
      <c r="A44" s="1098" t="s">
        <v>9</v>
      </c>
      <c r="B44" s="1096">
        <f t="shared" si="7"/>
        <v>106</v>
      </c>
      <c r="C44" s="1100">
        <v>5</v>
      </c>
      <c r="D44" s="1100">
        <v>60</v>
      </c>
      <c r="E44" s="1100">
        <v>41</v>
      </c>
      <c r="F44" s="1100">
        <v>0</v>
      </c>
      <c r="G44" s="1100">
        <v>0</v>
      </c>
      <c r="H44" s="1100">
        <v>0</v>
      </c>
      <c r="I44" s="1100">
        <v>0</v>
      </c>
    </row>
    <row r="45" spans="1:9" ht="12.75" customHeight="1" x14ac:dyDescent="0.15">
      <c r="A45" s="1098" t="s">
        <v>10</v>
      </c>
      <c r="B45" s="1096">
        <f t="shared" si="7"/>
        <v>128</v>
      </c>
      <c r="C45" s="1100">
        <v>4</v>
      </c>
      <c r="D45" s="1100">
        <v>71</v>
      </c>
      <c r="E45" s="1100">
        <v>45</v>
      </c>
      <c r="F45" s="1100">
        <v>0</v>
      </c>
      <c r="G45" s="1100">
        <v>8</v>
      </c>
      <c r="H45" s="1100">
        <v>0</v>
      </c>
      <c r="I45" s="1100">
        <v>0</v>
      </c>
    </row>
    <row r="46" spans="1:9" ht="12.75" customHeight="1" x14ac:dyDescent="0.15">
      <c r="A46" s="1098" t="s">
        <v>11</v>
      </c>
      <c r="B46" s="1096">
        <f t="shared" si="7"/>
        <v>52</v>
      </c>
      <c r="C46" s="1100">
        <v>2</v>
      </c>
      <c r="D46" s="1100">
        <v>9</v>
      </c>
      <c r="E46" s="1100">
        <v>11</v>
      </c>
      <c r="F46" s="1100">
        <v>0</v>
      </c>
      <c r="G46" s="1100">
        <v>30</v>
      </c>
      <c r="H46" s="1100">
        <v>0</v>
      </c>
      <c r="I46" s="1100">
        <v>0</v>
      </c>
    </row>
    <row r="47" spans="1:9" ht="12.75" customHeight="1" x14ac:dyDescent="0.15">
      <c r="A47" s="1098" t="s">
        <v>12</v>
      </c>
      <c r="B47" s="1096">
        <f t="shared" si="7"/>
        <v>83</v>
      </c>
      <c r="C47" s="1100">
        <v>4</v>
      </c>
      <c r="D47" s="1100">
        <v>42</v>
      </c>
      <c r="E47" s="1100">
        <v>37</v>
      </c>
      <c r="F47" s="1100">
        <v>0</v>
      </c>
      <c r="G47" s="1100">
        <v>0</v>
      </c>
      <c r="H47" s="1100">
        <v>0</v>
      </c>
      <c r="I47" s="1100">
        <v>0</v>
      </c>
    </row>
    <row r="48" spans="1:9" ht="12.75" customHeight="1" x14ac:dyDescent="0.15">
      <c r="A48" s="1098" t="s">
        <v>13</v>
      </c>
      <c r="B48" s="1096">
        <f t="shared" si="7"/>
        <v>110</v>
      </c>
      <c r="C48" s="1100">
        <v>5</v>
      </c>
      <c r="D48" s="1100">
        <v>63</v>
      </c>
      <c r="E48" s="1100">
        <v>41</v>
      </c>
      <c r="F48" s="1100">
        <v>1</v>
      </c>
      <c r="G48" s="1100">
        <v>0</v>
      </c>
      <c r="H48" s="1100">
        <v>0</v>
      </c>
      <c r="I48" s="1100">
        <v>0</v>
      </c>
    </row>
    <row r="49" spans="1:9" ht="12.75" customHeight="1" x14ac:dyDescent="0.15">
      <c r="A49" s="1098" t="s">
        <v>14</v>
      </c>
      <c r="B49" s="1096">
        <f t="shared" si="7"/>
        <v>167</v>
      </c>
      <c r="C49" s="1100">
        <v>11</v>
      </c>
      <c r="D49" s="1100">
        <v>112</v>
      </c>
      <c r="E49" s="1100">
        <v>38</v>
      </c>
      <c r="F49" s="1100">
        <v>1</v>
      </c>
      <c r="G49" s="1100">
        <v>5</v>
      </c>
      <c r="H49" s="1100">
        <v>0</v>
      </c>
      <c r="I49" s="1100">
        <v>0</v>
      </c>
    </row>
    <row r="50" spans="1:9" ht="12.75" customHeight="1" x14ac:dyDescent="0.15">
      <c r="A50" s="1098" t="s">
        <v>15</v>
      </c>
      <c r="B50" s="1096">
        <f t="shared" si="7"/>
        <v>145</v>
      </c>
      <c r="C50" s="1100">
        <v>14</v>
      </c>
      <c r="D50" s="1100">
        <v>90</v>
      </c>
      <c r="E50" s="1100">
        <v>38</v>
      </c>
      <c r="F50" s="1100">
        <v>0</v>
      </c>
      <c r="G50" s="1100">
        <v>3</v>
      </c>
      <c r="H50" s="1100">
        <v>0</v>
      </c>
      <c r="I50" s="1100">
        <v>0</v>
      </c>
    </row>
    <row r="51" spans="1:9" ht="12.75" customHeight="1" x14ac:dyDescent="0.15">
      <c r="A51" s="1098" t="s">
        <v>16</v>
      </c>
      <c r="B51" s="1096">
        <f t="shared" si="7"/>
        <v>68</v>
      </c>
      <c r="C51" s="1100">
        <v>2</v>
      </c>
      <c r="D51" s="1100">
        <v>43</v>
      </c>
      <c r="E51" s="1100">
        <v>23</v>
      </c>
      <c r="F51" s="1100">
        <v>0</v>
      </c>
      <c r="G51" s="1100">
        <v>0</v>
      </c>
      <c r="H51" s="1100">
        <v>0</v>
      </c>
      <c r="I51" s="1100">
        <v>0</v>
      </c>
    </row>
    <row r="52" spans="1:9" ht="12.75" customHeight="1" x14ac:dyDescent="0.15">
      <c r="A52" s="1098" t="s">
        <v>17</v>
      </c>
      <c r="B52" s="1096">
        <f t="shared" si="7"/>
        <v>152</v>
      </c>
      <c r="C52" s="1100">
        <v>8</v>
      </c>
      <c r="D52" s="1100">
        <v>91</v>
      </c>
      <c r="E52" s="1100">
        <v>51</v>
      </c>
      <c r="F52" s="1100">
        <v>0</v>
      </c>
      <c r="G52" s="1100">
        <v>2</v>
      </c>
      <c r="H52" s="1100">
        <v>0</v>
      </c>
      <c r="I52" s="1100">
        <v>0</v>
      </c>
    </row>
    <row r="53" spans="1:9" ht="12.75" customHeight="1" x14ac:dyDescent="0.15">
      <c r="A53" s="1098" t="s">
        <v>18</v>
      </c>
      <c r="B53" s="1096">
        <f t="shared" si="7"/>
        <v>54</v>
      </c>
      <c r="C53" s="1100">
        <v>1</v>
      </c>
      <c r="D53" s="1100">
        <v>42</v>
      </c>
      <c r="E53" s="1100">
        <v>11</v>
      </c>
      <c r="F53" s="1100">
        <v>0</v>
      </c>
      <c r="G53" s="1100">
        <v>0</v>
      </c>
      <c r="H53" s="1100">
        <v>0</v>
      </c>
      <c r="I53" s="1100">
        <v>0</v>
      </c>
    </row>
    <row r="54" spans="1:9" ht="12.75" customHeight="1" x14ac:dyDescent="0.15">
      <c r="A54" s="1098" t="s">
        <v>19</v>
      </c>
      <c r="B54" s="1096">
        <f t="shared" si="7"/>
        <v>49</v>
      </c>
      <c r="C54" s="1100">
        <v>2</v>
      </c>
      <c r="D54" s="1100">
        <v>23</v>
      </c>
      <c r="E54" s="1100">
        <v>24</v>
      </c>
      <c r="F54" s="1100">
        <v>0</v>
      </c>
      <c r="G54" s="1100">
        <v>0</v>
      </c>
      <c r="H54" s="1100">
        <v>0</v>
      </c>
      <c r="I54" s="1100">
        <v>0</v>
      </c>
    </row>
    <row r="55" spans="1:9" ht="12.75" customHeight="1" x14ac:dyDescent="0.15">
      <c r="A55" s="1119" t="s">
        <v>2501</v>
      </c>
      <c r="B55" s="1096">
        <f>SUM(B56:B70)</f>
        <v>211</v>
      </c>
      <c r="C55" s="1099">
        <f t="shared" ref="C55:H55" si="8">SUM(C56:C70)</f>
        <v>211</v>
      </c>
      <c r="D55" s="1099">
        <f t="shared" si="8"/>
        <v>0</v>
      </c>
      <c r="E55" s="1099">
        <f t="shared" si="8"/>
        <v>0</v>
      </c>
      <c r="F55" s="1099">
        <f t="shared" si="8"/>
        <v>0</v>
      </c>
      <c r="G55" s="1099">
        <f t="shared" si="8"/>
        <v>0</v>
      </c>
      <c r="H55" s="1099">
        <f t="shared" si="8"/>
        <v>0</v>
      </c>
      <c r="I55" s="1099">
        <f>SUM(I56:I70)</f>
        <v>0</v>
      </c>
    </row>
    <row r="56" spans="1:9" ht="12.75" customHeight="1" x14ac:dyDescent="0.15">
      <c r="A56" s="1098" t="s">
        <v>5</v>
      </c>
      <c r="B56" s="1096">
        <f>SUM(C56:I56)</f>
        <v>0</v>
      </c>
      <c r="C56" s="1100">
        <v>0</v>
      </c>
      <c r="D56" s="1100">
        <v>0</v>
      </c>
      <c r="E56" s="1100">
        <v>0</v>
      </c>
      <c r="F56" s="1100">
        <v>0</v>
      </c>
      <c r="G56" s="1100">
        <v>0</v>
      </c>
      <c r="H56" s="1100">
        <v>0</v>
      </c>
      <c r="I56" s="1100">
        <v>0</v>
      </c>
    </row>
    <row r="57" spans="1:9" ht="12.75" customHeight="1" x14ac:dyDescent="0.15">
      <c r="A57" s="1098" t="s">
        <v>6</v>
      </c>
      <c r="B57" s="1096">
        <f t="shared" ref="B57:B70" si="9">SUM(C57:I57)</f>
        <v>2</v>
      </c>
      <c r="C57" s="1100">
        <v>2</v>
      </c>
      <c r="D57" s="1100">
        <v>0</v>
      </c>
      <c r="E57" s="1100">
        <v>0</v>
      </c>
      <c r="F57" s="1100">
        <v>0</v>
      </c>
      <c r="G57" s="1100">
        <v>0</v>
      </c>
      <c r="H57" s="1100">
        <v>0</v>
      </c>
      <c r="I57" s="1100">
        <v>0</v>
      </c>
    </row>
    <row r="58" spans="1:9" ht="12.75" customHeight="1" x14ac:dyDescent="0.15">
      <c r="A58" s="1098" t="s">
        <v>7</v>
      </c>
      <c r="B58" s="1096">
        <f t="shared" si="9"/>
        <v>3</v>
      </c>
      <c r="C58" s="1100">
        <v>3</v>
      </c>
      <c r="D58" s="1100">
        <v>0</v>
      </c>
      <c r="E58" s="1100">
        <v>0</v>
      </c>
      <c r="F58" s="1100">
        <v>0</v>
      </c>
      <c r="G58" s="1100">
        <v>0</v>
      </c>
      <c r="H58" s="1100">
        <v>0</v>
      </c>
      <c r="I58" s="1100">
        <v>0</v>
      </c>
    </row>
    <row r="59" spans="1:9" ht="12.75" customHeight="1" x14ac:dyDescent="0.15">
      <c r="A59" s="1098" t="s">
        <v>8</v>
      </c>
      <c r="B59" s="1096">
        <f t="shared" si="9"/>
        <v>8</v>
      </c>
      <c r="C59" s="1100">
        <v>8</v>
      </c>
      <c r="D59" s="1100">
        <v>0</v>
      </c>
      <c r="E59" s="1100">
        <v>0</v>
      </c>
      <c r="F59" s="1100">
        <v>0</v>
      </c>
      <c r="G59" s="1100">
        <v>0</v>
      </c>
      <c r="H59" s="1100">
        <v>0</v>
      </c>
      <c r="I59" s="1100">
        <v>0</v>
      </c>
    </row>
    <row r="60" spans="1:9" ht="12.75" customHeight="1" x14ac:dyDescent="0.15">
      <c r="A60" s="1098" t="s">
        <v>9</v>
      </c>
      <c r="B60" s="1096">
        <f t="shared" si="9"/>
        <v>7</v>
      </c>
      <c r="C60" s="1100">
        <v>7</v>
      </c>
      <c r="D60" s="1100">
        <v>0</v>
      </c>
      <c r="E60" s="1100">
        <v>0</v>
      </c>
      <c r="F60" s="1100">
        <v>0</v>
      </c>
      <c r="G60" s="1100">
        <v>0</v>
      </c>
      <c r="H60" s="1100">
        <v>0</v>
      </c>
      <c r="I60" s="1100">
        <v>0</v>
      </c>
    </row>
    <row r="61" spans="1:9" ht="12.75" customHeight="1" x14ac:dyDescent="0.15">
      <c r="A61" s="1098" t="s">
        <v>10</v>
      </c>
      <c r="B61" s="1096">
        <f t="shared" si="9"/>
        <v>34</v>
      </c>
      <c r="C61" s="1100">
        <v>34</v>
      </c>
      <c r="D61" s="1100">
        <v>0</v>
      </c>
      <c r="E61" s="1100">
        <v>0</v>
      </c>
      <c r="F61" s="1100">
        <v>0</v>
      </c>
      <c r="G61" s="1100">
        <v>0</v>
      </c>
      <c r="H61" s="1100">
        <v>0</v>
      </c>
      <c r="I61" s="1100">
        <v>0</v>
      </c>
    </row>
    <row r="62" spans="1:9" ht="12.75" customHeight="1" x14ac:dyDescent="0.15">
      <c r="A62" s="1098" t="s">
        <v>11</v>
      </c>
      <c r="B62" s="1096">
        <f t="shared" si="9"/>
        <v>42</v>
      </c>
      <c r="C62" s="1100">
        <v>42</v>
      </c>
      <c r="D62" s="1100">
        <v>0</v>
      </c>
      <c r="E62" s="1100">
        <v>0</v>
      </c>
      <c r="F62" s="1100">
        <v>0</v>
      </c>
      <c r="G62" s="1100">
        <v>0</v>
      </c>
      <c r="H62" s="1100">
        <v>0</v>
      </c>
      <c r="I62" s="1100">
        <v>0</v>
      </c>
    </row>
    <row r="63" spans="1:9" ht="12.75" customHeight="1" x14ac:dyDescent="0.15">
      <c r="A63" s="1098" t="s">
        <v>12</v>
      </c>
      <c r="B63" s="1096">
        <f t="shared" si="9"/>
        <v>24</v>
      </c>
      <c r="C63" s="1100">
        <v>24</v>
      </c>
      <c r="D63" s="1100">
        <v>0</v>
      </c>
      <c r="E63" s="1100">
        <v>0</v>
      </c>
      <c r="F63" s="1100">
        <v>0</v>
      </c>
      <c r="G63" s="1100">
        <v>0</v>
      </c>
      <c r="H63" s="1100">
        <v>0</v>
      </c>
      <c r="I63" s="1100">
        <v>0</v>
      </c>
    </row>
    <row r="64" spans="1:9" ht="12.75" customHeight="1" x14ac:dyDescent="0.15">
      <c r="A64" s="1098" t="s">
        <v>13</v>
      </c>
      <c r="B64" s="1096">
        <f t="shared" si="9"/>
        <v>16</v>
      </c>
      <c r="C64" s="1100">
        <v>16</v>
      </c>
      <c r="D64" s="1100">
        <v>0</v>
      </c>
      <c r="E64" s="1100">
        <v>0</v>
      </c>
      <c r="F64" s="1100">
        <v>0</v>
      </c>
      <c r="G64" s="1100">
        <v>0</v>
      </c>
      <c r="H64" s="1100">
        <v>0</v>
      </c>
      <c r="I64" s="1100">
        <v>0</v>
      </c>
    </row>
    <row r="65" spans="1:15" ht="12.75" customHeight="1" x14ac:dyDescent="0.15">
      <c r="A65" s="1098" t="s">
        <v>14</v>
      </c>
      <c r="B65" s="1096">
        <f t="shared" si="9"/>
        <v>43</v>
      </c>
      <c r="C65" s="1100">
        <v>43</v>
      </c>
      <c r="D65" s="1100">
        <v>0</v>
      </c>
      <c r="E65" s="1100">
        <v>0</v>
      </c>
      <c r="F65" s="1100">
        <v>0</v>
      </c>
      <c r="G65" s="1100">
        <v>0</v>
      </c>
      <c r="H65" s="1100">
        <v>0</v>
      </c>
      <c r="I65" s="1100">
        <v>0</v>
      </c>
    </row>
    <row r="66" spans="1:15" ht="12.75" customHeight="1" x14ac:dyDescent="0.15">
      <c r="A66" s="1098" t="s">
        <v>15</v>
      </c>
      <c r="B66" s="1096">
        <f t="shared" si="9"/>
        <v>18</v>
      </c>
      <c r="C66" s="1100">
        <v>18</v>
      </c>
      <c r="D66" s="1100">
        <v>0</v>
      </c>
      <c r="E66" s="1100">
        <v>0</v>
      </c>
      <c r="F66" s="1100">
        <v>0</v>
      </c>
      <c r="G66" s="1100">
        <v>0</v>
      </c>
      <c r="H66" s="1100">
        <v>0</v>
      </c>
      <c r="I66" s="1100">
        <v>0</v>
      </c>
    </row>
    <row r="67" spans="1:15" ht="12.75" customHeight="1" x14ac:dyDescent="0.15">
      <c r="A67" s="1098" t="s">
        <v>16</v>
      </c>
      <c r="B67" s="1096">
        <f t="shared" si="9"/>
        <v>3</v>
      </c>
      <c r="C67" s="1100">
        <v>3</v>
      </c>
      <c r="D67" s="1100">
        <v>0</v>
      </c>
      <c r="E67" s="1100">
        <v>0</v>
      </c>
      <c r="F67" s="1100">
        <v>0</v>
      </c>
      <c r="G67" s="1100">
        <v>0</v>
      </c>
      <c r="H67" s="1100">
        <v>0</v>
      </c>
      <c r="I67" s="1100">
        <v>0</v>
      </c>
    </row>
    <row r="68" spans="1:15" ht="12.75" customHeight="1" x14ac:dyDescent="0.15">
      <c r="A68" s="1098" t="s">
        <v>17</v>
      </c>
      <c r="B68" s="1096">
        <f t="shared" si="9"/>
        <v>6</v>
      </c>
      <c r="C68" s="1100">
        <v>6</v>
      </c>
      <c r="D68" s="1100">
        <v>0</v>
      </c>
      <c r="E68" s="1100">
        <v>0</v>
      </c>
      <c r="F68" s="1100">
        <v>0</v>
      </c>
      <c r="G68" s="1100">
        <v>0</v>
      </c>
      <c r="H68" s="1100">
        <v>0</v>
      </c>
      <c r="I68" s="1100">
        <v>0</v>
      </c>
    </row>
    <row r="69" spans="1:15" ht="12.75" customHeight="1" x14ac:dyDescent="0.15">
      <c r="A69" s="1098" t="s">
        <v>18</v>
      </c>
      <c r="B69" s="1096">
        <f t="shared" si="9"/>
        <v>4</v>
      </c>
      <c r="C69" s="1100">
        <v>4</v>
      </c>
      <c r="D69" s="1100">
        <v>0</v>
      </c>
      <c r="E69" s="1100">
        <v>0</v>
      </c>
      <c r="F69" s="1100">
        <v>0</v>
      </c>
      <c r="G69" s="1100">
        <v>0</v>
      </c>
      <c r="H69" s="1100">
        <v>0</v>
      </c>
      <c r="I69" s="1100">
        <v>0</v>
      </c>
    </row>
    <row r="70" spans="1:15" ht="12.75" customHeight="1" x14ac:dyDescent="0.15">
      <c r="A70" s="1098" t="s">
        <v>19</v>
      </c>
      <c r="B70" s="1096">
        <f t="shared" si="9"/>
        <v>1</v>
      </c>
      <c r="C70" s="1100">
        <v>1</v>
      </c>
      <c r="D70" s="1100">
        <v>0</v>
      </c>
      <c r="E70" s="1100">
        <v>0</v>
      </c>
      <c r="F70" s="1100">
        <v>0</v>
      </c>
      <c r="G70" s="1100">
        <v>0</v>
      </c>
      <c r="H70" s="1100">
        <v>0</v>
      </c>
      <c r="I70" s="1100">
        <v>0</v>
      </c>
    </row>
    <row r="71" spans="1:15" ht="6.75" customHeight="1" x14ac:dyDescent="0.15">
      <c r="A71" s="1104"/>
      <c r="B71" s="1104"/>
      <c r="C71" s="1104"/>
      <c r="D71" s="1104"/>
      <c r="E71" s="1104"/>
      <c r="F71" s="1104"/>
      <c r="G71" s="1104"/>
      <c r="H71" s="1104"/>
      <c r="I71" s="1104"/>
    </row>
    <row r="72" spans="1:15" ht="11.25" customHeight="1" x14ac:dyDescent="0.15">
      <c r="A72" s="3078" t="s">
        <v>2475</v>
      </c>
      <c r="B72" s="3078"/>
      <c r="C72" s="3078"/>
      <c r="D72" s="3078"/>
      <c r="E72" s="3078"/>
      <c r="F72" s="3078"/>
      <c r="G72" s="3078"/>
      <c r="H72" s="3078"/>
      <c r="I72" s="3078"/>
      <c r="J72" s="1104"/>
      <c r="K72" s="1104"/>
      <c r="L72" s="1104"/>
      <c r="M72" s="1104"/>
      <c r="N72" s="1104"/>
      <c r="O72" s="1104"/>
    </row>
    <row r="73" spans="1:15" ht="22.5" customHeight="1" x14ac:dyDescent="0.15">
      <c r="A73" s="3078" t="s">
        <v>2476</v>
      </c>
      <c r="B73" s="3078"/>
      <c r="C73" s="3078"/>
      <c r="D73" s="3078"/>
      <c r="E73" s="3078"/>
      <c r="F73" s="3078"/>
      <c r="G73" s="3078"/>
      <c r="H73" s="3078"/>
      <c r="I73" s="3078"/>
      <c r="J73" s="1104"/>
      <c r="K73" s="1104"/>
      <c r="L73" s="1104"/>
      <c r="M73" s="1104"/>
      <c r="N73" s="1104"/>
      <c r="O73" s="1104"/>
    </row>
    <row r="74" spans="1:15" ht="11.25" customHeight="1" x14ac:dyDescent="0.15">
      <c r="A74" s="3078" t="s">
        <v>2502</v>
      </c>
      <c r="B74" s="3078"/>
      <c r="C74" s="3078"/>
      <c r="D74" s="3078"/>
      <c r="E74" s="3078"/>
      <c r="F74" s="3078"/>
      <c r="G74" s="3078"/>
      <c r="H74" s="3078"/>
      <c r="I74" s="3078"/>
      <c r="J74" s="1104"/>
      <c r="K74" s="1104"/>
      <c r="L74" s="1104"/>
      <c r="M74" s="1104"/>
      <c r="N74" s="1104"/>
      <c r="O74" s="1104"/>
    </row>
    <row r="75" spans="1:15" ht="11.25" customHeight="1" x14ac:dyDescent="0.15">
      <c r="A75" s="3079" t="s">
        <v>20</v>
      </c>
      <c r="B75" s="3079"/>
      <c r="C75" s="3079"/>
      <c r="D75" s="3079"/>
      <c r="E75" s="3079"/>
      <c r="F75" s="3079"/>
      <c r="G75" s="3079"/>
      <c r="H75" s="3079"/>
      <c r="I75" s="3079"/>
    </row>
    <row r="76" spans="1:15" ht="11.25" customHeight="1" x14ac:dyDescent="0.15">
      <c r="A76" s="3082" t="s">
        <v>2478</v>
      </c>
      <c r="B76" s="3082"/>
      <c r="C76" s="3082"/>
      <c r="D76" s="3082"/>
      <c r="E76" s="3082"/>
      <c r="F76" s="3082"/>
      <c r="G76" s="3082"/>
      <c r="H76" s="3082"/>
      <c r="I76" s="3082"/>
    </row>
    <row r="77" spans="1:15" ht="7.15" customHeight="1" x14ac:dyDescent="0.15">
      <c r="A77" s="1104"/>
      <c r="B77" s="1104"/>
      <c r="C77" s="1104"/>
      <c r="D77" s="1104"/>
      <c r="E77" s="1104"/>
      <c r="F77" s="1104"/>
      <c r="G77" s="1104"/>
      <c r="H77" s="1104"/>
      <c r="I77" s="1104"/>
    </row>
  </sheetData>
  <mergeCells count="10">
    <mergeCell ref="A73:I73"/>
    <mergeCell ref="A74:I74"/>
    <mergeCell ref="A75:I75"/>
    <mergeCell ref="A76:I76"/>
    <mergeCell ref="A2:I2"/>
    <mergeCell ref="A3:I3"/>
    <mergeCell ref="A4:A6"/>
    <mergeCell ref="B4:I4"/>
    <mergeCell ref="C5:I5"/>
    <mergeCell ref="A72:I72"/>
  </mergeCells>
  <conditionalFormatting sqref="B7:I70">
    <cfRule type="expression" dxfId="13"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outlinePr summaryBelow="0" summaryRight="0"/>
  </sheetPr>
  <dimension ref="A1:P60"/>
  <sheetViews>
    <sheetView workbookViewId="0">
      <selection activeCell="K11" sqref="K11"/>
    </sheetView>
  </sheetViews>
  <sheetFormatPr baseColWidth="10" defaultColWidth="9.140625" defaultRowHeight="10.5" x14ac:dyDescent="0.15"/>
  <cols>
    <col min="1" max="1" width="31.42578125" style="1105" customWidth="1"/>
    <col min="2" max="2" width="10.85546875" style="1105" customWidth="1"/>
    <col min="3" max="7" width="15.140625" style="1105" customWidth="1"/>
    <col min="8" max="8" width="9" style="1105" customWidth="1"/>
    <col min="9" max="11" width="11.42578125" style="1105" customWidth="1"/>
    <col min="12" max="254" width="9.140625" style="1105"/>
    <col min="255" max="255" width="31.42578125" style="1105" customWidth="1"/>
    <col min="256" max="256" width="10.85546875" style="1105" customWidth="1"/>
    <col min="257" max="261" width="15.140625" style="1105" customWidth="1"/>
    <col min="262" max="262" width="14.85546875" style="1105" customWidth="1"/>
    <col min="263" max="510" width="9.140625" style="1105"/>
    <col min="511" max="511" width="31.42578125" style="1105" customWidth="1"/>
    <col min="512" max="512" width="10.85546875" style="1105" customWidth="1"/>
    <col min="513" max="517" width="15.140625" style="1105" customWidth="1"/>
    <col min="518" max="518" width="14.85546875" style="1105" customWidth="1"/>
    <col min="519" max="766" width="9.140625" style="1105"/>
    <col min="767" max="767" width="31.42578125" style="1105" customWidth="1"/>
    <col min="768" max="768" width="10.85546875" style="1105" customWidth="1"/>
    <col min="769" max="773" width="15.140625" style="1105" customWidth="1"/>
    <col min="774" max="774" width="14.85546875" style="1105" customWidth="1"/>
    <col min="775" max="1022" width="9.140625" style="1105"/>
    <col min="1023" max="1023" width="31.42578125" style="1105" customWidth="1"/>
    <col min="1024" max="1024" width="10.85546875" style="1105" customWidth="1"/>
    <col min="1025" max="1029" width="15.140625" style="1105" customWidth="1"/>
    <col min="1030" max="1030" width="14.85546875" style="1105" customWidth="1"/>
    <col min="1031" max="1278" width="9.140625" style="1105"/>
    <col min="1279" max="1279" width="31.42578125" style="1105" customWidth="1"/>
    <col min="1280" max="1280" width="10.85546875" style="1105" customWidth="1"/>
    <col min="1281" max="1285" width="15.140625" style="1105" customWidth="1"/>
    <col min="1286" max="1286" width="14.85546875" style="1105" customWidth="1"/>
    <col min="1287" max="1534" width="9.140625" style="1105"/>
    <col min="1535" max="1535" width="31.42578125" style="1105" customWidth="1"/>
    <col min="1536" max="1536" width="10.85546875" style="1105" customWidth="1"/>
    <col min="1537" max="1541" width="15.140625" style="1105" customWidth="1"/>
    <col min="1542" max="1542" width="14.85546875" style="1105" customWidth="1"/>
    <col min="1543" max="1790" width="9.140625" style="1105"/>
    <col min="1791" max="1791" width="31.42578125" style="1105" customWidth="1"/>
    <col min="1792" max="1792" width="10.85546875" style="1105" customWidth="1"/>
    <col min="1793" max="1797" width="15.140625" style="1105" customWidth="1"/>
    <col min="1798" max="1798" width="14.85546875" style="1105" customWidth="1"/>
    <col min="1799" max="2046" width="9.140625" style="1105"/>
    <col min="2047" max="2047" width="31.42578125" style="1105" customWidth="1"/>
    <col min="2048" max="2048" width="10.85546875" style="1105" customWidth="1"/>
    <col min="2049" max="2053" width="15.140625" style="1105" customWidth="1"/>
    <col min="2054" max="2054" width="14.85546875" style="1105" customWidth="1"/>
    <col min="2055" max="2302" width="9.140625" style="1105"/>
    <col min="2303" max="2303" width="31.42578125" style="1105" customWidth="1"/>
    <col min="2304" max="2304" width="10.85546875" style="1105" customWidth="1"/>
    <col min="2305" max="2309" width="15.140625" style="1105" customWidth="1"/>
    <col min="2310" max="2310" width="14.85546875" style="1105" customWidth="1"/>
    <col min="2311" max="2558" width="9.140625" style="1105"/>
    <col min="2559" max="2559" width="31.42578125" style="1105" customWidth="1"/>
    <col min="2560" max="2560" width="10.85546875" style="1105" customWidth="1"/>
    <col min="2561" max="2565" width="15.140625" style="1105" customWidth="1"/>
    <col min="2566" max="2566" width="14.85546875" style="1105" customWidth="1"/>
    <col min="2567" max="2814" width="9.140625" style="1105"/>
    <col min="2815" max="2815" width="31.42578125" style="1105" customWidth="1"/>
    <col min="2816" max="2816" width="10.85546875" style="1105" customWidth="1"/>
    <col min="2817" max="2821" width="15.140625" style="1105" customWidth="1"/>
    <col min="2822" max="2822" width="14.85546875" style="1105" customWidth="1"/>
    <col min="2823" max="3070" width="9.140625" style="1105"/>
    <col min="3071" max="3071" width="31.42578125" style="1105" customWidth="1"/>
    <col min="3072" max="3072" width="10.85546875" style="1105" customWidth="1"/>
    <col min="3073" max="3077" width="15.140625" style="1105" customWidth="1"/>
    <col min="3078" max="3078" width="14.85546875" style="1105" customWidth="1"/>
    <col min="3079" max="3326" width="9.140625" style="1105"/>
    <col min="3327" max="3327" width="31.42578125" style="1105" customWidth="1"/>
    <col min="3328" max="3328" width="10.85546875" style="1105" customWidth="1"/>
    <col min="3329" max="3333" width="15.140625" style="1105" customWidth="1"/>
    <col min="3334" max="3334" width="14.85546875" style="1105" customWidth="1"/>
    <col min="3335" max="3582" width="9.140625" style="1105"/>
    <col min="3583" max="3583" width="31.42578125" style="1105" customWidth="1"/>
    <col min="3584" max="3584" width="10.85546875" style="1105" customWidth="1"/>
    <col min="3585" max="3589" width="15.140625" style="1105" customWidth="1"/>
    <col min="3590" max="3590" width="14.85546875" style="1105" customWidth="1"/>
    <col min="3591" max="3838" width="9.140625" style="1105"/>
    <col min="3839" max="3839" width="31.42578125" style="1105" customWidth="1"/>
    <col min="3840" max="3840" width="10.85546875" style="1105" customWidth="1"/>
    <col min="3841" max="3845" width="15.140625" style="1105" customWidth="1"/>
    <col min="3846" max="3846" width="14.85546875" style="1105" customWidth="1"/>
    <col min="3847" max="4094" width="9.140625" style="1105"/>
    <col min="4095" max="4095" width="31.42578125" style="1105" customWidth="1"/>
    <col min="4096" max="4096" width="10.85546875" style="1105" customWidth="1"/>
    <col min="4097" max="4101" width="15.140625" style="1105" customWidth="1"/>
    <col min="4102" max="4102" width="14.85546875" style="1105" customWidth="1"/>
    <col min="4103" max="4350" width="9.140625" style="1105"/>
    <col min="4351" max="4351" width="31.42578125" style="1105" customWidth="1"/>
    <col min="4352" max="4352" width="10.85546875" style="1105" customWidth="1"/>
    <col min="4353" max="4357" width="15.140625" style="1105" customWidth="1"/>
    <col min="4358" max="4358" width="14.85546875" style="1105" customWidth="1"/>
    <col min="4359" max="4606" width="9.140625" style="1105"/>
    <col min="4607" max="4607" width="31.42578125" style="1105" customWidth="1"/>
    <col min="4608" max="4608" width="10.85546875" style="1105" customWidth="1"/>
    <col min="4609" max="4613" width="15.140625" style="1105" customWidth="1"/>
    <col min="4614" max="4614" width="14.85546875" style="1105" customWidth="1"/>
    <col min="4615" max="4862" width="9.140625" style="1105"/>
    <col min="4863" max="4863" width="31.42578125" style="1105" customWidth="1"/>
    <col min="4864" max="4864" width="10.85546875" style="1105" customWidth="1"/>
    <col min="4865" max="4869" width="15.140625" style="1105" customWidth="1"/>
    <col min="4870" max="4870" width="14.85546875" style="1105" customWidth="1"/>
    <col min="4871" max="5118" width="9.140625" style="1105"/>
    <col min="5119" max="5119" width="31.42578125" style="1105" customWidth="1"/>
    <col min="5120" max="5120" width="10.85546875" style="1105" customWidth="1"/>
    <col min="5121" max="5125" width="15.140625" style="1105" customWidth="1"/>
    <col min="5126" max="5126" width="14.85546875" style="1105" customWidth="1"/>
    <col min="5127" max="5374" width="9.140625" style="1105"/>
    <col min="5375" max="5375" width="31.42578125" style="1105" customWidth="1"/>
    <col min="5376" max="5376" width="10.85546875" style="1105" customWidth="1"/>
    <col min="5377" max="5381" width="15.140625" style="1105" customWidth="1"/>
    <col min="5382" max="5382" width="14.85546875" style="1105" customWidth="1"/>
    <col min="5383" max="5630" width="9.140625" style="1105"/>
    <col min="5631" max="5631" width="31.42578125" style="1105" customWidth="1"/>
    <col min="5632" max="5632" width="10.85546875" style="1105" customWidth="1"/>
    <col min="5633" max="5637" width="15.140625" style="1105" customWidth="1"/>
    <col min="5638" max="5638" width="14.85546875" style="1105" customWidth="1"/>
    <col min="5639" max="5886" width="9.140625" style="1105"/>
    <col min="5887" max="5887" width="31.42578125" style="1105" customWidth="1"/>
    <col min="5888" max="5888" width="10.85546875" style="1105" customWidth="1"/>
    <col min="5889" max="5893" width="15.140625" style="1105" customWidth="1"/>
    <col min="5894" max="5894" width="14.85546875" style="1105" customWidth="1"/>
    <col min="5895" max="6142" width="9.140625" style="1105"/>
    <col min="6143" max="6143" width="31.42578125" style="1105" customWidth="1"/>
    <col min="6144" max="6144" width="10.85546875" style="1105" customWidth="1"/>
    <col min="6145" max="6149" width="15.140625" style="1105" customWidth="1"/>
    <col min="6150" max="6150" width="14.85546875" style="1105" customWidth="1"/>
    <col min="6151" max="6398" width="9.140625" style="1105"/>
    <col min="6399" max="6399" width="31.42578125" style="1105" customWidth="1"/>
    <col min="6400" max="6400" width="10.85546875" style="1105" customWidth="1"/>
    <col min="6401" max="6405" width="15.140625" style="1105" customWidth="1"/>
    <col min="6406" max="6406" width="14.85546875" style="1105" customWidth="1"/>
    <col min="6407" max="6654" width="9.140625" style="1105"/>
    <col min="6655" max="6655" width="31.42578125" style="1105" customWidth="1"/>
    <col min="6656" max="6656" width="10.85546875" style="1105" customWidth="1"/>
    <col min="6657" max="6661" width="15.140625" style="1105" customWidth="1"/>
    <col min="6662" max="6662" width="14.85546875" style="1105" customWidth="1"/>
    <col min="6663" max="6910" width="9.140625" style="1105"/>
    <col min="6911" max="6911" width="31.42578125" style="1105" customWidth="1"/>
    <col min="6912" max="6912" width="10.85546875" style="1105" customWidth="1"/>
    <col min="6913" max="6917" width="15.140625" style="1105" customWidth="1"/>
    <col min="6918" max="6918" width="14.85546875" style="1105" customWidth="1"/>
    <col min="6919" max="7166" width="9.140625" style="1105"/>
    <col min="7167" max="7167" width="31.42578125" style="1105" customWidth="1"/>
    <col min="7168" max="7168" width="10.85546875" style="1105" customWidth="1"/>
    <col min="7169" max="7173" width="15.140625" style="1105" customWidth="1"/>
    <col min="7174" max="7174" width="14.85546875" style="1105" customWidth="1"/>
    <col min="7175" max="7422" width="9.140625" style="1105"/>
    <col min="7423" max="7423" width="31.42578125" style="1105" customWidth="1"/>
    <col min="7424" max="7424" width="10.85546875" style="1105" customWidth="1"/>
    <col min="7425" max="7429" width="15.140625" style="1105" customWidth="1"/>
    <col min="7430" max="7430" width="14.85546875" style="1105" customWidth="1"/>
    <col min="7431" max="7678" width="9.140625" style="1105"/>
    <col min="7679" max="7679" width="31.42578125" style="1105" customWidth="1"/>
    <col min="7680" max="7680" width="10.85546875" style="1105" customWidth="1"/>
    <col min="7681" max="7685" width="15.140625" style="1105" customWidth="1"/>
    <col min="7686" max="7686" width="14.85546875" style="1105" customWidth="1"/>
    <col min="7687" max="7934" width="9.140625" style="1105"/>
    <col min="7935" max="7935" width="31.42578125" style="1105" customWidth="1"/>
    <col min="7936" max="7936" width="10.85546875" style="1105" customWidth="1"/>
    <col min="7937" max="7941" width="15.140625" style="1105" customWidth="1"/>
    <col min="7942" max="7942" width="14.85546875" style="1105" customWidth="1"/>
    <col min="7943" max="8190" width="9.140625" style="1105"/>
    <col min="8191" max="8191" width="31.42578125" style="1105" customWidth="1"/>
    <col min="8192" max="8192" width="10.85546875" style="1105" customWidth="1"/>
    <col min="8193" max="8197" width="15.140625" style="1105" customWidth="1"/>
    <col min="8198" max="8198" width="14.85546875" style="1105" customWidth="1"/>
    <col min="8199" max="8446" width="9.140625" style="1105"/>
    <col min="8447" max="8447" width="31.42578125" style="1105" customWidth="1"/>
    <col min="8448" max="8448" width="10.85546875" style="1105" customWidth="1"/>
    <col min="8449" max="8453" width="15.140625" style="1105" customWidth="1"/>
    <col min="8454" max="8454" width="14.85546875" style="1105" customWidth="1"/>
    <col min="8455" max="8702" width="9.140625" style="1105"/>
    <col min="8703" max="8703" width="31.42578125" style="1105" customWidth="1"/>
    <col min="8704" max="8704" width="10.85546875" style="1105" customWidth="1"/>
    <col min="8705" max="8709" width="15.140625" style="1105" customWidth="1"/>
    <col min="8710" max="8710" width="14.85546875" style="1105" customWidth="1"/>
    <col min="8711" max="8958" width="9.140625" style="1105"/>
    <col min="8959" max="8959" width="31.42578125" style="1105" customWidth="1"/>
    <col min="8960" max="8960" width="10.85546875" style="1105" customWidth="1"/>
    <col min="8961" max="8965" width="15.140625" style="1105" customWidth="1"/>
    <col min="8966" max="8966" width="14.85546875" style="1105" customWidth="1"/>
    <col min="8967" max="9214" width="9.140625" style="1105"/>
    <col min="9215" max="9215" width="31.42578125" style="1105" customWidth="1"/>
    <col min="9216" max="9216" width="10.85546875" style="1105" customWidth="1"/>
    <col min="9217" max="9221" width="15.140625" style="1105" customWidth="1"/>
    <col min="9222" max="9222" width="14.85546875" style="1105" customWidth="1"/>
    <col min="9223" max="9470" width="9.140625" style="1105"/>
    <col min="9471" max="9471" width="31.42578125" style="1105" customWidth="1"/>
    <col min="9472" max="9472" width="10.85546875" style="1105" customWidth="1"/>
    <col min="9473" max="9477" width="15.140625" style="1105" customWidth="1"/>
    <col min="9478" max="9478" width="14.85546875" style="1105" customWidth="1"/>
    <col min="9479" max="9726" width="9.140625" style="1105"/>
    <col min="9727" max="9727" width="31.42578125" style="1105" customWidth="1"/>
    <col min="9728" max="9728" width="10.85546875" style="1105" customWidth="1"/>
    <col min="9729" max="9733" width="15.140625" style="1105" customWidth="1"/>
    <col min="9734" max="9734" width="14.85546875" style="1105" customWidth="1"/>
    <col min="9735" max="9982" width="9.140625" style="1105"/>
    <col min="9983" max="9983" width="31.42578125" style="1105" customWidth="1"/>
    <col min="9984" max="9984" width="10.85546875" style="1105" customWidth="1"/>
    <col min="9985" max="9989" width="15.140625" style="1105" customWidth="1"/>
    <col min="9990" max="9990" width="14.85546875" style="1105" customWidth="1"/>
    <col min="9991" max="10238" width="9.140625" style="1105"/>
    <col min="10239" max="10239" width="31.42578125" style="1105" customWidth="1"/>
    <col min="10240" max="10240" width="10.85546875" style="1105" customWidth="1"/>
    <col min="10241" max="10245" width="15.140625" style="1105" customWidth="1"/>
    <col min="10246" max="10246" width="14.85546875" style="1105" customWidth="1"/>
    <col min="10247" max="10494" width="9.140625" style="1105"/>
    <col min="10495" max="10495" width="31.42578125" style="1105" customWidth="1"/>
    <col min="10496" max="10496" width="10.85546875" style="1105" customWidth="1"/>
    <col min="10497" max="10501" width="15.140625" style="1105" customWidth="1"/>
    <col min="10502" max="10502" width="14.85546875" style="1105" customWidth="1"/>
    <col min="10503" max="10750" width="9.140625" style="1105"/>
    <col min="10751" max="10751" width="31.42578125" style="1105" customWidth="1"/>
    <col min="10752" max="10752" width="10.85546875" style="1105" customWidth="1"/>
    <col min="10753" max="10757" width="15.140625" style="1105" customWidth="1"/>
    <col min="10758" max="10758" width="14.85546875" style="1105" customWidth="1"/>
    <col min="10759" max="11006" width="9.140625" style="1105"/>
    <col min="11007" max="11007" width="31.42578125" style="1105" customWidth="1"/>
    <col min="11008" max="11008" width="10.85546875" style="1105" customWidth="1"/>
    <col min="11009" max="11013" width="15.140625" style="1105" customWidth="1"/>
    <col min="11014" max="11014" width="14.85546875" style="1105" customWidth="1"/>
    <col min="11015" max="11262" width="9.140625" style="1105"/>
    <col min="11263" max="11263" width="31.42578125" style="1105" customWidth="1"/>
    <col min="11264" max="11264" width="10.85546875" style="1105" customWidth="1"/>
    <col min="11265" max="11269" width="15.140625" style="1105" customWidth="1"/>
    <col min="11270" max="11270" width="14.85546875" style="1105" customWidth="1"/>
    <col min="11271" max="11518" width="9.140625" style="1105"/>
    <col min="11519" max="11519" width="31.42578125" style="1105" customWidth="1"/>
    <col min="11520" max="11520" width="10.85546875" style="1105" customWidth="1"/>
    <col min="11521" max="11525" width="15.140625" style="1105" customWidth="1"/>
    <col min="11526" max="11526" width="14.85546875" style="1105" customWidth="1"/>
    <col min="11527" max="11774" width="9.140625" style="1105"/>
    <col min="11775" max="11775" width="31.42578125" style="1105" customWidth="1"/>
    <col min="11776" max="11776" width="10.85546875" style="1105" customWidth="1"/>
    <col min="11777" max="11781" width="15.140625" style="1105" customWidth="1"/>
    <col min="11782" max="11782" width="14.85546875" style="1105" customWidth="1"/>
    <col min="11783" max="12030" width="9.140625" style="1105"/>
    <col min="12031" max="12031" width="31.42578125" style="1105" customWidth="1"/>
    <col min="12032" max="12032" width="10.85546875" style="1105" customWidth="1"/>
    <col min="12033" max="12037" width="15.140625" style="1105" customWidth="1"/>
    <col min="12038" max="12038" width="14.85546875" style="1105" customWidth="1"/>
    <col min="12039" max="12286" width="9.140625" style="1105"/>
    <col min="12287" max="12287" width="31.42578125" style="1105" customWidth="1"/>
    <col min="12288" max="12288" width="10.85546875" style="1105" customWidth="1"/>
    <col min="12289" max="12293" width="15.140625" style="1105" customWidth="1"/>
    <col min="12294" max="12294" width="14.85546875" style="1105" customWidth="1"/>
    <col min="12295" max="12542" width="9.140625" style="1105"/>
    <col min="12543" max="12543" width="31.42578125" style="1105" customWidth="1"/>
    <col min="12544" max="12544" width="10.85546875" style="1105" customWidth="1"/>
    <col min="12545" max="12549" width="15.140625" style="1105" customWidth="1"/>
    <col min="12550" max="12550" width="14.85546875" style="1105" customWidth="1"/>
    <col min="12551" max="12798" width="9.140625" style="1105"/>
    <col min="12799" max="12799" width="31.42578125" style="1105" customWidth="1"/>
    <col min="12800" max="12800" width="10.85546875" style="1105" customWidth="1"/>
    <col min="12801" max="12805" width="15.140625" style="1105" customWidth="1"/>
    <col min="12806" max="12806" width="14.85546875" style="1105" customWidth="1"/>
    <col min="12807" max="13054" width="9.140625" style="1105"/>
    <col min="13055" max="13055" width="31.42578125" style="1105" customWidth="1"/>
    <col min="13056" max="13056" width="10.85546875" style="1105" customWidth="1"/>
    <col min="13057" max="13061" width="15.140625" style="1105" customWidth="1"/>
    <col min="13062" max="13062" width="14.85546875" style="1105" customWidth="1"/>
    <col min="13063" max="13310" width="9.140625" style="1105"/>
    <col min="13311" max="13311" width="31.42578125" style="1105" customWidth="1"/>
    <col min="13312" max="13312" width="10.85546875" style="1105" customWidth="1"/>
    <col min="13313" max="13317" width="15.140625" style="1105" customWidth="1"/>
    <col min="13318" max="13318" width="14.85546875" style="1105" customWidth="1"/>
    <col min="13319" max="13566" width="9.140625" style="1105"/>
    <col min="13567" max="13567" width="31.42578125" style="1105" customWidth="1"/>
    <col min="13568" max="13568" width="10.85546875" style="1105" customWidth="1"/>
    <col min="13569" max="13573" width="15.140625" style="1105" customWidth="1"/>
    <col min="13574" max="13574" width="14.85546875" style="1105" customWidth="1"/>
    <col min="13575" max="13822" width="9.140625" style="1105"/>
    <col min="13823" max="13823" width="31.42578125" style="1105" customWidth="1"/>
    <col min="13824" max="13824" width="10.85546875" style="1105" customWidth="1"/>
    <col min="13825" max="13829" width="15.140625" style="1105" customWidth="1"/>
    <col min="13830" max="13830" width="14.85546875" style="1105" customWidth="1"/>
    <col min="13831" max="14078" width="9.140625" style="1105"/>
    <col min="14079" max="14079" width="31.42578125" style="1105" customWidth="1"/>
    <col min="14080" max="14080" width="10.85546875" style="1105" customWidth="1"/>
    <col min="14081" max="14085" width="15.140625" style="1105" customWidth="1"/>
    <col min="14086" max="14086" width="14.85546875" style="1105" customWidth="1"/>
    <col min="14087" max="14334" width="9.140625" style="1105"/>
    <col min="14335" max="14335" width="31.42578125" style="1105" customWidth="1"/>
    <col min="14336" max="14336" width="10.85546875" style="1105" customWidth="1"/>
    <col min="14337" max="14341" width="15.140625" style="1105" customWidth="1"/>
    <col min="14342" max="14342" width="14.85546875" style="1105" customWidth="1"/>
    <col min="14343" max="14590" width="9.140625" style="1105"/>
    <col min="14591" max="14591" width="31.42578125" style="1105" customWidth="1"/>
    <col min="14592" max="14592" width="10.85546875" style="1105" customWidth="1"/>
    <col min="14593" max="14597" width="15.140625" style="1105" customWidth="1"/>
    <col min="14598" max="14598" width="14.85546875" style="1105" customWidth="1"/>
    <col min="14599" max="14846" width="9.140625" style="1105"/>
    <col min="14847" max="14847" width="31.42578125" style="1105" customWidth="1"/>
    <col min="14848" max="14848" width="10.85546875" style="1105" customWidth="1"/>
    <col min="14849" max="14853" width="15.140625" style="1105" customWidth="1"/>
    <col min="14854" max="14854" width="14.85546875" style="1105" customWidth="1"/>
    <col min="14855" max="15102" width="9.140625" style="1105"/>
    <col min="15103" max="15103" width="31.42578125" style="1105" customWidth="1"/>
    <col min="15104" max="15104" width="10.85546875" style="1105" customWidth="1"/>
    <col min="15105" max="15109" width="15.140625" style="1105" customWidth="1"/>
    <col min="15110" max="15110" width="14.85546875" style="1105" customWidth="1"/>
    <col min="15111" max="15358" width="9.140625" style="1105"/>
    <col min="15359" max="15359" width="31.42578125" style="1105" customWidth="1"/>
    <col min="15360" max="15360" width="10.85546875" style="1105" customWidth="1"/>
    <col min="15361" max="15365" width="15.140625" style="1105" customWidth="1"/>
    <col min="15366" max="15366" width="14.85546875" style="1105" customWidth="1"/>
    <col min="15367" max="15614" width="9.140625" style="1105"/>
    <col min="15615" max="15615" width="31.42578125" style="1105" customWidth="1"/>
    <col min="15616" max="15616" width="10.85546875" style="1105" customWidth="1"/>
    <col min="15617" max="15621" width="15.140625" style="1105" customWidth="1"/>
    <col min="15622" max="15622" width="14.85546875" style="1105" customWidth="1"/>
    <col min="15623" max="15870" width="9.140625" style="1105"/>
    <col min="15871" max="15871" width="31.42578125" style="1105" customWidth="1"/>
    <col min="15872" max="15872" width="10.85546875" style="1105" customWidth="1"/>
    <col min="15873" max="15877" width="15.140625" style="1105" customWidth="1"/>
    <col min="15878" max="15878" width="14.85546875" style="1105" customWidth="1"/>
    <col min="15879" max="16126" width="9.140625" style="1105"/>
    <col min="16127" max="16127" width="31.42578125" style="1105" customWidth="1"/>
    <col min="16128" max="16128" width="10.85546875" style="1105" customWidth="1"/>
    <col min="16129" max="16133" width="15.140625" style="1105" customWidth="1"/>
    <col min="16134" max="16134" width="14.85546875" style="1105" customWidth="1"/>
    <col min="16135" max="16384" width="9.140625" style="1105"/>
  </cols>
  <sheetData>
    <row r="1" spans="1:8" x14ac:dyDescent="0.15">
      <c r="A1" s="1104"/>
      <c r="B1" s="1104"/>
      <c r="C1" s="1104"/>
      <c r="D1" s="1104"/>
      <c r="E1" s="1104"/>
      <c r="F1" s="1104"/>
      <c r="G1" s="1104"/>
      <c r="H1" s="1104"/>
    </row>
    <row r="2" spans="1:8" ht="24.75" customHeight="1" x14ac:dyDescent="0.15">
      <c r="A2" s="3064" t="s">
        <v>2503</v>
      </c>
      <c r="B2" s="3064"/>
      <c r="C2" s="3064"/>
      <c r="D2" s="3064"/>
      <c r="E2" s="3064"/>
      <c r="F2" s="3064"/>
      <c r="G2" s="3064"/>
      <c r="H2" s="1120"/>
    </row>
    <row r="3" spans="1:8" ht="11.25" customHeight="1" x14ac:dyDescent="0.15">
      <c r="A3" s="3065"/>
      <c r="B3" s="3065"/>
      <c r="C3" s="3065"/>
      <c r="D3" s="3065"/>
      <c r="E3" s="3065"/>
      <c r="F3" s="3065"/>
      <c r="G3" s="3065"/>
      <c r="H3" s="1095"/>
    </row>
    <row r="4" spans="1:8" s="1122" customFormat="1" x14ac:dyDescent="0.15">
      <c r="A4" s="3066" t="s">
        <v>2504</v>
      </c>
      <c r="B4" s="3083" t="s">
        <v>2464</v>
      </c>
      <c r="C4" s="3083"/>
      <c r="D4" s="3083"/>
      <c r="E4" s="3083"/>
      <c r="F4" s="3083"/>
      <c r="G4" s="3072" t="s">
        <v>2505</v>
      </c>
      <c r="H4" s="1121"/>
    </row>
    <row r="5" spans="1:8" x14ac:dyDescent="0.15">
      <c r="A5" s="3067"/>
      <c r="B5" s="3072" t="s">
        <v>2493</v>
      </c>
      <c r="C5" s="3074" t="s">
        <v>2506</v>
      </c>
      <c r="D5" s="3074"/>
      <c r="E5" s="3074"/>
      <c r="F5" s="3074"/>
      <c r="G5" s="3084"/>
      <c r="H5" s="1121"/>
    </row>
    <row r="6" spans="1:8" s="1109" customFormat="1" ht="20.25" customHeight="1" x14ac:dyDescent="0.25">
      <c r="A6" s="3068"/>
      <c r="B6" s="3073"/>
      <c r="C6" s="1106" t="s">
        <v>2507</v>
      </c>
      <c r="D6" s="1106" t="s">
        <v>2508</v>
      </c>
      <c r="E6" s="1106" t="s">
        <v>2509</v>
      </c>
      <c r="F6" s="1106">
        <v>24</v>
      </c>
      <c r="G6" s="3073"/>
      <c r="H6" s="1121"/>
    </row>
    <row r="7" spans="1:8" ht="12.75" customHeight="1" x14ac:dyDescent="0.15">
      <c r="A7" s="1095" t="s">
        <v>2510</v>
      </c>
      <c r="B7" s="1123">
        <f t="shared" ref="B7:G7" si="0">SUM(B8:B22)</f>
        <v>1724</v>
      </c>
      <c r="C7" s="1123">
        <f t="shared" si="0"/>
        <v>43</v>
      </c>
      <c r="D7" s="1123">
        <f t="shared" si="0"/>
        <v>180</v>
      </c>
      <c r="E7" s="1123">
        <f t="shared" si="0"/>
        <v>122</v>
      </c>
      <c r="F7" s="1123">
        <f t="shared" si="0"/>
        <v>1379</v>
      </c>
      <c r="G7" s="1123">
        <f t="shared" si="0"/>
        <v>0</v>
      </c>
      <c r="H7" s="1123"/>
    </row>
    <row r="8" spans="1:8" ht="12.75" customHeight="1" x14ac:dyDescent="0.15">
      <c r="A8" s="1098" t="s">
        <v>5</v>
      </c>
      <c r="B8" s="1123">
        <f>SUM(C8:G8)</f>
        <v>35</v>
      </c>
      <c r="C8" s="1124">
        <v>0</v>
      </c>
      <c r="D8" s="1124">
        <v>3</v>
      </c>
      <c r="E8" s="1124">
        <v>3</v>
      </c>
      <c r="F8" s="1124">
        <v>29</v>
      </c>
      <c r="G8" s="1124">
        <v>0</v>
      </c>
      <c r="H8" s="1124"/>
    </row>
    <row r="9" spans="1:8" ht="12.75" customHeight="1" x14ac:dyDescent="0.15">
      <c r="A9" s="1098" t="s">
        <v>6</v>
      </c>
      <c r="B9" s="1123">
        <f t="shared" ref="B9:B22" si="1">SUM(C9:G9)</f>
        <v>39</v>
      </c>
      <c r="C9" s="1124">
        <v>0</v>
      </c>
      <c r="D9" s="1124">
        <v>0</v>
      </c>
      <c r="E9" s="1124">
        <v>2</v>
      </c>
      <c r="F9" s="1124">
        <v>37</v>
      </c>
      <c r="G9" s="1124">
        <v>0</v>
      </c>
      <c r="H9" s="1124"/>
    </row>
    <row r="10" spans="1:8" ht="12.75" customHeight="1" x14ac:dyDescent="0.15">
      <c r="A10" s="1098" t="s">
        <v>7</v>
      </c>
      <c r="B10" s="1123">
        <f t="shared" si="1"/>
        <v>105</v>
      </c>
      <c r="C10" s="1124">
        <v>1</v>
      </c>
      <c r="D10" s="1124">
        <v>6</v>
      </c>
      <c r="E10" s="1124">
        <v>5</v>
      </c>
      <c r="F10" s="1124">
        <v>93</v>
      </c>
      <c r="G10" s="1124">
        <v>0</v>
      </c>
      <c r="H10" s="1124"/>
    </row>
    <row r="11" spans="1:8" ht="12.75" customHeight="1" x14ac:dyDescent="0.15">
      <c r="A11" s="1098" t="s">
        <v>8</v>
      </c>
      <c r="B11" s="1123">
        <f t="shared" si="1"/>
        <v>121</v>
      </c>
      <c r="C11" s="1124">
        <v>1</v>
      </c>
      <c r="D11" s="1124">
        <v>4</v>
      </c>
      <c r="E11" s="1124">
        <v>5</v>
      </c>
      <c r="F11" s="1124">
        <v>111</v>
      </c>
      <c r="G11" s="1124">
        <v>0</v>
      </c>
      <c r="H11" s="1124"/>
    </row>
    <row r="12" spans="1:8" ht="12.75" customHeight="1" x14ac:dyDescent="0.15">
      <c r="A12" s="1098" t="s">
        <v>9</v>
      </c>
      <c r="B12" s="1123">
        <f t="shared" si="1"/>
        <v>120</v>
      </c>
      <c r="C12" s="1124">
        <v>1</v>
      </c>
      <c r="D12" s="1124">
        <v>6</v>
      </c>
      <c r="E12" s="1124">
        <v>7</v>
      </c>
      <c r="F12" s="1124">
        <v>106</v>
      </c>
      <c r="G12" s="1124">
        <v>0</v>
      </c>
      <c r="H12" s="1124"/>
    </row>
    <row r="13" spans="1:8" ht="12.75" customHeight="1" x14ac:dyDescent="0.15">
      <c r="A13" s="1098" t="s">
        <v>10</v>
      </c>
      <c r="B13" s="1123">
        <f t="shared" si="1"/>
        <v>180</v>
      </c>
      <c r="C13" s="1124">
        <v>9</v>
      </c>
      <c r="D13" s="1124">
        <v>12</v>
      </c>
      <c r="E13" s="1124">
        <v>10</v>
      </c>
      <c r="F13" s="1124">
        <v>149</v>
      </c>
      <c r="G13" s="1124">
        <v>0</v>
      </c>
      <c r="H13" s="1124"/>
    </row>
    <row r="14" spans="1:8" x14ac:dyDescent="0.15">
      <c r="A14" s="1098" t="s">
        <v>11</v>
      </c>
      <c r="B14" s="1123">
        <f t="shared" si="1"/>
        <v>113</v>
      </c>
      <c r="C14" s="1124">
        <v>7</v>
      </c>
      <c r="D14" s="1124">
        <v>10</v>
      </c>
      <c r="E14" s="1124">
        <v>7</v>
      </c>
      <c r="F14" s="1124">
        <v>89</v>
      </c>
      <c r="G14" s="1124">
        <v>0</v>
      </c>
      <c r="H14" s="1124"/>
    </row>
    <row r="15" spans="1:8" ht="12.75" customHeight="1" x14ac:dyDescent="0.15">
      <c r="A15" s="1098" t="s">
        <v>12</v>
      </c>
      <c r="B15" s="1123">
        <f t="shared" si="1"/>
        <v>112</v>
      </c>
      <c r="C15" s="1124">
        <v>6</v>
      </c>
      <c r="D15" s="1124">
        <v>18</v>
      </c>
      <c r="E15" s="1124">
        <v>15</v>
      </c>
      <c r="F15" s="1124">
        <v>73</v>
      </c>
      <c r="G15" s="1124">
        <v>0</v>
      </c>
      <c r="H15" s="1124"/>
    </row>
    <row r="16" spans="1:8" ht="12.75" customHeight="1" x14ac:dyDescent="0.15">
      <c r="A16" s="1098" t="s">
        <v>13</v>
      </c>
      <c r="B16" s="1123">
        <f t="shared" si="1"/>
        <v>135</v>
      </c>
      <c r="C16" s="1124">
        <v>1</v>
      </c>
      <c r="D16" s="1124">
        <v>15</v>
      </c>
      <c r="E16" s="1124">
        <v>11</v>
      </c>
      <c r="F16" s="1124">
        <v>108</v>
      </c>
      <c r="G16" s="1124">
        <v>0</v>
      </c>
      <c r="H16" s="1124"/>
    </row>
    <row r="17" spans="1:8" ht="12.75" customHeight="1" x14ac:dyDescent="0.15">
      <c r="A17" s="1098" t="s">
        <v>14</v>
      </c>
      <c r="B17" s="1123">
        <f t="shared" si="1"/>
        <v>230</v>
      </c>
      <c r="C17" s="1124">
        <v>6</v>
      </c>
      <c r="D17" s="1124">
        <v>51</v>
      </c>
      <c r="E17" s="1124">
        <v>14</v>
      </c>
      <c r="F17" s="1124">
        <v>159</v>
      </c>
      <c r="G17" s="1124">
        <v>0</v>
      </c>
      <c r="H17" s="1124"/>
    </row>
    <row r="18" spans="1:8" ht="12.75" customHeight="1" x14ac:dyDescent="0.15">
      <c r="A18" s="1098" t="s">
        <v>15</v>
      </c>
      <c r="B18" s="1123">
        <f t="shared" si="1"/>
        <v>173</v>
      </c>
      <c r="C18" s="1124">
        <v>4</v>
      </c>
      <c r="D18" s="1124">
        <v>31</v>
      </c>
      <c r="E18" s="1124">
        <v>10</v>
      </c>
      <c r="F18" s="1124">
        <v>128</v>
      </c>
      <c r="G18" s="1124">
        <v>0</v>
      </c>
      <c r="H18" s="1124"/>
    </row>
    <row r="19" spans="1:8" ht="12.75" customHeight="1" x14ac:dyDescent="0.15">
      <c r="A19" s="1098" t="s">
        <v>16</v>
      </c>
      <c r="B19" s="1123">
        <f t="shared" si="1"/>
        <v>75</v>
      </c>
      <c r="C19" s="1124">
        <v>2</v>
      </c>
      <c r="D19" s="1124">
        <v>11</v>
      </c>
      <c r="E19" s="1124">
        <v>10</v>
      </c>
      <c r="F19" s="1124">
        <v>52</v>
      </c>
      <c r="G19" s="1124">
        <v>0</v>
      </c>
      <c r="H19" s="1124"/>
    </row>
    <row r="20" spans="1:8" ht="12.75" customHeight="1" x14ac:dyDescent="0.15">
      <c r="A20" s="1098" t="s">
        <v>17</v>
      </c>
      <c r="B20" s="1123">
        <f t="shared" si="1"/>
        <v>169</v>
      </c>
      <c r="C20" s="1124">
        <v>4</v>
      </c>
      <c r="D20" s="1124">
        <v>10</v>
      </c>
      <c r="E20" s="1124">
        <v>18</v>
      </c>
      <c r="F20" s="1124">
        <v>137</v>
      </c>
      <c r="G20" s="1124">
        <v>0</v>
      </c>
      <c r="H20" s="1124"/>
    </row>
    <row r="21" spans="1:8" ht="12.75" customHeight="1" x14ac:dyDescent="0.15">
      <c r="A21" s="1098" t="s">
        <v>18</v>
      </c>
      <c r="B21" s="1123">
        <f t="shared" si="1"/>
        <v>60</v>
      </c>
      <c r="C21" s="1124">
        <v>0</v>
      </c>
      <c r="D21" s="1124">
        <v>3</v>
      </c>
      <c r="E21" s="1124">
        <v>2</v>
      </c>
      <c r="F21" s="1124">
        <v>55</v>
      </c>
      <c r="G21" s="1124">
        <v>0</v>
      </c>
      <c r="H21" s="1124"/>
    </row>
    <row r="22" spans="1:8" ht="12.75" customHeight="1" x14ac:dyDescent="0.15">
      <c r="A22" s="1098" t="s">
        <v>19</v>
      </c>
      <c r="B22" s="1123">
        <f t="shared" si="1"/>
        <v>57</v>
      </c>
      <c r="C22" s="1124">
        <v>1</v>
      </c>
      <c r="D22" s="1124">
        <v>0</v>
      </c>
      <c r="E22" s="1124">
        <v>3</v>
      </c>
      <c r="F22" s="1124">
        <v>53</v>
      </c>
      <c r="G22" s="1124">
        <v>0</v>
      </c>
      <c r="H22" s="1124"/>
    </row>
    <row r="23" spans="1:8" x14ac:dyDescent="0.15">
      <c r="A23" s="1119" t="s">
        <v>2511</v>
      </c>
      <c r="B23" s="1123">
        <f t="shared" ref="B23:G23" si="2">SUM(B24:B38)</f>
        <v>1724</v>
      </c>
      <c r="C23" s="1125">
        <f t="shared" si="2"/>
        <v>44</v>
      </c>
      <c r="D23" s="1125">
        <f t="shared" si="2"/>
        <v>196</v>
      </c>
      <c r="E23" s="1125">
        <f t="shared" si="2"/>
        <v>97</v>
      </c>
      <c r="F23" s="1125">
        <f t="shared" si="2"/>
        <v>1383</v>
      </c>
      <c r="G23" s="1125">
        <f t="shared" si="2"/>
        <v>4</v>
      </c>
      <c r="H23" s="1125"/>
    </row>
    <row r="24" spans="1:8" ht="12.75" customHeight="1" x14ac:dyDescent="0.15">
      <c r="A24" s="1098" t="s">
        <v>5</v>
      </c>
      <c r="B24" s="1123">
        <f>SUM(C24:G24)</f>
        <v>35</v>
      </c>
      <c r="C24" s="1124">
        <v>0</v>
      </c>
      <c r="D24" s="1124">
        <v>1</v>
      </c>
      <c r="E24" s="1124">
        <v>3</v>
      </c>
      <c r="F24" s="1124">
        <v>30</v>
      </c>
      <c r="G24" s="1124">
        <v>1</v>
      </c>
      <c r="H24" s="1124"/>
    </row>
    <row r="25" spans="1:8" ht="12.75" customHeight="1" x14ac:dyDescent="0.15">
      <c r="A25" s="1098" t="s">
        <v>6</v>
      </c>
      <c r="B25" s="1123">
        <f t="shared" ref="B25:B38" si="3">SUM(C25:G25)</f>
        <v>39</v>
      </c>
      <c r="C25" s="1124">
        <v>0</v>
      </c>
      <c r="D25" s="1124">
        <v>1</v>
      </c>
      <c r="E25" s="1124">
        <v>1</v>
      </c>
      <c r="F25" s="1124">
        <v>37</v>
      </c>
      <c r="G25" s="1124">
        <v>0</v>
      </c>
      <c r="H25" s="1124"/>
    </row>
    <row r="26" spans="1:8" ht="12.75" customHeight="1" x14ac:dyDescent="0.15">
      <c r="A26" s="1098" t="s">
        <v>7</v>
      </c>
      <c r="B26" s="1123">
        <f t="shared" si="3"/>
        <v>105</v>
      </c>
      <c r="C26" s="1124">
        <v>1</v>
      </c>
      <c r="D26" s="1124">
        <v>8</v>
      </c>
      <c r="E26" s="1124">
        <v>2</v>
      </c>
      <c r="F26" s="1124">
        <v>94</v>
      </c>
      <c r="G26" s="1124">
        <v>0</v>
      </c>
      <c r="H26" s="1124"/>
    </row>
    <row r="27" spans="1:8" ht="12.75" customHeight="1" x14ac:dyDescent="0.15">
      <c r="A27" s="1098" t="s">
        <v>8</v>
      </c>
      <c r="B27" s="1123">
        <f t="shared" si="3"/>
        <v>121</v>
      </c>
      <c r="C27" s="1124">
        <v>1</v>
      </c>
      <c r="D27" s="1124">
        <v>7</v>
      </c>
      <c r="E27" s="1124">
        <v>2</v>
      </c>
      <c r="F27" s="1124">
        <v>111</v>
      </c>
      <c r="G27" s="1124">
        <v>0</v>
      </c>
      <c r="H27" s="1124"/>
    </row>
    <row r="28" spans="1:8" ht="12.75" customHeight="1" x14ac:dyDescent="0.15">
      <c r="A28" s="1098" t="s">
        <v>9</v>
      </c>
      <c r="B28" s="1123">
        <f t="shared" si="3"/>
        <v>120</v>
      </c>
      <c r="C28" s="1124">
        <v>1</v>
      </c>
      <c r="D28" s="1124">
        <v>8</v>
      </c>
      <c r="E28" s="1124">
        <v>5</v>
      </c>
      <c r="F28" s="1124">
        <v>106</v>
      </c>
      <c r="G28" s="1124">
        <v>0</v>
      </c>
      <c r="H28" s="1124"/>
    </row>
    <row r="29" spans="1:8" ht="12.75" customHeight="1" x14ac:dyDescent="0.15">
      <c r="A29" s="1098" t="s">
        <v>10</v>
      </c>
      <c r="B29" s="1123">
        <f t="shared" si="3"/>
        <v>180</v>
      </c>
      <c r="C29" s="1124">
        <v>10</v>
      </c>
      <c r="D29" s="1124">
        <v>13</v>
      </c>
      <c r="E29" s="1124">
        <v>10</v>
      </c>
      <c r="F29" s="1124">
        <v>147</v>
      </c>
      <c r="G29" s="1124">
        <v>0</v>
      </c>
      <c r="H29" s="1124"/>
    </row>
    <row r="30" spans="1:8" x14ac:dyDescent="0.15">
      <c r="A30" s="1098" t="s">
        <v>11</v>
      </c>
      <c r="B30" s="1123">
        <f t="shared" si="3"/>
        <v>113</v>
      </c>
      <c r="C30" s="1124">
        <v>5</v>
      </c>
      <c r="D30" s="1124">
        <v>10</v>
      </c>
      <c r="E30" s="1124">
        <v>7</v>
      </c>
      <c r="F30" s="1124">
        <v>90</v>
      </c>
      <c r="G30" s="1124">
        <v>1</v>
      </c>
      <c r="H30" s="1124"/>
    </row>
    <row r="31" spans="1:8" ht="12.75" customHeight="1" x14ac:dyDescent="0.15">
      <c r="A31" s="1098" t="s">
        <v>12</v>
      </c>
      <c r="B31" s="1123">
        <f t="shared" si="3"/>
        <v>112</v>
      </c>
      <c r="C31" s="1124">
        <v>7</v>
      </c>
      <c r="D31" s="1124">
        <v>19</v>
      </c>
      <c r="E31" s="1124">
        <v>13</v>
      </c>
      <c r="F31" s="1124">
        <v>73</v>
      </c>
      <c r="G31" s="1124">
        <v>0</v>
      </c>
      <c r="H31" s="1124"/>
    </row>
    <row r="32" spans="1:8" ht="12.75" customHeight="1" x14ac:dyDescent="0.15">
      <c r="A32" s="1098" t="s">
        <v>13</v>
      </c>
      <c r="B32" s="1123">
        <f t="shared" si="3"/>
        <v>135</v>
      </c>
      <c r="C32" s="1124">
        <v>1</v>
      </c>
      <c r="D32" s="1124">
        <v>16</v>
      </c>
      <c r="E32" s="1124">
        <v>10</v>
      </c>
      <c r="F32" s="1124">
        <v>108</v>
      </c>
      <c r="G32" s="1124">
        <v>0</v>
      </c>
      <c r="H32" s="1124"/>
    </row>
    <row r="33" spans="1:8" ht="12.75" customHeight="1" x14ac:dyDescent="0.15">
      <c r="A33" s="1098" t="s">
        <v>14</v>
      </c>
      <c r="B33" s="1123">
        <f t="shared" si="3"/>
        <v>230</v>
      </c>
      <c r="C33" s="1124">
        <v>6</v>
      </c>
      <c r="D33" s="1124">
        <v>51</v>
      </c>
      <c r="E33" s="1124">
        <v>12</v>
      </c>
      <c r="F33" s="1124">
        <v>161</v>
      </c>
      <c r="G33" s="1124">
        <v>0</v>
      </c>
      <c r="H33" s="1124"/>
    </row>
    <row r="34" spans="1:8" ht="12.75" customHeight="1" x14ac:dyDescent="0.15">
      <c r="A34" s="1098" t="s">
        <v>15</v>
      </c>
      <c r="B34" s="1123">
        <f t="shared" si="3"/>
        <v>173</v>
      </c>
      <c r="C34" s="1124">
        <v>5</v>
      </c>
      <c r="D34" s="1124">
        <v>29</v>
      </c>
      <c r="E34" s="1124">
        <v>10</v>
      </c>
      <c r="F34" s="1124">
        <v>128</v>
      </c>
      <c r="G34" s="1124">
        <v>1</v>
      </c>
      <c r="H34" s="1124"/>
    </row>
    <row r="35" spans="1:8" ht="12.75" customHeight="1" x14ac:dyDescent="0.15">
      <c r="A35" s="1098" t="s">
        <v>16</v>
      </c>
      <c r="B35" s="1123">
        <f t="shared" si="3"/>
        <v>75</v>
      </c>
      <c r="C35" s="1124">
        <v>1</v>
      </c>
      <c r="D35" s="1124">
        <v>14</v>
      </c>
      <c r="E35" s="1124">
        <v>8</v>
      </c>
      <c r="F35" s="1124">
        <v>52</v>
      </c>
      <c r="G35" s="1124">
        <v>0</v>
      </c>
      <c r="H35" s="1124"/>
    </row>
    <row r="36" spans="1:8" ht="12.75" customHeight="1" x14ac:dyDescent="0.15">
      <c r="A36" s="1098" t="s">
        <v>17</v>
      </c>
      <c r="B36" s="1123">
        <f t="shared" si="3"/>
        <v>169</v>
      </c>
      <c r="C36" s="1124">
        <v>5</v>
      </c>
      <c r="D36" s="1124">
        <v>15</v>
      </c>
      <c r="E36" s="1124">
        <v>11</v>
      </c>
      <c r="F36" s="1124">
        <v>138</v>
      </c>
      <c r="G36" s="1124">
        <v>0</v>
      </c>
      <c r="H36" s="1124"/>
    </row>
    <row r="37" spans="1:8" ht="12.75" customHeight="1" x14ac:dyDescent="0.15">
      <c r="A37" s="1098" t="s">
        <v>18</v>
      </c>
      <c r="B37" s="1123">
        <f t="shared" si="3"/>
        <v>60</v>
      </c>
      <c r="C37" s="1124">
        <v>0</v>
      </c>
      <c r="D37" s="1124">
        <v>3</v>
      </c>
      <c r="E37" s="1124">
        <v>2</v>
      </c>
      <c r="F37" s="1124">
        <v>55</v>
      </c>
      <c r="G37" s="1124">
        <v>0</v>
      </c>
      <c r="H37" s="1124"/>
    </row>
    <row r="38" spans="1:8" ht="12.75" customHeight="1" x14ac:dyDescent="0.15">
      <c r="A38" s="1098" t="s">
        <v>19</v>
      </c>
      <c r="B38" s="1123">
        <f t="shared" si="3"/>
        <v>57</v>
      </c>
      <c r="C38" s="1124">
        <v>1</v>
      </c>
      <c r="D38" s="1124">
        <v>1</v>
      </c>
      <c r="E38" s="1124">
        <v>1</v>
      </c>
      <c r="F38" s="1124">
        <v>53</v>
      </c>
      <c r="G38" s="1124">
        <v>1</v>
      </c>
      <c r="H38" s="1124"/>
    </row>
    <row r="39" spans="1:8" x14ac:dyDescent="0.15">
      <c r="A39" s="1119" t="s">
        <v>2512</v>
      </c>
      <c r="B39" s="1123">
        <f t="shared" ref="B39:G39" si="4">SUM(B40:B54)</f>
        <v>1724</v>
      </c>
      <c r="C39" s="1125">
        <f t="shared" si="4"/>
        <v>66</v>
      </c>
      <c r="D39" s="1125">
        <f t="shared" si="4"/>
        <v>184</v>
      </c>
      <c r="E39" s="1125">
        <f t="shared" si="4"/>
        <v>86</v>
      </c>
      <c r="F39" s="1125">
        <f t="shared" si="4"/>
        <v>1378</v>
      </c>
      <c r="G39" s="1125">
        <f t="shared" si="4"/>
        <v>10</v>
      </c>
      <c r="H39" s="1125"/>
    </row>
    <row r="40" spans="1:8" ht="12.75" customHeight="1" x14ac:dyDescent="0.15">
      <c r="A40" s="1098" t="s">
        <v>5</v>
      </c>
      <c r="B40" s="1123">
        <f>SUM(C40:G40)</f>
        <v>35</v>
      </c>
      <c r="C40" s="1124">
        <v>0</v>
      </c>
      <c r="D40" s="1124">
        <v>2</v>
      </c>
      <c r="E40" s="1124">
        <v>3</v>
      </c>
      <c r="F40" s="1124">
        <v>29</v>
      </c>
      <c r="G40" s="1124">
        <v>1</v>
      </c>
      <c r="H40" s="1124"/>
    </row>
    <row r="41" spans="1:8" ht="12.75" customHeight="1" x14ac:dyDescent="0.15">
      <c r="A41" s="1098" t="s">
        <v>6</v>
      </c>
      <c r="B41" s="1123">
        <f t="shared" ref="B41:B54" si="5">SUM(C41:G41)</f>
        <v>39</v>
      </c>
      <c r="C41" s="1124">
        <v>0</v>
      </c>
      <c r="D41" s="1124">
        <v>1</v>
      </c>
      <c r="E41" s="1124">
        <v>1</v>
      </c>
      <c r="F41" s="1124">
        <v>37</v>
      </c>
      <c r="G41" s="1124">
        <v>0</v>
      </c>
      <c r="H41" s="1124"/>
    </row>
    <row r="42" spans="1:8" ht="12.75" customHeight="1" x14ac:dyDescent="0.15">
      <c r="A42" s="1098" t="s">
        <v>7</v>
      </c>
      <c r="B42" s="1123">
        <f t="shared" si="5"/>
        <v>105</v>
      </c>
      <c r="C42" s="1124">
        <v>2</v>
      </c>
      <c r="D42" s="1124">
        <v>8</v>
      </c>
      <c r="E42" s="1124">
        <v>2</v>
      </c>
      <c r="F42" s="1124">
        <v>93</v>
      </c>
      <c r="G42" s="1124">
        <v>0</v>
      </c>
      <c r="H42" s="1124"/>
    </row>
    <row r="43" spans="1:8" ht="12.75" customHeight="1" x14ac:dyDescent="0.15">
      <c r="A43" s="1098" t="s">
        <v>8</v>
      </c>
      <c r="B43" s="1123">
        <f t="shared" si="5"/>
        <v>121</v>
      </c>
      <c r="C43" s="1124">
        <v>1</v>
      </c>
      <c r="D43" s="1124">
        <v>7</v>
      </c>
      <c r="E43" s="1124">
        <v>1</v>
      </c>
      <c r="F43" s="1124">
        <v>111</v>
      </c>
      <c r="G43" s="1124">
        <v>1</v>
      </c>
      <c r="H43" s="1124"/>
    </row>
    <row r="44" spans="1:8" ht="12.75" customHeight="1" x14ac:dyDescent="0.15">
      <c r="A44" s="1098" t="s">
        <v>9</v>
      </c>
      <c r="B44" s="1123">
        <f t="shared" si="5"/>
        <v>120</v>
      </c>
      <c r="C44" s="1124">
        <v>1</v>
      </c>
      <c r="D44" s="1124">
        <v>8</v>
      </c>
      <c r="E44" s="1124">
        <v>5</v>
      </c>
      <c r="F44" s="1124">
        <v>106</v>
      </c>
      <c r="G44" s="1124">
        <v>0</v>
      </c>
      <c r="H44" s="1124"/>
    </row>
    <row r="45" spans="1:8" ht="12.75" customHeight="1" x14ac:dyDescent="0.15">
      <c r="A45" s="1098" t="s">
        <v>10</v>
      </c>
      <c r="B45" s="1123">
        <f t="shared" si="5"/>
        <v>180</v>
      </c>
      <c r="C45" s="1124">
        <v>18</v>
      </c>
      <c r="D45" s="1124">
        <v>9</v>
      </c>
      <c r="E45" s="1124">
        <v>7</v>
      </c>
      <c r="F45" s="1124">
        <v>146</v>
      </c>
      <c r="G45" s="1124">
        <v>0</v>
      </c>
      <c r="H45" s="1124"/>
    </row>
    <row r="46" spans="1:8" x14ac:dyDescent="0.15">
      <c r="A46" s="1098" t="s">
        <v>11</v>
      </c>
      <c r="B46" s="1123">
        <f t="shared" si="5"/>
        <v>113</v>
      </c>
      <c r="C46" s="1124">
        <v>5</v>
      </c>
      <c r="D46" s="1124">
        <v>9</v>
      </c>
      <c r="E46" s="1124">
        <v>7</v>
      </c>
      <c r="F46" s="1124">
        <v>90</v>
      </c>
      <c r="G46" s="1124">
        <v>2</v>
      </c>
      <c r="H46" s="1124"/>
    </row>
    <row r="47" spans="1:8" ht="12.75" customHeight="1" x14ac:dyDescent="0.15">
      <c r="A47" s="1098" t="s">
        <v>12</v>
      </c>
      <c r="B47" s="1123">
        <f t="shared" si="5"/>
        <v>112</v>
      </c>
      <c r="C47" s="1124">
        <v>10</v>
      </c>
      <c r="D47" s="1124">
        <v>18</v>
      </c>
      <c r="E47" s="1124">
        <v>11</v>
      </c>
      <c r="F47" s="1124">
        <v>73</v>
      </c>
      <c r="G47" s="1124">
        <v>0</v>
      </c>
      <c r="H47" s="1124"/>
    </row>
    <row r="48" spans="1:8" ht="12.75" customHeight="1" x14ac:dyDescent="0.15">
      <c r="A48" s="1098" t="s">
        <v>13</v>
      </c>
      <c r="B48" s="1123">
        <f t="shared" si="5"/>
        <v>135</v>
      </c>
      <c r="C48" s="1124">
        <v>3</v>
      </c>
      <c r="D48" s="1124">
        <v>15</v>
      </c>
      <c r="E48" s="1124">
        <v>9</v>
      </c>
      <c r="F48" s="1124">
        <v>108</v>
      </c>
      <c r="G48" s="1124">
        <v>0</v>
      </c>
      <c r="H48" s="1124"/>
    </row>
    <row r="49" spans="1:16" ht="12.75" customHeight="1" x14ac:dyDescent="0.15">
      <c r="A49" s="1098" t="s">
        <v>14</v>
      </c>
      <c r="B49" s="1123">
        <f t="shared" si="5"/>
        <v>230</v>
      </c>
      <c r="C49" s="1124">
        <v>7</v>
      </c>
      <c r="D49" s="1124">
        <v>49</v>
      </c>
      <c r="E49" s="1124">
        <v>11</v>
      </c>
      <c r="F49" s="1124">
        <v>161</v>
      </c>
      <c r="G49" s="1124">
        <v>2</v>
      </c>
      <c r="H49" s="1124"/>
    </row>
    <row r="50" spans="1:16" ht="12.75" customHeight="1" x14ac:dyDescent="0.15">
      <c r="A50" s="1098" t="s">
        <v>15</v>
      </c>
      <c r="B50" s="1123">
        <f t="shared" si="5"/>
        <v>173</v>
      </c>
      <c r="C50" s="1124">
        <v>9</v>
      </c>
      <c r="D50" s="1124">
        <v>25</v>
      </c>
      <c r="E50" s="1124">
        <v>9</v>
      </c>
      <c r="F50" s="1124">
        <v>128</v>
      </c>
      <c r="G50" s="1124">
        <v>2</v>
      </c>
      <c r="H50" s="1124"/>
    </row>
    <row r="51" spans="1:16" ht="12.75" customHeight="1" x14ac:dyDescent="0.15">
      <c r="A51" s="1098" t="s">
        <v>16</v>
      </c>
      <c r="B51" s="1123">
        <f t="shared" si="5"/>
        <v>75</v>
      </c>
      <c r="C51" s="1124">
        <v>2</v>
      </c>
      <c r="D51" s="1124">
        <v>17</v>
      </c>
      <c r="E51" s="1124">
        <v>5</v>
      </c>
      <c r="F51" s="1124">
        <v>51</v>
      </c>
      <c r="G51" s="1124">
        <v>0</v>
      </c>
      <c r="H51" s="1124"/>
    </row>
    <row r="52" spans="1:16" ht="12.75" customHeight="1" x14ac:dyDescent="0.15">
      <c r="A52" s="1098" t="s">
        <v>17</v>
      </c>
      <c r="B52" s="1123">
        <f t="shared" si="5"/>
        <v>169</v>
      </c>
      <c r="C52" s="1124">
        <v>7</v>
      </c>
      <c r="D52" s="1124">
        <v>12</v>
      </c>
      <c r="E52" s="1124">
        <v>12</v>
      </c>
      <c r="F52" s="1124">
        <v>137</v>
      </c>
      <c r="G52" s="1124">
        <v>1</v>
      </c>
      <c r="H52" s="1124"/>
    </row>
    <row r="53" spans="1:16" ht="12.75" customHeight="1" x14ac:dyDescent="0.15">
      <c r="A53" s="1098" t="s">
        <v>18</v>
      </c>
      <c r="B53" s="1123">
        <f t="shared" si="5"/>
        <v>60</v>
      </c>
      <c r="C53" s="1124">
        <v>0</v>
      </c>
      <c r="D53" s="1124">
        <v>3</v>
      </c>
      <c r="E53" s="1124">
        <v>2</v>
      </c>
      <c r="F53" s="1124">
        <v>55</v>
      </c>
      <c r="G53" s="1124">
        <v>0</v>
      </c>
      <c r="H53" s="1124"/>
    </row>
    <row r="54" spans="1:16" ht="12.75" customHeight="1" x14ac:dyDescent="0.15">
      <c r="A54" s="1098" t="s">
        <v>19</v>
      </c>
      <c r="B54" s="1123">
        <f t="shared" si="5"/>
        <v>57</v>
      </c>
      <c r="C54" s="1124">
        <v>1</v>
      </c>
      <c r="D54" s="1124">
        <v>1</v>
      </c>
      <c r="E54" s="1124">
        <v>1</v>
      </c>
      <c r="F54" s="1124">
        <v>53</v>
      </c>
      <c r="G54" s="1124">
        <v>1</v>
      </c>
      <c r="H54" s="1124"/>
    </row>
    <row r="55" spans="1:16" ht="8.25" customHeight="1" x14ac:dyDescent="0.15">
      <c r="A55" s="1101"/>
      <c r="B55" s="1102"/>
      <c r="C55" s="1103"/>
      <c r="D55" s="1103"/>
      <c r="E55" s="1103"/>
      <c r="F55" s="1103"/>
      <c r="G55" s="1103"/>
      <c r="H55" s="1103"/>
    </row>
    <row r="56" spans="1:16" ht="12.75" customHeight="1" x14ac:dyDescent="0.15">
      <c r="A56" s="3078" t="s">
        <v>2475</v>
      </c>
      <c r="B56" s="3078"/>
      <c r="C56" s="3078"/>
      <c r="D56" s="3078"/>
      <c r="E56" s="3078"/>
      <c r="F56" s="3078"/>
      <c r="G56" s="3078"/>
      <c r="H56" s="1126"/>
      <c r="I56" s="1104"/>
      <c r="J56" s="1104"/>
      <c r="K56" s="1104"/>
      <c r="L56" s="1104"/>
      <c r="M56" s="1104"/>
      <c r="N56" s="1104"/>
      <c r="O56" s="1104"/>
      <c r="P56" s="1104"/>
    </row>
    <row r="57" spans="1:16" ht="33.75" customHeight="1" x14ac:dyDescent="0.15">
      <c r="A57" s="3078" t="s">
        <v>2476</v>
      </c>
      <c r="B57" s="3078"/>
      <c r="C57" s="3078"/>
      <c r="D57" s="3078"/>
      <c r="E57" s="3078"/>
      <c r="F57" s="3078"/>
      <c r="G57" s="3078"/>
      <c r="H57" s="1126"/>
      <c r="I57" s="1104"/>
      <c r="J57" s="1104"/>
      <c r="K57" s="1104"/>
      <c r="L57" s="1104"/>
      <c r="M57" s="1104"/>
      <c r="N57" s="1104"/>
      <c r="O57" s="1104"/>
      <c r="P57" s="1104"/>
    </row>
    <row r="58" spans="1:16" x14ac:dyDescent="0.15">
      <c r="A58" s="3078" t="s">
        <v>20</v>
      </c>
      <c r="B58" s="3078"/>
      <c r="C58" s="3078"/>
      <c r="D58" s="3078"/>
      <c r="E58" s="3078"/>
      <c r="F58" s="3078"/>
      <c r="G58" s="3078"/>
      <c r="H58" s="1126"/>
    </row>
    <row r="59" spans="1:16" x14ac:dyDescent="0.15">
      <c r="A59" s="3078" t="s">
        <v>2478</v>
      </c>
      <c r="B59" s="3078"/>
      <c r="C59" s="3078"/>
      <c r="D59" s="3078"/>
      <c r="E59" s="3078"/>
      <c r="F59" s="3078"/>
      <c r="G59" s="3078"/>
      <c r="H59" s="1126"/>
    </row>
    <row r="60" spans="1:16" ht="15.4" customHeight="1" x14ac:dyDescent="0.15">
      <c r="A60" s="1104"/>
      <c r="B60" s="1118"/>
      <c r="C60" s="1118"/>
      <c r="D60" s="1118"/>
      <c r="E60" s="1118"/>
      <c r="F60" s="1118"/>
      <c r="G60" s="1118"/>
      <c r="H60" s="1118"/>
    </row>
  </sheetData>
  <mergeCells count="11">
    <mergeCell ref="A56:G56"/>
    <mergeCell ref="A57:G57"/>
    <mergeCell ref="A58:G58"/>
    <mergeCell ref="A59:G59"/>
    <mergeCell ref="A2:G2"/>
    <mergeCell ref="A3:G3"/>
    <mergeCell ref="A4:A6"/>
    <mergeCell ref="B4:F4"/>
    <mergeCell ref="G4:G6"/>
    <mergeCell ref="B5:B6"/>
    <mergeCell ref="C5:F5"/>
  </mergeCells>
  <conditionalFormatting sqref="B7:G54">
    <cfRule type="expression" dxfId="12"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outlinePr summaryBelow="0" summaryRight="0"/>
  </sheetPr>
  <dimension ref="A1:K28"/>
  <sheetViews>
    <sheetView zoomScaleNormal="100" workbookViewId="0">
      <selection activeCell="J15" sqref="J15"/>
    </sheetView>
  </sheetViews>
  <sheetFormatPr baseColWidth="10" defaultColWidth="9.140625" defaultRowHeight="10.5" x14ac:dyDescent="0.15"/>
  <cols>
    <col min="1" max="1" width="38.5703125" style="1105" customWidth="1"/>
    <col min="2" max="7" width="10.85546875" style="1122" customWidth="1"/>
    <col min="8" max="8" width="10.7109375" style="1105" customWidth="1"/>
    <col min="9" max="249" width="9.140625" style="1105"/>
    <col min="250" max="250" width="30" style="1105" customWidth="1"/>
    <col min="251" max="256" width="10.85546875" style="1105" customWidth="1"/>
    <col min="257" max="257" width="14.42578125" style="1105" customWidth="1"/>
    <col min="258" max="505" width="9.140625" style="1105"/>
    <col min="506" max="506" width="30" style="1105" customWidth="1"/>
    <col min="507" max="512" width="10.85546875" style="1105" customWidth="1"/>
    <col min="513" max="513" width="14.42578125" style="1105" customWidth="1"/>
    <col min="514" max="761" width="9.140625" style="1105"/>
    <col min="762" max="762" width="30" style="1105" customWidth="1"/>
    <col min="763" max="768" width="10.85546875" style="1105" customWidth="1"/>
    <col min="769" max="769" width="14.42578125" style="1105" customWidth="1"/>
    <col min="770" max="1017" width="9.140625" style="1105"/>
    <col min="1018" max="1018" width="30" style="1105" customWidth="1"/>
    <col min="1019" max="1024" width="10.85546875" style="1105" customWidth="1"/>
    <col min="1025" max="1025" width="14.42578125" style="1105" customWidth="1"/>
    <col min="1026" max="1273" width="9.140625" style="1105"/>
    <col min="1274" max="1274" width="30" style="1105" customWidth="1"/>
    <col min="1275" max="1280" width="10.85546875" style="1105" customWidth="1"/>
    <col min="1281" max="1281" width="14.42578125" style="1105" customWidth="1"/>
    <col min="1282" max="1529" width="9.140625" style="1105"/>
    <col min="1530" max="1530" width="30" style="1105" customWidth="1"/>
    <col min="1531" max="1536" width="10.85546875" style="1105" customWidth="1"/>
    <col min="1537" max="1537" width="14.42578125" style="1105" customWidth="1"/>
    <col min="1538" max="1785" width="9.140625" style="1105"/>
    <col min="1786" max="1786" width="30" style="1105" customWidth="1"/>
    <col min="1787" max="1792" width="10.85546875" style="1105" customWidth="1"/>
    <col min="1793" max="1793" width="14.42578125" style="1105" customWidth="1"/>
    <col min="1794" max="2041" width="9.140625" style="1105"/>
    <col min="2042" max="2042" width="30" style="1105" customWidth="1"/>
    <col min="2043" max="2048" width="10.85546875" style="1105" customWidth="1"/>
    <col min="2049" max="2049" width="14.42578125" style="1105" customWidth="1"/>
    <col min="2050" max="2297" width="9.140625" style="1105"/>
    <col min="2298" max="2298" width="30" style="1105" customWidth="1"/>
    <col min="2299" max="2304" width="10.85546875" style="1105" customWidth="1"/>
    <col min="2305" max="2305" width="14.42578125" style="1105" customWidth="1"/>
    <col min="2306" max="2553" width="9.140625" style="1105"/>
    <col min="2554" max="2554" width="30" style="1105" customWidth="1"/>
    <col min="2555" max="2560" width="10.85546875" style="1105" customWidth="1"/>
    <col min="2561" max="2561" width="14.42578125" style="1105" customWidth="1"/>
    <col min="2562" max="2809" width="9.140625" style="1105"/>
    <col min="2810" max="2810" width="30" style="1105" customWidth="1"/>
    <col min="2811" max="2816" width="10.85546875" style="1105" customWidth="1"/>
    <col min="2817" max="2817" width="14.42578125" style="1105" customWidth="1"/>
    <col min="2818" max="3065" width="9.140625" style="1105"/>
    <col min="3066" max="3066" width="30" style="1105" customWidth="1"/>
    <col min="3067" max="3072" width="10.85546875" style="1105" customWidth="1"/>
    <col min="3073" max="3073" width="14.42578125" style="1105" customWidth="1"/>
    <col min="3074" max="3321" width="9.140625" style="1105"/>
    <col min="3322" max="3322" width="30" style="1105" customWidth="1"/>
    <col min="3323" max="3328" width="10.85546875" style="1105" customWidth="1"/>
    <col min="3329" max="3329" width="14.42578125" style="1105" customWidth="1"/>
    <col min="3330" max="3577" width="9.140625" style="1105"/>
    <col min="3578" max="3578" width="30" style="1105" customWidth="1"/>
    <col min="3579" max="3584" width="10.85546875" style="1105" customWidth="1"/>
    <col min="3585" max="3585" width="14.42578125" style="1105" customWidth="1"/>
    <col min="3586" max="3833" width="9.140625" style="1105"/>
    <col min="3834" max="3834" width="30" style="1105" customWidth="1"/>
    <col min="3835" max="3840" width="10.85546875" style="1105" customWidth="1"/>
    <col min="3841" max="3841" width="14.42578125" style="1105" customWidth="1"/>
    <col min="3842" max="4089" width="9.140625" style="1105"/>
    <col min="4090" max="4090" width="30" style="1105" customWidth="1"/>
    <col min="4091" max="4096" width="10.85546875" style="1105" customWidth="1"/>
    <col min="4097" max="4097" width="14.42578125" style="1105" customWidth="1"/>
    <col min="4098" max="4345" width="9.140625" style="1105"/>
    <col min="4346" max="4346" width="30" style="1105" customWidth="1"/>
    <col min="4347" max="4352" width="10.85546875" style="1105" customWidth="1"/>
    <col min="4353" max="4353" width="14.42578125" style="1105" customWidth="1"/>
    <col min="4354" max="4601" width="9.140625" style="1105"/>
    <col min="4602" max="4602" width="30" style="1105" customWidth="1"/>
    <col min="4603" max="4608" width="10.85546875" style="1105" customWidth="1"/>
    <col min="4609" max="4609" width="14.42578125" style="1105" customWidth="1"/>
    <col min="4610" max="4857" width="9.140625" style="1105"/>
    <col min="4858" max="4858" width="30" style="1105" customWidth="1"/>
    <col min="4859" max="4864" width="10.85546875" style="1105" customWidth="1"/>
    <col min="4865" max="4865" width="14.42578125" style="1105" customWidth="1"/>
    <col min="4866" max="5113" width="9.140625" style="1105"/>
    <col min="5114" max="5114" width="30" style="1105" customWidth="1"/>
    <col min="5115" max="5120" width="10.85546875" style="1105" customWidth="1"/>
    <col min="5121" max="5121" width="14.42578125" style="1105" customWidth="1"/>
    <col min="5122" max="5369" width="9.140625" style="1105"/>
    <col min="5370" max="5370" width="30" style="1105" customWidth="1"/>
    <col min="5371" max="5376" width="10.85546875" style="1105" customWidth="1"/>
    <col min="5377" max="5377" width="14.42578125" style="1105" customWidth="1"/>
    <col min="5378" max="5625" width="9.140625" style="1105"/>
    <col min="5626" max="5626" width="30" style="1105" customWidth="1"/>
    <col min="5627" max="5632" width="10.85546875" style="1105" customWidth="1"/>
    <col min="5633" max="5633" width="14.42578125" style="1105" customWidth="1"/>
    <col min="5634" max="5881" width="9.140625" style="1105"/>
    <col min="5882" max="5882" width="30" style="1105" customWidth="1"/>
    <col min="5883" max="5888" width="10.85546875" style="1105" customWidth="1"/>
    <col min="5889" max="5889" width="14.42578125" style="1105" customWidth="1"/>
    <col min="5890" max="6137" width="9.140625" style="1105"/>
    <col min="6138" max="6138" width="30" style="1105" customWidth="1"/>
    <col min="6139" max="6144" width="10.85546875" style="1105" customWidth="1"/>
    <col min="6145" max="6145" width="14.42578125" style="1105" customWidth="1"/>
    <col min="6146" max="6393" width="9.140625" style="1105"/>
    <col min="6394" max="6394" width="30" style="1105" customWidth="1"/>
    <col min="6395" max="6400" width="10.85546875" style="1105" customWidth="1"/>
    <col min="6401" max="6401" width="14.42578125" style="1105" customWidth="1"/>
    <col min="6402" max="6649" width="9.140625" style="1105"/>
    <col min="6650" max="6650" width="30" style="1105" customWidth="1"/>
    <col min="6651" max="6656" width="10.85546875" style="1105" customWidth="1"/>
    <col min="6657" max="6657" width="14.42578125" style="1105" customWidth="1"/>
    <col min="6658" max="6905" width="9.140625" style="1105"/>
    <col min="6906" max="6906" width="30" style="1105" customWidth="1"/>
    <col min="6907" max="6912" width="10.85546875" style="1105" customWidth="1"/>
    <col min="6913" max="6913" width="14.42578125" style="1105" customWidth="1"/>
    <col min="6914" max="7161" width="9.140625" style="1105"/>
    <col min="7162" max="7162" width="30" style="1105" customWidth="1"/>
    <col min="7163" max="7168" width="10.85546875" style="1105" customWidth="1"/>
    <col min="7169" max="7169" width="14.42578125" style="1105" customWidth="1"/>
    <col min="7170" max="7417" width="9.140625" style="1105"/>
    <col min="7418" max="7418" width="30" style="1105" customWidth="1"/>
    <col min="7419" max="7424" width="10.85546875" style="1105" customWidth="1"/>
    <col min="7425" max="7425" width="14.42578125" style="1105" customWidth="1"/>
    <col min="7426" max="7673" width="9.140625" style="1105"/>
    <col min="7674" max="7674" width="30" style="1105" customWidth="1"/>
    <col min="7675" max="7680" width="10.85546875" style="1105" customWidth="1"/>
    <col min="7681" max="7681" width="14.42578125" style="1105" customWidth="1"/>
    <col min="7682" max="7929" width="9.140625" style="1105"/>
    <col min="7930" max="7930" width="30" style="1105" customWidth="1"/>
    <col min="7931" max="7936" width="10.85546875" style="1105" customWidth="1"/>
    <col min="7937" max="7937" width="14.42578125" style="1105" customWidth="1"/>
    <col min="7938" max="8185" width="9.140625" style="1105"/>
    <col min="8186" max="8186" width="30" style="1105" customWidth="1"/>
    <col min="8187" max="8192" width="10.85546875" style="1105" customWidth="1"/>
    <col min="8193" max="8193" width="14.42578125" style="1105" customWidth="1"/>
    <col min="8194" max="8441" width="9.140625" style="1105"/>
    <col min="8442" max="8442" width="30" style="1105" customWidth="1"/>
    <col min="8443" max="8448" width="10.85546875" style="1105" customWidth="1"/>
    <col min="8449" max="8449" width="14.42578125" style="1105" customWidth="1"/>
    <col min="8450" max="8697" width="9.140625" style="1105"/>
    <col min="8698" max="8698" width="30" style="1105" customWidth="1"/>
    <col min="8699" max="8704" width="10.85546875" style="1105" customWidth="1"/>
    <col min="8705" max="8705" width="14.42578125" style="1105" customWidth="1"/>
    <col min="8706" max="8953" width="9.140625" style="1105"/>
    <col min="8954" max="8954" width="30" style="1105" customWidth="1"/>
    <col min="8955" max="8960" width="10.85546875" style="1105" customWidth="1"/>
    <col min="8961" max="8961" width="14.42578125" style="1105" customWidth="1"/>
    <col min="8962" max="9209" width="9.140625" style="1105"/>
    <col min="9210" max="9210" width="30" style="1105" customWidth="1"/>
    <col min="9211" max="9216" width="10.85546875" style="1105" customWidth="1"/>
    <col min="9217" max="9217" width="14.42578125" style="1105" customWidth="1"/>
    <col min="9218" max="9465" width="9.140625" style="1105"/>
    <col min="9466" max="9466" width="30" style="1105" customWidth="1"/>
    <col min="9467" max="9472" width="10.85546875" style="1105" customWidth="1"/>
    <col min="9473" max="9473" width="14.42578125" style="1105" customWidth="1"/>
    <col min="9474" max="9721" width="9.140625" style="1105"/>
    <col min="9722" max="9722" width="30" style="1105" customWidth="1"/>
    <col min="9723" max="9728" width="10.85546875" style="1105" customWidth="1"/>
    <col min="9729" max="9729" width="14.42578125" style="1105" customWidth="1"/>
    <col min="9730" max="9977" width="9.140625" style="1105"/>
    <col min="9978" max="9978" width="30" style="1105" customWidth="1"/>
    <col min="9979" max="9984" width="10.85546875" style="1105" customWidth="1"/>
    <col min="9985" max="9985" width="14.42578125" style="1105" customWidth="1"/>
    <col min="9986" max="10233" width="9.140625" style="1105"/>
    <col min="10234" max="10234" width="30" style="1105" customWidth="1"/>
    <col min="10235" max="10240" width="10.85546875" style="1105" customWidth="1"/>
    <col min="10241" max="10241" width="14.42578125" style="1105" customWidth="1"/>
    <col min="10242" max="10489" width="9.140625" style="1105"/>
    <col min="10490" max="10490" width="30" style="1105" customWidth="1"/>
    <col min="10491" max="10496" width="10.85546875" style="1105" customWidth="1"/>
    <col min="10497" max="10497" width="14.42578125" style="1105" customWidth="1"/>
    <col min="10498" max="10745" width="9.140625" style="1105"/>
    <col min="10746" max="10746" width="30" style="1105" customWidth="1"/>
    <col min="10747" max="10752" width="10.85546875" style="1105" customWidth="1"/>
    <col min="10753" max="10753" width="14.42578125" style="1105" customWidth="1"/>
    <col min="10754" max="11001" width="9.140625" style="1105"/>
    <col min="11002" max="11002" width="30" style="1105" customWidth="1"/>
    <col min="11003" max="11008" width="10.85546875" style="1105" customWidth="1"/>
    <col min="11009" max="11009" width="14.42578125" style="1105" customWidth="1"/>
    <col min="11010" max="11257" width="9.140625" style="1105"/>
    <col min="11258" max="11258" width="30" style="1105" customWidth="1"/>
    <col min="11259" max="11264" width="10.85546875" style="1105" customWidth="1"/>
    <col min="11265" max="11265" width="14.42578125" style="1105" customWidth="1"/>
    <col min="11266" max="11513" width="9.140625" style="1105"/>
    <col min="11514" max="11514" width="30" style="1105" customWidth="1"/>
    <col min="11515" max="11520" width="10.85546875" style="1105" customWidth="1"/>
    <col min="11521" max="11521" width="14.42578125" style="1105" customWidth="1"/>
    <col min="11522" max="11769" width="9.140625" style="1105"/>
    <col min="11770" max="11770" width="30" style="1105" customWidth="1"/>
    <col min="11771" max="11776" width="10.85546875" style="1105" customWidth="1"/>
    <col min="11777" max="11777" width="14.42578125" style="1105" customWidth="1"/>
    <col min="11778" max="12025" width="9.140625" style="1105"/>
    <col min="12026" max="12026" width="30" style="1105" customWidth="1"/>
    <col min="12027" max="12032" width="10.85546875" style="1105" customWidth="1"/>
    <col min="12033" max="12033" width="14.42578125" style="1105" customWidth="1"/>
    <col min="12034" max="12281" width="9.140625" style="1105"/>
    <col min="12282" max="12282" width="30" style="1105" customWidth="1"/>
    <col min="12283" max="12288" width="10.85546875" style="1105" customWidth="1"/>
    <col min="12289" max="12289" width="14.42578125" style="1105" customWidth="1"/>
    <col min="12290" max="12537" width="9.140625" style="1105"/>
    <col min="12538" max="12538" width="30" style="1105" customWidth="1"/>
    <col min="12539" max="12544" width="10.85546875" style="1105" customWidth="1"/>
    <col min="12545" max="12545" width="14.42578125" style="1105" customWidth="1"/>
    <col min="12546" max="12793" width="9.140625" style="1105"/>
    <col min="12794" max="12794" width="30" style="1105" customWidth="1"/>
    <col min="12795" max="12800" width="10.85546875" style="1105" customWidth="1"/>
    <col min="12801" max="12801" width="14.42578125" style="1105" customWidth="1"/>
    <col min="12802" max="13049" width="9.140625" style="1105"/>
    <col min="13050" max="13050" width="30" style="1105" customWidth="1"/>
    <col min="13051" max="13056" width="10.85546875" style="1105" customWidth="1"/>
    <col min="13057" max="13057" width="14.42578125" style="1105" customWidth="1"/>
    <col min="13058" max="13305" width="9.140625" style="1105"/>
    <col min="13306" max="13306" width="30" style="1105" customWidth="1"/>
    <col min="13307" max="13312" width="10.85546875" style="1105" customWidth="1"/>
    <col min="13313" max="13313" width="14.42578125" style="1105" customWidth="1"/>
    <col min="13314" max="13561" width="9.140625" style="1105"/>
    <col min="13562" max="13562" width="30" style="1105" customWidth="1"/>
    <col min="13563" max="13568" width="10.85546875" style="1105" customWidth="1"/>
    <col min="13569" max="13569" width="14.42578125" style="1105" customWidth="1"/>
    <col min="13570" max="13817" width="9.140625" style="1105"/>
    <col min="13818" max="13818" width="30" style="1105" customWidth="1"/>
    <col min="13819" max="13824" width="10.85546875" style="1105" customWidth="1"/>
    <col min="13825" max="13825" width="14.42578125" style="1105" customWidth="1"/>
    <col min="13826" max="14073" width="9.140625" style="1105"/>
    <col min="14074" max="14074" width="30" style="1105" customWidth="1"/>
    <col min="14075" max="14080" width="10.85546875" style="1105" customWidth="1"/>
    <col min="14081" max="14081" width="14.42578125" style="1105" customWidth="1"/>
    <col min="14082" max="14329" width="9.140625" style="1105"/>
    <col min="14330" max="14330" width="30" style="1105" customWidth="1"/>
    <col min="14331" max="14336" width="10.85546875" style="1105" customWidth="1"/>
    <col min="14337" max="14337" width="14.42578125" style="1105" customWidth="1"/>
    <col min="14338" max="14585" width="9.140625" style="1105"/>
    <col min="14586" max="14586" width="30" style="1105" customWidth="1"/>
    <col min="14587" max="14592" width="10.85546875" style="1105" customWidth="1"/>
    <col min="14593" max="14593" width="14.42578125" style="1105" customWidth="1"/>
    <col min="14594" max="14841" width="9.140625" style="1105"/>
    <col min="14842" max="14842" width="30" style="1105" customWidth="1"/>
    <col min="14843" max="14848" width="10.85546875" style="1105" customWidth="1"/>
    <col min="14849" max="14849" width="14.42578125" style="1105" customWidth="1"/>
    <col min="14850" max="15097" width="9.140625" style="1105"/>
    <col min="15098" max="15098" width="30" style="1105" customWidth="1"/>
    <col min="15099" max="15104" width="10.85546875" style="1105" customWidth="1"/>
    <col min="15105" max="15105" width="14.42578125" style="1105" customWidth="1"/>
    <col min="15106" max="15353" width="9.140625" style="1105"/>
    <col min="15354" max="15354" width="30" style="1105" customWidth="1"/>
    <col min="15355" max="15360" width="10.85546875" style="1105" customWidth="1"/>
    <col min="15361" max="15361" width="14.42578125" style="1105" customWidth="1"/>
    <col min="15362" max="15609" width="9.140625" style="1105"/>
    <col min="15610" max="15610" width="30" style="1105" customWidth="1"/>
    <col min="15611" max="15616" width="10.85546875" style="1105" customWidth="1"/>
    <col min="15617" max="15617" width="14.42578125" style="1105" customWidth="1"/>
    <col min="15618" max="15865" width="9.140625" style="1105"/>
    <col min="15866" max="15866" width="30" style="1105" customWidth="1"/>
    <col min="15867" max="15872" width="10.85546875" style="1105" customWidth="1"/>
    <col min="15873" max="15873" width="14.42578125" style="1105" customWidth="1"/>
    <col min="15874" max="16121" width="9.140625" style="1105"/>
    <col min="16122" max="16122" width="30" style="1105" customWidth="1"/>
    <col min="16123" max="16128" width="10.85546875" style="1105" customWidth="1"/>
    <col min="16129" max="16129" width="14.42578125" style="1105" customWidth="1"/>
    <col min="16130" max="16384" width="9.140625" style="1105"/>
  </cols>
  <sheetData>
    <row r="1" spans="1:8" x14ac:dyDescent="0.15">
      <c r="A1" s="1104"/>
      <c r="B1" s="1104"/>
      <c r="C1" s="1104"/>
      <c r="D1" s="1126"/>
      <c r="E1" s="1104"/>
      <c r="F1" s="1104"/>
      <c r="G1" s="1104"/>
      <c r="H1" s="1104"/>
    </row>
    <row r="2" spans="1:8" ht="22.5" customHeight="1" x14ac:dyDescent="0.15">
      <c r="A2" s="3064" t="s">
        <v>2513</v>
      </c>
      <c r="B2" s="3064"/>
      <c r="C2" s="3064"/>
      <c r="D2" s="3064"/>
      <c r="E2" s="3064"/>
      <c r="F2" s="3064"/>
      <c r="G2" s="3064"/>
      <c r="H2" s="1095"/>
    </row>
    <row r="3" spans="1:8" x14ac:dyDescent="0.15">
      <c r="A3" s="3080"/>
      <c r="B3" s="3080"/>
      <c r="C3" s="3080"/>
      <c r="D3" s="3080"/>
      <c r="E3" s="3080"/>
      <c r="F3" s="3080"/>
      <c r="G3" s="3080"/>
      <c r="H3" s="1104"/>
    </row>
    <row r="4" spans="1:8" x14ac:dyDescent="0.15">
      <c r="A4" s="3066" t="s">
        <v>2514</v>
      </c>
      <c r="B4" s="3074" t="s">
        <v>2515</v>
      </c>
      <c r="C4" s="3074"/>
      <c r="D4" s="3074"/>
      <c r="E4" s="3074"/>
      <c r="F4" s="3074"/>
      <c r="G4" s="3074"/>
      <c r="H4" s="1104"/>
    </row>
    <row r="5" spans="1:8" x14ac:dyDescent="0.15">
      <c r="A5" s="3067"/>
      <c r="B5" s="3072" t="s">
        <v>2493</v>
      </c>
      <c r="C5" s="3074" t="s">
        <v>2516</v>
      </c>
      <c r="D5" s="3074"/>
      <c r="E5" s="3074"/>
      <c r="F5" s="3074"/>
      <c r="G5" s="3074"/>
      <c r="H5" s="1104"/>
    </row>
    <row r="6" spans="1:8" s="1109" customFormat="1" ht="24.75" customHeight="1" x14ac:dyDescent="0.25">
      <c r="A6" s="3068"/>
      <c r="B6" s="3073"/>
      <c r="C6" s="1106" t="s">
        <v>2507</v>
      </c>
      <c r="D6" s="1106" t="s">
        <v>2508</v>
      </c>
      <c r="E6" s="1106" t="s">
        <v>2509</v>
      </c>
      <c r="F6" s="1106" t="s">
        <v>1879</v>
      </c>
      <c r="G6" s="1106" t="s">
        <v>2505</v>
      </c>
      <c r="H6" s="1108"/>
    </row>
    <row r="7" spans="1:8" ht="12.75" customHeight="1" x14ac:dyDescent="0.15">
      <c r="A7" s="1127" t="s">
        <v>2517</v>
      </c>
      <c r="B7" s="1128"/>
      <c r="C7" s="1128"/>
      <c r="D7" s="1128"/>
      <c r="E7" s="1128"/>
      <c r="F7" s="1128"/>
      <c r="G7" s="1128"/>
      <c r="H7" s="1104"/>
    </row>
    <row r="8" spans="1:8" ht="12.75" customHeight="1" x14ac:dyDescent="0.15">
      <c r="A8" s="1101" t="s">
        <v>2518</v>
      </c>
      <c r="B8" s="1129">
        <f>SUM(C8:G8)</f>
        <v>1724</v>
      </c>
      <c r="C8" s="1129">
        <f>SUM(C12,C16,C20)</f>
        <v>43</v>
      </c>
      <c r="D8" s="1129">
        <f t="shared" ref="D8:G8" si="0">SUM(D12,D16,D20)</f>
        <v>180</v>
      </c>
      <c r="E8" s="1129">
        <f t="shared" si="0"/>
        <v>122</v>
      </c>
      <c r="F8" s="1129">
        <f t="shared" si="0"/>
        <v>1379</v>
      </c>
      <c r="G8" s="1129">
        <f t="shared" si="0"/>
        <v>0</v>
      </c>
      <c r="H8" s="1104"/>
    </row>
    <row r="9" spans="1:8" ht="12.75" customHeight="1" x14ac:dyDescent="0.15">
      <c r="A9" s="1101" t="s">
        <v>2519</v>
      </c>
      <c r="B9" s="1129">
        <f>SUM(C9:G9)</f>
        <v>1724</v>
      </c>
      <c r="C9" s="1129">
        <f t="shared" ref="C9:G10" si="1">SUM(C13,C17,C21)</f>
        <v>44</v>
      </c>
      <c r="D9" s="1129">
        <f t="shared" si="1"/>
        <v>196</v>
      </c>
      <c r="E9" s="1129">
        <f t="shared" si="1"/>
        <v>97</v>
      </c>
      <c r="F9" s="1129">
        <f t="shared" si="1"/>
        <v>1383</v>
      </c>
      <c r="G9" s="1129">
        <f t="shared" si="1"/>
        <v>4</v>
      </c>
      <c r="H9" s="1104"/>
    </row>
    <row r="10" spans="1:8" ht="12.75" customHeight="1" x14ac:dyDescent="0.15">
      <c r="A10" s="1101" t="s">
        <v>2520</v>
      </c>
      <c r="B10" s="1129">
        <f>SUM(C10:G10)</f>
        <v>1724</v>
      </c>
      <c r="C10" s="1129">
        <f t="shared" si="1"/>
        <v>66</v>
      </c>
      <c r="D10" s="1129">
        <f t="shared" si="1"/>
        <v>184</v>
      </c>
      <c r="E10" s="1129">
        <f t="shared" si="1"/>
        <v>86</v>
      </c>
      <c r="F10" s="1129">
        <f t="shared" si="1"/>
        <v>1378</v>
      </c>
      <c r="G10" s="1129">
        <f t="shared" si="1"/>
        <v>10</v>
      </c>
      <c r="H10" s="1104"/>
    </row>
    <row r="11" spans="1:8" x14ac:dyDescent="0.15">
      <c r="A11" s="1119" t="s">
        <v>2448</v>
      </c>
      <c r="B11" s="1130"/>
      <c r="C11" s="1130"/>
      <c r="D11" s="1130"/>
      <c r="E11" s="1130"/>
      <c r="F11" s="1130"/>
      <c r="G11" s="1130"/>
      <c r="H11" s="1104"/>
    </row>
    <row r="12" spans="1:8" ht="12.75" customHeight="1" x14ac:dyDescent="0.15">
      <c r="A12" s="1101" t="s">
        <v>2521</v>
      </c>
      <c r="B12" s="1129">
        <f>SUM(C12:G12)</f>
        <v>116</v>
      </c>
      <c r="C12" s="1130">
        <v>5</v>
      </c>
      <c r="D12" s="1130">
        <v>28</v>
      </c>
      <c r="E12" s="1130">
        <v>13</v>
      </c>
      <c r="F12" s="1130">
        <v>70</v>
      </c>
      <c r="G12" s="1130">
        <v>0</v>
      </c>
      <c r="H12" s="1104"/>
    </row>
    <row r="13" spans="1:8" ht="12.75" customHeight="1" x14ac:dyDescent="0.15">
      <c r="A13" s="1101" t="s">
        <v>2522</v>
      </c>
      <c r="B13" s="1129">
        <f>SUM(C13:G13)</f>
        <v>116</v>
      </c>
      <c r="C13" s="1130">
        <v>7</v>
      </c>
      <c r="D13" s="1130">
        <v>28</v>
      </c>
      <c r="E13" s="1130">
        <v>11</v>
      </c>
      <c r="F13" s="1130">
        <v>70</v>
      </c>
      <c r="G13" s="1130">
        <v>0</v>
      </c>
      <c r="H13" s="1104"/>
    </row>
    <row r="14" spans="1:8" ht="12.75" customHeight="1" x14ac:dyDescent="0.15">
      <c r="A14" s="1101" t="s">
        <v>2523</v>
      </c>
      <c r="B14" s="1129">
        <f>SUM(C14:G14)</f>
        <v>116</v>
      </c>
      <c r="C14" s="1130">
        <v>10</v>
      </c>
      <c r="D14" s="1130">
        <v>27</v>
      </c>
      <c r="E14" s="1130">
        <v>8</v>
      </c>
      <c r="F14" s="1130">
        <v>71</v>
      </c>
      <c r="G14" s="1130">
        <v>0</v>
      </c>
      <c r="H14" s="1104"/>
    </row>
    <row r="15" spans="1:8" x14ac:dyDescent="0.15">
      <c r="A15" s="1119" t="s">
        <v>2449</v>
      </c>
      <c r="B15" s="1130"/>
      <c r="C15" s="1130"/>
      <c r="D15" s="1130"/>
      <c r="E15" s="1130"/>
      <c r="F15" s="1130"/>
      <c r="G15" s="1130"/>
      <c r="H15" s="1104"/>
    </row>
    <row r="16" spans="1:8" ht="12.75" customHeight="1" x14ac:dyDescent="0.15">
      <c r="A16" s="1101" t="s">
        <v>2521</v>
      </c>
      <c r="B16" s="1129">
        <f>SUM(C16:G16)</f>
        <v>1397</v>
      </c>
      <c r="C16" s="1130">
        <v>12</v>
      </c>
      <c r="D16" s="1130">
        <v>111</v>
      </c>
      <c r="E16" s="1130">
        <v>99</v>
      </c>
      <c r="F16" s="1130">
        <v>1175</v>
      </c>
      <c r="G16" s="1130">
        <v>0</v>
      </c>
      <c r="H16" s="1104"/>
    </row>
    <row r="17" spans="1:11" ht="12.75" customHeight="1" x14ac:dyDescent="0.15">
      <c r="A17" s="1101" t="s">
        <v>2522</v>
      </c>
      <c r="B17" s="1129">
        <f>SUM(C17:G17)</f>
        <v>1397</v>
      </c>
      <c r="C17" s="1130">
        <v>17</v>
      </c>
      <c r="D17" s="1130">
        <v>121</v>
      </c>
      <c r="E17" s="1130">
        <v>78</v>
      </c>
      <c r="F17" s="1130">
        <v>1179</v>
      </c>
      <c r="G17" s="1130">
        <v>2</v>
      </c>
      <c r="H17" s="1104"/>
    </row>
    <row r="18" spans="1:11" ht="12.75" customHeight="1" x14ac:dyDescent="0.15">
      <c r="A18" s="1101" t="s">
        <v>2523</v>
      </c>
      <c r="B18" s="1129">
        <f>SUM(C18:G18)</f>
        <v>1397</v>
      </c>
      <c r="C18" s="1130">
        <v>25</v>
      </c>
      <c r="D18" s="1130">
        <v>122</v>
      </c>
      <c r="E18" s="1130">
        <v>71</v>
      </c>
      <c r="F18" s="1130">
        <v>1173</v>
      </c>
      <c r="G18" s="1130">
        <v>6</v>
      </c>
      <c r="H18" s="1104"/>
    </row>
    <row r="19" spans="1:11" ht="12.75" customHeight="1" x14ac:dyDescent="0.15">
      <c r="A19" s="1119" t="s">
        <v>2501</v>
      </c>
      <c r="B19" s="1130"/>
      <c r="C19" s="1130"/>
      <c r="D19" s="1130"/>
      <c r="E19" s="1130"/>
      <c r="F19" s="1130"/>
      <c r="G19" s="1130"/>
      <c r="H19" s="1104"/>
    </row>
    <row r="20" spans="1:11" ht="12.75" customHeight="1" x14ac:dyDescent="0.15">
      <c r="A20" s="1101" t="s">
        <v>2521</v>
      </c>
      <c r="B20" s="1129">
        <f>SUM(C20:G20)</f>
        <v>211</v>
      </c>
      <c r="C20" s="1130">
        <v>26</v>
      </c>
      <c r="D20" s="1130">
        <v>41</v>
      </c>
      <c r="E20" s="1130">
        <v>10</v>
      </c>
      <c r="F20" s="1130">
        <v>134</v>
      </c>
      <c r="G20" s="1130">
        <v>0</v>
      </c>
      <c r="H20" s="1104"/>
    </row>
    <row r="21" spans="1:11" ht="12.75" customHeight="1" x14ac:dyDescent="0.15">
      <c r="A21" s="1101" t="s">
        <v>2522</v>
      </c>
      <c r="B21" s="1129">
        <f>SUM(C21:G21)</f>
        <v>211</v>
      </c>
      <c r="C21" s="1130">
        <v>20</v>
      </c>
      <c r="D21" s="1130">
        <v>47</v>
      </c>
      <c r="E21" s="1130">
        <v>8</v>
      </c>
      <c r="F21" s="1130">
        <v>134</v>
      </c>
      <c r="G21" s="1130">
        <v>2</v>
      </c>
      <c r="H21" s="1104"/>
    </row>
    <row r="22" spans="1:11" ht="12.75" customHeight="1" x14ac:dyDescent="0.15">
      <c r="A22" s="1101" t="s">
        <v>2523</v>
      </c>
      <c r="B22" s="1129">
        <f>SUM(C22:G22)</f>
        <v>211</v>
      </c>
      <c r="C22" s="1130">
        <v>31</v>
      </c>
      <c r="D22" s="1130">
        <v>35</v>
      </c>
      <c r="E22" s="1130">
        <v>7</v>
      </c>
      <c r="F22" s="1130">
        <v>134</v>
      </c>
      <c r="G22" s="1130">
        <v>4</v>
      </c>
      <c r="H22" s="1104"/>
    </row>
    <row r="23" spans="1:11" ht="6.75" customHeight="1" x14ac:dyDescent="0.15">
      <c r="A23" s="1104"/>
      <c r="B23" s="1104"/>
      <c r="C23" s="1104"/>
      <c r="D23" s="1104"/>
      <c r="E23" s="1104"/>
      <c r="F23" s="1104"/>
      <c r="G23" s="1104"/>
      <c r="H23" s="1104"/>
    </row>
    <row r="24" spans="1:11" ht="22.5" customHeight="1" x14ac:dyDescent="0.15">
      <c r="A24" s="3078" t="s">
        <v>2475</v>
      </c>
      <c r="B24" s="3078"/>
      <c r="C24" s="3078"/>
      <c r="D24" s="3078"/>
      <c r="E24" s="3078"/>
      <c r="F24" s="3078"/>
      <c r="G24" s="3078"/>
      <c r="H24" s="1104"/>
      <c r="I24" s="1104"/>
      <c r="J24" s="1104"/>
      <c r="K24" s="1104"/>
    </row>
    <row r="25" spans="1:11" ht="30.75" customHeight="1" x14ac:dyDescent="0.15">
      <c r="A25" s="3078" t="s">
        <v>2476</v>
      </c>
      <c r="B25" s="3078"/>
      <c r="C25" s="3078"/>
      <c r="D25" s="3078"/>
      <c r="E25" s="3078"/>
      <c r="F25" s="3078"/>
      <c r="G25" s="3078"/>
      <c r="H25" s="1104"/>
      <c r="I25" s="1104"/>
      <c r="J25" s="1104"/>
      <c r="K25" s="1104"/>
    </row>
    <row r="26" spans="1:11" ht="24" customHeight="1" x14ac:dyDescent="0.15">
      <c r="A26" s="3078" t="s">
        <v>2502</v>
      </c>
      <c r="B26" s="3078"/>
      <c r="C26" s="3078"/>
      <c r="D26" s="3078"/>
      <c r="E26" s="3078"/>
      <c r="F26" s="3078"/>
      <c r="G26" s="3078"/>
      <c r="H26" s="1104"/>
      <c r="I26" s="1104"/>
      <c r="J26" s="1104"/>
      <c r="K26" s="1104"/>
    </row>
    <row r="27" spans="1:11" x14ac:dyDescent="0.15">
      <c r="A27" s="3079" t="s">
        <v>20</v>
      </c>
      <c r="B27" s="3079"/>
      <c r="C27" s="3079"/>
      <c r="D27" s="3079"/>
      <c r="E27" s="3079"/>
      <c r="F27" s="3079"/>
      <c r="G27" s="3079"/>
      <c r="H27" s="1104"/>
    </row>
    <row r="28" spans="1:11" x14ac:dyDescent="0.15">
      <c r="A28" s="3082" t="s">
        <v>2478</v>
      </c>
      <c r="B28" s="3082"/>
      <c r="C28" s="3082"/>
      <c r="D28" s="3082"/>
      <c r="E28" s="3082"/>
      <c r="F28" s="3082"/>
      <c r="G28" s="3082"/>
      <c r="H28" s="1104"/>
    </row>
  </sheetData>
  <mergeCells count="11">
    <mergeCell ref="A24:G24"/>
    <mergeCell ref="A25:G25"/>
    <mergeCell ref="A26:G26"/>
    <mergeCell ref="A27:G27"/>
    <mergeCell ref="A28:G28"/>
    <mergeCell ref="A2:G2"/>
    <mergeCell ref="A3:G3"/>
    <mergeCell ref="A4:A6"/>
    <mergeCell ref="B4:G4"/>
    <mergeCell ref="B5:B6"/>
    <mergeCell ref="C5:G5"/>
  </mergeCells>
  <conditionalFormatting sqref="B8:G22">
    <cfRule type="expression" dxfId="11"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19"/>
  <sheetViews>
    <sheetView workbookViewId="0">
      <selection activeCell="C35" sqref="C35"/>
    </sheetView>
  </sheetViews>
  <sheetFormatPr baseColWidth="10" defaultColWidth="9.140625" defaultRowHeight="10.5" x14ac:dyDescent="0.15"/>
  <cols>
    <col min="1" max="1" width="17.42578125" style="97" customWidth="1"/>
    <col min="2" max="2" width="13.42578125" style="97" customWidth="1"/>
    <col min="3" max="3" width="9.42578125" style="97" customWidth="1"/>
    <col min="4" max="4" width="9.140625" style="97" customWidth="1"/>
    <col min="5" max="16384" width="9.140625" style="97"/>
  </cols>
  <sheetData>
    <row r="1" spans="1:11" ht="15" customHeight="1" x14ac:dyDescent="0.15"/>
    <row r="2" spans="1:11" ht="18" customHeight="1" x14ac:dyDescent="0.15">
      <c r="A2" s="2346" t="s">
        <v>186</v>
      </c>
      <c r="B2" s="2346"/>
      <c r="C2" s="2346"/>
      <c r="D2" s="2346"/>
      <c r="E2" s="2346"/>
      <c r="F2" s="2346"/>
      <c r="G2" s="2346"/>
      <c r="H2" s="2346"/>
      <c r="I2" s="2346"/>
      <c r="J2" s="2346"/>
      <c r="K2" s="2346"/>
    </row>
    <row r="3" spans="1:11" ht="11.25" customHeight="1" x14ac:dyDescent="0.15">
      <c r="A3" s="2347"/>
      <c r="B3" s="2348"/>
      <c r="C3" s="2348"/>
    </row>
    <row r="4" spans="1:11" ht="15" customHeight="1" x14ac:dyDescent="0.15">
      <c r="A4" s="2349" t="s">
        <v>187</v>
      </c>
      <c r="B4" s="2351" t="s">
        <v>188</v>
      </c>
      <c r="C4" s="2351"/>
      <c r="D4" s="2351"/>
      <c r="E4" s="2351"/>
      <c r="F4" s="2351"/>
      <c r="G4" s="2351" t="s">
        <v>183</v>
      </c>
      <c r="H4" s="2351"/>
      <c r="I4" s="2351"/>
      <c r="J4" s="2351"/>
      <c r="K4" s="2351"/>
    </row>
    <row r="5" spans="1:11" ht="11.25" x14ac:dyDescent="0.15">
      <c r="A5" s="2350"/>
      <c r="B5" s="104" t="s">
        <v>189</v>
      </c>
      <c r="C5" s="104" t="s">
        <v>190</v>
      </c>
      <c r="D5" s="104" t="s">
        <v>191</v>
      </c>
      <c r="E5" s="104">
        <v>2014</v>
      </c>
      <c r="F5" s="105" t="s">
        <v>192</v>
      </c>
      <c r="G5" s="106">
        <v>2011</v>
      </c>
      <c r="H5" s="106">
        <v>2012</v>
      </c>
      <c r="I5" s="106">
        <v>2013</v>
      </c>
      <c r="J5" s="107" t="s">
        <v>53</v>
      </c>
      <c r="K5" s="108" t="s">
        <v>192</v>
      </c>
    </row>
    <row r="6" spans="1:11" x14ac:dyDescent="0.15">
      <c r="A6" s="1981" t="s">
        <v>141</v>
      </c>
      <c r="B6" s="2013">
        <f t="shared" ref="B6:K6" si="0">SUM(B7:B11)</f>
        <v>3</v>
      </c>
      <c r="C6" s="2013">
        <f t="shared" si="0"/>
        <v>2</v>
      </c>
      <c r="D6" s="2013">
        <f t="shared" si="0"/>
        <v>6</v>
      </c>
      <c r="E6" s="2013">
        <f t="shared" si="0"/>
        <v>2</v>
      </c>
      <c r="F6" s="2013">
        <f t="shared" si="0"/>
        <v>4</v>
      </c>
      <c r="G6" s="2013">
        <f t="shared" si="0"/>
        <v>7</v>
      </c>
      <c r="H6" s="2013">
        <f t="shared" si="0"/>
        <v>327</v>
      </c>
      <c r="I6" s="2013">
        <f t="shared" si="0"/>
        <v>85</v>
      </c>
      <c r="J6" s="2013">
        <f t="shared" si="0"/>
        <v>24</v>
      </c>
      <c r="K6" s="2013">
        <f t="shared" si="0"/>
        <v>51</v>
      </c>
    </row>
    <row r="7" spans="1:11" x14ac:dyDescent="0.15">
      <c r="A7" s="1979" t="s">
        <v>116</v>
      </c>
      <c r="B7" s="2014" t="s">
        <v>193</v>
      </c>
      <c r="C7" s="2014" t="s">
        <v>193</v>
      </c>
      <c r="D7" s="2014">
        <v>0</v>
      </c>
      <c r="E7" s="2014">
        <v>0</v>
      </c>
      <c r="F7" s="2014">
        <v>0</v>
      </c>
      <c r="G7" s="2014" t="s">
        <v>193</v>
      </c>
      <c r="H7" s="2014" t="s">
        <v>193</v>
      </c>
      <c r="I7" s="2014">
        <v>0</v>
      </c>
      <c r="J7" s="2014">
        <v>0</v>
      </c>
      <c r="K7" s="2014">
        <v>0</v>
      </c>
    </row>
    <row r="8" spans="1:11" x14ac:dyDescent="0.15">
      <c r="A8" s="1979" t="s">
        <v>118</v>
      </c>
      <c r="B8" s="2014">
        <v>2</v>
      </c>
      <c r="C8" s="2014" t="s">
        <v>193</v>
      </c>
      <c r="D8" s="2014">
        <v>2</v>
      </c>
      <c r="E8" s="2014">
        <v>1</v>
      </c>
      <c r="F8" s="2014">
        <v>3</v>
      </c>
      <c r="G8" s="2014">
        <v>5</v>
      </c>
      <c r="H8" s="2014" t="s">
        <v>193</v>
      </c>
      <c r="I8" s="2014">
        <v>75</v>
      </c>
      <c r="J8" s="2014">
        <v>23</v>
      </c>
      <c r="K8" s="2014">
        <v>48</v>
      </c>
    </row>
    <row r="9" spans="1:11" x14ac:dyDescent="0.15">
      <c r="A9" s="1979" t="s">
        <v>114</v>
      </c>
      <c r="B9" s="2014">
        <v>1</v>
      </c>
      <c r="C9" s="2014">
        <v>1</v>
      </c>
      <c r="D9" s="2014">
        <v>1</v>
      </c>
      <c r="E9" s="2014">
        <v>0</v>
      </c>
      <c r="F9" s="2014">
        <v>0</v>
      </c>
      <c r="G9" s="2014">
        <v>2</v>
      </c>
      <c r="H9" s="2014">
        <v>7</v>
      </c>
      <c r="I9" s="2014">
        <v>1</v>
      </c>
      <c r="J9" s="2014">
        <v>0</v>
      </c>
      <c r="K9" s="2014">
        <v>0</v>
      </c>
    </row>
    <row r="10" spans="1:11" x14ac:dyDescent="0.15">
      <c r="A10" s="1979" t="s">
        <v>115</v>
      </c>
      <c r="B10" s="2014" t="s">
        <v>193</v>
      </c>
      <c r="C10" s="2014">
        <v>1</v>
      </c>
      <c r="D10" s="2014">
        <v>3</v>
      </c>
      <c r="E10" s="2014">
        <v>1</v>
      </c>
      <c r="F10" s="2014">
        <v>0</v>
      </c>
      <c r="G10" s="2014" t="s">
        <v>193</v>
      </c>
      <c r="H10" s="2014">
        <v>320</v>
      </c>
      <c r="I10" s="2014">
        <v>9</v>
      </c>
      <c r="J10" s="2014">
        <v>1</v>
      </c>
      <c r="K10" s="2014">
        <v>0</v>
      </c>
    </row>
    <row r="11" spans="1:11" x14ac:dyDescent="0.15">
      <c r="A11" s="1979" t="s">
        <v>117</v>
      </c>
      <c r="B11" s="2014" t="s">
        <v>193</v>
      </c>
      <c r="C11" s="2014" t="s">
        <v>193</v>
      </c>
      <c r="D11" s="2014">
        <v>0</v>
      </c>
      <c r="E11" s="2014">
        <v>0</v>
      </c>
      <c r="F11" s="2014">
        <v>1</v>
      </c>
      <c r="G11" s="2014" t="s">
        <v>193</v>
      </c>
      <c r="H11" s="2014" t="s">
        <v>193</v>
      </c>
      <c r="I11" s="2014">
        <v>0</v>
      </c>
      <c r="J11" s="2014">
        <v>0</v>
      </c>
      <c r="K11" s="2014">
        <v>3</v>
      </c>
    </row>
    <row r="12" spans="1:11" ht="17.100000000000001" customHeight="1" x14ac:dyDescent="0.15">
      <c r="A12" s="2015"/>
      <c r="B12" s="2016"/>
      <c r="C12" s="2016"/>
    </row>
    <row r="13" spans="1:11" ht="11.25" customHeight="1" x14ac:dyDescent="0.15">
      <c r="A13" s="2354" t="s">
        <v>194</v>
      </c>
      <c r="B13" s="2354"/>
      <c r="C13" s="2354"/>
      <c r="D13" s="2354"/>
      <c r="E13" s="2354"/>
      <c r="F13" s="2354"/>
      <c r="G13" s="2354"/>
      <c r="H13" s="2354"/>
      <c r="I13" s="2354"/>
      <c r="J13" s="2354"/>
      <c r="K13" s="2354"/>
    </row>
    <row r="14" spans="1:11" ht="11.25" customHeight="1" x14ac:dyDescent="0.15">
      <c r="A14" s="2354" t="s">
        <v>195</v>
      </c>
      <c r="B14" s="2354"/>
      <c r="C14" s="2354"/>
      <c r="D14" s="2354"/>
      <c r="E14" s="2354"/>
      <c r="F14" s="2354"/>
      <c r="G14" s="2354"/>
      <c r="H14" s="2354"/>
      <c r="I14" s="2354"/>
      <c r="J14" s="2354"/>
      <c r="K14" s="2354"/>
    </row>
    <row r="15" spans="1:11" ht="11.25" customHeight="1" x14ac:dyDescent="0.15">
      <c r="A15" s="2354" t="s">
        <v>196</v>
      </c>
      <c r="B15" s="2354"/>
      <c r="C15" s="2354"/>
      <c r="D15" s="2354"/>
      <c r="E15" s="2354"/>
      <c r="F15" s="2354"/>
      <c r="G15" s="2354"/>
      <c r="H15" s="2354"/>
      <c r="I15" s="2354"/>
      <c r="J15" s="2354"/>
      <c r="K15" s="2354"/>
    </row>
    <row r="16" spans="1:11" ht="11.25" customHeight="1" x14ac:dyDescent="0.15">
      <c r="A16" s="2355" t="s">
        <v>197</v>
      </c>
      <c r="B16" s="2355"/>
      <c r="C16" s="2355"/>
      <c r="D16" s="2355"/>
      <c r="E16" s="2355"/>
      <c r="F16" s="2355"/>
      <c r="G16" s="2355"/>
      <c r="H16" s="2355"/>
      <c r="I16" s="2355"/>
      <c r="J16" s="2355"/>
      <c r="K16" s="2355"/>
    </row>
    <row r="17" spans="1:11" ht="11.25" customHeight="1" x14ac:dyDescent="0.15">
      <c r="A17" s="2355" t="s">
        <v>198</v>
      </c>
      <c r="B17" s="2355"/>
      <c r="C17" s="2355"/>
      <c r="D17" s="2355"/>
      <c r="E17" s="2355"/>
      <c r="F17" s="2355"/>
      <c r="G17" s="2355"/>
      <c r="H17" s="2355"/>
      <c r="I17" s="2355"/>
      <c r="J17" s="2355"/>
      <c r="K17" s="2355"/>
    </row>
    <row r="18" spans="1:11" ht="11.25" customHeight="1" x14ac:dyDescent="0.15">
      <c r="A18" s="2352" t="s">
        <v>20</v>
      </c>
      <c r="B18" s="2353"/>
      <c r="C18" s="2353"/>
      <c r="D18" s="2353"/>
      <c r="E18" s="2353"/>
      <c r="F18" s="2353"/>
      <c r="G18" s="2353"/>
      <c r="H18" s="2353"/>
      <c r="I18" s="2353"/>
      <c r="J18" s="2353"/>
      <c r="K18" s="2353"/>
    </row>
    <row r="19" spans="1:11" ht="11.25" customHeight="1" x14ac:dyDescent="0.15">
      <c r="A19" s="2352" t="s">
        <v>199</v>
      </c>
      <c r="B19" s="2353"/>
      <c r="C19" s="2353"/>
      <c r="D19" s="2353"/>
      <c r="E19" s="2353"/>
      <c r="F19" s="2353"/>
      <c r="G19" s="2353"/>
      <c r="H19" s="2353"/>
      <c r="I19" s="2353"/>
      <c r="J19" s="2353"/>
      <c r="K19" s="2353"/>
    </row>
  </sheetData>
  <mergeCells count="12">
    <mergeCell ref="A18:K18"/>
    <mergeCell ref="A19:K19"/>
    <mergeCell ref="A13:K13"/>
    <mergeCell ref="A14:K14"/>
    <mergeCell ref="A15:K15"/>
    <mergeCell ref="A16:K16"/>
    <mergeCell ref="A17:K17"/>
    <mergeCell ref="A2:K2"/>
    <mergeCell ref="A3:C3"/>
    <mergeCell ref="A4:A5"/>
    <mergeCell ref="B4:F4"/>
    <mergeCell ref="G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outlinePr summaryBelow="0" summaryRight="0"/>
  </sheetPr>
  <dimension ref="A1:N30"/>
  <sheetViews>
    <sheetView zoomScaleNormal="100" workbookViewId="0">
      <selection activeCell="J20" sqref="J20"/>
    </sheetView>
  </sheetViews>
  <sheetFormatPr baseColWidth="10" defaultColWidth="9.140625" defaultRowHeight="10.5" x14ac:dyDescent="0.15"/>
  <cols>
    <col min="1" max="1" width="26.5703125" style="1105" customWidth="1"/>
    <col min="2" max="7" width="13.7109375" style="1105" customWidth="1"/>
    <col min="8" max="8" width="10" style="1105" customWidth="1"/>
    <col min="9" max="9" width="14.85546875" style="1105" bestFit="1" customWidth="1"/>
    <col min="10" max="10" width="14.28515625" style="1105" customWidth="1"/>
    <col min="11" max="252" width="9.140625" style="1105"/>
    <col min="253" max="253" width="26.5703125" style="1105" customWidth="1"/>
    <col min="254" max="259" width="13.7109375" style="1105" customWidth="1"/>
    <col min="260" max="260" width="10" style="1105" customWidth="1"/>
    <col min="261" max="508" width="9.140625" style="1105"/>
    <col min="509" max="509" width="26.5703125" style="1105" customWidth="1"/>
    <col min="510" max="515" width="13.7109375" style="1105" customWidth="1"/>
    <col min="516" max="516" width="10" style="1105" customWidth="1"/>
    <col min="517" max="764" width="9.140625" style="1105"/>
    <col min="765" max="765" width="26.5703125" style="1105" customWidth="1"/>
    <col min="766" max="771" width="13.7109375" style="1105" customWidth="1"/>
    <col min="772" max="772" width="10" style="1105" customWidth="1"/>
    <col min="773" max="1020" width="9.140625" style="1105"/>
    <col min="1021" max="1021" width="26.5703125" style="1105" customWidth="1"/>
    <col min="1022" max="1027" width="13.7109375" style="1105" customWidth="1"/>
    <col min="1028" max="1028" width="10" style="1105" customWidth="1"/>
    <col min="1029" max="1276" width="9.140625" style="1105"/>
    <col min="1277" max="1277" width="26.5703125" style="1105" customWidth="1"/>
    <col min="1278" max="1283" width="13.7109375" style="1105" customWidth="1"/>
    <col min="1284" max="1284" width="10" style="1105" customWidth="1"/>
    <col min="1285" max="1532" width="9.140625" style="1105"/>
    <col min="1533" max="1533" width="26.5703125" style="1105" customWidth="1"/>
    <col min="1534" max="1539" width="13.7109375" style="1105" customWidth="1"/>
    <col min="1540" max="1540" width="10" style="1105" customWidth="1"/>
    <col min="1541" max="1788" width="9.140625" style="1105"/>
    <col min="1789" max="1789" width="26.5703125" style="1105" customWidth="1"/>
    <col min="1790" max="1795" width="13.7109375" style="1105" customWidth="1"/>
    <col min="1796" max="1796" width="10" style="1105" customWidth="1"/>
    <col min="1797" max="2044" width="9.140625" style="1105"/>
    <col min="2045" max="2045" width="26.5703125" style="1105" customWidth="1"/>
    <col min="2046" max="2051" width="13.7109375" style="1105" customWidth="1"/>
    <col min="2052" max="2052" width="10" style="1105" customWidth="1"/>
    <col min="2053" max="2300" width="9.140625" style="1105"/>
    <col min="2301" max="2301" width="26.5703125" style="1105" customWidth="1"/>
    <col min="2302" max="2307" width="13.7109375" style="1105" customWidth="1"/>
    <col min="2308" max="2308" width="10" style="1105" customWidth="1"/>
    <col min="2309" max="2556" width="9.140625" style="1105"/>
    <col min="2557" max="2557" width="26.5703125" style="1105" customWidth="1"/>
    <col min="2558" max="2563" width="13.7109375" style="1105" customWidth="1"/>
    <col min="2564" max="2564" width="10" style="1105" customWidth="1"/>
    <col min="2565" max="2812" width="9.140625" style="1105"/>
    <col min="2813" max="2813" width="26.5703125" style="1105" customWidth="1"/>
    <col min="2814" max="2819" width="13.7109375" style="1105" customWidth="1"/>
    <col min="2820" max="2820" width="10" style="1105" customWidth="1"/>
    <col min="2821" max="3068" width="9.140625" style="1105"/>
    <col min="3069" max="3069" width="26.5703125" style="1105" customWidth="1"/>
    <col min="3070" max="3075" width="13.7109375" style="1105" customWidth="1"/>
    <col min="3076" max="3076" width="10" style="1105" customWidth="1"/>
    <col min="3077" max="3324" width="9.140625" style="1105"/>
    <col min="3325" max="3325" width="26.5703125" style="1105" customWidth="1"/>
    <col min="3326" max="3331" width="13.7109375" style="1105" customWidth="1"/>
    <col min="3332" max="3332" width="10" style="1105" customWidth="1"/>
    <col min="3333" max="3580" width="9.140625" style="1105"/>
    <col min="3581" max="3581" width="26.5703125" style="1105" customWidth="1"/>
    <col min="3582" max="3587" width="13.7109375" style="1105" customWidth="1"/>
    <col min="3588" max="3588" width="10" style="1105" customWidth="1"/>
    <col min="3589" max="3836" width="9.140625" style="1105"/>
    <col min="3837" max="3837" width="26.5703125" style="1105" customWidth="1"/>
    <col min="3838" max="3843" width="13.7109375" style="1105" customWidth="1"/>
    <col min="3844" max="3844" width="10" style="1105" customWidth="1"/>
    <col min="3845" max="4092" width="9.140625" style="1105"/>
    <col min="4093" max="4093" width="26.5703125" style="1105" customWidth="1"/>
    <col min="4094" max="4099" width="13.7109375" style="1105" customWidth="1"/>
    <col min="4100" max="4100" width="10" style="1105" customWidth="1"/>
    <col min="4101" max="4348" width="9.140625" style="1105"/>
    <col min="4349" max="4349" width="26.5703125" style="1105" customWidth="1"/>
    <col min="4350" max="4355" width="13.7109375" style="1105" customWidth="1"/>
    <col min="4356" max="4356" width="10" style="1105" customWidth="1"/>
    <col min="4357" max="4604" width="9.140625" style="1105"/>
    <col min="4605" max="4605" width="26.5703125" style="1105" customWidth="1"/>
    <col min="4606" max="4611" width="13.7109375" style="1105" customWidth="1"/>
    <col min="4612" max="4612" width="10" style="1105" customWidth="1"/>
    <col min="4613" max="4860" width="9.140625" style="1105"/>
    <col min="4861" max="4861" width="26.5703125" style="1105" customWidth="1"/>
    <col min="4862" max="4867" width="13.7109375" style="1105" customWidth="1"/>
    <col min="4868" max="4868" width="10" style="1105" customWidth="1"/>
    <col min="4869" max="5116" width="9.140625" style="1105"/>
    <col min="5117" max="5117" width="26.5703125" style="1105" customWidth="1"/>
    <col min="5118" max="5123" width="13.7109375" style="1105" customWidth="1"/>
    <col min="5124" max="5124" width="10" style="1105" customWidth="1"/>
    <col min="5125" max="5372" width="9.140625" style="1105"/>
    <col min="5373" max="5373" width="26.5703125" style="1105" customWidth="1"/>
    <col min="5374" max="5379" width="13.7109375" style="1105" customWidth="1"/>
    <col min="5380" max="5380" width="10" style="1105" customWidth="1"/>
    <col min="5381" max="5628" width="9.140625" style="1105"/>
    <col min="5629" max="5629" width="26.5703125" style="1105" customWidth="1"/>
    <col min="5630" max="5635" width="13.7109375" style="1105" customWidth="1"/>
    <col min="5636" max="5636" width="10" style="1105" customWidth="1"/>
    <col min="5637" max="5884" width="9.140625" style="1105"/>
    <col min="5885" max="5885" width="26.5703125" style="1105" customWidth="1"/>
    <col min="5886" max="5891" width="13.7109375" style="1105" customWidth="1"/>
    <col min="5892" max="5892" width="10" style="1105" customWidth="1"/>
    <col min="5893" max="6140" width="9.140625" style="1105"/>
    <col min="6141" max="6141" width="26.5703125" style="1105" customWidth="1"/>
    <col min="6142" max="6147" width="13.7109375" style="1105" customWidth="1"/>
    <col min="6148" max="6148" width="10" style="1105" customWidth="1"/>
    <col min="6149" max="6396" width="9.140625" style="1105"/>
    <col min="6397" max="6397" width="26.5703125" style="1105" customWidth="1"/>
    <col min="6398" max="6403" width="13.7109375" style="1105" customWidth="1"/>
    <col min="6404" max="6404" width="10" style="1105" customWidth="1"/>
    <col min="6405" max="6652" width="9.140625" style="1105"/>
    <col min="6653" max="6653" width="26.5703125" style="1105" customWidth="1"/>
    <col min="6654" max="6659" width="13.7109375" style="1105" customWidth="1"/>
    <col min="6660" max="6660" width="10" style="1105" customWidth="1"/>
    <col min="6661" max="6908" width="9.140625" style="1105"/>
    <col min="6909" max="6909" width="26.5703125" style="1105" customWidth="1"/>
    <col min="6910" max="6915" width="13.7109375" style="1105" customWidth="1"/>
    <col min="6916" max="6916" width="10" style="1105" customWidth="1"/>
    <col min="6917" max="7164" width="9.140625" style="1105"/>
    <col min="7165" max="7165" width="26.5703125" style="1105" customWidth="1"/>
    <col min="7166" max="7171" width="13.7109375" style="1105" customWidth="1"/>
    <col min="7172" max="7172" width="10" style="1105" customWidth="1"/>
    <col min="7173" max="7420" width="9.140625" style="1105"/>
    <col min="7421" max="7421" width="26.5703125" style="1105" customWidth="1"/>
    <col min="7422" max="7427" width="13.7109375" style="1105" customWidth="1"/>
    <col min="7428" max="7428" width="10" style="1105" customWidth="1"/>
    <col min="7429" max="7676" width="9.140625" style="1105"/>
    <col min="7677" max="7677" width="26.5703125" style="1105" customWidth="1"/>
    <col min="7678" max="7683" width="13.7109375" style="1105" customWidth="1"/>
    <col min="7684" max="7684" width="10" style="1105" customWidth="1"/>
    <col min="7685" max="7932" width="9.140625" style="1105"/>
    <col min="7933" max="7933" width="26.5703125" style="1105" customWidth="1"/>
    <col min="7934" max="7939" width="13.7109375" style="1105" customWidth="1"/>
    <col min="7940" max="7940" width="10" style="1105" customWidth="1"/>
    <col min="7941" max="8188" width="9.140625" style="1105"/>
    <col min="8189" max="8189" width="26.5703125" style="1105" customWidth="1"/>
    <col min="8190" max="8195" width="13.7109375" style="1105" customWidth="1"/>
    <col min="8196" max="8196" width="10" style="1105" customWidth="1"/>
    <col min="8197" max="8444" width="9.140625" style="1105"/>
    <col min="8445" max="8445" width="26.5703125" style="1105" customWidth="1"/>
    <col min="8446" max="8451" width="13.7109375" style="1105" customWidth="1"/>
    <col min="8452" max="8452" width="10" style="1105" customWidth="1"/>
    <col min="8453" max="8700" width="9.140625" style="1105"/>
    <col min="8701" max="8701" width="26.5703125" style="1105" customWidth="1"/>
    <col min="8702" max="8707" width="13.7109375" style="1105" customWidth="1"/>
    <col min="8708" max="8708" width="10" style="1105" customWidth="1"/>
    <col min="8709" max="8956" width="9.140625" style="1105"/>
    <col min="8957" max="8957" width="26.5703125" style="1105" customWidth="1"/>
    <col min="8958" max="8963" width="13.7109375" style="1105" customWidth="1"/>
    <col min="8964" max="8964" width="10" style="1105" customWidth="1"/>
    <col min="8965" max="9212" width="9.140625" style="1105"/>
    <col min="9213" max="9213" width="26.5703125" style="1105" customWidth="1"/>
    <col min="9214" max="9219" width="13.7109375" style="1105" customWidth="1"/>
    <col min="9220" max="9220" width="10" style="1105" customWidth="1"/>
    <col min="9221" max="9468" width="9.140625" style="1105"/>
    <col min="9469" max="9469" width="26.5703125" style="1105" customWidth="1"/>
    <col min="9470" max="9475" width="13.7109375" style="1105" customWidth="1"/>
    <col min="9476" max="9476" width="10" style="1105" customWidth="1"/>
    <col min="9477" max="9724" width="9.140625" style="1105"/>
    <col min="9725" max="9725" width="26.5703125" style="1105" customWidth="1"/>
    <col min="9726" max="9731" width="13.7109375" style="1105" customWidth="1"/>
    <col min="9732" max="9732" width="10" style="1105" customWidth="1"/>
    <col min="9733" max="9980" width="9.140625" style="1105"/>
    <col min="9981" max="9981" width="26.5703125" style="1105" customWidth="1"/>
    <col min="9982" max="9987" width="13.7109375" style="1105" customWidth="1"/>
    <col min="9988" max="9988" width="10" style="1105" customWidth="1"/>
    <col min="9989" max="10236" width="9.140625" style="1105"/>
    <col min="10237" max="10237" width="26.5703125" style="1105" customWidth="1"/>
    <col min="10238" max="10243" width="13.7109375" style="1105" customWidth="1"/>
    <col min="10244" max="10244" width="10" style="1105" customWidth="1"/>
    <col min="10245" max="10492" width="9.140625" style="1105"/>
    <col min="10493" max="10493" width="26.5703125" style="1105" customWidth="1"/>
    <col min="10494" max="10499" width="13.7109375" style="1105" customWidth="1"/>
    <col min="10500" max="10500" width="10" style="1105" customWidth="1"/>
    <col min="10501" max="10748" width="9.140625" style="1105"/>
    <col min="10749" max="10749" width="26.5703125" style="1105" customWidth="1"/>
    <col min="10750" max="10755" width="13.7109375" style="1105" customWidth="1"/>
    <col min="10756" max="10756" width="10" style="1105" customWidth="1"/>
    <col min="10757" max="11004" width="9.140625" style="1105"/>
    <col min="11005" max="11005" width="26.5703125" style="1105" customWidth="1"/>
    <col min="11006" max="11011" width="13.7109375" style="1105" customWidth="1"/>
    <col min="11012" max="11012" width="10" style="1105" customWidth="1"/>
    <col min="11013" max="11260" width="9.140625" style="1105"/>
    <col min="11261" max="11261" width="26.5703125" style="1105" customWidth="1"/>
    <col min="11262" max="11267" width="13.7109375" style="1105" customWidth="1"/>
    <col min="11268" max="11268" width="10" style="1105" customWidth="1"/>
    <col min="11269" max="11516" width="9.140625" style="1105"/>
    <col min="11517" max="11517" width="26.5703125" style="1105" customWidth="1"/>
    <col min="11518" max="11523" width="13.7109375" style="1105" customWidth="1"/>
    <col min="11524" max="11524" width="10" style="1105" customWidth="1"/>
    <col min="11525" max="11772" width="9.140625" style="1105"/>
    <col min="11773" max="11773" width="26.5703125" style="1105" customWidth="1"/>
    <col min="11774" max="11779" width="13.7109375" style="1105" customWidth="1"/>
    <col min="11780" max="11780" width="10" style="1105" customWidth="1"/>
    <col min="11781" max="12028" width="9.140625" style="1105"/>
    <col min="12029" max="12029" width="26.5703125" style="1105" customWidth="1"/>
    <col min="12030" max="12035" width="13.7109375" style="1105" customWidth="1"/>
    <col min="12036" max="12036" width="10" style="1105" customWidth="1"/>
    <col min="12037" max="12284" width="9.140625" style="1105"/>
    <col min="12285" max="12285" width="26.5703125" style="1105" customWidth="1"/>
    <col min="12286" max="12291" width="13.7109375" style="1105" customWidth="1"/>
    <col min="12292" max="12292" width="10" style="1105" customWidth="1"/>
    <col min="12293" max="12540" width="9.140625" style="1105"/>
    <col min="12541" max="12541" width="26.5703125" style="1105" customWidth="1"/>
    <col min="12542" max="12547" width="13.7109375" style="1105" customWidth="1"/>
    <col min="12548" max="12548" width="10" style="1105" customWidth="1"/>
    <col min="12549" max="12796" width="9.140625" style="1105"/>
    <col min="12797" max="12797" width="26.5703125" style="1105" customWidth="1"/>
    <col min="12798" max="12803" width="13.7109375" style="1105" customWidth="1"/>
    <col min="12804" max="12804" width="10" style="1105" customWidth="1"/>
    <col min="12805" max="13052" width="9.140625" style="1105"/>
    <col min="13053" max="13053" width="26.5703125" style="1105" customWidth="1"/>
    <col min="13054" max="13059" width="13.7109375" style="1105" customWidth="1"/>
    <col min="13060" max="13060" width="10" style="1105" customWidth="1"/>
    <col min="13061" max="13308" width="9.140625" style="1105"/>
    <col min="13309" max="13309" width="26.5703125" style="1105" customWidth="1"/>
    <col min="13310" max="13315" width="13.7109375" style="1105" customWidth="1"/>
    <col min="13316" max="13316" width="10" style="1105" customWidth="1"/>
    <col min="13317" max="13564" width="9.140625" style="1105"/>
    <col min="13565" max="13565" width="26.5703125" style="1105" customWidth="1"/>
    <col min="13566" max="13571" width="13.7109375" style="1105" customWidth="1"/>
    <col min="13572" max="13572" width="10" style="1105" customWidth="1"/>
    <col min="13573" max="13820" width="9.140625" style="1105"/>
    <col min="13821" max="13821" width="26.5703125" style="1105" customWidth="1"/>
    <col min="13822" max="13827" width="13.7109375" style="1105" customWidth="1"/>
    <col min="13828" max="13828" width="10" style="1105" customWidth="1"/>
    <col min="13829" max="14076" width="9.140625" style="1105"/>
    <col min="14077" max="14077" width="26.5703125" style="1105" customWidth="1"/>
    <col min="14078" max="14083" width="13.7109375" style="1105" customWidth="1"/>
    <col min="14084" max="14084" width="10" style="1105" customWidth="1"/>
    <col min="14085" max="14332" width="9.140625" style="1105"/>
    <col min="14333" max="14333" width="26.5703125" style="1105" customWidth="1"/>
    <col min="14334" max="14339" width="13.7109375" style="1105" customWidth="1"/>
    <col min="14340" max="14340" width="10" style="1105" customWidth="1"/>
    <col min="14341" max="14588" width="9.140625" style="1105"/>
    <col min="14589" max="14589" width="26.5703125" style="1105" customWidth="1"/>
    <col min="14590" max="14595" width="13.7109375" style="1105" customWidth="1"/>
    <col min="14596" max="14596" width="10" style="1105" customWidth="1"/>
    <col min="14597" max="14844" width="9.140625" style="1105"/>
    <col min="14845" max="14845" width="26.5703125" style="1105" customWidth="1"/>
    <col min="14846" max="14851" width="13.7109375" style="1105" customWidth="1"/>
    <col min="14852" max="14852" width="10" style="1105" customWidth="1"/>
    <col min="14853" max="15100" width="9.140625" style="1105"/>
    <col min="15101" max="15101" width="26.5703125" style="1105" customWidth="1"/>
    <col min="15102" max="15107" width="13.7109375" style="1105" customWidth="1"/>
    <col min="15108" max="15108" width="10" style="1105" customWidth="1"/>
    <col min="15109" max="15356" width="9.140625" style="1105"/>
    <col min="15357" max="15357" width="26.5703125" style="1105" customWidth="1"/>
    <col min="15358" max="15363" width="13.7109375" style="1105" customWidth="1"/>
    <col min="15364" max="15364" width="10" style="1105" customWidth="1"/>
    <col min="15365" max="15612" width="9.140625" style="1105"/>
    <col min="15613" max="15613" width="26.5703125" style="1105" customWidth="1"/>
    <col min="15614" max="15619" width="13.7109375" style="1105" customWidth="1"/>
    <col min="15620" max="15620" width="10" style="1105" customWidth="1"/>
    <col min="15621" max="15868" width="9.140625" style="1105"/>
    <col min="15869" max="15869" width="26.5703125" style="1105" customWidth="1"/>
    <col min="15870" max="15875" width="13.7109375" style="1105" customWidth="1"/>
    <col min="15876" max="15876" width="10" style="1105" customWidth="1"/>
    <col min="15877" max="16124" width="9.140625" style="1105"/>
    <col min="16125" max="16125" width="26.5703125" style="1105" customWidth="1"/>
    <col min="16126" max="16131" width="13.7109375" style="1105" customWidth="1"/>
    <col min="16132" max="16132" width="10" style="1105" customWidth="1"/>
    <col min="16133" max="16384" width="9.140625" style="1105"/>
  </cols>
  <sheetData>
    <row r="1" spans="1:9" x14ac:dyDescent="0.15">
      <c r="A1" s="1104"/>
      <c r="B1" s="1104"/>
      <c r="C1" s="1104"/>
      <c r="D1" s="1104"/>
      <c r="E1" s="1104"/>
      <c r="F1" s="1104"/>
      <c r="G1" s="1104"/>
      <c r="H1" s="1104"/>
    </row>
    <row r="2" spans="1:9" ht="22.5" customHeight="1" x14ac:dyDescent="0.15">
      <c r="A2" s="3064" t="s">
        <v>2524</v>
      </c>
      <c r="B2" s="3064"/>
      <c r="C2" s="3064"/>
      <c r="D2" s="3064"/>
      <c r="E2" s="3064"/>
      <c r="F2" s="3064"/>
      <c r="G2" s="3064"/>
      <c r="H2" s="1095"/>
    </row>
    <row r="3" spans="1:9" x14ac:dyDescent="0.15">
      <c r="A3" s="3080"/>
      <c r="B3" s="3080"/>
      <c r="C3" s="3080"/>
      <c r="D3" s="3080"/>
      <c r="E3" s="3080"/>
      <c r="F3" s="3080"/>
      <c r="G3" s="3080"/>
      <c r="H3" s="1104"/>
    </row>
    <row r="4" spans="1:9" x14ac:dyDescent="0.15">
      <c r="A4" s="3066" t="s">
        <v>2514</v>
      </c>
      <c r="B4" s="3074" t="s">
        <v>2525</v>
      </c>
      <c r="C4" s="3074"/>
      <c r="D4" s="3074"/>
      <c r="E4" s="3074"/>
      <c r="F4" s="3074"/>
      <c r="G4" s="3074"/>
      <c r="H4" s="1104"/>
    </row>
    <row r="5" spans="1:9" x14ac:dyDescent="0.15">
      <c r="A5" s="3067"/>
      <c r="B5" s="3072" t="s">
        <v>2483</v>
      </c>
      <c r="C5" s="3081" t="s">
        <v>2516</v>
      </c>
      <c r="D5" s="3081"/>
      <c r="E5" s="3081"/>
      <c r="F5" s="3081"/>
      <c r="G5" s="3081"/>
      <c r="H5" s="1104"/>
    </row>
    <row r="6" spans="1:9" ht="25.5" customHeight="1" x14ac:dyDescent="0.15">
      <c r="A6" s="3068"/>
      <c r="B6" s="3073"/>
      <c r="C6" s="1106" t="s">
        <v>2507</v>
      </c>
      <c r="D6" s="1106" t="s">
        <v>2526</v>
      </c>
      <c r="E6" s="1106" t="s">
        <v>2509</v>
      </c>
      <c r="F6" s="1106" t="s">
        <v>1879</v>
      </c>
      <c r="G6" s="1106" t="s">
        <v>2505</v>
      </c>
      <c r="H6" s="1104"/>
    </row>
    <row r="7" spans="1:9" ht="12.75" customHeight="1" x14ac:dyDescent="0.15">
      <c r="A7" s="1127" t="s">
        <v>2517</v>
      </c>
      <c r="B7" s="1131"/>
      <c r="C7" s="1131"/>
      <c r="D7" s="1131"/>
      <c r="E7" s="1131"/>
      <c r="F7" s="1131"/>
      <c r="G7" s="1131"/>
      <c r="H7" s="1104"/>
    </row>
    <row r="8" spans="1:9" ht="12.75" customHeight="1" x14ac:dyDescent="0.15">
      <c r="A8" s="1101" t="s">
        <v>2518</v>
      </c>
      <c r="B8" s="1131">
        <f>SUM(C8:G8)</f>
        <v>100</v>
      </c>
      <c r="C8" s="1132">
        <v>2.4900000000000002</v>
      </c>
      <c r="D8" s="1132">
        <v>10.44</v>
      </c>
      <c r="E8" s="1132">
        <v>7.08</v>
      </c>
      <c r="F8" s="1132">
        <v>79.989999999999995</v>
      </c>
      <c r="G8" s="1132">
        <v>0</v>
      </c>
      <c r="H8" s="1104"/>
      <c r="I8" s="1133"/>
    </row>
    <row r="9" spans="1:9" ht="12.75" customHeight="1" x14ac:dyDescent="0.15">
      <c r="A9" s="1101" t="s">
        <v>2519</v>
      </c>
      <c r="B9" s="1131">
        <f t="shared" ref="B9:B20" si="0">SUM(C9:G9)</f>
        <v>100</v>
      </c>
      <c r="C9" s="1132">
        <v>2.5499999999999998</v>
      </c>
      <c r="D9" s="1132">
        <v>11.37</v>
      </c>
      <c r="E9" s="1132">
        <v>5.63</v>
      </c>
      <c r="F9" s="1132">
        <v>80.22</v>
      </c>
      <c r="G9" s="1132">
        <v>0.23</v>
      </c>
      <c r="H9" s="1104"/>
      <c r="I9" s="1133"/>
    </row>
    <row r="10" spans="1:9" ht="12.75" customHeight="1" x14ac:dyDescent="0.15">
      <c r="A10" s="1101" t="s">
        <v>2520</v>
      </c>
      <c r="B10" s="1131">
        <f t="shared" si="0"/>
        <v>100.00000000000001</v>
      </c>
      <c r="C10" s="1132">
        <v>3.83</v>
      </c>
      <c r="D10" s="1132">
        <v>10.67</v>
      </c>
      <c r="E10" s="1132">
        <v>4.99</v>
      </c>
      <c r="F10" s="1132">
        <v>79.930000000000007</v>
      </c>
      <c r="G10" s="1132">
        <v>0.57999999999999996</v>
      </c>
      <c r="H10" s="1104"/>
      <c r="I10" s="1133"/>
    </row>
    <row r="11" spans="1:9" x14ac:dyDescent="0.15">
      <c r="A11" s="1119" t="s">
        <v>2448</v>
      </c>
      <c r="B11" s="1131"/>
      <c r="C11" s="1134"/>
      <c r="D11" s="1134"/>
      <c r="E11" s="1134"/>
      <c r="F11" s="1134"/>
      <c r="G11" s="1134"/>
      <c r="H11" s="1104"/>
      <c r="I11" s="1133"/>
    </row>
    <row r="12" spans="1:9" ht="12.75" customHeight="1" x14ac:dyDescent="0.15">
      <c r="A12" s="1101" t="s">
        <v>2521</v>
      </c>
      <c r="B12" s="1131">
        <f t="shared" si="0"/>
        <v>100</v>
      </c>
      <c r="C12" s="1132">
        <v>4.3099999999999996</v>
      </c>
      <c r="D12" s="1132">
        <v>24.14</v>
      </c>
      <c r="E12" s="1132">
        <v>11.21</v>
      </c>
      <c r="F12" s="1132">
        <v>60.34</v>
      </c>
      <c r="G12" s="1132">
        <v>0</v>
      </c>
      <c r="H12" s="1104"/>
      <c r="I12" s="1133"/>
    </row>
    <row r="13" spans="1:9" ht="12.75" customHeight="1" x14ac:dyDescent="0.15">
      <c r="A13" s="1101" t="s">
        <v>2522</v>
      </c>
      <c r="B13" s="1131">
        <f t="shared" si="0"/>
        <v>99.990000000000009</v>
      </c>
      <c r="C13" s="1132">
        <v>6.03</v>
      </c>
      <c r="D13" s="1132">
        <v>24.14</v>
      </c>
      <c r="E13" s="1132">
        <v>9.48</v>
      </c>
      <c r="F13" s="1132">
        <v>60.34</v>
      </c>
      <c r="G13" s="1132">
        <v>0</v>
      </c>
      <c r="H13" s="1104"/>
      <c r="I13" s="1133"/>
    </row>
    <row r="14" spans="1:9" ht="12.75" customHeight="1" x14ac:dyDescent="0.15">
      <c r="A14" s="1101" t="s">
        <v>2523</v>
      </c>
      <c r="B14" s="1131">
        <f t="shared" si="0"/>
        <v>100.00999999999999</v>
      </c>
      <c r="C14" s="1132">
        <v>8.6199999999999992</v>
      </c>
      <c r="D14" s="1132">
        <v>23.28</v>
      </c>
      <c r="E14" s="1132">
        <v>6.9</v>
      </c>
      <c r="F14" s="1132">
        <v>61.21</v>
      </c>
      <c r="G14" s="1132">
        <v>0</v>
      </c>
      <c r="H14" s="1104"/>
      <c r="I14" s="1133"/>
    </row>
    <row r="15" spans="1:9" x14ac:dyDescent="0.15">
      <c r="A15" s="1119" t="s">
        <v>2449</v>
      </c>
      <c r="B15" s="1131"/>
      <c r="C15" s="1134"/>
      <c r="D15" s="1134"/>
      <c r="E15" s="1134"/>
      <c r="F15" s="1134"/>
      <c r="G15" s="1134"/>
      <c r="H15" s="1104"/>
      <c r="I15" s="1133"/>
    </row>
    <row r="16" spans="1:9" ht="12.75" customHeight="1" x14ac:dyDescent="0.15">
      <c r="A16" s="1101" t="s">
        <v>2521</v>
      </c>
      <c r="B16" s="1131">
        <f t="shared" si="0"/>
        <v>100.01</v>
      </c>
      <c r="C16" s="1132">
        <v>0.86</v>
      </c>
      <c r="D16" s="1132">
        <v>7.95</v>
      </c>
      <c r="E16" s="1132">
        <v>7.09</v>
      </c>
      <c r="F16" s="1132">
        <v>84.11</v>
      </c>
      <c r="G16" s="1132">
        <v>0</v>
      </c>
      <c r="H16" s="1104"/>
      <c r="I16" s="1133"/>
    </row>
    <row r="17" spans="1:14" ht="12.75" customHeight="1" x14ac:dyDescent="0.15">
      <c r="A17" s="1101" t="s">
        <v>2522</v>
      </c>
      <c r="B17" s="1131">
        <f t="shared" si="0"/>
        <v>100.00000000000001</v>
      </c>
      <c r="C17" s="1132">
        <v>1.22</v>
      </c>
      <c r="D17" s="1132">
        <v>8.66</v>
      </c>
      <c r="E17" s="1132">
        <v>5.58</v>
      </c>
      <c r="F17" s="1132">
        <v>84.4</v>
      </c>
      <c r="G17" s="1132">
        <v>0.14000000000000001</v>
      </c>
      <c r="H17" s="1104"/>
      <c r="I17" s="1133"/>
    </row>
    <row r="18" spans="1:14" ht="12.75" customHeight="1" x14ac:dyDescent="0.15">
      <c r="A18" s="1101" t="s">
        <v>2523</v>
      </c>
      <c r="B18" s="1131">
        <f t="shared" si="0"/>
        <v>100</v>
      </c>
      <c r="C18" s="1132">
        <v>1.79</v>
      </c>
      <c r="D18" s="1132">
        <v>8.73</v>
      </c>
      <c r="E18" s="1132">
        <v>5.08</v>
      </c>
      <c r="F18" s="1132">
        <v>83.97</v>
      </c>
      <c r="G18" s="1132">
        <v>0.43</v>
      </c>
      <c r="H18" s="1104"/>
      <c r="I18" s="1133"/>
    </row>
    <row r="19" spans="1:14" ht="12.75" customHeight="1" x14ac:dyDescent="0.15">
      <c r="A19" s="1119" t="s">
        <v>2527</v>
      </c>
      <c r="B19" s="1131"/>
      <c r="C19" s="1134"/>
      <c r="D19" s="1134"/>
      <c r="E19" s="1134"/>
      <c r="F19" s="1134"/>
      <c r="G19" s="1134"/>
      <c r="H19" s="1104"/>
      <c r="I19" s="1133"/>
    </row>
    <row r="20" spans="1:14" ht="12.75" customHeight="1" x14ac:dyDescent="0.15">
      <c r="A20" s="1101" t="s">
        <v>2521</v>
      </c>
      <c r="B20" s="1131">
        <f t="shared" si="0"/>
        <v>100</v>
      </c>
      <c r="C20" s="1132">
        <v>12.32</v>
      </c>
      <c r="D20" s="1132">
        <v>19.43</v>
      </c>
      <c r="E20" s="1132">
        <v>4.74</v>
      </c>
      <c r="F20" s="1132">
        <v>63.51</v>
      </c>
      <c r="G20" s="1132">
        <v>0</v>
      </c>
      <c r="H20" s="1104"/>
      <c r="I20" s="1133"/>
    </row>
    <row r="21" spans="1:14" ht="12.75" customHeight="1" x14ac:dyDescent="0.15">
      <c r="A21" s="1101" t="s">
        <v>2522</v>
      </c>
      <c r="B21" s="1131">
        <f>SUM(C21:G21)</f>
        <v>100</v>
      </c>
      <c r="C21" s="1132">
        <v>9.48</v>
      </c>
      <c r="D21" s="1132">
        <v>22.27</v>
      </c>
      <c r="E21" s="1132">
        <v>3.79</v>
      </c>
      <c r="F21" s="1132">
        <v>63.51</v>
      </c>
      <c r="G21" s="1132">
        <v>0.95</v>
      </c>
      <c r="H21" s="1104"/>
      <c r="I21" s="1133"/>
    </row>
    <row r="22" spans="1:14" ht="12.75" customHeight="1" x14ac:dyDescent="0.15">
      <c r="A22" s="1101" t="s">
        <v>2523</v>
      </c>
      <c r="B22" s="1131">
        <f>SUM(C22:G22)</f>
        <v>100.01</v>
      </c>
      <c r="C22" s="1132">
        <v>14.69</v>
      </c>
      <c r="D22" s="1132">
        <v>16.59</v>
      </c>
      <c r="E22" s="1132">
        <v>3.32</v>
      </c>
      <c r="F22" s="1132">
        <v>63.51</v>
      </c>
      <c r="G22" s="1132">
        <v>1.9</v>
      </c>
      <c r="H22" s="1104"/>
      <c r="I22" s="1133"/>
    </row>
    <row r="23" spans="1:14" ht="7.5" customHeight="1" x14ac:dyDescent="0.15">
      <c r="A23" s="1104"/>
      <c r="B23" s="1104"/>
      <c r="C23" s="1104"/>
      <c r="D23" s="1104"/>
      <c r="E23" s="1104"/>
      <c r="F23" s="1104"/>
      <c r="G23" s="1104"/>
      <c r="H23" s="1104"/>
    </row>
    <row r="24" spans="1:14" s="1122" customFormat="1" x14ac:dyDescent="0.15">
      <c r="A24" s="3078" t="s">
        <v>2475</v>
      </c>
      <c r="B24" s="3078"/>
      <c r="C24" s="3078"/>
      <c r="D24" s="3078"/>
      <c r="E24" s="3078"/>
      <c r="F24" s="3078"/>
      <c r="G24" s="3078"/>
      <c r="H24" s="1135"/>
    </row>
    <row r="25" spans="1:14" s="1122" customFormat="1" x14ac:dyDescent="0.15">
      <c r="A25" s="2756" t="s">
        <v>2528</v>
      </c>
      <c r="B25" s="2756"/>
      <c r="C25" s="2756"/>
      <c r="D25" s="2756"/>
      <c r="E25" s="2756"/>
      <c r="F25" s="2756"/>
      <c r="G25" s="2756"/>
      <c r="H25" s="1135"/>
    </row>
    <row r="26" spans="1:14" s="1122" customFormat="1" ht="31.5" customHeight="1" x14ac:dyDescent="0.15">
      <c r="A26" s="2756" t="s">
        <v>2489</v>
      </c>
      <c r="B26" s="2756"/>
      <c r="C26" s="2756"/>
      <c r="D26" s="2756"/>
      <c r="E26" s="2756"/>
      <c r="F26" s="2756"/>
      <c r="G26" s="2756"/>
      <c r="H26" s="1135"/>
    </row>
    <row r="27" spans="1:14" s="1122" customFormat="1" ht="22.5" customHeight="1" x14ac:dyDescent="0.15">
      <c r="A27" s="3078" t="s">
        <v>2529</v>
      </c>
      <c r="B27" s="3078"/>
      <c r="C27" s="3078"/>
      <c r="D27" s="3078"/>
      <c r="E27" s="3078"/>
      <c r="F27" s="3078"/>
      <c r="G27" s="3078"/>
      <c r="H27" s="1104"/>
      <c r="I27" s="1104"/>
      <c r="J27" s="1104"/>
      <c r="K27" s="1104"/>
      <c r="L27" s="1104"/>
      <c r="M27" s="1104"/>
      <c r="N27" s="1104"/>
    </row>
    <row r="28" spans="1:14" s="1122" customFormat="1" ht="11.25" customHeight="1" x14ac:dyDescent="0.15">
      <c r="A28" s="3079" t="s">
        <v>20</v>
      </c>
      <c r="B28" s="3079"/>
      <c r="C28" s="3079"/>
      <c r="D28" s="3079"/>
      <c r="E28" s="3079"/>
      <c r="F28" s="3079"/>
      <c r="G28" s="3079"/>
      <c r="H28" s="1135"/>
    </row>
    <row r="29" spans="1:14" ht="11.25" customHeight="1" x14ac:dyDescent="0.15">
      <c r="A29" s="3082" t="s">
        <v>2478</v>
      </c>
      <c r="B29" s="3082"/>
      <c r="C29" s="3082"/>
      <c r="D29" s="3082"/>
      <c r="E29" s="3082"/>
      <c r="F29" s="3082"/>
      <c r="G29" s="3082"/>
      <c r="H29" s="1104"/>
    </row>
    <row r="30" spans="1:14" ht="12" customHeight="1" x14ac:dyDescent="0.15">
      <c r="A30" s="1104"/>
      <c r="B30" s="1104"/>
      <c r="C30" s="1104"/>
      <c r="D30" s="1104"/>
      <c r="E30" s="1104"/>
      <c r="F30" s="1104"/>
      <c r="G30" s="1104"/>
      <c r="H30" s="1104"/>
    </row>
  </sheetData>
  <mergeCells count="12">
    <mergeCell ref="A29:G29"/>
    <mergeCell ref="A2:G2"/>
    <mergeCell ref="A3:G3"/>
    <mergeCell ref="A4:A6"/>
    <mergeCell ref="B4:G4"/>
    <mergeCell ref="B5:B6"/>
    <mergeCell ref="C5:G5"/>
    <mergeCell ref="A24:G24"/>
    <mergeCell ref="A25:G25"/>
    <mergeCell ref="A26:G26"/>
    <mergeCell ref="A27:G27"/>
    <mergeCell ref="A28:G28"/>
  </mergeCells>
  <conditionalFormatting sqref="B8:G22">
    <cfRule type="expression" dxfId="10"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outlinePr summaryBelow="0" summaryRight="0"/>
  </sheetPr>
  <dimension ref="A1:F24"/>
  <sheetViews>
    <sheetView zoomScaleNormal="100" workbookViewId="0">
      <selection activeCell="G29" sqref="G29"/>
    </sheetView>
  </sheetViews>
  <sheetFormatPr baseColWidth="10" defaultColWidth="9.140625" defaultRowHeight="10.5" x14ac:dyDescent="0.15"/>
  <cols>
    <col min="1" max="1" width="29.42578125" style="1105" customWidth="1"/>
    <col min="2" max="2" width="13.7109375" style="1105" customWidth="1"/>
    <col min="3" max="3" width="13.5703125" style="1105" customWidth="1"/>
    <col min="4" max="4" width="13.7109375" style="1105" customWidth="1"/>
    <col min="5" max="5" width="21.42578125" style="1105" customWidth="1"/>
    <col min="6" max="6" width="9.140625" style="1105"/>
    <col min="7" max="7" width="22.42578125" style="1105" customWidth="1"/>
    <col min="8" max="253" width="9.140625" style="1105"/>
    <col min="254" max="254" width="29.42578125" style="1105" customWidth="1"/>
    <col min="255" max="255" width="13.7109375" style="1105" customWidth="1"/>
    <col min="256" max="256" width="13.5703125" style="1105" customWidth="1"/>
    <col min="257" max="257" width="13.7109375" style="1105" customWidth="1"/>
    <col min="258" max="258" width="19.85546875" style="1105" customWidth="1"/>
    <col min="259" max="509" width="9.140625" style="1105"/>
    <col min="510" max="510" width="29.42578125" style="1105" customWidth="1"/>
    <col min="511" max="511" width="13.7109375" style="1105" customWidth="1"/>
    <col min="512" max="512" width="13.5703125" style="1105" customWidth="1"/>
    <col min="513" max="513" width="13.7109375" style="1105" customWidth="1"/>
    <col min="514" max="514" width="19.85546875" style="1105" customWidth="1"/>
    <col min="515" max="765" width="9.140625" style="1105"/>
    <col min="766" max="766" width="29.42578125" style="1105" customWidth="1"/>
    <col min="767" max="767" width="13.7109375" style="1105" customWidth="1"/>
    <col min="768" max="768" width="13.5703125" style="1105" customWidth="1"/>
    <col min="769" max="769" width="13.7109375" style="1105" customWidth="1"/>
    <col min="770" max="770" width="19.85546875" style="1105" customWidth="1"/>
    <col min="771" max="1021" width="9.140625" style="1105"/>
    <col min="1022" max="1022" width="29.42578125" style="1105" customWidth="1"/>
    <col min="1023" max="1023" width="13.7109375" style="1105" customWidth="1"/>
    <col min="1024" max="1024" width="13.5703125" style="1105" customWidth="1"/>
    <col min="1025" max="1025" width="13.7109375" style="1105" customWidth="1"/>
    <col min="1026" max="1026" width="19.85546875" style="1105" customWidth="1"/>
    <col min="1027" max="1277" width="9.140625" style="1105"/>
    <col min="1278" max="1278" width="29.42578125" style="1105" customWidth="1"/>
    <col min="1279" max="1279" width="13.7109375" style="1105" customWidth="1"/>
    <col min="1280" max="1280" width="13.5703125" style="1105" customWidth="1"/>
    <col min="1281" max="1281" width="13.7109375" style="1105" customWidth="1"/>
    <col min="1282" max="1282" width="19.85546875" style="1105" customWidth="1"/>
    <col min="1283" max="1533" width="9.140625" style="1105"/>
    <col min="1534" max="1534" width="29.42578125" style="1105" customWidth="1"/>
    <col min="1535" max="1535" width="13.7109375" style="1105" customWidth="1"/>
    <col min="1536" max="1536" width="13.5703125" style="1105" customWidth="1"/>
    <col min="1537" max="1537" width="13.7109375" style="1105" customWidth="1"/>
    <col min="1538" max="1538" width="19.85546875" style="1105" customWidth="1"/>
    <col min="1539" max="1789" width="9.140625" style="1105"/>
    <col min="1790" max="1790" width="29.42578125" style="1105" customWidth="1"/>
    <col min="1791" max="1791" width="13.7109375" style="1105" customWidth="1"/>
    <col min="1792" max="1792" width="13.5703125" style="1105" customWidth="1"/>
    <col min="1793" max="1793" width="13.7109375" style="1105" customWidth="1"/>
    <col min="1794" max="1794" width="19.85546875" style="1105" customWidth="1"/>
    <col min="1795" max="2045" width="9.140625" style="1105"/>
    <col min="2046" max="2046" width="29.42578125" style="1105" customWidth="1"/>
    <col min="2047" max="2047" width="13.7109375" style="1105" customWidth="1"/>
    <col min="2048" max="2048" width="13.5703125" style="1105" customWidth="1"/>
    <col min="2049" max="2049" width="13.7109375" style="1105" customWidth="1"/>
    <col min="2050" max="2050" width="19.85546875" style="1105" customWidth="1"/>
    <col min="2051" max="2301" width="9.140625" style="1105"/>
    <col min="2302" max="2302" width="29.42578125" style="1105" customWidth="1"/>
    <col min="2303" max="2303" width="13.7109375" style="1105" customWidth="1"/>
    <col min="2304" max="2304" width="13.5703125" style="1105" customWidth="1"/>
    <col min="2305" max="2305" width="13.7109375" style="1105" customWidth="1"/>
    <col min="2306" max="2306" width="19.85546875" style="1105" customWidth="1"/>
    <col min="2307" max="2557" width="9.140625" style="1105"/>
    <col min="2558" max="2558" width="29.42578125" style="1105" customWidth="1"/>
    <col min="2559" max="2559" width="13.7109375" style="1105" customWidth="1"/>
    <col min="2560" max="2560" width="13.5703125" style="1105" customWidth="1"/>
    <col min="2561" max="2561" width="13.7109375" style="1105" customWidth="1"/>
    <col min="2562" max="2562" width="19.85546875" style="1105" customWidth="1"/>
    <col min="2563" max="2813" width="9.140625" style="1105"/>
    <col min="2814" max="2814" width="29.42578125" style="1105" customWidth="1"/>
    <col min="2815" max="2815" width="13.7109375" style="1105" customWidth="1"/>
    <col min="2816" max="2816" width="13.5703125" style="1105" customWidth="1"/>
    <col min="2817" max="2817" width="13.7109375" style="1105" customWidth="1"/>
    <col min="2818" max="2818" width="19.85546875" style="1105" customWidth="1"/>
    <col min="2819" max="3069" width="9.140625" style="1105"/>
    <col min="3070" max="3070" width="29.42578125" style="1105" customWidth="1"/>
    <col min="3071" max="3071" width="13.7109375" style="1105" customWidth="1"/>
    <col min="3072" max="3072" width="13.5703125" style="1105" customWidth="1"/>
    <col min="3073" max="3073" width="13.7109375" style="1105" customWidth="1"/>
    <col min="3074" max="3074" width="19.85546875" style="1105" customWidth="1"/>
    <col min="3075" max="3325" width="9.140625" style="1105"/>
    <col min="3326" max="3326" width="29.42578125" style="1105" customWidth="1"/>
    <col min="3327" max="3327" width="13.7109375" style="1105" customWidth="1"/>
    <col min="3328" max="3328" width="13.5703125" style="1105" customWidth="1"/>
    <col min="3329" max="3329" width="13.7109375" style="1105" customWidth="1"/>
    <col min="3330" max="3330" width="19.85546875" style="1105" customWidth="1"/>
    <col min="3331" max="3581" width="9.140625" style="1105"/>
    <col min="3582" max="3582" width="29.42578125" style="1105" customWidth="1"/>
    <col min="3583" max="3583" width="13.7109375" style="1105" customWidth="1"/>
    <col min="3584" max="3584" width="13.5703125" style="1105" customWidth="1"/>
    <col min="3585" max="3585" width="13.7109375" style="1105" customWidth="1"/>
    <col min="3586" max="3586" width="19.85546875" style="1105" customWidth="1"/>
    <col min="3587" max="3837" width="9.140625" style="1105"/>
    <col min="3838" max="3838" width="29.42578125" style="1105" customWidth="1"/>
    <col min="3839" max="3839" width="13.7109375" style="1105" customWidth="1"/>
    <col min="3840" max="3840" width="13.5703125" style="1105" customWidth="1"/>
    <col min="3841" max="3841" width="13.7109375" style="1105" customWidth="1"/>
    <col min="3842" max="3842" width="19.85546875" style="1105" customWidth="1"/>
    <col min="3843" max="4093" width="9.140625" style="1105"/>
    <col min="4094" max="4094" width="29.42578125" style="1105" customWidth="1"/>
    <col min="4095" max="4095" width="13.7109375" style="1105" customWidth="1"/>
    <col min="4096" max="4096" width="13.5703125" style="1105" customWidth="1"/>
    <col min="4097" max="4097" width="13.7109375" style="1105" customWidth="1"/>
    <col min="4098" max="4098" width="19.85546875" style="1105" customWidth="1"/>
    <col min="4099" max="4349" width="9.140625" style="1105"/>
    <col min="4350" max="4350" width="29.42578125" style="1105" customWidth="1"/>
    <col min="4351" max="4351" width="13.7109375" style="1105" customWidth="1"/>
    <col min="4352" max="4352" width="13.5703125" style="1105" customWidth="1"/>
    <col min="4353" max="4353" width="13.7109375" style="1105" customWidth="1"/>
    <col min="4354" max="4354" width="19.85546875" style="1105" customWidth="1"/>
    <col min="4355" max="4605" width="9.140625" style="1105"/>
    <col min="4606" max="4606" width="29.42578125" style="1105" customWidth="1"/>
    <col min="4607" max="4607" width="13.7109375" style="1105" customWidth="1"/>
    <col min="4608" max="4608" width="13.5703125" style="1105" customWidth="1"/>
    <col min="4609" max="4609" width="13.7109375" style="1105" customWidth="1"/>
    <col min="4610" max="4610" width="19.85546875" style="1105" customWidth="1"/>
    <col min="4611" max="4861" width="9.140625" style="1105"/>
    <col min="4862" max="4862" width="29.42578125" style="1105" customWidth="1"/>
    <col min="4863" max="4863" width="13.7109375" style="1105" customWidth="1"/>
    <col min="4864" max="4864" width="13.5703125" style="1105" customWidth="1"/>
    <col min="4865" max="4865" width="13.7109375" style="1105" customWidth="1"/>
    <col min="4866" max="4866" width="19.85546875" style="1105" customWidth="1"/>
    <col min="4867" max="5117" width="9.140625" style="1105"/>
    <col min="5118" max="5118" width="29.42578125" style="1105" customWidth="1"/>
    <col min="5119" max="5119" width="13.7109375" style="1105" customWidth="1"/>
    <col min="5120" max="5120" width="13.5703125" style="1105" customWidth="1"/>
    <col min="5121" max="5121" width="13.7109375" style="1105" customWidth="1"/>
    <col min="5122" max="5122" width="19.85546875" style="1105" customWidth="1"/>
    <col min="5123" max="5373" width="9.140625" style="1105"/>
    <col min="5374" max="5374" width="29.42578125" style="1105" customWidth="1"/>
    <col min="5375" max="5375" width="13.7109375" style="1105" customWidth="1"/>
    <col min="5376" max="5376" width="13.5703125" style="1105" customWidth="1"/>
    <col min="5377" max="5377" width="13.7109375" style="1105" customWidth="1"/>
    <col min="5378" max="5378" width="19.85546875" style="1105" customWidth="1"/>
    <col min="5379" max="5629" width="9.140625" style="1105"/>
    <col min="5630" max="5630" width="29.42578125" style="1105" customWidth="1"/>
    <col min="5631" max="5631" width="13.7109375" style="1105" customWidth="1"/>
    <col min="5632" max="5632" width="13.5703125" style="1105" customWidth="1"/>
    <col min="5633" max="5633" width="13.7109375" style="1105" customWidth="1"/>
    <col min="5634" max="5634" width="19.85546875" style="1105" customWidth="1"/>
    <col min="5635" max="5885" width="9.140625" style="1105"/>
    <col min="5886" max="5886" width="29.42578125" style="1105" customWidth="1"/>
    <col min="5887" max="5887" width="13.7109375" style="1105" customWidth="1"/>
    <col min="5888" max="5888" width="13.5703125" style="1105" customWidth="1"/>
    <col min="5889" max="5889" width="13.7109375" style="1105" customWidth="1"/>
    <col min="5890" max="5890" width="19.85546875" style="1105" customWidth="1"/>
    <col min="5891" max="6141" width="9.140625" style="1105"/>
    <col min="6142" max="6142" width="29.42578125" style="1105" customWidth="1"/>
    <col min="6143" max="6143" width="13.7109375" style="1105" customWidth="1"/>
    <col min="6144" max="6144" width="13.5703125" style="1105" customWidth="1"/>
    <col min="6145" max="6145" width="13.7109375" style="1105" customWidth="1"/>
    <col min="6146" max="6146" width="19.85546875" style="1105" customWidth="1"/>
    <col min="6147" max="6397" width="9.140625" style="1105"/>
    <col min="6398" max="6398" width="29.42578125" style="1105" customWidth="1"/>
    <col min="6399" max="6399" width="13.7109375" style="1105" customWidth="1"/>
    <col min="6400" max="6400" width="13.5703125" style="1105" customWidth="1"/>
    <col min="6401" max="6401" width="13.7109375" style="1105" customWidth="1"/>
    <col min="6402" max="6402" width="19.85546875" style="1105" customWidth="1"/>
    <col min="6403" max="6653" width="9.140625" style="1105"/>
    <col min="6654" max="6654" width="29.42578125" style="1105" customWidth="1"/>
    <col min="6655" max="6655" width="13.7109375" style="1105" customWidth="1"/>
    <col min="6656" max="6656" width="13.5703125" style="1105" customWidth="1"/>
    <col min="6657" max="6657" width="13.7109375" style="1105" customWidth="1"/>
    <col min="6658" max="6658" width="19.85546875" style="1105" customWidth="1"/>
    <col min="6659" max="6909" width="9.140625" style="1105"/>
    <col min="6910" max="6910" width="29.42578125" style="1105" customWidth="1"/>
    <col min="6911" max="6911" width="13.7109375" style="1105" customWidth="1"/>
    <col min="6912" max="6912" width="13.5703125" style="1105" customWidth="1"/>
    <col min="6913" max="6913" width="13.7109375" style="1105" customWidth="1"/>
    <col min="6914" max="6914" width="19.85546875" style="1105" customWidth="1"/>
    <col min="6915" max="7165" width="9.140625" style="1105"/>
    <col min="7166" max="7166" width="29.42578125" style="1105" customWidth="1"/>
    <col min="7167" max="7167" width="13.7109375" style="1105" customWidth="1"/>
    <col min="7168" max="7168" width="13.5703125" style="1105" customWidth="1"/>
    <col min="7169" max="7169" width="13.7109375" style="1105" customWidth="1"/>
    <col min="7170" max="7170" width="19.85546875" style="1105" customWidth="1"/>
    <col min="7171" max="7421" width="9.140625" style="1105"/>
    <col min="7422" max="7422" width="29.42578125" style="1105" customWidth="1"/>
    <col min="7423" max="7423" width="13.7109375" style="1105" customWidth="1"/>
    <col min="7424" max="7424" width="13.5703125" style="1105" customWidth="1"/>
    <col min="7425" max="7425" width="13.7109375" style="1105" customWidth="1"/>
    <col min="7426" max="7426" width="19.85546875" style="1105" customWidth="1"/>
    <col min="7427" max="7677" width="9.140625" style="1105"/>
    <col min="7678" max="7678" width="29.42578125" style="1105" customWidth="1"/>
    <col min="7679" max="7679" width="13.7109375" style="1105" customWidth="1"/>
    <col min="7680" max="7680" width="13.5703125" style="1105" customWidth="1"/>
    <col min="7681" max="7681" width="13.7109375" style="1105" customWidth="1"/>
    <col min="7682" max="7682" width="19.85546875" style="1105" customWidth="1"/>
    <col min="7683" max="7933" width="9.140625" style="1105"/>
    <col min="7934" max="7934" width="29.42578125" style="1105" customWidth="1"/>
    <col min="7935" max="7935" width="13.7109375" style="1105" customWidth="1"/>
    <col min="7936" max="7936" width="13.5703125" style="1105" customWidth="1"/>
    <col min="7937" max="7937" width="13.7109375" style="1105" customWidth="1"/>
    <col min="7938" max="7938" width="19.85546875" style="1105" customWidth="1"/>
    <col min="7939" max="8189" width="9.140625" style="1105"/>
    <col min="8190" max="8190" width="29.42578125" style="1105" customWidth="1"/>
    <col min="8191" max="8191" width="13.7109375" style="1105" customWidth="1"/>
    <col min="8192" max="8192" width="13.5703125" style="1105" customWidth="1"/>
    <col min="8193" max="8193" width="13.7109375" style="1105" customWidth="1"/>
    <col min="8194" max="8194" width="19.85546875" style="1105" customWidth="1"/>
    <col min="8195" max="8445" width="9.140625" style="1105"/>
    <col min="8446" max="8446" width="29.42578125" style="1105" customWidth="1"/>
    <col min="8447" max="8447" width="13.7109375" style="1105" customWidth="1"/>
    <col min="8448" max="8448" width="13.5703125" style="1105" customWidth="1"/>
    <col min="8449" max="8449" width="13.7109375" style="1105" customWidth="1"/>
    <col min="8450" max="8450" width="19.85546875" style="1105" customWidth="1"/>
    <col min="8451" max="8701" width="9.140625" style="1105"/>
    <col min="8702" max="8702" width="29.42578125" style="1105" customWidth="1"/>
    <col min="8703" max="8703" width="13.7109375" style="1105" customWidth="1"/>
    <col min="8704" max="8704" width="13.5703125" style="1105" customWidth="1"/>
    <col min="8705" max="8705" width="13.7109375" style="1105" customWidth="1"/>
    <col min="8706" max="8706" width="19.85546875" style="1105" customWidth="1"/>
    <col min="8707" max="8957" width="9.140625" style="1105"/>
    <col min="8958" max="8958" width="29.42578125" style="1105" customWidth="1"/>
    <col min="8959" max="8959" width="13.7109375" style="1105" customWidth="1"/>
    <col min="8960" max="8960" width="13.5703125" style="1105" customWidth="1"/>
    <col min="8961" max="8961" width="13.7109375" style="1105" customWidth="1"/>
    <col min="8962" max="8962" width="19.85546875" style="1105" customWidth="1"/>
    <col min="8963" max="9213" width="9.140625" style="1105"/>
    <col min="9214" max="9214" width="29.42578125" style="1105" customWidth="1"/>
    <col min="9215" max="9215" width="13.7109375" style="1105" customWidth="1"/>
    <col min="9216" max="9216" width="13.5703125" style="1105" customWidth="1"/>
    <col min="9217" max="9217" width="13.7109375" style="1105" customWidth="1"/>
    <col min="9218" max="9218" width="19.85546875" style="1105" customWidth="1"/>
    <col min="9219" max="9469" width="9.140625" style="1105"/>
    <col min="9470" max="9470" width="29.42578125" style="1105" customWidth="1"/>
    <col min="9471" max="9471" width="13.7109375" style="1105" customWidth="1"/>
    <col min="9472" max="9472" width="13.5703125" style="1105" customWidth="1"/>
    <col min="9473" max="9473" width="13.7109375" style="1105" customWidth="1"/>
    <col min="9474" max="9474" width="19.85546875" style="1105" customWidth="1"/>
    <col min="9475" max="9725" width="9.140625" style="1105"/>
    <col min="9726" max="9726" width="29.42578125" style="1105" customWidth="1"/>
    <col min="9727" max="9727" width="13.7109375" style="1105" customWidth="1"/>
    <col min="9728" max="9728" width="13.5703125" style="1105" customWidth="1"/>
    <col min="9729" max="9729" width="13.7109375" style="1105" customWidth="1"/>
    <col min="9730" max="9730" width="19.85546875" style="1105" customWidth="1"/>
    <col min="9731" max="9981" width="9.140625" style="1105"/>
    <col min="9982" max="9982" width="29.42578125" style="1105" customWidth="1"/>
    <col min="9983" max="9983" width="13.7109375" style="1105" customWidth="1"/>
    <col min="9984" max="9984" width="13.5703125" style="1105" customWidth="1"/>
    <col min="9985" max="9985" width="13.7109375" style="1105" customWidth="1"/>
    <col min="9986" max="9986" width="19.85546875" style="1105" customWidth="1"/>
    <col min="9987" max="10237" width="9.140625" style="1105"/>
    <col min="10238" max="10238" width="29.42578125" style="1105" customWidth="1"/>
    <col min="10239" max="10239" width="13.7109375" style="1105" customWidth="1"/>
    <col min="10240" max="10240" width="13.5703125" style="1105" customWidth="1"/>
    <col min="10241" max="10241" width="13.7109375" style="1105" customWidth="1"/>
    <col min="10242" max="10242" width="19.85546875" style="1105" customWidth="1"/>
    <col min="10243" max="10493" width="9.140625" style="1105"/>
    <col min="10494" max="10494" width="29.42578125" style="1105" customWidth="1"/>
    <col min="10495" max="10495" width="13.7109375" style="1105" customWidth="1"/>
    <col min="10496" max="10496" width="13.5703125" style="1105" customWidth="1"/>
    <col min="10497" max="10497" width="13.7109375" style="1105" customWidth="1"/>
    <col min="10498" max="10498" width="19.85546875" style="1105" customWidth="1"/>
    <col min="10499" max="10749" width="9.140625" style="1105"/>
    <col min="10750" max="10750" width="29.42578125" style="1105" customWidth="1"/>
    <col min="10751" max="10751" width="13.7109375" style="1105" customWidth="1"/>
    <col min="10752" max="10752" width="13.5703125" style="1105" customWidth="1"/>
    <col min="10753" max="10753" width="13.7109375" style="1105" customWidth="1"/>
    <col min="10754" max="10754" width="19.85546875" style="1105" customWidth="1"/>
    <col min="10755" max="11005" width="9.140625" style="1105"/>
    <col min="11006" max="11006" width="29.42578125" style="1105" customWidth="1"/>
    <col min="11007" max="11007" width="13.7109375" style="1105" customWidth="1"/>
    <col min="11008" max="11008" width="13.5703125" style="1105" customWidth="1"/>
    <col min="11009" max="11009" width="13.7109375" style="1105" customWidth="1"/>
    <col min="11010" max="11010" width="19.85546875" style="1105" customWidth="1"/>
    <col min="11011" max="11261" width="9.140625" style="1105"/>
    <col min="11262" max="11262" width="29.42578125" style="1105" customWidth="1"/>
    <col min="11263" max="11263" width="13.7109375" style="1105" customWidth="1"/>
    <col min="11264" max="11264" width="13.5703125" style="1105" customWidth="1"/>
    <col min="11265" max="11265" width="13.7109375" style="1105" customWidth="1"/>
    <col min="11266" max="11266" width="19.85546875" style="1105" customWidth="1"/>
    <col min="11267" max="11517" width="9.140625" style="1105"/>
    <col min="11518" max="11518" width="29.42578125" style="1105" customWidth="1"/>
    <col min="11519" max="11519" width="13.7109375" style="1105" customWidth="1"/>
    <col min="11520" max="11520" width="13.5703125" style="1105" customWidth="1"/>
    <col min="11521" max="11521" width="13.7109375" style="1105" customWidth="1"/>
    <col min="11522" max="11522" width="19.85546875" style="1105" customWidth="1"/>
    <col min="11523" max="11773" width="9.140625" style="1105"/>
    <col min="11774" max="11774" width="29.42578125" style="1105" customWidth="1"/>
    <col min="11775" max="11775" width="13.7109375" style="1105" customWidth="1"/>
    <col min="11776" max="11776" width="13.5703125" style="1105" customWidth="1"/>
    <col min="11777" max="11777" width="13.7109375" style="1105" customWidth="1"/>
    <col min="11778" max="11778" width="19.85546875" style="1105" customWidth="1"/>
    <col min="11779" max="12029" width="9.140625" style="1105"/>
    <col min="12030" max="12030" width="29.42578125" style="1105" customWidth="1"/>
    <col min="12031" max="12031" width="13.7109375" style="1105" customWidth="1"/>
    <col min="12032" max="12032" width="13.5703125" style="1105" customWidth="1"/>
    <col min="12033" max="12033" width="13.7109375" style="1105" customWidth="1"/>
    <col min="12034" max="12034" width="19.85546875" style="1105" customWidth="1"/>
    <col min="12035" max="12285" width="9.140625" style="1105"/>
    <col min="12286" max="12286" width="29.42578125" style="1105" customWidth="1"/>
    <col min="12287" max="12287" width="13.7109375" style="1105" customWidth="1"/>
    <col min="12288" max="12288" width="13.5703125" style="1105" customWidth="1"/>
    <col min="12289" max="12289" width="13.7109375" style="1105" customWidth="1"/>
    <col min="12290" max="12290" width="19.85546875" style="1105" customWidth="1"/>
    <col min="12291" max="12541" width="9.140625" style="1105"/>
    <col min="12542" max="12542" width="29.42578125" style="1105" customWidth="1"/>
    <col min="12543" max="12543" width="13.7109375" style="1105" customWidth="1"/>
    <col min="12544" max="12544" width="13.5703125" style="1105" customWidth="1"/>
    <col min="12545" max="12545" width="13.7109375" style="1105" customWidth="1"/>
    <col min="12546" max="12546" width="19.85546875" style="1105" customWidth="1"/>
    <col min="12547" max="12797" width="9.140625" style="1105"/>
    <col min="12798" max="12798" width="29.42578125" style="1105" customWidth="1"/>
    <col min="12799" max="12799" width="13.7109375" style="1105" customWidth="1"/>
    <col min="12800" max="12800" width="13.5703125" style="1105" customWidth="1"/>
    <col min="12801" max="12801" width="13.7109375" style="1105" customWidth="1"/>
    <col min="12802" max="12802" width="19.85546875" style="1105" customWidth="1"/>
    <col min="12803" max="13053" width="9.140625" style="1105"/>
    <col min="13054" max="13054" width="29.42578125" style="1105" customWidth="1"/>
    <col min="13055" max="13055" width="13.7109375" style="1105" customWidth="1"/>
    <col min="13056" max="13056" width="13.5703125" style="1105" customWidth="1"/>
    <col min="13057" max="13057" width="13.7109375" style="1105" customWidth="1"/>
    <col min="13058" max="13058" width="19.85546875" style="1105" customWidth="1"/>
    <col min="13059" max="13309" width="9.140625" style="1105"/>
    <col min="13310" max="13310" width="29.42578125" style="1105" customWidth="1"/>
    <col min="13311" max="13311" width="13.7109375" style="1105" customWidth="1"/>
    <col min="13312" max="13312" width="13.5703125" style="1105" customWidth="1"/>
    <col min="13313" max="13313" width="13.7109375" style="1105" customWidth="1"/>
    <col min="13314" max="13314" width="19.85546875" style="1105" customWidth="1"/>
    <col min="13315" max="13565" width="9.140625" style="1105"/>
    <col min="13566" max="13566" width="29.42578125" style="1105" customWidth="1"/>
    <col min="13567" max="13567" width="13.7109375" style="1105" customWidth="1"/>
    <col min="13568" max="13568" width="13.5703125" style="1105" customWidth="1"/>
    <col min="13569" max="13569" width="13.7109375" style="1105" customWidth="1"/>
    <col min="13570" max="13570" width="19.85546875" style="1105" customWidth="1"/>
    <col min="13571" max="13821" width="9.140625" style="1105"/>
    <col min="13822" max="13822" width="29.42578125" style="1105" customWidth="1"/>
    <col min="13823" max="13823" width="13.7109375" style="1105" customWidth="1"/>
    <col min="13824" max="13824" width="13.5703125" style="1105" customWidth="1"/>
    <col min="13825" max="13825" width="13.7109375" style="1105" customWidth="1"/>
    <col min="13826" max="13826" width="19.85546875" style="1105" customWidth="1"/>
    <col min="13827" max="14077" width="9.140625" style="1105"/>
    <col min="14078" max="14078" width="29.42578125" style="1105" customWidth="1"/>
    <col min="14079" max="14079" width="13.7109375" style="1105" customWidth="1"/>
    <col min="14080" max="14080" width="13.5703125" style="1105" customWidth="1"/>
    <col min="14081" max="14081" width="13.7109375" style="1105" customWidth="1"/>
    <col min="14082" max="14082" width="19.85546875" style="1105" customWidth="1"/>
    <col min="14083" max="14333" width="9.140625" style="1105"/>
    <col min="14334" max="14334" width="29.42578125" style="1105" customWidth="1"/>
    <col min="14335" max="14335" width="13.7109375" style="1105" customWidth="1"/>
    <col min="14336" max="14336" width="13.5703125" style="1105" customWidth="1"/>
    <col min="14337" max="14337" width="13.7109375" style="1105" customWidth="1"/>
    <col min="14338" max="14338" width="19.85546875" style="1105" customWidth="1"/>
    <col min="14339" max="14589" width="9.140625" style="1105"/>
    <col min="14590" max="14590" width="29.42578125" style="1105" customWidth="1"/>
    <col min="14591" max="14591" width="13.7109375" style="1105" customWidth="1"/>
    <col min="14592" max="14592" width="13.5703125" style="1105" customWidth="1"/>
    <col min="14593" max="14593" width="13.7109375" style="1105" customWidth="1"/>
    <col min="14594" max="14594" width="19.85546875" style="1105" customWidth="1"/>
    <col min="14595" max="14845" width="9.140625" style="1105"/>
    <col min="14846" max="14846" width="29.42578125" style="1105" customWidth="1"/>
    <col min="14847" max="14847" width="13.7109375" style="1105" customWidth="1"/>
    <col min="14848" max="14848" width="13.5703125" style="1105" customWidth="1"/>
    <col min="14849" max="14849" width="13.7109375" style="1105" customWidth="1"/>
    <col min="14850" max="14850" width="19.85546875" style="1105" customWidth="1"/>
    <col min="14851" max="15101" width="9.140625" style="1105"/>
    <col min="15102" max="15102" width="29.42578125" style="1105" customWidth="1"/>
    <col min="15103" max="15103" width="13.7109375" style="1105" customWidth="1"/>
    <col min="15104" max="15104" width="13.5703125" style="1105" customWidth="1"/>
    <col min="15105" max="15105" width="13.7109375" style="1105" customWidth="1"/>
    <col min="15106" max="15106" width="19.85546875" style="1105" customWidth="1"/>
    <col min="15107" max="15357" width="9.140625" style="1105"/>
    <col min="15358" max="15358" width="29.42578125" style="1105" customWidth="1"/>
    <col min="15359" max="15359" width="13.7109375" style="1105" customWidth="1"/>
    <col min="15360" max="15360" width="13.5703125" style="1105" customWidth="1"/>
    <col min="15361" max="15361" width="13.7109375" style="1105" customWidth="1"/>
    <col min="15362" max="15362" width="19.85546875" style="1105" customWidth="1"/>
    <col min="15363" max="15613" width="9.140625" style="1105"/>
    <col min="15614" max="15614" width="29.42578125" style="1105" customWidth="1"/>
    <col min="15615" max="15615" width="13.7109375" style="1105" customWidth="1"/>
    <col min="15616" max="15616" width="13.5703125" style="1105" customWidth="1"/>
    <col min="15617" max="15617" width="13.7109375" style="1105" customWidth="1"/>
    <col min="15618" max="15618" width="19.85546875" style="1105" customWidth="1"/>
    <col min="15619" max="15869" width="9.140625" style="1105"/>
    <col min="15870" max="15870" width="29.42578125" style="1105" customWidth="1"/>
    <col min="15871" max="15871" width="13.7109375" style="1105" customWidth="1"/>
    <col min="15872" max="15872" width="13.5703125" style="1105" customWidth="1"/>
    <col min="15873" max="15873" width="13.7109375" style="1105" customWidth="1"/>
    <col min="15874" max="15874" width="19.85546875" style="1105" customWidth="1"/>
    <col min="15875" max="16125" width="9.140625" style="1105"/>
    <col min="16126" max="16126" width="29.42578125" style="1105" customWidth="1"/>
    <col min="16127" max="16127" width="13.7109375" style="1105" customWidth="1"/>
    <col min="16128" max="16128" width="13.5703125" style="1105" customWidth="1"/>
    <col min="16129" max="16129" width="13.7109375" style="1105" customWidth="1"/>
    <col min="16130" max="16130" width="19.85546875" style="1105" customWidth="1"/>
    <col min="16131" max="16384" width="9.140625" style="1105"/>
  </cols>
  <sheetData>
    <row r="1" spans="1:6" x14ac:dyDescent="0.15">
      <c r="A1" s="1104"/>
      <c r="B1" s="1104"/>
      <c r="C1" s="1104"/>
      <c r="D1" s="1104"/>
      <c r="E1" s="1104"/>
    </row>
    <row r="2" spans="1:6" ht="22.5" customHeight="1" x14ac:dyDescent="0.15">
      <c r="A2" s="3064" t="s">
        <v>2530</v>
      </c>
      <c r="B2" s="3064"/>
      <c r="C2" s="3064"/>
      <c r="D2" s="3064"/>
      <c r="E2" s="3064"/>
    </row>
    <row r="3" spans="1:6" x14ac:dyDescent="0.15">
      <c r="A3" s="3080"/>
      <c r="B3" s="3080"/>
      <c r="C3" s="3080"/>
      <c r="D3" s="3080"/>
      <c r="E3" s="3080"/>
    </row>
    <row r="4" spans="1:6" ht="12.75" customHeight="1" x14ac:dyDescent="0.15">
      <c r="A4" s="3066" t="s">
        <v>2531</v>
      </c>
      <c r="B4" s="3075" t="s">
        <v>2532</v>
      </c>
      <c r="C4" s="3076"/>
      <c r="D4" s="3076"/>
      <c r="E4" s="3077"/>
    </row>
    <row r="5" spans="1:6" ht="12.75" customHeight="1" x14ac:dyDescent="0.15">
      <c r="A5" s="3067"/>
      <c r="B5" s="3072" t="s">
        <v>2533</v>
      </c>
      <c r="C5" s="3075" t="s">
        <v>2534</v>
      </c>
      <c r="D5" s="3076"/>
      <c r="E5" s="3077"/>
    </row>
    <row r="6" spans="1:6" s="1109" customFormat="1" ht="26.25" customHeight="1" x14ac:dyDescent="0.25">
      <c r="A6" s="3068"/>
      <c r="B6" s="3073"/>
      <c r="C6" s="1106" t="s">
        <v>2448</v>
      </c>
      <c r="D6" s="1106" t="s">
        <v>2449</v>
      </c>
      <c r="E6" s="1106" t="s">
        <v>2535</v>
      </c>
    </row>
    <row r="7" spans="1:6" ht="12.75" customHeight="1" x14ac:dyDescent="0.15">
      <c r="A7" s="1127" t="s">
        <v>141</v>
      </c>
      <c r="B7" s="1136">
        <f>SUM(B8:B18)</f>
        <v>744</v>
      </c>
      <c r="C7" s="1136">
        <f>SUM(C8:C18)</f>
        <v>65</v>
      </c>
      <c r="D7" s="1136">
        <f>SUM(D8:D18)</f>
        <v>513</v>
      </c>
      <c r="E7" s="1136">
        <f>SUM(E8:E18)</f>
        <v>166</v>
      </c>
    </row>
    <row r="8" spans="1:6" ht="12.75" customHeight="1" x14ac:dyDescent="0.15">
      <c r="A8" s="1101" t="s">
        <v>2536</v>
      </c>
      <c r="B8" s="1136">
        <f>SUM(C8:E8)</f>
        <v>142</v>
      </c>
      <c r="C8" s="1137">
        <v>15</v>
      </c>
      <c r="D8" s="1137">
        <v>100</v>
      </c>
      <c r="E8" s="1137">
        <v>27</v>
      </c>
      <c r="F8" s="1138"/>
    </row>
    <row r="9" spans="1:6" ht="12.75" customHeight="1" x14ac:dyDescent="0.15">
      <c r="A9" s="1101" t="s">
        <v>2537</v>
      </c>
      <c r="B9" s="1136">
        <f t="shared" ref="B9:B18" si="0">SUM(C9:E9)</f>
        <v>18</v>
      </c>
      <c r="C9" s="1137">
        <v>1</v>
      </c>
      <c r="D9" s="1137">
        <v>9</v>
      </c>
      <c r="E9" s="1137">
        <v>8</v>
      </c>
      <c r="F9" s="1138"/>
    </row>
    <row r="10" spans="1:6" ht="12.75" customHeight="1" x14ac:dyDescent="0.15">
      <c r="A10" s="1101" t="s">
        <v>2538</v>
      </c>
      <c r="B10" s="1136">
        <f t="shared" si="0"/>
        <v>1</v>
      </c>
      <c r="C10" s="1137">
        <v>0</v>
      </c>
      <c r="D10" s="1137">
        <v>1</v>
      </c>
      <c r="E10" s="1137">
        <v>0</v>
      </c>
      <c r="F10" s="1138"/>
    </row>
    <row r="11" spans="1:6" ht="12.75" customHeight="1" x14ac:dyDescent="0.15">
      <c r="A11" s="1101" t="s">
        <v>2539</v>
      </c>
      <c r="B11" s="1136">
        <f t="shared" si="0"/>
        <v>16</v>
      </c>
      <c r="C11" s="1137">
        <v>1</v>
      </c>
      <c r="D11" s="1137">
        <v>10</v>
      </c>
      <c r="E11" s="1137">
        <v>5</v>
      </c>
      <c r="F11" s="1138"/>
    </row>
    <row r="12" spans="1:6" ht="12.75" customHeight="1" x14ac:dyDescent="0.15">
      <c r="A12" s="1101" t="s">
        <v>2540</v>
      </c>
      <c r="B12" s="1136">
        <f t="shared" si="0"/>
        <v>433</v>
      </c>
      <c r="C12" s="1137">
        <v>29</v>
      </c>
      <c r="D12" s="1137">
        <v>329</v>
      </c>
      <c r="E12" s="1137">
        <v>75</v>
      </c>
      <c r="F12" s="1138"/>
    </row>
    <row r="13" spans="1:6" ht="12.75" customHeight="1" x14ac:dyDescent="0.15">
      <c r="A13" s="1101" t="s">
        <v>2541</v>
      </c>
      <c r="B13" s="1136">
        <f t="shared" si="0"/>
        <v>1</v>
      </c>
      <c r="C13" s="1137">
        <v>1</v>
      </c>
      <c r="D13" s="1137">
        <v>0</v>
      </c>
      <c r="E13" s="1137">
        <v>0</v>
      </c>
      <c r="F13" s="1138"/>
    </row>
    <row r="14" spans="1:6" ht="12.75" customHeight="1" x14ac:dyDescent="0.15">
      <c r="A14" s="1101" t="s">
        <v>2542</v>
      </c>
      <c r="B14" s="1136">
        <f t="shared" si="0"/>
        <v>58</v>
      </c>
      <c r="C14" s="1137">
        <v>12</v>
      </c>
      <c r="D14" s="1137">
        <v>13</v>
      </c>
      <c r="E14" s="1137">
        <v>33</v>
      </c>
      <c r="F14" s="1138"/>
    </row>
    <row r="15" spans="1:6" ht="12.75" customHeight="1" x14ac:dyDescent="0.15">
      <c r="A15" s="1101" t="s">
        <v>2543</v>
      </c>
      <c r="B15" s="1136">
        <f t="shared" si="0"/>
        <v>22</v>
      </c>
      <c r="C15" s="1137">
        <v>2</v>
      </c>
      <c r="D15" s="1137">
        <v>20</v>
      </c>
      <c r="E15" s="1137">
        <v>0</v>
      </c>
      <c r="F15" s="1138"/>
    </row>
    <row r="16" spans="1:6" ht="12.75" customHeight="1" x14ac:dyDescent="0.15">
      <c r="A16" s="1101" t="s">
        <v>2544</v>
      </c>
      <c r="B16" s="1136">
        <f t="shared" si="0"/>
        <v>23</v>
      </c>
      <c r="C16" s="1137">
        <v>2</v>
      </c>
      <c r="D16" s="1137">
        <v>18</v>
      </c>
      <c r="E16" s="1137">
        <v>3</v>
      </c>
      <c r="F16" s="1138"/>
    </row>
    <row r="17" spans="1:6" ht="12.75" customHeight="1" x14ac:dyDescent="0.15">
      <c r="A17" s="1101" t="s">
        <v>2545</v>
      </c>
      <c r="B17" s="1136">
        <f t="shared" si="0"/>
        <v>27</v>
      </c>
      <c r="C17" s="1137">
        <v>2</v>
      </c>
      <c r="D17" s="1137">
        <v>12</v>
      </c>
      <c r="E17" s="1137">
        <v>13</v>
      </c>
      <c r="F17" s="1138"/>
    </row>
    <row r="18" spans="1:6" ht="12.75" customHeight="1" x14ac:dyDescent="0.15">
      <c r="A18" s="1101" t="s">
        <v>2546</v>
      </c>
      <c r="B18" s="1136">
        <f t="shared" si="0"/>
        <v>3</v>
      </c>
      <c r="C18" s="1137">
        <v>0</v>
      </c>
      <c r="D18" s="1137">
        <v>1</v>
      </c>
      <c r="E18" s="1137">
        <v>2</v>
      </c>
      <c r="F18" s="1138"/>
    </row>
    <row r="19" spans="1:6" x14ac:dyDescent="0.15">
      <c r="A19" s="1104"/>
      <c r="B19" s="1139"/>
      <c r="C19" s="1139"/>
      <c r="D19" s="1139"/>
      <c r="E19" s="1139"/>
      <c r="F19" s="1138"/>
    </row>
    <row r="20" spans="1:6" ht="33.75" customHeight="1" x14ac:dyDescent="0.15">
      <c r="A20" s="3078" t="s">
        <v>2547</v>
      </c>
      <c r="B20" s="3078"/>
      <c r="C20" s="3078"/>
      <c r="D20" s="3078"/>
      <c r="E20" s="3078"/>
      <c r="F20" s="1104"/>
    </row>
    <row r="21" spans="1:6" ht="22.5" customHeight="1" x14ac:dyDescent="0.15">
      <c r="A21" s="3078" t="s">
        <v>2548</v>
      </c>
      <c r="B21" s="3078"/>
      <c r="C21" s="3078"/>
      <c r="D21" s="3078"/>
      <c r="E21" s="3078"/>
      <c r="F21" s="1104"/>
    </row>
    <row r="22" spans="1:6" ht="11.25" customHeight="1" x14ac:dyDescent="0.15">
      <c r="A22" s="3078" t="s">
        <v>20</v>
      </c>
      <c r="B22" s="3078"/>
      <c r="C22" s="3078"/>
      <c r="D22" s="3078"/>
      <c r="E22" s="3078"/>
    </row>
    <row r="23" spans="1:6" ht="11.25" customHeight="1" x14ac:dyDescent="0.15">
      <c r="A23" s="3078" t="s">
        <v>2478</v>
      </c>
      <c r="B23" s="3078"/>
      <c r="C23" s="3078"/>
      <c r="D23" s="3078"/>
      <c r="E23" s="3078"/>
    </row>
    <row r="24" spans="1:6" x14ac:dyDescent="0.15">
      <c r="A24" s="1104"/>
      <c r="B24" s="1118"/>
      <c r="C24" s="1118"/>
      <c r="D24" s="1118"/>
      <c r="E24" s="1118"/>
    </row>
  </sheetData>
  <mergeCells count="10">
    <mergeCell ref="A20:E20"/>
    <mergeCell ref="A21:E21"/>
    <mergeCell ref="A22:E22"/>
    <mergeCell ref="A23:E23"/>
    <mergeCell ref="A2:E2"/>
    <mergeCell ref="A3:E3"/>
    <mergeCell ref="A4:A6"/>
    <mergeCell ref="B4:E4"/>
    <mergeCell ref="B5:B6"/>
    <mergeCell ref="C5:E5"/>
  </mergeCells>
  <conditionalFormatting sqref="B7:E18">
    <cfRule type="expression" dxfId="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outlinePr summaryBelow="0" summaryRight="0"/>
  </sheetPr>
  <dimension ref="A1:E19"/>
  <sheetViews>
    <sheetView zoomScaleNormal="100" workbookViewId="0">
      <selection activeCell="A2" sqref="A2:Q2"/>
    </sheetView>
  </sheetViews>
  <sheetFormatPr baseColWidth="10" defaultColWidth="9.140625" defaultRowHeight="10.5" x14ac:dyDescent="0.15"/>
  <cols>
    <col min="1" max="1" width="25.42578125" style="1105" customWidth="1"/>
    <col min="2" max="4" width="12.85546875" style="1105" customWidth="1"/>
    <col min="5" max="5" width="20" style="1105" customWidth="1"/>
    <col min="6" max="252" width="9.140625" style="1105"/>
    <col min="253" max="253" width="25.42578125" style="1105" customWidth="1"/>
    <col min="254" max="254" width="11.42578125" style="1105" customWidth="1"/>
    <col min="255" max="256" width="11.5703125" style="1105" customWidth="1"/>
    <col min="257" max="257" width="16.28515625" style="1105" customWidth="1"/>
    <col min="258" max="508" width="9.140625" style="1105"/>
    <col min="509" max="509" width="25.42578125" style="1105" customWidth="1"/>
    <col min="510" max="510" width="11.42578125" style="1105" customWidth="1"/>
    <col min="511" max="512" width="11.5703125" style="1105" customWidth="1"/>
    <col min="513" max="513" width="16.28515625" style="1105" customWidth="1"/>
    <col min="514" max="764" width="9.140625" style="1105"/>
    <col min="765" max="765" width="25.42578125" style="1105" customWidth="1"/>
    <col min="766" max="766" width="11.42578125" style="1105" customWidth="1"/>
    <col min="767" max="768" width="11.5703125" style="1105" customWidth="1"/>
    <col min="769" max="769" width="16.28515625" style="1105" customWidth="1"/>
    <col min="770" max="1020" width="9.140625" style="1105"/>
    <col min="1021" max="1021" width="25.42578125" style="1105" customWidth="1"/>
    <col min="1022" max="1022" width="11.42578125" style="1105" customWidth="1"/>
    <col min="1023" max="1024" width="11.5703125" style="1105" customWidth="1"/>
    <col min="1025" max="1025" width="16.28515625" style="1105" customWidth="1"/>
    <col min="1026" max="1276" width="9.140625" style="1105"/>
    <col min="1277" max="1277" width="25.42578125" style="1105" customWidth="1"/>
    <col min="1278" max="1278" width="11.42578125" style="1105" customWidth="1"/>
    <col min="1279" max="1280" width="11.5703125" style="1105" customWidth="1"/>
    <col min="1281" max="1281" width="16.28515625" style="1105" customWidth="1"/>
    <col min="1282" max="1532" width="9.140625" style="1105"/>
    <col min="1533" max="1533" width="25.42578125" style="1105" customWidth="1"/>
    <col min="1534" max="1534" width="11.42578125" style="1105" customWidth="1"/>
    <col min="1535" max="1536" width="11.5703125" style="1105" customWidth="1"/>
    <col min="1537" max="1537" width="16.28515625" style="1105" customWidth="1"/>
    <col min="1538" max="1788" width="9.140625" style="1105"/>
    <col min="1789" max="1789" width="25.42578125" style="1105" customWidth="1"/>
    <col min="1790" max="1790" width="11.42578125" style="1105" customWidth="1"/>
    <col min="1791" max="1792" width="11.5703125" style="1105" customWidth="1"/>
    <col min="1793" max="1793" width="16.28515625" style="1105" customWidth="1"/>
    <col min="1794" max="2044" width="9.140625" style="1105"/>
    <col min="2045" max="2045" width="25.42578125" style="1105" customWidth="1"/>
    <col min="2046" max="2046" width="11.42578125" style="1105" customWidth="1"/>
    <col min="2047" max="2048" width="11.5703125" style="1105" customWidth="1"/>
    <col min="2049" max="2049" width="16.28515625" style="1105" customWidth="1"/>
    <col min="2050" max="2300" width="9.140625" style="1105"/>
    <col min="2301" max="2301" width="25.42578125" style="1105" customWidth="1"/>
    <col min="2302" max="2302" width="11.42578125" style="1105" customWidth="1"/>
    <col min="2303" max="2304" width="11.5703125" style="1105" customWidth="1"/>
    <col min="2305" max="2305" width="16.28515625" style="1105" customWidth="1"/>
    <col min="2306" max="2556" width="9.140625" style="1105"/>
    <col min="2557" max="2557" width="25.42578125" style="1105" customWidth="1"/>
    <col min="2558" max="2558" width="11.42578125" style="1105" customWidth="1"/>
    <col min="2559" max="2560" width="11.5703125" style="1105" customWidth="1"/>
    <col min="2561" max="2561" width="16.28515625" style="1105" customWidth="1"/>
    <col min="2562" max="2812" width="9.140625" style="1105"/>
    <col min="2813" max="2813" width="25.42578125" style="1105" customWidth="1"/>
    <col min="2814" max="2814" width="11.42578125" style="1105" customWidth="1"/>
    <col min="2815" max="2816" width="11.5703125" style="1105" customWidth="1"/>
    <col min="2817" max="2817" width="16.28515625" style="1105" customWidth="1"/>
    <col min="2818" max="3068" width="9.140625" style="1105"/>
    <col min="3069" max="3069" width="25.42578125" style="1105" customWidth="1"/>
    <col min="3070" max="3070" width="11.42578125" style="1105" customWidth="1"/>
    <col min="3071" max="3072" width="11.5703125" style="1105" customWidth="1"/>
    <col min="3073" max="3073" width="16.28515625" style="1105" customWidth="1"/>
    <col min="3074" max="3324" width="9.140625" style="1105"/>
    <col min="3325" max="3325" width="25.42578125" style="1105" customWidth="1"/>
    <col min="3326" max="3326" width="11.42578125" style="1105" customWidth="1"/>
    <col min="3327" max="3328" width="11.5703125" style="1105" customWidth="1"/>
    <col min="3329" max="3329" width="16.28515625" style="1105" customWidth="1"/>
    <col min="3330" max="3580" width="9.140625" style="1105"/>
    <col min="3581" max="3581" width="25.42578125" style="1105" customWidth="1"/>
    <col min="3582" max="3582" width="11.42578125" style="1105" customWidth="1"/>
    <col min="3583" max="3584" width="11.5703125" style="1105" customWidth="1"/>
    <col min="3585" max="3585" width="16.28515625" style="1105" customWidth="1"/>
    <col min="3586" max="3836" width="9.140625" style="1105"/>
    <col min="3837" max="3837" width="25.42578125" style="1105" customWidth="1"/>
    <col min="3838" max="3838" width="11.42578125" style="1105" customWidth="1"/>
    <col min="3839" max="3840" width="11.5703125" style="1105" customWidth="1"/>
    <col min="3841" max="3841" width="16.28515625" style="1105" customWidth="1"/>
    <col min="3842" max="4092" width="9.140625" style="1105"/>
    <col min="4093" max="4093" width="25.42578125" style="1105" customWidth="1"/>
    <col min="4094" max="4094" width="11.42578125" style="1105" customWidth="1"/>
    <col min="4095" max="4096" width="11.5703125" style="1105" customWidth="1"/>
    <col min="4097" max="4097" width="16.28515625" style="1105" customWidth="1"/>
    <col min="4098" max="4348" width="9.140625" style="1105"/>
    <col min="4349" max="4349" width="25.42578125" style="1105" customWidth="1"/>
    <col min="4350" max="4350" width="11.42578125" style="1105" customWidth="1"/>
    <col min="4351" max="4352" width="11.5703125" style="1105" customWidth="1"/>
    <col min="4353" max="4353" width="16.28515625" style="1105" customWidth="1"/>
    <col min="4354" max="4604" width="9.140625" style="1105"/>
    <col min="4605" max="4605" width="25.42578125" style="1105" customWidth="1"/>
    <col min="4606" max="4606" width="11.42578125" style="1105" customWidth="1"/>
    <col min="4607" max="4608" width="11.5703125" style="1105" customWidth="1"/>
    <col min="4609" max="4609" width="16.28515625" style="1105" customWidth="1"/>
    <col min="4610" max="4860" width="9.140625" style="1105"/>
    <col min="4861" max="4861" width="25.42578125" style="1105" customWidth="1"/>
    <col min="4862" max="4862" width="11.42578125" style="1105" customWidth="1"/>
    <col min="4863" max="4864" width="11.5703125" style="1105" customWidth="1"/>
    <col min="4865" max="4865" width="16.28515625" style="1105" customWidth="1"/>
    <col min="4866" max="5116" width="9.140625" style="1105"/>
    <col min="5117" max="5117" width="25.42578125" style="1105" customWidth="1"/>
    <col min="5118" max="5118" width="11.42578125" style="1105" customWidth="1"/>
    <col min="5119" max="5120" width="11.5703125" style="1105" customWidth="1"/>
    <col min="5121" max="5121" width="16.28515625" style="1105" customWidth="1"/>
    <col min="5122" max="5372" width="9.140625" style="1105"/>
    <col min="5373" max="5373" width="25.42578125" style="1105" customWidth="1"/>
    <col min="5374" max="5374" width="11.42578125" style="1105" customWidth="1"/>
    <col min="5375" max="5376" width="11.5703125" style="1105" customWidth="1"/>
    <col min="5377" max="5377" width="16.28515625" style="1105" customWidth="1"/>
    <col min="5378" max="5628" width="9.140625" style="1105"/>
    <col min="5629" max="5629" width="25.42578125" style="1105" customWidth="1"/>
    <col min="5630" max="5630" width="11.42578125" style="1105" customWidth="1"/>
    <col min="5631" max="5632" width="11.5703125" style="1105" customWidth="1"/>
    <col min="5633" max="5633" width="16.28515625" style="1105" customWidth="1"/>
    <col min="5634" max="5884" width="9.140625" style="1105"/>
    <col min="5885" max="5885" width="25.42578125" style="1105" customWidth="1"/>
    <col min="5886" max="5886" width="11.42578125" style="1105" customWidth="1"/>
    <col min="5887" max="5888" width="11.5703125" style="1105" customWidth="1"/>
    <col min="5889" max="5889" width="16.28515625" style="1105" customWidth="1"/>
    <col min="5890" max="6140" width="9.140625" style="1105"/>
    <col min="6141" max="6141" width="25.42578125" style="1105" customWidth="1"/>
    <col min="6142" max="6142" width="11.42578125" style="1105" customWidth="1"/>
    <col min="6143" max="6144" width="11.5703125" style="1105" customWidth="1"/>
    <col min="6145" max="6145" width="16.28515625" style="1105" customWidth="1"/>
    <col min="6146" max="6396" width="9.140625" style="1105"/>
    <col min="6397" max="6397" width="25.42578125" style="1105" customWidth="1"/>
    <col min="6398" max="6398" width="11.42578125" style="1105" customWidth="1"/>
    <col min="6399" max="6400" width="11.5703125" style="1105" customWidth="1"/>
    <col min="6401" max="6401" width="16.28515625" style="1105" customWidth="1"/>
    <col min="6402" max="6652" width="9.140625" style="1105"/>
    <col min="6653" max="6653" width="25.42578125" style="1105" customWidth="1"/>
    <col min="6654" max="6654" width="11.42578125" style="1105" customWidth="1"/>
    <col min="6655" max="6656" width="11.5703125" style="1105" customWidth="1"/>
    <col min="6657" max="6657" width="16.28515625" style="1105" customWidth="1"/>
    <col min="6658" max="6908" width="9.140625" style="1105"/>
    <col min="6909" max="6909" width="25.42578125" style="1105" customWidth="1"/>
    <col min="6910" max="6910" width="11.42578125" style="1105" customWidth="1"/>
    <col min="6911" max="6912" width="11.5703125" style="1105" customWidth="1"/>
    <col min="6913" max="6913" width="16.28515625" style="1105" customWidth="1"/>
    <col min="6914" max="7164" width="9.140625" style="1105"/>
    <col min="7165" max="7165" width="25.42578125" style="1105" customWidth="1"/>
    <col min="7166" max="7166" width="11.42578125" style="1105" customWidth="1"/>
    <col min="7167" max="7168" width="11.5703125" style="1105" customWidth="1"/>
    <col min="7169" max="7169" width="16.28515625" style="1105" customWidth="1"/>
    <col min="7170" max="7420" width="9.140625" style="1105"/>
    <col min="7421" max="7421" width="25.42578125" style="1105" customWidth="1"/>
    <col min="7422" max="7422" width="11.42578125" style="1105" customWidth="1"/>
    <col min="7423" max="7424" width="11.5703125" style="1105" customWidth="1"/>
    <col min="7425" max="7425" width="16.28515625" style="1105" customWidth="1"/>
    <col min="7426" max="7676" width="9.140625" style="1105"/>
    <col min="7677" max="7677" width="25.42578125" style="1105" customWidth="1"/>
    <col min="7678" max="7678" width="11.42578125" style="1105" customWidth="1"/>
    <col min="7679" max="7680" width="11.5703125" style="1105" customWidth="1"/>
    <col min="7681" max="7681" width="16.28515625" style="1105" customWidth="1"/>
    <col min="7682" max="7932" width="9.140625" style="1105"/>
    <col min="7933" max="7933" width="25.42578125" style="1105" customWidth="1"/>
    <col min="7934" max="7934" width="11.42578125" style="1105" customWidth="1"/>
    <col min="7935" max="7936" width="11.5703125" style="1105" customWidth="1"/>
    <col min="7937" max="7937" width="16.28515625" style="1105" customWidth="1"/>
    <col min="7938" max="8188" width="9.140625" style="1105"/>
    <col min="8189" max="8189" width="25.42578125" style="1105" customWidth="1"/>
    <col min="8190" max="8190" width="11.42578125" style="1105" customWidth="1"/>
    <col min="8191" max="8192" width="11.5703125" style="1105" customWidth="1"/>
    <col min="8193" max="8193" width="16.28515625" style="1105" customWidth="1"/>
    <col min="8194" max="8444" width="9.140625" style="1105"/>
    <col min="8445" max="8445" width="25.42578125" style="1105" customWidth="1"/>
    <col min="8446" max="8446" width="11.42578125" style="1105" customWidth="1"/>
    <col min="8447" max="8448" width="11.5703125" style="1105" customWidth="1"/>
    <col min="8449" max="8449" width="16.28515625" style="1105" customWidth="1"/>
    <col min="8450" max="8700" width="9.140625" style="1105"/>
    <col min="8701" max="8701" width="25.42578125" style="1105" customWidth="1"/>
    <col min="8702" max="8702" width="11.42578125" style="1105" customWidth="1"/>
    <col min="8703" max="8704" width="11.5703125" style="1105" customWidth="1"/>
    <col min="8705" max="8705" width="16.28515625" style="1105" customWidth="1"/>
    <col min="8706" max="8956" width="9.140625" style="1105"/>
    <col min="8957" max="8957" width="25.42578125" style="1105" customWidth="1"/>
    <col min="8958" max="8958" width="11.42578125" style="1105" customWidth="1"/>
    <col min="8959" max="8960" width="11.5703125" style="1105" customWidth="1"/>
    <col min="8961" max="8961" width="16.28515625" style="1105" customWidth="1"/>
    <col min="8962" max="9212" width="9.140625" style="1105"/>
    <col min="9213" max="9213" width="25.42578125" style="1105" customWidth="1"/>
    <col min="9214" max="9214" width="11.42578125" style="1105" customWidth="1"/>
    <col min="9215" max="9216" width="11.5703125" style="1105" customWidth="1"/>
    <col min="9217" max="9217" width="16.28515625" style="1105" customWidth="1"/>
    <col min="9218" max="9468" width="9.140625" style="1105"/>
    <col min="9469" max="9469" width="25.42578125" style="1105" customWidth="1"/>
    <col min="9470" max="9470" width="11.42578125" style="1105" customWidth="1"/>
    <col min="9471" max="9472" width="11.5703125" style="1105" customWidth="1"/>
    <col min="9473" max="9473" width="16.28515625" style="1105" customWidth="1"/>
    <col min="9474" max="9724" width="9.140625" style="1105"/>
    <col min="9725" max="9725" width="25.42578125" style="1105" customWidth="1"/>
    <col min="9726" max="9726" width="11.42578125" style="1105" customWidth="1"/>
    <col min="9727" max="9728" width="11.5703125" style="1105" customWidth="1"/>
    <col min="9729" max="9729" width="16.28515625" style="1105" customWidth="1"/>
    <col min="9730" max="9980" width="9.140625" style="1105"/>
    <col min="9981" max="9981" width="25.42578125" style="1105" customWidth="1"/>
    <col min="9982" max="9982" width="11.42578125" style="1105" customWidth="1"/>
    <col min="9983" max="9984" width="11.5703125" style="1105" customWidth="1"/>
    <col min="9985" max="9985" width="16.28515625" style="1105" customWidth="1"/>
    <col min="9986" max="10236" width="9.140625" style="1105"/>
    <col min="10237" max="10237" width="25.42578125" style="1105" customWidth="1"/>
    <col min="10238" max="10238" width="11.42578125" style="1105" customWidth="1"/>
    <col min="10239" max="10240" width="11.5703125" style="1105" customWidth="1"/>
    <col min="10241" max="10241" width="16.28515625" style="1105" customWidth="1"/>
    <col min="10242" max="10492" width="9.140625" style="1105"/>
    <col min="10493" max="10493" width="25.42578125" style="1105" customWidth="1"/>
    <col min="10494" max="10494" width="11.42578125" style="1105" customWidth="1"/>
    <col min="10495" max="10496" width="11.5703125" style="1105" customWidth="1"/>
    <col min="10497" max="10497" width="16.28515625" style="1105" customWidth="1"/>
    <col min="10498" max="10748" width="9.140625" style="1105"/>
    <col min="10749" max="10749" width="25.42578125" style="1105" customWidth="1"/>
    <col min="10750" max="10750" width="11.42578125" style="1105" customWidth="1"/>
    <col min="10751" max="10752" width="11.5703125" style="1105" customWidth="1"/>
    <col min="10753" max="10753" width="16.28515625" style="1105" customWidth="1"/>
    <col min="10754" max="11004" width="9.140625" style="1105"/>
    <col min="11005" max="11005" width="25.42578125" style="1105" customWidth="1"/>
    <col min="11006" max="11006" width="11.42578125" style="1105" customWidth="1"/>
    <col min="11007" max="11008" width="11.5703125" style="1105" customWidth="1"/>
    <col min="11009" max="11009" width="16.28515625" style="1105" customWidth="1"/>
    <col min="11010" max="11260" width="9.140625" style="1105"/>
    <col min="11261" max="11261" width="25.42578125" style="1105" customWidth="1"/>
    <col min="11262" max="11262" width="11.42578125" style="1105" customWidth="1"/>
    <col min="11263" max="11264" width="11.5703125" style="1105" customWidth="1"/>
    <col min="11265" max="11265" width="16.28515625" style="1105" customWidth="1"/>
    <col min="11266" max="11516" width="9.140625" style="1105"/>
    <col min="11517" max="11517" width="25.42578125" style="1105" customWidth="1"/>
    <col min="11518" max="11518" width="11.42578125" style="1105" customWidth="1"/>
    <col min="11519" max="11520" width="11.5703125" style="1105" customWidth="1"/>
    <col min="11521" max="11521" width="16.28515625" style="1105" customWidth="1"/>
    <col min="11522" max="11772" width="9.140625" style="1105"/>
    <col min="11773" max="11773" width="25.42578125" style="1105" customWidth="1"/>
    <col min="11774" max="11774" width="11.42578125" style="1105" customWidth="1"/>
    <col min="11775" max="11776" width="11.5703125" style="1105" customWidth="1"/>
    <col min="11777" max="11777" width="16.28515625" style="1105" customWidth="1"/>
    <col min="11778" max="12028" width="9.140625" style="1105"/>
    <col min="12029" max="12029" width="25.42578125" style="1105" customWidth="1"/>
    <col min="12030" max="12030" width="11.42578125" style="1105" customWidth="1"/>
    <col min="12031" max="12032" width="11.5703125" style="1105" customWidth="1"/>
    <col min="12033" max="12033" width="16.28515625" style="1105" customWidth="1"/>
    <col min="12034" max="12284" width="9.140625" style="1105"/>
    <col min="12285" max="12285" width="25.42578125" style="1105" customWidth="1"/>
    <col min="12286" max="12286" width="11.42578125" style="1105" customWidth="1"/>
    <col min="12287" max="12288" width="11.5703125" style="1105" customWidth="1"/>
    <col min="12289" max="12289" width="16.28515625" style="1105" customWidth="1"/>
    <col min="12290" max="12540" width="9.140625" style="1105"/>
    <col min="12541" max="12541" width="25.42578125" style="1105" customWidth="1"/>
    <col min="12542" max="12542" width="11.42578125" style="1105" customWidth="1"/>
    <col min="12543" max="12544" width="11.5703125" style="1105" customWidth="1"/>
    <col min="12545" max="12545" width="16.28515625" style="1105" customWidth="1"/>
    <col min="12546" max="12796" width="9.140625" style="1105"/>
    <col min="12797" max="12797" width="25.42578125" style="1105" customWidth="1"/>
    <col min="12798" max="12798" width="11.42578125" style="1105" customWidth="1"/>
    <col min="12799" max="12800" width="11.5703125" style="1105" customWidth="1"/>
    <col min="12801" max="12801" width="16.28515625" style="1105" customWidth="1"/>
    <col min="12802" max="13052" width="9.140625" style="1105"/>
    <col min="13053" max="13053" width="25.42578125" style="1105" customWidth="1"/>
    <col min="13054" max="13054" width="11.42578125" style="1105" customWidth="1"/>
    <col min="13055" max="13056" width="11.5703125" style="1105" customWidth="1"/>
    <col min="13057" max="13057" width="16.28515625" style="1105" customWidth="1"/>
    <col min="13058" max="13308" width="9.140625" style="1105"/>
    <col min="13309" max="13309" width="25.42578125" style="1105" customWidth="1"/>
    <col min="13310" max="13310" width="11.42578125" style="1105" customWidth="1"/>
    <col min="13311" max="13312" width="11.5703125" style="1105" customWidth="1"/>
    <col min="13313" max="13313" width="16.28515625" style="1105" customWidth="1"/>
    <col min="13314" max="13564" width="9.140625" style="1105"/>
    <col min="13565" max="13565" width="25.42578125" style="1105" customWidth="1"/>
    <col min="13566" max="13566" width="11.42578125" style="1105" customWidth="1"/>
    <col min="13567" max="13568" width="11.5703125" style="1105" customWidth="1"/>
    <col min="13569" max="13569" width="16.28515625" style="1105" customWidth="1"/>
    <col min="13570" max="13820" width="9.140625" style="1105"/>
    <col min="13821" max="13821" width="25.42578125" style="1105" customWidth="1"/>
    <col min="13822" max="13822" width="11.42578125" style="1105" customWidth="1"/>
    <col min="13823" max="13824" width="11.5703125" style="1105" customWidth="1"/>
    <col min="13825" max="13825" width="16.28515625" style="1105" customWidth="1"/>
    <col min="13826" max="14076" width="9.140625" style="1105"/>
    <col min="14077" max="14077" width="25.42578125" style="1105" customWidth="1"/>
    <col min="14078" max="14078" width="11.42578125" style="1105" customWidth="1"/>
    <col min="14079" max="14080" width="11.5703125" style="1105" customWidth="1"/>
    <col min="14081" max="14081" width="16.28515625" style="1105" customWidth="1"/>
    <col min="14082" max="14332" width="9.140625" style="1105"/>
    <col min="14333" max="14333" width="25.42578125" style="1105" customWidth="1"/>
    <col min="14334" max="14334" width="11.42578125" style="1105" customWidth="1"/>
    <col min="14335" max="14336" width="11.5703125" style="1105" customWidth="1"/>
    <col min="14337" max="14337" width="16.28515625" style="1105" customWidth="1"/>
    <col min="14338" max="14588" width="9.140625" style="1105"/>
    <col min="14589" max="14589" width="25.42578125" style="1105" customWidth="1"/>
    <col min="14590" max="14590" width="11.42578125" style="1105" customWidth="1"/>
    <col min="14591" max="14592" width="11.5703125" style="1105" customWidth="1"/>
    <col min="14593" max="14593" width="16.28515625" style="1105" customWidth="1"/>
    <col min="14594" max="14844" width="9.140625" style="1105"/>
    <col min="14845" max="14845" width="25.42578125" style="1105" customWidth="1"/>
    <col min="14846" max="14846" width="11.42578125" style="1105" customWidth="1"/>
    <col min="14847" max="14848" width="11.5703125" style="1105" customWidth="1"/>
    <col min="14849" max="14849" width="16.28515625" style="1105" customWidth="1"/>
    <col min="14850" max="15100" width="9.140625" style="1105"/>
    <col min="15101" max="15101" width="25.42578125" style="1105" customWidth="1"/>
    <col min="15102" max="15102" width="11.42578125" style="1105" customWidth="1"/>
    <col min="15103" max="15104" width="11.5703125" style="1105" customWidth="1"/>
    <col min="15105" max="15105" width="16.28515625" style="1105" customWidth="1"/>
    <col min="15106" max="15356" width="9.140625" style="1105"/>
    <col min="15357" max="15357" width="25.42578125" style="1105" customWidth="1"/>
    <col min="15358" max="15358" width="11.42578125" style="1105" customWidth="1"/>
    <col min="15359" max="15360" width="11.5703125" style="1105" customWidth="1"/>
    <col min="15361" max="15361" width="16.28515625" style="1105" customWidth="1"/>
    <col min="15362" max="15612" width="9.140625" style="1105"/>
    <col min="15613" max="15613" width="25.42578125" style="1105" customWidth="1"/>
    <col min="15614" max="15614" width="11.42578125" style="1105" customWidth="1"/>
    <col min="15615" max="15616" width="11.5703125" style="1105" customWidth="1"/>
    <col min="15617" max="15617" width="16.28515625" style="1105" customWidth="1"/>
    <col min="15618" max="15868" width="9.140625" style="1105"/>
    <col min="15869" max="15869" width="25.42578125" style="1105" customWidth="1"/>
    <col min="15870" max="15870" width="11.42578125" style="1105" customWidth="1"/>
    <col min="15871" max="15872" width="11.5703125" style="1105" customWidth="1"/>
    <col min="15873" max="15873" width="16.28515625" style="1105" customWidth="1"/>
    <col min="15874" max="16124" width="9.140625" style="1105"/>
    <col min="16125" max="16125" width="25.42578125" style="1105" customWidth="1"/>
    <col min="16126" max="16126" width="11.42578125" style="1105" customWidth="1"/>
    <col min="16127" max="16128" width="11.5703125" style="1105" customWidth="1"/>
    <col min="16129" max="16129" width="16.28515625" style="1105" customWidth="1"/>
    <col min="16130" max="16384" width="9.140625" style="1105"/>
  </cols>
  <sheetData>
    <row r="1" spans="1:5" x14ac:dyDescent="0.15">
      <c r="A1" s="1104"/>
      <c r="B1" s="1104"/>
      <c r="C1" s="1104"/>
      <c r="D1" s="1104"/>
      <c r="E1" s="1104"/>
    </row>
    <row r="2" spans="1:5" ht="22.5" customHeight="1" x14ac:dyDescent="0.15">
      <c r="A2" s="3064" t="s">
        <v>2549</v>
      </c>
      <c r="B2" s="3064"/>
      <c r="C2" s="3064"/>
      <c r="D2" s="3064"/>
      <c r="E2" s="3064"/>
    </row>
    <row r="3" spans="1:5" x14ac:dyDescent="0.15">
      <c r="A3" s="3080"/>
      <c r="B3" s="3080"/>
      <c r="C3" s="3080"/>
      <c r="D3" s="3080"/>
      <c r="E3" s="3080"/>
    </row>
    <row r="4" spans="1:5" x14ac:dyDescent="0.15">
      <c r="A4" s="3072" t="s">
        <v>2550</v>
      </c>
      <c r="B4" s="3074" t="s">
        <v>2551</v>
      </c>
      <c r="C4" s="3074"/>
      <c r="D4" s="3074"/>
      <c r="E4" s="3074"/>
    </row>
    <row r="5" spans="1:5" x14ac:dyDescent="0.15">
      <c r="A5" s="3084"/>
      <c r="B5" s="3072" t="s">
        <v>69</v>
      </c>
      <c r="C5" s="3081" t="s">
        <v>2534</v>
      </c>
      <c r="D5" s="3081"/>
      <c r="E5" s="3081"/>
    </row>
    <row r="6" spans="1:5" ht="32.25" x14ac:dyDescent="0.15">
      <c r="A6" s="3073"/>
      <c r="B6" s="3073"/>
      <c r="C6" s="1106" t="s">
        <v>2448</v>
      </c>
      <c r="D6" s="1106" t="s">
        <v>2449</v>
      </c>
      <c r="E6" s="1106" t="s">
        <v>2535</v>
      </c>
    </row>
    <row r="7" spans="1:5" ht="12.75" customHeight="1" x14ac:dyDescent="0.15">
      <c r="A7" s="1140" t="s">
        <v>141</v>
      </c>
      <c r="B7" s="1141">
        <f>SUM(B8:B14)</f>
        <v>744</v>
      </c>
      <c r="C7" s="1141">
        <f>SUM(C8:C14)</f>
        <v>65</v>
      </c>
      <c r="D7" s="1141">
        <f>SUM(D8:D14)</f>
        <v>513</v>
      </c>
      <c r="E7" s="1141">
        <f>SUM(E8:E14)</f>
        <v>166</v>
      </c>
    </row>
    <row r="8" spans="1:5" ht="12.75" customHeight="1" x14ac:dyDescent="0.15">
      <c r="A8" s="1113" t="s">
        <v>2552</v>
      </c>
      <c r="B8" s="1142">
        <f>SUM(C8:E8)</f>
        <v>13</v>
      </c>
      <c r="C8" s="1116">
        <v>3</v>
      </c>
      <c r="D8" s="1138">
        <v>7</v>
      </c>
      <c r="E8" s="1138">
        <v>3</v>
      </c>
    </row>
    <row r="9" spans="1:5" ht="12.75" customHeight="1" x14ac:dyDescent="0.15">
      <c r="A9" s="1113" t="s">
        <v>2553</v>
      </c>
      <c r="B9" s="1142">
        <f t="shared" ref="B9:B14" si="0">SUM(C9:E9)</f>
        <v>19</v>
      </c>
      <c r="C9" s="1116">
        <v>0</v>
      </c>
      <c r="D9" s="1138">
        <v>11</v>
      </c>
      <c r="E9" s="1138">
        <v>8</v>
      </c>
    </row>
    <row r="10" spans="1:5" ht="12.75" customHeight="1" x14ac:dyDescent="0.15">
      <c r="A10" s="1113" t="s">
        <v>2554</v>
      </c>
      <c r="B10" s="1142">
        <f t="shared" si="0"/>
        <v>39</v>
      </c>
      <c r="C10" s="1116">
        <v>0</v>
      </c>
      <c r="D10" s="1138">
        <v>27</v>
      </c>
      <c r="E10" s="1138">
        <v>12</v>
      </c>
    </row>
    <row r="11" spans="1:5" ht="12.75" customHeight="1" x14ac:dyDescent="0.15">
      <c r="A11" s="1113" t="s">
        <v>2555</v>
      </c>
      <c r="B11" s="1142">
        <f t="shared" si="0"/>
        <v>186</v>
      </c>
      <c r="C11" s="1116">
        <v>8</v>
      </c>
      <c r="D11" s="1138">
        <v>144</v>
      </c>
      <c r="E11" s="1138">
        <v>34</v>
      </c>
    </row>
    <row r="12" spans="1:5" ht="12.75" customHeight="1" x14ac:dyDescent="0.15">
      <c r="A12" s="1113" t="s">
        <v>2556</v>
      </c>
      <c r="B12" s="1142">
        <f t="shared" si="0"/>
        <v>316</v>
      </c>
      <c r="C12" s="1116">
        <v>25</v>
      </c>
      <c r="D12" s="1138">
        <v>234</v>
      </c>
      <c r="E12" s="1138">
        <v>57</v>
      </c>
    </row>
    <row r="13" spans="1:5" ht="12.75" customHeight="1" x14ac:dyDescent="0.15">
      <c r="A13" s="1113" t="s">
        <v>2557</v>
      </c>
      <c r="B13" s="1142">
        <f t="shared" si="0"/>
        <v>132</v>
      </c>
      <c r="C13" s="1116">
        <v>23</v>
      </c>
      <c r="D13" s="1138">
        <v>70</v>
      </c>
      <c r="E13" s="1138">
        <v>39</v>
      </c>
    </row>
    <row r="14" spans="1:5" ht="12.75" customHeight="1" x14ac:dyDescent="0.15">
      <c r="A14" s="1113" t="s">
        <v>2558</v>
      </c>
      <c r="B14" s="1142">
        <f t="shared" si="0"/>
        <v>39</v>
      </c>
      <c r="C14" s="1116">
        <v>6</v>
      </c>
      <c r="D14" s="1138">
        <v>20</v>
      </c>
      <c r="E14" s="1138">
        <v>13</v>
      </c>
    </row>
    <row r="15" spans="1:5" ht="10.5" customHeight="1" x14ac:dyDescent="0.15">
      <c r="A15" s="1113"/>
      <c r="B15" s="1116"/>
      <c r="C15" s="1116"/>
      <c r="D15" s="1138"/>
      <c r="E15" s="1138"/>
    </row>
    <row r="16" spans="1:5" ht="44.25" customHeight="1" x14ac:dyDescent="0.15">
      <c r="A16" s="3078" t="s">
        <v>2547</v>
      </c>
      <c r="B16" s="3078"/>
      <c r="C16" s="3078"/>
      <c r="D16" s="3078"/>
      <c r="E16" s="3078"/>
    </row>
    <row r="17" spans="1:5" ht="22.5" customHeight="1" x14ac:dyDescent="0.15">
      <c r="A17" s="3078" t="s">
        <v>2559</v>
      </c>
      <c r="B17" s="3078"/>
      <c r="C17" s="3078"/>
      <c r="D17" s="3078"/>
      <c r="E17" s="3078"/>
    </row>
    <row r="18" spans="1:5" x14ac:dyDescent="0.15">
      <c r="A18" s="3078" t="s">
        <v>2478</v>
      </c>
      <c r="B18" s="3078"/>
      <c r="C18" s="3078"/>
      <c r="D18" s="3078"/>
      <c r="E18" s="3078"/>
    </row>
    <row r="19" spans="1:5" x14ac:dyDescent="0.15">
      <c r="A19" s="1104"/>
      <c r="B19" s="1118"/>
      <c r="C19" s="1118"/>
      <c r="D19" s="1118"/>
      <c r="E19" s="1104"/>
    </row>
  </sheetData>
  <mergeCells count="9">
    <mergeCell ref="A16:E16"/>
    <mergeCell ref="A17:E17"/>
    <mergeCell ref="A18:E18"/>
    <mergeCell ref="A2:E2"/>
    <mergeCell ref="A3:E3"/>
    <mergeCell ref="A4:A6"/>
    <mergeCell ref="B4:E4"/>
    <mergeCell ref="B5:B6"/>
    <mergeCell ref="C5:E5"/>
  </mergeCells>
  <conditionalFormatting sqref="B7:E14">
    <cfRule type="expression" dxfId="8"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outlinePr summaryBelow="0" summaryRight="0"/>
  </sheetPr>
  <dimension ref="A1:D21"/>
  <sheetViews>
    <sheetView workbookViewId="0">
      <selection activeCell="D2" sqref="D2"/>
    </sheetView>
  </sheetViews>
  <sheetFormatPr baseColWidth="10" defaultColWidth="9.140625" defaultRowHeight="10.5" x14ac:dyDescent="0.15"/>
  <cols>
    <col min="1" max="1" width="32.42578125" style="1105" customWidth="1"/>
    <col min="2" max="3" width="16.7109375" style="1105" customWidth="1"/>
    <col min="4" max="4" width="9.140625" style="1105"/>
    <col min="5" max="5" width="12.85546875" style="1105" customWidth="1"/>
    <col min="6" max="16384" width="9.140625" style="1105"/>
  </cols>
  <sheetData>
    <row r="1" spans="1:3" x14ac:dyDescent="0.15">
      <c r="A1" s="1104"/>
      <c r="B1" s="1104"/>
      <c r="C1" s="1104"/>
    </row>
    <row r="2" spans="1:3" ht="22.5" customHeight="1" x14ac:dyDescent="0.15">
      <c r="A2" s="3064" t="s">
        <v>2560</v>
      </c>
      <c r="B2" s="3064"/>
      <c r="C2" s="3064"/>
    </row>
    <row r="3" spans="1:3" x14ac:dyDescent="0.15">
      <c r="A3" s="3080"/>
      <c r="B3" s="3080"/>
      <c r="C3" s="3080"/>
    </row>
    <row r="4" spans="1:3" ht="16.5" customHeight="1" x14ac:dyDescent="0.15">
      <c r="A4" s="3072" t="s">
        <v>2561</v>
      </c>
      <c r="B4" s="3074" t="s">
        <v>2562</v>
      </c>
      <c r="C4" s="3074"/>
    </row>
    <row r="5" spans="1:3" ht="16.5" customHeight="1" x14ac:dyDescent="0.15">
      <c r="A5" s="3073"/>
      <c r="B5" s="1093" t="s">
        <v>1573</v>
      </c>
      <c r="C5" s="1093" t="s">
        <v>727</v>
      </c>
    </row>
    <row r="6" spans="1:3" ht="11.25" x14ac:dyDescent="0.15">
      <c r="A6" s="1095" t="s">
        <v>2563</v>
      </c>
      <c r="B6" s="1143">
        <f>SUM(B7:B17)</f>
        <v>5692304</v>
      </c>
      <c r="C6" s="1112">
        <f>SUM(C7:C17)</f>
        <v>1</v>
      </c>
    </row>
    <row r="7" spans="1:3" x14ac:dyDescent="0.15">
      <c r="A7" s="1101" t="s">
        <v>2536</v>
      </c>
      <c r="B7" s="1144">
        <v>507377</v>
      </c>
      <c r="C7" s="1145">
        <f>+B7/$B$6</f>
        <v>8.9133855113851967E-2</v>
      </c>
    </row>
    <row r="8" spans="1:3" x14ac:dyDescent="0.15">
      <c r="A8" s="1101" t="s">
        <v>2537</v>
      </c>
      <c r="B8" s="1144">
        <v>200391</v>
      </c>
      <c r="C8" s="1145">
        <f t="shared" ref="C8:C17" si="0">+B8/$B$6</f>
        <v>3.5203847159252212E-2</v>
      </c>
    </row>
    <row r="9" spans="1:3" x14ac:dyDescent="0.15">
      <c r="A9" s="1101" t="s">
        <v>2538</v>
      </c>
      <c r="B9" s="1144">
        <v>79069</v>
      </c>
      <c r="C9" s="1145">
        <f t="shared" si="0"/>
        <v>1.3890509010059898E-2</v>
      </c>
    </row>
    <row r="10" spans="1:3" x14ac:dyDescent="0.15">
      <c r="A10" s="1101" t="s">
        <v>2539</v>
      </c>
      <c r="B10" s="1144">
        <v>254425</v>
      </c>
      <c r="C10" s="1145">
        <f t="shared" si="0"/>
        <v>4.4696312775986666E-2</v>
      </c>
    </row>
    <row r="11" spans="1:3" x14ac:dyDescent="0.15">
      <c r="A11" s="1101" t="s">
        <v>2540</v>
      </c>
      <c r="B11" s="1144">
        <v>2998973</v>
      </c>
      <c r="C11" s="1145">
        <f t="shared" si="0"/>
        <v>0.52684694984667013</v>
      </c>
    </row>
    <row r="12" spans="1:3" x14ac:dyDescent="0.15">
      <c r="A12" s="1101" t="s">
        <v>2541</v>
      </c>
      <c r="B12" s="1144">
        <v>159551</v>
      </c>
      <c r="C12" s="1145">
        <f t="shared" si="0"/>
        <v>2.802924791086351E-2</v>
      </c>
    </row>
    <row r="13" spans="1:3" x14ac:dyDescent="0.15">
      <c r="A13" s="1101" t="s">
        <v>2542</v>
      </c>
      <c r="B13" s="1144">
        <v>387897</v>
      </c>
      <c r="C13" s="1145">
        <f t="shared" si="0"/>
        <v>6.8144111769153581E-2</v>
      </c>
    </row>
    <row r="14" spans="1:3" x14ac:dyDescent="0.15">
      <c r="A14" s="1101" t="s">
        <v>2543</v>
      </c>
      <c r="B14" s="1144">
        <v>503246</v>
      </c>
      <c r="C14" s="1145">
        <f t="shared" si="0"/>
        <v>8.8408138426900595E-2</v>
      </c>
    </row>
    <row r="15" spans="1:3" x14ac:dyDescent="0.15">
      <c r="A15" s="1101" t="s">
        <v>2544</v>
      </c>
      <c r="B15" s="1144">
        <v>221299</v>
      </c>
      <c r="C15" s="1145">
        <f t="shared" si="0"/>
        <v>3.8876876568784802E-2</v>
      </c>
    </row>
    <row r="16" spans="1:3" x14ac:dyDescent="0.15">
      <c r="A16" s="1101" t="s">
        <v>2545</v>
      </c>
      <c r="B16" s="1144">
        <v>285405</v>
      </c>
      <c r="C16" s="1145">
        <f t="shared" si="0"/>
        <v>5.0138748738647827E-2</v>
      </c>
    </row>
    <row r="17" spans="1:4" x14ac:dyDescent="0.15">
      <c r="A17" s="1101" t="s">
        <v>2546</v>
      </c>
      <c r="B17" s="1144">
        <v>94671</v>
      </c>
      <c r="C17" s="1145">
        <f t="shared" si="0"/>
        <v>1.6631402679828766E-2</v>
      </c>
    </row>
    <row r="18" spans="1:4" ht="11.25" customHeight="1" x14ac:dyDescent="0.15">
      <c r="A18" s="1104"/>
      <c r="B18" s="1104"/>
      <c r="C18" s="1104"/>
    </row>
    <row r="19" spans="1:4" ht="22.5" customHeight="1" x14ac:dyDescent="0.15">
      <c r="A19" s="3078" t="s">
        <v>2564</v>
      </c>
      <c r="B19" s="3078"/>
      <c r="C19" s="3078"/>
    </row>
    <row r="20" spans="1:4" ht="45" customHeight="1" x14ac:dyDescent="0.15">
      <c r="A20" s="3078" t="s">
        <v>2476</v>
      </c>
      <c r="B20" s="3078"/>
      <c r="C20" s="3078"/>
      <c r="D20" s="1104"/>
    </row>
    <row r="21" spans="1:4" ht="22.5" customHeight="1" x14ac:dyDescent="0.15">
      <c r="A21" s="3078" t="s">
        <v>2478</v>
      </c>
      <c r="B21" s="3078"/>
      <c r="C21" s="3078"/>
    </row>
  </sheetData>
  <mergeCells count="7">
    <mergeCell ref="A21:C21"/>
    <mergeCell ref="A2:C2"/>
    <mergeCell ref="A3:C3"/>
    <mergeCell ref="A4:A5"/>
    <mergeCell ref="B4:C4"/>
    <mergeCell ref="A19:C19"/>
    <mergeCell ref="A20:C20"/>
  </mergeCells>
  <conditionalFormatting sqref="B6:C17">
    <cfRule type="expression" dxfId="7"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outlinePr summaryBelow="0" summaryRight="0"/>
  </sheetPr>
  <dimension ref="A1:E30"/>
  <sheetViews>
    <sheetView workbookViewId="0">
      <selection activeCell="A2" sqref="A2:Q2"/>
    </sheetView>
  </sheetViews>
  <sheetFormatPr baseColWidth="10" defaultColWidth="9.140625" defaultRowHeight="10.5" x14ac:dyDescent="0.15"/>
  <cols>
    <col min="1" max="1" width="33.85546875" style="1105" customWidth="1"/>
    <col min="2" max="2" width="13.42578125" style="1105" customWidth="1"/>
    <col min="3" max="4" width="16.140625" style="1105" customWidth="1"/>
    <col min="5" max="16384" width="9.140625" style="1105"/>
  </cols>
  <sheetData>
    <row r="1" spans="1:4" ht="15" customHeight="1" x14ac:dyDescent="0.15">
      <c r="A1" s="1104"/>
      <c r="B1" s="1104"/>
      <c r="C1" s="1104"/>
      <c r="D1" s="1104"/>
    </row>
    <row r="2" spans="1:4" ht="21.75" customHeight="1" x14ac:dyDescent="0.15">
      <c r="A2" s="3064" t="s">
        <v>2565</v>
      </c>
      <c r="B2" s="3064"/>
      <c r="C2" s="3064"/>
      <c r="D2" s="3064"/>
    </row>
    <row r="3" spans="1:4" x14ac:dyDescent="0.15">
      <c r="A3" s="3080"/>
      <c r="B3" s="3080"/>
      <c r="C3" s="3080"/>
      <c r="D3" s="3080"/>
    </row>
    <row r="4" spans="1:4" x14ac:dyDescent="0.15">
      <c r="A4" s="3066" t="s">
        <v>2566</v>
      </c>
      <c r="B4" s="3074" t="s">
        <v>2567</v>
      </c>
      <c r="C4" s="3074"/>
      <c r="D4" s="3074"/>
    </row>
    <row r="5" spans="1:4" ht="12.75" customHeight="1" x14ac:dyDescent="0.15">
      <c r="A5" s="3067"/>
      <c r="B5" s="3072" t="s">
        <v>2465</v>
      </c>
      <c r="C5" s="3074" t="s">
        <v>2568</v>
      </c>
      <c r="D5" s="3074"/>
    </row>
    <row r="6" spans="1:4" x14ac:dyDescent="0.15">
      <c r="A6" s="3068"/>
      <c r="B6" s="3073"/>
      <c r="C6" s="1093" t="s">
        <v>2569</v>
      </c>
      <c r="D6" s="1093" t="s">
        <v>2570</v>
      </c>
    </row>
    <row r="7" spans="1:4" ht="12.75" customHeight="1" x14ac:dyDescent="0.15">
      <c r="A7" s="1127" t="s">
        <v>141</v>
      </c>
      <c r="B7" s="1143">
        <f>SUM(B8:B12)</f>
        <v>5581</v>
      </c>
      <c r="C7" s="1143">
        <f>SUM(C8:C12)</f>
        <v>3048</v>
      </c>
      <c r="D7" s="1143">
        <f>SUM(D8:D12)</f>
        <v>2533</v>
      </c>
    </row>
    <row r="8" spans="1:4" x14ac:dyDescent="0.15">
      <c r="A8" s="1119" t="s">
        <v>2571</v>
      </c>
      <c r="B8" s="1146">
        <f t="shared" ref="B8:D12" si="0">SUM(B14,B20)</f>
        <v>878</v>
      </c>
      <c r="C8" s="1146">
        <f t="shared" si="0"/>
        <v>548</v>
      </c>
      <c r="D8" s="1146">
        <f t="shared" si="0"/>
        <v>330</v>
      </c>
    </row>
    <row r="9" spans="1:4" x14ac:dyDescent="0.15">
      <c r="A9" s="1119" t="s">
        <v>91</v>
      </c>
      <c r="B9" s="1146">
        <f t="shared" si="0"/>
        <v>1261</v>
      </c>
      <c r="C9" s="1146">
        <f t="shared" si="0"/>
        <v>770</v>
      </c>
      <c r="D9" s="1146">
        <f t="shared" si="0"/>
        <v>491</v>
      </c>
    </row>
    <row r="10" spans="1:4" x14ac:dyDescent="0.15">
      <c r="A10" s="1119" t="s">
        <v>93</v>
      </c>
      <c r="B10" s="1146">
        <f t="shared" si="0"/>
        <v>1213</v>
      </c>
      <c r="C10" s="1146">
        <f t="shared" si="0"/>
        <v>779</v>
      </c>
      <c r="D10" s="1146">
        <f t="shared" si="0"/>
        <v>434</v>
      </c>
    </row>
    <row r="11" spans="1:4" x14ac:dyDescent="0.15">
      <c r="A11" s="1119" t="s">
        <v>92</v>
      </c>
      <c r="B11" s="1146">
        <f t="shared" si="0"/>
        <v>649</v>
      </c>
      <c r="C11" s="1146">
        <f t="shared" si="0"/>
        <v>423</v>
      </c>
      <c r="D11" s="1146">
        <f t="shared" si="0"/>
        <v>226</v>
      </c>
    </row>
    <row r="12" spans="1:4" x14ac:dyDescent="0.15">
      <c r="A12" s="1119" t="s">
        <v>2572</v>
      </c>
      <c r="B12" s="1146">
        <f t="shared" si="0"/>
        <v>1580</v>
      </c>
      <c r="C12" s="1146">
        <f t="shared" si="0"/>
        <v>528</v>
      </c>
      <c r="D12" s="1146">
        <f t="shared" si="0"/>
        <v>1052</v>
      </c>
    </row>
    <row r="13" spans="1:4" x14ac:dyDescent="0.15">
      <c r="A13" s="1119" t="s">
        <v>966</v>
      </c>
      <c r="B13" s="1143">
        <f>SUM(B14:B18)</f>
        <v>3958</v>
      </c>
      <c r="C13" s="1146">
        <f>SUM(C14:C18)</f>
        <v>2188</v>
      </c>
      <c r="D13" s="1146">
        <f>SUM(D14:D18)</f>
        <v>1770</v>
      </c>
    </row>
    <row r="14" spans="1:4" x14ac:dyDescent="0.15">
      <c r="A14" s="1101" t="s">
        <v>2571</v>
      </c>
      <c r="B14" s="1147">
        <f>SUM(C14:D14)</f>
        <v>656</v>
      </c>
      <c r="C14" s="1144">
        <v>408</v>
      </c>
      <c r="D14" s="1144">
        <v>248</v>
      </c>
    </row>
    <row r="15" spans="1:4" x14ac:dyDescent="0.15">
      <c r="A15" s="1101" t="s">
        <v>91</v>
      </c>
      <c r="B15" s="1147">
        <f t="shared" ref="B15:B24" si="1">SUM(C15:D15)</f>
        <v>813</v>
      </c>
      <c r="C15" s="1144">
        <v>505</v>
      </c>
      <c r="D15" s="1144">
        <v>308</v>
      </c>
    </row>
    <row r="16" spans="1:4" x14ac:dyDescent="0.15">
      <c r="A16" s="1101" t="s">
        <v>93</v>
      </c>
      <c r="B16" s="1147">
        <f t="shared" si="1"/>
        <v>1019</v>
      </c>
      <c r="C16" s="1144">
        <v>670</v>
      </c>
      <c r="D16" s="1144">
        <v>349</v>
      </c>
    </row>
    <row r="17" spans="1:5" x14ac:dyDescent="0.15">
      <c r="A17" s="1101" t="s">
        <v>92</v>
      </c>
      <c r="B17" s="1147">
        <f t="shared" si="1"/>
        <v>323</v>
      </c>
      <c r="C17" s="1144">
        <v>196</v>
      </c>
      <c r="D17" s="1144">
        <v>127</v>
      </c>
    </row>
    <row r="18" spans="1:5" x14ac:dyDescent="0.15">
      <c r="A18" s="1101" t="s">
        <v>2572</v>
      </c>
      <c r="B18" s="1147">
        <f t="shared" si="1"/>
        <v>1147</v>
      </c>
      <c r="C18" s="1144">
        <v>409</v>
      </c>
      <c r="D18" s="1144">
        <v>738</v>
      </c>
    </row>
    <row r="19" spans="1:5" x14ac:dyDescent="0.15">
      <c r="A19" s="1119" t="s">
        <v>967</v>
      </c>
      <c r="B19" s="1143">
        <f>SUM(B20:B24)</f>
        <v>1623</v>
      </c>
      <c r="C19" s="1146">
        <f>SUM(C20:C24)</f>
        <v>860</v>
      </c>
      <c r="D19" s="1146">
        <f>SUM(D20:D24)</f>
        <v>763</v>
      </c>
    </row>
    <row r="20" spans="1:5" x14ac:dyDescent="0.15">
      <c r="A20" s="1101" t="s">
        <v>2571</v>
      </c>
      <c r="B20" s="1147">
        <f t="shared" si="1"/>
        <v>222</v>
      </c>
      <c r="C20" s="1144">
        <v>140</v>
      </c>
      <c r="D20" s="1144">
        <v>82</v>
      </c>
    </row>
    <row r="21" spans="1:5" x14ac:dyDescent="0.15">
      <c r="A21" s="1101" t="s">
        <v>91</v>
      </c>
      <c r="B21" s="1147">
        <f t="shared" si="1"/>
        <v>448</v>
      </c>
      <c r="C21" s="1144">
        <v>265</v>
      </c>
      <c r="D21" s="1144">
        <v>183</v>
      </c>
    </row>
    <row r="22" spans="1:5" x14ac:dyDescent="0.15">
      <c r="A22" s="1101" t="s">
        <v>93</v>
      </c>
      <c r="B22" s="1147">
        <f t="shared" si="1"/>
        <v>194</v>
      </c>
      <c r="C22" s="1144">
        <v>109</v>
      </c>
      <c r="D22" s="1144">
        <v>85</v>
      </c>
    </row>
    <row r="23" spans="1:5" x14ac:dyDescent="0.15">
      <c r="A23" s="1101" t="s">
        <v>92</v>
      </c>
      <c r="B23" s="1147">
        <f t="shared" si="1"/>
        <v>326</v>
      </c>
      <c r="C23" s="1144">
        <v>227</v>
      </c>
      <c r="D23" s="1144">
        <v>99</v>
      </c>
    </row>
    <row r="24" spans="1:5" x14ac:dyDescent="0.15">
      <c r="A24" s="1101" t="s">
        <v>2572</v>
      </c>
      <c r="B24" s="1147">
        <f t="shared" si="1"/>
        <v>433</v>
      </c>
      <c r="C24" s="1144">
        <v>119</v>
      </c>
      <c r="D24" s="1144">
        <v>314</v>
      </c>
    </row>
    <row r="25" spans="1:5" x14ac:dyDescent="0.15">
      <c r="A25" s="1104"/>
      <c r="B25" s="1104"/>
      <c r="C25" s="1104"/>
      <c r="D25" s="1104"/>
    </row>
    <row r="26" spans="1:5" ht="22.5" customHeight="1" x14ac:dyDescent="0.15">
      <c r="A26" s="3078" t="s">
        <v>2475</v>
      </c>
      <c r="B26" s="3078"/>
      <c r="C26" s="3078"/>
      <c r="D26" s="3078"/>
      <c r="E26" s="1104"/>
    </row>
    <row r="27" spans="1:5" ht="42" customHeight="1" x14ac:dyDescent="0.15">
      <c r="A27" s="3078" t="s">
        <v>2476</v>
      </c>
      <c r="B27" s="3078"/>
      <c r="C27" s="3078"/>
      <c r="D27" s="3078"/>
    </row>
    <row r="28" spans="1:5" ht="11.25" customHeight="1" x14ac:dyDescent="0.15">
      <c r="A28" s="3078" t="s">
        <v>2478</v>
      </c>
      <c r="B28" s="3078"/>
      <c r="C28" s="3078"/>
      <c r="D28" s="3078"/>
    </row>
    <row r="29" spans="1:5" x14ac:dyDescent="0.15">
      <c r="A29" s="1104"/>
      <c r="B29" s="1118"/>
      <c r="C29" s="1118"/>
      <c r="D29" s="1104"/>
    </row>
    <row r="30" spans="1:5" x14ac:dyDescent="0.15">
      <c r="A30" s="1104"/>
      <c r="B30" s="1104"/>
      <c r="C30" s="1104"/>
      <c r="D30" s="1104"/>
    </row>
  </sheetData>
  <mergeCells count="9">
    <mergeCell ref="A26:D26"/>
    <mergeCell ref="A27:D27"/>
    <mergeCell ref="A28:D28"/>
    <mergeCell ref="A2:D2"/>
    <mergeCell ref="A3:D3"/>
    <mergeCell ref="A4:A6"/>
    <mergeCell ref="B4:D4"/>
    <mergeCell ref="B5:B6"/>
    <mergeCell ref="C5:D5"/>
  </mergeCells>
  <conditionalFormatting sqref="B7:D24">
    <cfRule type="expression" dxfId="6"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outlinePr summaryBelow="0" summaryRight="0"/>
  </sheetPr>
  <dimension ref="A1:D13"/>
  <sheetViews>
    <sheetView zoomScaleNormal="100" workbookViewId="0">
      <selection activeCell="A2" sqref="A2:Q2"/>
    </sheetView>
  </sheetViews>
  <sheetFormatPr baseColWidth="10" defaultColWidth="9.140625" defaultRowHeight="10.5" x14ac:dyDescent="0.15"/>
  <cols>
    <col min="1" max="1" width="28.5703125" style="1105" customWidth="1"/>
    <col min="2" max="2" width="46.42578125" style="1105" customWidth="1"/>
    <col min="3" max="255" width="9.140625" style="1105"/>
    <col min="256" max="256" width="28.5703125" style="1105" customWidth="1"/>
    <col min="257" max="257" width="27.85546875" style="1105" customWidth="1"/>
    <col min="258" max="511" width="9.140625" style="1105"/>
    <col min="512" max="512" width="28.5703125" style="1105" customWidth="1"/>
    <col min="513" max="513" width="27.85546875" style="1105" customWidth="1"/>
    <col min="514" max="767" width="9.140625" style="1105"/>
    <col min="768" max="768" width="28.5703125" style="1105" customWidth="1"/>
    <col min="769" max="769" width="27.85546875" style="1105" customWidth="1"/>
    <col min="770" max="1023" width="9.140625" style="1105"/>
    <col min="1024" max="1024" width="28.5703125" style="1105" customWidth="1"/>
    <col min="1025" max="1025" width="27.85546875" style="1105" customWidth="1"/>
    <col min="1026" max="1279" width="9.140625" style="1105"/>
    <col min="1280" max="1280" width="28.5703125" style="1105" customWidth="1"/>
    <col min="1281" max="1281" width="27.85546875" style="1105" customWidth="1"/>
    <col min="1282" max="1535" width="9.140625" style="1105"/>
    <col min="1536" max="1536" width="28.5703125" style="1105" customWidth="1"/>
    <col min="1537" max="1537" width="27.85546875" style="1105" customWidth="1"/>
    <col min="1538" max="1791" width="9.140625" style="1105"/>
    <col min="1792" max="1792" width="28.5703125" style="1105" customWidth="1"/>
    <col min="1793" max="1793" width="27.85546875" style="1105" customWidth="1"/>
    <col min="1794" max="2047" width="9.140625" style="1105"/>
    <col min="2048" max="2048" width="28.5703125" style="1105" customWidth="1"/>
    <col min="2049" max="2049" width="27.85546875" style="1105" customWidth="1"/>
    <col min="2050" max="2303" width="9.140625" style="1105"/>
    <col min="2304" max="2304" width="28.5703125" style="1105" customWidth="1"/>
    <col min="2305" max="2305" width="27.85546875" style="1105" customWidth="1"/>
    <col min="2306" max="2559" width="9.140625" style="1105"/>
    <col min="2560" max="2560" width="28.5703125" style="1105" customWidth="1"/>
    <col min="2561" max="2561" width="27.85546875" style="1105" customWidth="1"/>
    <col min="2562" max="2815" width="9.140625" style="1105"/>
    <col min="2816" max="2816" width="28.5703125" style="1105" customWidth="1"/>
    <col min="2817" max="2817" width="27.85546875" style="1105" customWidth="1"/>
    <col min="2818" max="3071" width="9.140625" style="1105"/>
    <col min="3072" max="3072" width="28.5703125" style="1105" customWidth="1"/>
    <col min="3073" max="3073" width="27.85546875" style="1105" customWidth="1"/>
    <col min="3074" max="3327" width="9.140625" style="1105"/>
    <col min="3328" max="3328" width="28.5703125" style="1105" customWidth="1"/>
    <col min="3329" max="3329" width="27.85546875" style="1105" customWidth="1"/>
    <col min="3330" max="3583" width="9.140625" style="1105"/>
    <col min="3584" max="3584" width="28.5703125" style="1105" customWidth="1"/>
    <col min="3585" max="3585" width="27.85546875" style="1105" customWidth="1"/>
    <col min="3586" max="3839" width="9.140625" style="1105"/>
    <col min="3840" max="3840" width="28.5703125" style="1105" customWidth="1"/>
    <col min="3841" max="3841" width="27.85546875" style="1105" customWidth="1"/>
    <col min="3842" max="4095" width="9.140625" style="1105"/>
    <col min="4096" max="4096" width="28.5703125" style="1105" customWidth="1"/>
    <col min="4097" max="4097" width="27.85546875" style="1105" customWidth="1"/>
    <col min="4098" max="4351" width="9.140625" style="1105"/>
    <col min="4352" max="4352" width="28.5703125" style="1105" customWidth="1"/>
    <col min="4353" max="4353" width="27.85546875" style="1105" customWidth="1"/>
    <col min="4354" max="4607" width="9.140625" style="1105"/>
    <col min="4608" max="4608" width="28.5703125" style="1105" customWidth="1"/>
    <col min="4609" max="4609" width="27.85546875" style="1105" customWidth="1"/>
    <col min="4610" max="4863" width="9.140625" style="1105"/>
    <col min="4864" max="4864" width="28.5703125" style="1105" customWidth="1"/>
    <col min="4865" max="4865" width="27.85546875" style="1105" customWidth="1"/>
    <col min="4866" max="5119" width="9.140625" style="1105"/>
    <col min="5120" max="5120" width="28.5703125" style="1105" customWidth="1"/>
    <col min="5121" max="5121" width="27.85546875" style="1105" customWidth="1"/>
    <col min="5122" max="5375" width="9.140625" style="1105"/>
    <col min="5376" max="5376" width="28.5703125" style="1105" customWidth="1"/>
    <col min="5377" max="5377" width="27.85546875" style="1105" customWidth="1"/>
    <col min="5378" max="5631" width="9.140625" style="1105"/>
    <col min="5632" max="5632" width="28.5703125" style="1105" customWidth="1"/>
    <col min="5633" max="5633" width="27.85546875" style="1105" customWidth="1"/>
    <col min="5634" max="5887" width="9.140625" style="1105"/>
    <col min="5888" max="5888" width="28.5703125" style="1105" customWidth="1"/>
    <col min="5889" max="5889" width="27.85546875" style="1105" customWidth="1"/>
    <col min="5890" max="6143" width="9.140625" style="1105"/>
    <col min="6144" max="6144" width="28.5703125" style="1105" customWidth="1"/>
    <col min="6145" max="6145" width="27.85546875" style="1105" customWidth="1"/>
    <col min="6146" max="6399" width="9.140625" style="1105"/>
    <col min="6400" max="6400" width="28.5703125" style="1105" customWidth="1"/>
    <col min="6401" max="6401" width="27.85546875" style="1105" customWidth="1"/>
    <col min="6402" max="6655" width="9.140625" style="1105"/>
    <col min="6656" max="6656" width="28.5703125" style="1105" customWidth="1"/>
    <col min="6657" max="6657" width="27.85546875" style="1105" customWidth="1"/>
    <col min="6658" max="6911" width="9.140625" style="1105"/>
    <col min="6912" max="6912" width="28.5703125" style="1105" customWidth="1"/>
    <col min="6913" max="6913" width="27.85546875" style="1105" customWidth="1"/>
    <col min="6914" max="7167" width="9.140625" style="1105"/>
    <col min="7168" max="7168" width="28.5703125" style="1105" customWidth="1"/>
    <col min="7169" max="7169" width="27.85546875" style="1105" customWidth="1"/>
    <col min="7170" max="7423" width="9.140625" style="1105"/>
    <col min="7424" max="7424" width="28.5703125" style="1105" customWidth="1"/>
    <col min="7425" max="7425" width="27.85546875" style="1105" customWidth="1"/>
    <col min="7426" max="7679" width="9.140625" style="1105"/>
    <col min="7680" max="7680" width="28.5703125" style="1105" customWidth="1"/>
    <col min="7681" max="7681" width="27.85546875" style="1105" customWidth="1"/>
    <col min="7682" max="7935" width="9.140625" style="1105"/>
    <col min="7936" max="7936" width="28.5703125" style="1105" customWidth="1"/>
    <col min="7937" max="7937" width="27.85546875" style="1105" customWidth="1"/>
    <col min="7938" max="8191" width="9.140625" style="1105"/>
    <col min="8192" max="8192" width="28.5703125" style="1105" customWidth="1"/>
    <col min="8193" max="8193" width="27.85546875" style="1105" customWidth="1"/>
    <col min="8194" max="8447" width="9.140625" style="1105"/>
    <col min="8448" max="8448" width="28.5703125" style="1105" customWidth="1"/>
    <col min="8449" max="8449" width="27.85546875" style="1105" customWidth="1"/>
    <col min="8450" max="8703" width="9.140625" style="1105"/>
    <col min="8704" max="8704" width="28.5703125" style="1105" customWidth="1"/>
    <col min="8705" max="8705" width="27.85546875" style="1105" customWidth="1"/>
    <col min="8706" max="8959" width="9.140625" style="1105"/>
    <col min="8960" max="8960" width="28.5703125" style="1105" customWidth="1"/>
    <col min="8961" max="8961" width="27.85546875" style="1105" customWidth="1"/>
    <col min="8962" max="9215" width="9.140625" style="1105"/>
    <col min="9216" max="9216" width="28.5703125" style="1105" customWidth="1"/>
    <col min="9217" max="9217" width="27.85546875" style="1105" customWidth="1"/>
    <col min="9218" max="9471" width="9.140625" style="1105"/>
    <col min="9472" max="9472" width="28.5703125" style="1105" customWidth="1"/>
    <col min="9473" max="9473" width="27.85546875" style="1105" customWidth="1"/>
    <col min="9474" max="9727" width="9.140625" style="1105"/>
    <col min="9728" max="9728" width="28.5703125" style="1105" customWidth="1"/>
    <col min="9729" max="9729" width="27.85546875" style="1105" customWidth="1"/>
    <col min="9730" max="9983" width="9.140625" style="1105"/>
    <col min="9984" max="9984" width="28.5703125" style="1105" customWidth="1"/>
    <col min="9985" max="9985" width="27.85546875" style="1105" customWidth="1"/>
    <col min="9986" max="10239" width="9.140625" style="1105"/>
    <col min="10240" max="10240" width="28.5703125" style="1105" customWidth="1"/>
    <col min="10241" max="10241" width="27.85546875" style="1105" customWidth="1"/>
    <col min="10242" max="10495" width="9.140625" style="1105"/>
    <col min="10496" max="10496" width="28.5703125" style="1105" customWidth="1"/>
    <col min="10497" max="10497" width="27.85546875" style="1105" customWidth="1"/>
    <col min="10498" max="10751" width="9.140625" style="1105"/>
    <col min="10752" max="10752" width="28.5703125" style="1105" customWidth="1"/>
    <col min="10753" max="10753" width="27.85546875" style="1105" customWidth="1"/>
    <col min="10754" max="11007" width="9.140625" style="1105"/>
    <col min="11008" max="11008" width="28.5703125" style="1105" customWidth="1"/>
    <col min="11009" max="11009" width="27.85546875" style="1105" customWidth="1"/>
    <col min="11010" max="11263" width="9.140625" style="1105"/>
    <col min="11264" max="11264" width="28.5703125" style="1105" customWidth="1"/>
    <col min="11265" max="11265" width="27.85546875" style="1105" customWidth="1"/>
    <col min="11266" max="11519" width="9.140625" style="1105"/>
    <col min="11520" max="11520" width="28.5703125" style="1105" customWidth="1"/>
    <col min="11521" max="11521" width="27.85546875" style="1105" customWidth="1"/>
    <col min="11522" max="11775" width="9.140625" style="1105"/>
    <col min="11776" max="11776" width="28.5703125" style="1105" customWidth="1"/>
    <col min="11777" max="11777" width="27.85546875" style="1105" customWidth="1"/>
    <col min="11778" max="12031" width="9.140625" style="1105"/>
    <col min="12032" max="12032" width="28.5703125" style="1105" customWidth="1"/>
    <col min="12033" max="12033" width="27.85546875" style="1105" customWidth="1"/>
    <col min="12034" max="12287" width="9.140625" style="1105"/>
    <col min="12288" max="12288" width="28.5703125" style="1105" customWidth="1"/>
    <col min="12289" max="12289" width="27.85546875" style="1105" customWidth="1"/>
    <col min="12290" max="12543" width="9.140625" style="1105"/>
    <col min="12544" max="12544" width="28.5703125" style="1105" customWidth="1"/>
    <col min="12545" max="12545" width="27.85546875" style="1105" customWidth="1"/>
    <col min="12546" max="12799" width="9.140625" style="1105"/>
    <col min="12800" max="12800" width="28.5703125" style="1105" customWidth="1"/>
    <col min="12801" max="12801" width="27.85546875" style="1105" customWidth="1"/>
    <col min="12802" max="13055" width="9.140625" style="1105"/>
    <col min="13056" max="13056" width="28.5703125" style="1105" customWidth="1"/>
    <col min="13057" max="13057" width="27.85546875" style="1105" customWidth="1"/>
    <col min="13058" max="13311" width="9.140625" style="1105"/>
    <col min="13312" max="13312" width="28.5703125" style="1105" customWidth="1"/>
    <col min="13313" max="13313" width="27.85546875" style="1105" customWidth="1"/>
    <col min="13314" max="13567" width="9.140625" style="1105"/>
    <col min="13568" max="13568" width="28.5703125" style="1105" customWidth="1"/>
    <col min="13569" max="13569" width="27.85546875" style="1105" customWidth="1"/>
    <col min="13570" max="13823" width="9.140625" style="1105"/>
    <col min="13824" max="13824" width="28.5703125" style="1105" customWidth="1"/>
    <col min="13825" max="13825" width="27.85546875" style="1105" customWidth="1"/>
    <col min="13826" max="14079" width="9.140625" style="1105"/>
    <col min="14080" max="14080" width="28.5703125" style="1105" customWidth="1"/>
    <col min="14081" max="14081" width="27.85546875" style="1105" customWidth="1"/>
    <col min="14082" max="14335" width="9.140625" style="1105"/>
    <col min="14336" max="14336" width="28.5703125" style="1105" customWidth="1"/>
    <col min="14337" max="14337" width="27.85546875" style="1105" customWidth="1"/>
    <col min="14338" max="14591" width="9.140625" style="1105"/>
    <col min="14592" max="14592" width="28.5703125" style="1105" customWidth="1"/>
    <col min="14593" max="14593" width="27.85546875" style="1105" customWidth="1"/>
    <col min="14594" max="14847" width="9.140625" style="1105"/>
    <col min="14848" max="14848" width="28.5703125" style="1105" customWidth="1"/>
    <col min="14849" max="14849" width="27.85546875" style="1105" customWidth="1"/>
    <col min="14850" max="15103" width="9.140625" style="1105"/>
    <col min="15104" max="15104" width="28.5703125" style="1105" customWidth="1"/>
    <col min="15105" max="15105" width="27.85546875" style="1105" customWidth="1"/>
    <col min="15106" max="15359" width="9.140625" style="1105"/>
    <col min="15360" max="15360" width="28.5703125" style="1105" customWidth="1"/>
    <col min="15361" max="15361" width="27.85546875" style="1105" customWidth="1"/>
    <col min="15362" max="15615" width="9.140625" style="1105"/>
    <col min="15616" max="15616" width="28.5703125" style="1105" customWidth="1"/>
    <col min="15617" max="15617" width="27.85546875" style="1105" customWidth="1"/>
    <col min="15618" max="15871" width="9.140625" style="1105"/>
    <col min="15872" max="15872" width="28.5703125" style="1105" customWidth="1"/>
    <col min="15873" max="15873" width="27.85546875" style="1105" customWidth="1"/>
    <col min="15874" max="16127" width="9.140625" style="1105"/>
    <col min="16128" max="16128" width="28.5703125" style="1105" customWidth="1"/>
    <col min="16129" max="16129" width="27.85546875" style="1105" customWidth="1"/>
    <col min="16130" max="16384" width="9.140625" style="1105"/>
  </cols>
  <sheetData>
    <row r="1" spans="1:4" ht="15.75" customHeight="1" x14ac:dyDescent="0.15">
      <c r="A1" s="1104"/>
      <c r="B1" s="1104"/>
    </row>
    <row r="2" spans="1:4" ht="15" customHeight="1" x14ac:dyDescent="0.15">
      <c r="A2" s="3086" t="s">
        <v>2573</v>
      </c>
      <c r="B2" s="3086"/>
    </row>
    <row r="3" spans="1:4" x14ac:dyDescent="0.15">
      <c r="A3" s="3087"/>
      <c r="B3" s="3087"/>
    </row>
    <row r="4" spans="1:4" ht="31.5" customHeight="1" x14ac:dyDescent="0.15">
      <c r="A4" s="1106" t="s">
        <v>2574</v>
      </c>
      <c r="B4" s="1106" t="s">
        <v>2575</v>
      </c>
    </row>
    <row r="5" spans="1:4" ht="15" x14ac:dyDescent="0.25">
      <c r="A5" s="1140" t="s">
        <v>2563</v>
      </c>
      <c r="B5" s="1148">
        <v>69265531423</v>
      </c>
      <c r="D5"/>
    </row>
    <row r="6" spans="1:4" ht="12.75" customHeight="1" x14ac:dyDescent="0.25">
      <c r="A6" s="1113" t="s">
        <v>2543</v>
      </c>
      <c r="B6" s="1149">
        <v>60856642409</v>
      </c>
      <c r="D6"/>
    </row>
    <row r="7" spans="1:4" ht="12.75" customHeight="1" x14ac:dyDescent="0.15">
      <c r="A7" s="1113" t="s">
        <v>2576</v>
      </c>
      <c r="B7" s="1149">
        <v>3147190976</v>
      </c>
    </row>
    <row r="8" spans="1:4" ht="12.75" customHeight="1" x14ac:dyDescent="0.15">
      <c r="A8" s="1113" t="s">
        <v>2577</v>
      </c>
      <c r="B8" s="1149">
        <v>5261698038</v>
      </c>
    </row>
    <row r="9" spans="1:4" ht="11.25" customHeight="1" x14ac:dyDescent="0.15">
      <c r="A9" s="3078"/>
      <c r="B9" s="3078"/>
    </row>
    <row r="10" spans="1:4" ht="22.5" customHeight="1" x14ac:dyDescent="0.15">
      <c r="A10" s="3085" t="s">
        <v>2475</v>
      </c>
      <c r="B10" s="3085"/>
      <c r="C10" s="1104"/>
    </row>
    <row r="11" spans="1:4" ht="45" customHeight="1" x14ac:dyDescent="0.15">
      <c r="A11" s="3085" t="s">
        <v>2476</v>
      </c>
      <c r="B11" s="3085"/>
      <c r="C11" s="1104"/>
    </row>
    <row r="12" spans="1:4" ht="12" customHeight="1" x14ac:dyDescent="0.15">
      <c r="A12" s="3085" t="s">
        <v>2478</v>
      </c>
      <c r="B12" s="3085"/>
    </row>
    <row r="13" spans="1:4" x14ac:dyDescent="0.15">
      <c r="A13" s="1104"/>
      <c r="B13" s="1118"/>
    </row>
  </sheetData>
  <mergeCells count="6">
    <mergeCell ref="A12:B12"/>
    <mergeCell ref="A2:B2"/>
    <mergeCell ref="A3:B3"/>
    <mergeCell ref="A9:B9"/>
    <mergeCell ref="A10:B10"/>
    <mergeCell ref="A11:B11"/>
  </mergeCells>
  <conditionalFormatting sqref="B5:B8">
    <cfRule type="expression" dxfId="5"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outlinePr summaryBelow="0" summaryRight="0"/>
  </sheetPr>
  <dimension ref="A1:B18"/>
  <sheetViews>
    <sheetView zoomScaleNormal="100" workbookViewId="0">
      <selection activeCell="A15" sqref="A15:B15"/>
    </sheetView>
  </sheetViews>
  <sheetFormatPr baseColWidth="10" defaultColWidth="9.140625" defaultRowHeight="10.5" x14ac:dyDescent="0.15"/>
  <cols>
    <col min="1" max="1" width="27.7109375" style="1105" customWidth="1"/>
    <col min="2" max="2" width="38.85546875" style="1105" customWidth="1"/>
    <col min="3" max="253" width="9.140625" style="1105"/>
    <col min="254" max="254" width="25.7109375" style="1105" customWidth="1"/>
    <col min="255" max="255" width="27.85546875" style="1105" customWidth="1"/>
    <col min="256" max="509" width="9.140625" style="1105"/>
    <col min="510" max="510" width="25.7109375" style="1105" customWidth="1"/>
    <col min="511" max="511" width="27.85546875" style="1105" customWidth="1"/>
    <col min="512" max="765" width="9.140625" style="1105"/>
    <col min="766" max="766" width="25.7109375" style="1105" customWidth="1"/>
    <col min="767" max="767" width="27.85546875" style="1105" customWidth="1"/>
    <col min="768" max="1021" width="9.140625" style="1105"/>
    <col min="1022" max="1022" width="25.7109375" style="1105" customWidth="1"/>
    <col min="1023" max="1023" width="27.85546875" style="1105" customWidth="1"/>
    <col min="1024" max="1277" width="9.140625" style="1105"/>
    <col min="1278" max="1278" width="25.7109375" style="1105" customWidth="1"/>
    <col min="1279" max="1279" width="27.85546875" style="1105" customWidth="1"/>
    <col min="1280" max="1533" width="9.140625" style="1105"/>
    <col min="1534" max="1534" width="25.7109375" style="1105" customWidth="1"/>
    <col min="1535" max="1535" width="27.85546875" style="1105" customWidth="1"/>
    <col min="1536" max="1789" width="9.140625" style="1105"/>
    <col min="1790" max="1790" width="25.7109375" style="1105" customWidth="1"/>
    <col min="1791" max="1791" width="27.85546875" style="1105" customWidth="1"/>
    <col min="1792" max="2045" width="9.140625" style="1105"/>
    <col min="2046" max="2046" width="25.7109375" style="1105" customWidth="1"/>
    <col min="2047" max="2047" width="27.85546875" style="1105" customWidth="1"/>
    <col min="2048" max="2301" width="9.140625" style="1105"/>
    <col min="2302" max="2302" width="25.7109375" style="1105" customWidth="1"/>
    <col min="2303" max="2303" width="27.85546875" style="1105" customWidth="1"/>
    <col min="2304" max="2557" width="9.140625" style="1105"/>
    <col min="2558" max="2558" width="25.7109375" style="1105" customWidth="1"/>
    <col min="2559" max="2559" width="27.85546875" style="1105" customWidth="1"/>
    <col min="2560" max="2813" width="9.140625" style="1105"/>
    <col min="2814" max="2814" width="25.7109375" style="1105" customWidth="1"/>
    <col min="2815" max="2815" width="27.85546875" style="1105" customWidth="1"/>
    <col min="2816" max="3069" width="9.140625" style="1105"/>
    <col min="3070" max="3070" width="25.7109375" style="1105" customWidth="1"/>
    <col min="3071" max="3071" width="27.85546875" style="1105" customWidth="1"/>
    <col min="3072" max="3325" width="9.140625" style="1105"/>
    <col min="3326" max="3326" width="25.7109375" style="1105" customWidth="1"/>
    <col min="3327" max="3327" width="27.85546875" style="1105" customWidth="1"/>
    <col min="3328" max="3581" width="9.140625" style="1105"/>
    <col min="3582" max="3582" width="25.7109375" style="1105" customWidth="1"/>
    <col min="3583" max="3583" width="27.85546875" style="1105" customWidth="1"/>
    <col min="3584" max="3837" width="9.140625" style="1105"/>
    <col min="3838" max="3838" width="25.7109375" style="1105" customWidth="1"/>
    <col min="3839" max="3839" width="27.85546875" style="1105" customWidth="1"/>
    <col min="3840" max="4093" width="9.140625" style="1105"/>
    <col min="4094" max="4094" width="25.7109375" style="1105" customWidth="1"/>
    <col min="4095" max="4095" width="27.85546875" style="1105" customWidth="1"/>
    <col min="4096" max="4349" width="9.140625" style="1105"/>
    <col min="4350" max="4350" width="25.7109375" style="1105" customWidth="1"/>
    <col min="4351" max="4351" width="27.85546875" style="1105" customWidth="1"/>
    <col min="4352" max="4605" width="9.140625" style="1105"/>
    <col min="4606" max="4606" width="25.7109375" style="1105" customWidth="1"/>
    <col min="4607" max="4607" width="27.85546875" style="1105" customWidth="1"/>
    <col min="4608" max="4861" width="9.140625" style="1105"/>
    <col min="4862" max="4862" width="25.7109375" style="1105" customWidth="1"/>
    <col min="4863" max="4863" width="27.85546875" style="1105" customWidth="1"/>
    <col min="4864" max="5117" width="9.140625" style="1105"/>
    <col min="5118" max="5118" width="25.7109375" style="1105" customWidth="1"/>
    <col min="5119" max="5119" width="27.85546875" style="1105" customWidth="1"/>
    <col min="5120" max="5373" width="9.140625" style="1105"/>
    <col min="5374" max="5374" width="25.7109375" style="1105" customWidth="1"/>
    <col min="5375" max="5375" width="27.85546875" style="1105" customWidth="1"/>
    <col min="5376" max="5629" width="9.140625" style="1105"/>
    <col min="5630" max="5630" width="25.7109375" style="1105" customWidth="1"/>
    <col min="5631" max="5631" width="27.85546875" style="1105" customWidth="1"/>
    <col min="5632" max="5885" width="9.140625" style="1105"/>
    <col min="5886" max="5886" width="25.7109375" style="1105" customWidth="1"/>
    <col min="5887" max="5887" width="27.85546875" style="1105" customWidth="1"/>
    <col min="5888" max="6141" width="9.140625" style="1105"/>
    <col min="6142" max="6142" width="25.7109375" style="1105" customWidth="1"/>
    <col min="6143" max="6143" width="27.85546875" style="1105" customWidth="1"/>
    <col min="6144" max="6397" width="9.140625" style="1105"/>
    <col min="6398" max="6398" width="25.7109375" style="1105" customWidth="1"/>
    <col min="6399" max="6399" width="27.85546875" style="1105" customWidth="1"/>
    <col min="6400" max="6653" width="9.140625" style="1105"/>
    <col min="6654" max="6654" width="25.7109375" style="1105" customWidth="1"/>
    <col min="6655" max="6655" width="27.85546875" style="1105" customWidth="1"/>
    <col min="6656" max="6909" width="9.140625" style="1105"/>
    <col min="6910" max="6910" width="25.7109375" style="1105" customWidth="1"/>
    <col min="6911" max="6911" width="27.85546875" style="1105" customWidth="1"/>
    <col min="6912" max="7165" width="9.140625" style="1105"/>
    <col min="7166" max="7166" width="25.7109375" style="1105" customWidth="1"/>
    <col min="7167" max="7167" width="27.85546875" style="1105" customWidth="1"/>
    <col min="7168" max="7421" width="9.140625" style="1105"/>
    <col min="7422" max="7422" width="25.7109375" style="1105" customWidth="1"/>
    <col min="7423" max="7423" width="27.85546875" style="1105" customWidth="1"/>
    <col min="7424" max="7677" width="9.140625" style="1105"/>
    <col min="7678" max="7678" width="25.7109375" style="1105" customWidth="1"/>
    <col min="7679" max="7679" width="27.85546875" style="1105" customWidth="1"/>
    <col min="7680" max="7933" width="9.140625" style="1105"/>
    <col min="7934" max="7934" width="25.7109375" style="1105" customWidth="1"/>
    <col min="7935" max="7935" width="27.85546875" style="1105" customWidth="1"/>
    <col min="7936" max="8189" width="9.140625" style="1105"/>
    <col min="8190" max="8190" width="25.7109375" style="1105" customWidth="1"/>
    <col min="8191" max="8191" width="27.85546875" style="1105" customWidth="1"/>
    <col min="8192" max="8445" width="9.140625" style="1105"/>
    <col min="8446" max="8446" width="25.7109375" style="1105" customWidth="1"/>
    <col min="8447" max="8447" width="27.85546875" style="1105" customWidth="1"/>
    <col min="8448" max="8701" width="9.140625" style="1105"/>
    <col min="8702" max="8702" width="25.7109375" style="1105" customWidth="1"/>
    <col min="8703" max="8703" width="27.85546875" style="1105" customWidth="1"/>
    <col min="8704" max="8957" width="9.140625" style="1105"/>
    <col min="8958" max="8958" width="25.7109375" style="1105" customWidth="1"/>
    <col min="8959" max="8959" width="27.85546875" style="1105" customWidth="1"/>
    <col min="8960" max="9213" width="9.140625" style="1105"/>
    <col min="9214" max="9214" width="25.7109375" style="1105" customWidth="1"/>
    <col min="9215" max="9215" width="27.85546875" style="1105" customWidth="1"/>
    <col min="9216" max="9469" width="9.140625" style="1105"/>
    <col min="9470" max="9470" width="25.7109375" style="1105" customWidth="1"/>
    <col min="9471" max="9471" width="27.85546875" style="1105" customWidth="1"/>
    <col min="9472" max="9725" width="9.140625" style="1105"/>
    <col min="9726" max="9726" width="25.7109375" style="1105" customWidth="1"/>
    <col min="9727" max="9727" width="27.85546875" style="1105" customWidth="1"/>
    <col min="9728" max="9981" width="9.140625" style="1105"/>
    <col min="9982" max="9982" width="25.7109375" style="1105" customWidth="1"/>
    <col min="9983" max="9983" width="27.85546875" style="1105" customWidth="1"/>
    <col min="9984" max="10237" width="9.140625" style="1105"/>
    <col min="10238" max="10238" width="25.7109375" style="1105" customWidth="1"/>
    <col min="10239" max="10239" width="27.85546875" style="1105" customWidth="1"/>
    <col min="10240" max="10493" width="9.140625" style="1105"/>
    <col min="10494" max="10494" width="25.7109375" style="1105" customWidth="1"/>
    <col min="10495" max="10495" width="27.85546875" style="1105" customWidth="1"/>
    <col min="10496" max="10749" width="9.140625" style="1105"/>
    <col min="10750" max="10750" width="25.7109375" style="1105" customWidth="1"/>
    <col min="10751" max="10751" width="27.85546875" style="1105" customWidth="1"/>
    <col min="10752" max="11005" width="9.140625" style="1105"/>
    <col min="11006" max="11006" width="25.7109375" style="1105" customWidth="1"/>
    <col min="11007" max="11007" width="27.85546875" style="1105" customWidth="1"/>
    <col min="11008" max="11261" width="9.140625" style="1105"/>
    <col min="11262" max="11262" width="25.7109375" style="1105" customWidth="1"/>
    <col min="11263" max="11263" width="27.85546875" style="1105" customWidth="1"/>
    <col min="11264" max="11517" width="9.140625" style="1105"/>
    <col min="11518" max="11518" width="25.7109375" style="1105" customWidth="1"/>
    <col min="11519" max="11519" width="27.85546875" style="1105" customWidth="1"/>
    <col min="11520" max="11773" width="9.140625" style="1105"/>
    <col min="11774" max="11774" width="25.7109375" style="1105" customWidth="1"/>
    <col min="11775" max="11775" width="27.85546875" style="1105" customWidth="1"/>
    <col min="11776" max="12029" width="9.140625" style="1105"/>
    <col min="12030" max="12030" width="25.7109375" style="1105" customWidth="1"/>
    <col min="12031" max="12031" width="27.85546875" style="1105" customWidth="1"/>
    <col min="12032" max="12285" width="9.140625" style="1105"/>
    <col min="12286" max="12286" width="25.7109375" style="1105" customWidth="1"/>
    <col min="12287" max="12287" width="27.85546875" style="1105" customWidth="1"/>
    <col min="12288" max="12541" width="9.140625" style="1105"/>
    <col min="12542" max="12542" width="25.7109375" style="1105" customWidth="1"/>
    <col min="12543" max="12543" width="27.85546875" style="1105" customWidth="1"/>
    <col min="12544" max="12797" width="9.140625" style="1105"/>
    <col min="12798" max="12798" width="25.7109375" style="1105" customWidth="1"/>
    <col min="12799" max="12799" width="27.85546875" style="1105" customWidth="1"/>
    <col min="12800" max="13053" width="9.140625" style="1105"/>
    <col min="13054" max="13054" width="25.7109375" style="1105" customWidth="1"/>
    <col min="13055" max="13055" width="27.85546875" style="1105" customWidth="1"/>
    <col min="13056" max="13309" width="9.140625" style="1105"/>
    <col min="13310" max="13310" width="25.7109375" style="1105" customWidth="1"/>
    <col min="13311" max="13311" width="27.85546875" style="1105" customWidth="1"/>
    <col min="13312" max="13565" width="9.140625" style="1105"/>
    <col min="13566" max="13566" width="25.7109375" style="1105" customWidth="1"/>
    <col min="13567" max="13567" width="27.85546875" style="1105" customWidth="1"/>
    <col min="13568" max="13821" width="9.140625" style="1105"/>
    <col min="13822" max="13822" width="25.7109375" style="1105" customWidth="1"/>
    <col min="13823" max="13823" width="27.85546875" style="1105" customWidth="1"/>
    <col min="13824" max="14077" width="9.140625" style="1105"/>
    <col min="14078" max="14078" width="25.7109375" style="1105" customWidth="1"/>
    <col min="14079" max="14079" width="27.85546875" style="1105" customWidth="1"/>
    <col min="14080" max="14333" width="9.140625" style="1105"/>
    <col min="14334" max="14334" width="25.7109375" style="1105" customWidth="1"/>
    <col min="14335" max="14335" width="27.85546875" style="1105" customWidth="1"/>
    <col min="14336" max="14589" width="9.140625" style="1105"/>
    <col min="14590" max="14590" width="25.7109375" style="1105" customWidth="1"/>
    <col min="14591" max="14591" width="27.85546875" style="1105" customWidth="1"/>
    <col min="14592" max="14845" width="9.140625" style="1105"/>
    <col min="14846" max="14846" width="25.7109375" style="1105" customWidth="1"/>
    <col min="14847" max="14847" width="27.85546875" style="1105" customWidth="1"/>
    <col min="14848" max="15101" width="9.140625" style="1105"/>
    <col min="15102" max="15102" width="25.7109375" style="1105" customWidth="1"/>
    <col min="15103" max="15103" width="27.85546875" style="1105" customWidth="1"/>
    <col min="15104" max="15357" width="9.140625" style="1105"/>
    <col min="15358" max="15358" width="25.7109375" style="1105" customWidth="1"/>
    <col min="15359" max="15359" width="27.85546875" style="1105" customWidth="1"/>
    <col min="15360" max="15613" width="9.140625" style="1105"/>
    <col min="15614" max="15614" width="25.7109375" style="1105" customWidth="1"/>
    <col min="15615" max="15615" width="27.85546875" style="1105" customWidth="1"/>
    <col min="15616" max="15869" width="9.140625" style="1105"/>
    <col min="15870" max="15870" width="25.7109375" style="1105" customWidth="1"/>
    <col min="15871" max="15871" width="27.85546875" style="1105" customWidth="1"/>
    <col min="15872" max="16125" width="9.140625" style="1105"/>
    <col min="16126" max="16126" width="25.7109375" style="1105" customWidth="1"/>
    <col min="16127" max="16127" width="27.85546875" style="1105" customWidth="1"/>
    <col min="16128" max="16384" width="9.140625" style="1105"/>
  </cols>
  <sheetData>
    <row r="1" spans="1:2" ht="16.5" customHeight="1" x14ac:dyDescent="0.15">
      <c r="A1" s="1104"/>
      <c r="B1" s="1104"/>
    </row>
    <row r="2" spans="1:2" ht="15.75" customHeight="1" x14ac:dyDescent="0.15">
      <c r="A2" s="3064" t="s">
        <v>2578</v>
      </c>
      <c r="B2" s="3064"/>
    </row>
    <row r="3" spans="1:2" ht="11.25" customHeight="1" x14ac:dyDescent="0.15">
      <c r="A3" s="3080"/>
      <c r="B3" s="3080"/>
    </row>
    <row r="4" spans="1:2" ht="32.25" customHeight="1" x14ac:dyDescent="0.15">
      <c r="A4" s="1106" t="s">
        <v>2579</v>
      </c>
      <c r="B4" s="1106" t="s">
        <v>2580</v>
      </c>
    </row>
    <row r="5" spans="1:2" ht="11.25" x14ac:dyDescent="0.15">
      <c r="A5" s="1140" t="s">
        <v>2563</v>
      </c>
      <c r="B5" s="1150">
        <v>54503341965</v>
      </c>
    </row>
    <row r="6" spans="1:2" x14ac:dyDescent="0.15">
      <c r="A6" s="1113" t="s">
        <v>2581</v>
      </c>
      <c r="B6" s="1151">
        <v>30066852066</v>
      </c>
    </row>
    <row r="7" spans="1:2" x14ac:dyDescent="0.15">
      <c r="A7" s="1113" t="s">
        <v>2582</v>
      </c>
      <c r="B7" s="1151">
        <v>6597580293</v>
      </c>
    </row>
    <row r="8" spans="1:2" x14ac:dyDescent="0.15">
      <c r="A8" s="1113" t="s">
        <v>2583</v>
      </c>
      <c r="B8" s="1151">
        <v>56257094</v>
      </c>
    </row>
    <row r="9" spans="1:2" x14ac:dyDescent="0.15">
      <c r="A9" s="1113" t="s">
        <v>2584</v>
      </c>
      <c r="B9" s="1151">
        <v>6256445545</v>
      </c>
    </row>
    <row r="10" spans="1:2" x14ac:dyDescent="0.15">
      <c r="A10" s="1113" t="s">
        <v>2585</v>
      </c>
      <c r="B10" s="1151">
        <v>6558842718</v>
      </c>
    </row>
    <row r="11" spans="1:2" x14ac:dyDescent="0.15">
      <c r="A11" s="1113" t="s">
        <v>2586</v>
      </c>
      <c r="B11" s="1151">
        <v>4967364249</v>
      </c>
    </row>
    <row r="12" spans="1:2" ht="8.25" customHeight="1" x14ac:dyDescent="0.15">
      <c r="A12" s="3088"/>
      <c r="B12" s="3088"/>
    </row>
    <row r="13" spans="1:2" ht="22.5" customHeight="1" x14ac:dyDescent="0.15">
      <c r="A13" s="3078" t="s">
        <v>2475</v>
      </c>
      <c r="B13" s="3078"/>
    </row>
    <row r="14" spans="1:2" ht="43.5" customHeight="1" x14ac:dyDescent="0.15">
      <c r="A14" s="3078" t="s">
        <v>2476</v>
      </c>
      <c r="B14" s="3078"/>
    </row>
    <row r="15" spans="1:2" ht="22.5" customHeight="1" x14ac:dyDescent="0.15">
      <c r="A15" s="3078" t="s">
        <v>2478</v>
      </c>
      <c r="B15" s="3078"/>
    </row>
    <row r="16" spans="1:2" x14ac:dyDescent="0.15">
      <c r="A16" s="1104"/>
      <c r="B16" s="1118"/>
    </row>
    <row r="18" ht="9.75" customHeight="1" x14ac:dyDescent="0.15"/>
  </sheetData>
  <mergeCells count="6">
    <mergeCell ref="A15:B15"/>
    <mergeCell ref="A2:B2"/>
    <mergeCell ref="A3:B3"/>
    <mergeCell ref="A12:B12"/>
    <mergeCell ref="A13:B13"/>
    <mergeCell ref="A14:B14"/>
  </mergeCells>
  <conditionalFormatting sqref="B5:B11">
    <cfRule type="expression" dxfId="4"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outlinePr summaryBelow="0" summaryRight="0"/>
  </sheetPr>
  <dimension ref="A1:D14"/>
  <sheetViews>
    <sheetView zoomScaleNormal="100" workbookViewId="0">
      <selection activeCell="A2" sqref="A2:Q2"/>
    </sheetView>
  </sheetViews>
  <sheetFormatPr baseColWidth="10" defaultColWidth="9.140625" defaultRowHeight="10.5" x14ac:dyDescent="0.15"/>
  <cols>
    <col min="1" max="1" width="27.42578125" style="1154" customWidth="1"/>
    <col min="2" max="4" width="21.42578125" style="1154" customWidth="1"/>
    <col min="5" max="5" width="7.140625" style="1154" customWidth="1"/>
    <col min="6" max="7" width="9.140625" style="1154"/>
    <col min="8" max="8" width="11" style="1154" bestFit="1" customWidth="1"/>
    <col min="9" max="16384" width="9.140625" style="1154"/>
  </cols>
  <sheetData>
    <row r="1" spans="1:4" ht="16.5" customHeight="1" x14ac:dyDescent="0.15">
      <c r="A1" s="1152"/>
      <c r="B1" s="1153"/>
      <c r="C1" s="1153"/>
      <c r="D1" s="1153"/>
    </row>
    <row r="2" spans="1:4" ht="15" customHeight="1" x14ac:dyDescent="0.15">
      <c r="A2" s="3090" t="s">
        <v>2587</v>
      </c>
      <c r="B2" s="3090"/>
      <c r="C2" s="3090"/>
      <c r="D2" s="3090"/>
    </row>
    <row r="3" spans="1:4" x14ac:dyDescent="0.15">
      <c r="A3" s="3091"/>
      <c r="B3" s="3091"/>
      <c r="C3" s="3091"/>
      <c r="D3" s="3091"/>
    </row>
    <row r="4" spans="1:4" s="1156" customFormat="1" ht="33" customHeight="1" x14ac:dyDescent="0.25">
      <c r="A4" s="1155" t="s">
        <v>2588</v>
      </c>
      <c r="B4" s="1155" t="s">
        <v>2589</v>
      </c>
      <c r="C4" s="1155" t="s">
        <v>2590</v>
      </c>
      <c r="D4" s="1155" t="s">
        <v>2591</v>
      </c>
    </row>
    <row r="5" spans="1:4" ht="11.25" x14ac:dyDescent="0.15">
      <c r="A5" s="1157" t="s">
        <v>2493</v>
      </c>
      <c r="B5" s="1158">
        <v>744</v>
      </c>
      <c r="C5" s="1158">
        <v>69265531423</v>
      </c>
      <c r="D5" s="1158">
        <v>54503341965</v>
      </c>
    </row>
    <row r="6" spans="1:4" x14ac:dyDescent="0.15">
      <c r="A6" s="1159" t="s">
        <v>2592</v>
      </c>
      <c r="B6" s="1160">
        <v>369</v>
      </c>
      <c r="C6" s="1160">
        <v>4500833487</v>
      </c>
      <c r="D6" s="1161">
        <v>3721466659</v>
      </c>
    </row>
    <row r="7" spans="1:4" x14ac:dyDescent="0.15">
      <c r="A7" s="1159" t="s">
        <v>2593</v>
      </c>
      <c r="B7" s="1160">
        <v>226</v>
      </c>
      <c r="C7" s="1160">
        <v>5911345482</v>
      </c>
      <c r="D7" s="1161">
        <v>4791446365</v>
      </c>
    </row>
    <row r="8" spans="1:4" x14ac:dyDescent="0.15">
      <c r="A8" s="1159" t="s">
        <v>2594</v>
      </c>
      <c r="B8" s="1160">
        <v>134</v>
      </c>
      <c r="C8" s="1160">
        <v>24289911004</v>
      </c>
      <c r="D8" s="1161">
        <v>23006090747</v>
      </c>
    </row>
    <row r="9" spans="1:4" x14ac:dyDescent="0.15">
      <c r="A9" s="1159" t="s">
        <v>2595</v>
      </c>
      <c r="B9" s="1160">
        <v>15</v>
      </c>
      <c r="C9" s="1160">
        <v>34563441450</v>
      </c>
      <c r="D9" s="1161">
        <v>22984338194</v>
      </c>
    </row>
    <row r="10" spans="1:4" x14ac:dyDescent="0.15">
      <c r="A10" s="3092"/>
      <c r="B10" s="3092"/>
      <c r="C10" s="3092"/>
      <c r="D10" s="3092"/>
    </row>
    <row r="11" spans="1:4" ht="11.25" customHeight="1" x14ac:dyDescent="0.15">
      <c r="A11" s="3089" t="s">
        <v>2596</v>
      </c>
      <c r="B11" s="3089"/>
      <c r="C11" s="3089"/>
      <c r="D11" s="3089"/>
    </row>
    <row r="12" spans="1:4" ht="33.75" customHeight="1" x14ac:dyDescent="0.15">
      <c r="A12" s="3089" t="s">
        <v>2476</v>
      </c>
      <c r="B12" s="3089"/>
      <c r="C12" s="3089"/>
      <c r="D12" s="3089"/>
    </row>
    <row r="13" spans="1:4" x14ac:dyDescent="0.15">
      <c r="A13" s="3089" t="s">
        <v>2478</v>
      </c>
      <c r="B13" s="3089"/>
      <c r="C13" s="3089"/>
      <c r="D13" s="3089"/>
    </row>
    <row r="14" spans="1:4" x14ac:dyDescent="0.15">
      <c r="A14" s="1153"/>
      <c r="B14" s="1162"/>
      <c r="C14" s="1162"/>
      <c r="D14" s="1162"/>
    </row>
  </sheetData>
  <mergeCells count="6">
    <mergeCell ref="A13:D13"/>
    <mergeCell ref="A2:D2"/>
    <mergeCell ref="A3:D3"/>
    <mergeCell ref="A10:D10"/>
    <mergeCell ref="A11:D11"/>
    <mergeCell ref="A12:D12"/>
  </mergeCells>
  <conditionalFormatting sqref="B5:D9">
    <cfRule type="expression" dxfId="3"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G13"/>
  <sheetViews>
    <sheetView zoomScaleNormal="100" workbookViewId="0">
      <selection activeCell="A2" sqref="A2:Q2"/>
    </sheetView>
  </sheetViews>
  <sheetFormatPr baseColWidth="10" defaultColWidth="11.42578125" defaultRowHeight="10.5" x14ac:dyDescent="0.15"/>
  <cols>
    <col min="1" max="1" width="14.140625" style="97" customWidth="1"/>
    <col min="2" max="2" width="13.42578125" style="97" customWidth="1"/>
    <col min="3" max="7" width="8.5703125" style="97" customWidth="1"/>
    <col min="8" max="16384" width="11.42578125" style="97"/>
  </cols>
  <sheetData>
    <row r="1" spans="1:7" x14ac:dyDescent="0.15">
      <c r="A1" s="1163"/>
    </row>
    <row r="2" spans="1:7" s="99" customFormat="1" ht="26.25" customHeight="1" x14ac:dyDescent="0.15">
      <c r="A2" s="3096" t="s">
        <v>2597</v>
      </c>
      <c r="B2" s="3096"/>
      <c r="C2" s="3096"/>
      <c r="D2" s="3096"/>
      <c r="E2" s="3096"/>
      <c r="F2" s="3096"/>
      <c r="G2" s="3096"/>
    </row>
    <row r="3" spans="1:7" s="99" customFormat="1" x14ac:dyDescent="0.15">
      <c r="A3" s="3097"/>
      <c r="B3" s="3097"/>
      <c r="C3" s="3098"/>
    </row>
    <row r="4" spans="1:7" s="99" customFormat="1" ht="15" customHeight="1" x14ac:dyDescent="0.25">
      <c r="A4" s="3099" t="s">
        <v>2598</v>
      </c>
      <c r="B4" s="3099" t="s">
        <v>2599</v>
      </c>
      <c r="C4" s="3101" t="s">
        <v>2600</v>
      </c>
      <c r="D4" s="3102"/>
      <c r="E4" s="3102"/>
      <c r="F4" s="3102"/>
      <c r="G4" s="3103"/>
    </row>
    <row r="5" spans="1:7" s="99" customFormat="1" ht="24" customHeight="1" x14ac:dyDescent="0.15">
      <c r="A5" s="3100"/>
      <c r="B5" s="3100"/>
      <c r="C5" s="839">
        <v>2011</v>
      </c>
      <c r="D5" s="839">
        <v>2012</v>
      </c>
      <c r="E5" s="839">
        <v>2013</v>
      </c>
      <c r="F5" s="839">
        <v>2014</v>
      </c>
      <c r="G5" s="839">
        <v>2015</v>
      </c>
    </row>
    <row r="6" spans="1:7" s="99" customFormat="1" x14ac:dyDescent="0.15">
      <c r="A6" s="1164" t="s">
        <v>2601</v>
      </c>
      <c r="B6" s="1165" t="s">
        <v>2602</v>
      </c>
      <c r="C6" s="103" t="s">
        <v>181</v>
      </c>
      <c r="D6" s="103" t="s">
        <v>181</v>
      </c>
      <c r="E6" s="99">
        <v>83</v>
      </c>
      <c r="F6" s="99">
        <v>82</v>
      </c>
      <c r="G6" s="1166">
        <v>71</v>
      </c>
    </row>
    <row r="7" spans="1:7" s="99" customFormat="1" ht="11.25" x14ac:dyDescent="0.15">
      <c r="A7" s="1164" t="s">
        <v>2601</v>
      </c>
      <c r="B7" s="1165" t="s">
        <v>2603</v>
      </c>
      <c r="C7" s="103" t="s">
        <v>181</v>
      </c>
      <c r="D7" s="103" t="s">
        <v>181</v>
      </c>
      <c r="E7" s="99">
        <v>19</v>
      </c>
      <c r="F7" s="99">
        <v>19</v>
      </c>
      <c r="G7" s="1166">
        <v>12</v>
      </c>
    </row>
    <row r="8" spans="1:7" s="99" customFormat="1" x14ac:dyDescent="0.15">
      <c r="A8" s="1164" t="s">
        <v>139</v>
      </c>
      <c r="B8" s="1165" t="s">
        <v>2602</v>
      </c>
      <c r="C8" s="103" t="s">
        <v>181</v>
      </c>
      <c r="D8" s="103" t="s">
        <v>181</v>
      </c>
      <c r="E8" s="99">
        <v>6</v>
      </c>
      <c r="F8" s="99">
        <v>7</v>
      </c>
      <c r="G8" s="1166">
        <v>7</v>
      </c>
    </row>
    <row r="9" spans="1:7" s="99" customFormat="1" ht="9" customHeight="1" x14ac:dyDescent="0.15">
      <c r="A9" s="3104"/>
      <c r="B9" s="3104"/>
      <c r="C9" s="3104"/>
    </row>
    <row r="10" spans="1:7" s="99" customFormat="1" ht="45" customHeight="1" x14ac:dyDescent="0.15">
      <c r="A10" s="3093" t="s">
        <v>2604</v>
      </c>
      <c r="B10" s="3093"/>
      <c r="C10" s="3093"/>
      <c r="D10" s="3093"/>
      <c r="E10" s="3093"/>
      <c r="F10" s="3093"/>
      <c r="G10" s="3093"/>
    </row>
    <row r="11" spans="1:7" s="99" customFormat="1" ht="13.5" customHeight="1" x14ac:dyDescent="0.15">
      <c r="A11" s="3093" t="s">
        <v>2605</v>
      </c>
      <c r="B11" s="3093"/>
      <c r="C11" s="3093"/>
      <c r="D11" s="3093"/>
      <c r="E11" s="3093"/>
      <c r="F11" s="3093"/>
      <c r="G11" s="3093"/>
    </row>
    <row r="12" spans="1:7" s="99" customFormat="1" ht="13.5" customHeight="1" x14ac:dyDescent="0.15">
      <c r="A12" s="3094" t="s">
        <v>731</v>
      </c>
      <c r="B12" s="3094"/>
      <c r="C12" s="3094"/>
      <c r="D12" s="3094"/>
      <c r="E12" s="3094"/>
      <c r="F12" s="3094"/>
      <c r="G12" s="3094"/>
    </row>
    <row r="13" spans="1:7" ht="14.25" customHeight="1" x14ac:dyDescent="0.15">
      <c r="A13" s="3095" t="s">
        <v>2606</v>
      </c>
      <c r="B13" s="3095"/>
      <c r="C13" s="3095"/>
      <c r="D13" s="3095"/>
      <c r="E13" s="3095"/>
      <c r="F13" s="3095"/>
      <c r="G13" s="3095"/>
    </row>
  </sheetData>
  <mergeCells count="10">
    <mergeCell ref="A10:G10"/>
    <mergeCell ref="A11:G11"/>
    <mergeCell ref="A12:G12"/>
    <mergeCell ref="A13:G13"/>
    <mergeCell ref="A2:G2"/>
    <mergeCell ref="A3:C3"/>
    <mergeCell ref="A4:A5"/>
    <mergeCell ref="B4:B5"/>
    <mergeCell ref="C4:G4"/>
    <mergeCell ref="A9:C9"/>
  </mergeCells>
  <pageMargins left="0.7" right="0.7" top="0.75" bottom="0.75" header="0.3" footer="0.3"/>
  <pageSetup paperSize="14" scale="9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M24"/>
  <sheetViews>
    <sheetView zoomScaleNormal="100" workbookViewId="0">
      <selection activeCell="A2" sqref="A2:Q2"/>
    </sheetView>
  </sheetViews>
  <sheetFormatPr baseColWidth="10" defaultColWidth="11.42578125" defaultRowHeight="11.25" x14ac:dyDescent="0.15"/>
  <cols>
    <col min="1" max="1" width="19.42578125" style="1168" customWidth="1"/>
    <col min="2" max="3" width="10.85546875" style="1168" customWidth="1"/>
    <col min="4" max="7" width="11.42578125" style="1168"/>
    <col min="8" max="11" width="11.7109375" style="1168" customWidth="1"/>
    <col min="12" max="12" width="15.5703125" style="1168" customWidth="1"/>
    <col min="13" max="13" width="12.140625" style="1168" bestFit="1" customWidth="1"/>
    <col min="14" max="16384" width="11.42578125" style="1168"/>
  </cols>
  <sheetData>
    <row r="1" spans="1:13" x14ac:dyDescent="0.15">
      <c r="A1" s="1167"/>
    </row>
    <row r="2" spans="1:13" x14ac:dyDescent="0.15">
      <c r="A2" s="170" t="s">
        <v>2607</v>
      </c>
      <c r="B2" s="97"/>
      <c r="C2" s="97"/>
      <c r="D2" s="97"/>
      <c r="E2" s="97"/>
      <c r="F2" s="97"/>
      <c r="G2" s="97"/>
      <c r="H2" s="97"/>
      <c r="I2" s="97"/>
      <c r="J2" s="97"/>
      <c r="K2" s="97"/>
    </row>
    <row r="3" spans="1:13" x14ac:dyDescent="0.15">
      <c r="A3" s="1169"/>
      <c r="B3" s="97"/>
      <c r="C3" s="97"/>
      <c r="D3" s="97"/>
      <c r="E3" s="97"/>
      <c r="F3" s="97"/>
      <c r="G3" s="97"/>
      <c r="H3" s="97"/>
      <c r="I3" s="97"/>
      <c r="J3" s="97"/>
      <c r="K3" s="97"/>
    </row>
    <row r="4" spans="1:13" ht="17.25" customHeight="1" x14ac:dyDescent="0.15">
      <c r="A4" s="3105" t="s">
        <v>1</v>
      </c>
      <c r="B4" s="3105">
        <v>2011</v>
      </c>
      <c r="C4" s="3105"/>
      <c r="D4" s="3105">
        <v>2012</v>
      </c>
      <c r="E4" s="3105"/>
      <c r="F4" s="3105">
        <v>2013</v>
      </c>
      <c r="G4" s="3105"/>
      <c r="H4" s="3105">
        <v>2014</v>
      </c>
      <c r="I4" s="3105"/>
      <c r="J4" s="3105">
        <v>2015</v>
      </c>
      <c r="K4" s="3105"/>
    </row>
    <row r="5" spans="1:13" ht="17.25" customHeight="1" x14ac:dyDescent="0.15">
      <c r="A5" s="3105"/>
      <c r="B5" s="1170" t="s">
        <v>2608</v>
      </c>
      <c r="C5" s="1170" t="s">
        <v>69</v>
      </c>
      <c r="D5" s="1170" t="s">
        <v>2609</v>
      </c>
      <c r="E5" s="1170" t="s">
        <v>69</v>
      </c>
      <c r="F5" s="1170" t="s">
        <v>2608</v>
      </c>
      <c r="G5" s="1170" t="s">
        <v>69</v>
      </c>
      <c r="H5" s="1170" t="s">
        <v>2608</v>
      </c>
      <c r="I5" s="1170" t="s">
        <v>69</v>
      </c>
      <c r="J5" s="1170" t="s">
        <v>2608</v>
      </c>
      <c r="K5" s="1170" t="s">
        <v>69</v>
      </c>
    </row>
    <row r="6" spans="1:13" x14ac:dyDescent="0.15">
      <c r="A6" s="1171" t="s">
        <v>141</v>
      </c>
      <c r="B6" s="1172">
        <f t="shared" ref="B6:I6" si="0">SUM(B7:B21)</f>
        <v>21</v>
      </c>
      <c r="C6" s="1172">
        <f t="shared" si="0"/>
        <v>613</v>
      </c>
      <c r="D6" s="1172">
        <f t="shared" si="0"/>
        <v>21</v>
      </c>
      <c r="E6" s="1172">
        <f t="shared" si="0"/>
        <v>634</v>
      </c>
      <c r="F6" s="1172">
        <f t="shared" si="0"/>
        <v>27</v>
      </c>
      <c r="G6" s="1172">
        <f t="shared" si="0"/>
        <v>661</v>
      </c>
      <c r="H6" s="1172">
        <f t="shared" si="0"/>
        <v>26</v>
      </c>
      <c r="I6" s="1172">
        <f t="shared" si="0"/>
        <v>687</v>
      </c>
      <c r="J6" s="1172">
        <f>SUM(J7:J21)</f>
        <v>23</v>
      </c>
      <c r="K6" s="1172">
        <f>SUM(K7:K21)</f>
        <v>710</v>
      </c>
    </row>
    <row r="7" spans="1:13" x14ac:dyDescent="0.15">
      <c r="A7" s="968" t="s">
        <v>5</v>
      </c>
      <c r="B7" s="1173">
        <v>0</v>
      </c>
      <c r="C7" s="1173">
        <v>5</v>
      </c>
      <c r="D7" s="1173">
        <v>0</v>
      </c>
      <c r="E7" s="1173">
        <v>5</v>
      </c>
      <c r="F7" s="1173">
        <v>0</v>
      </c>
      <c r="G7" s="1173">
        <v>5</v>
      </c>
      <c r="H7" s="1173">
        <v>1</v>
      </c>
      <c r="I7" s="1173">
        <v>6</v>
      </c>
      <c r="J7" s="1173">
        <v>0</v>
      </c>
      <c r="K7" s="1173">
        <v>6</v>
      </c>
    </row>
    <row r="8" spans="1:13" x14ac:dyDescent="0.15">
      <c r="A8" s="968" t="s">
        <v>6</v>
      </c>
      <c r="B8" s="1173">
        <v>0</v>
      </c>
      <c r="C8" s="1173">
        <v>13</v>
      </c>
      <c r="D8" s="1173">
        <v>0</v>
      </c>
      <c r="E8" s="1173">
        <v>13</v>
      </c>
      <c r="F8" s="1173">
        <v>0</v>
      </c>
      <c r="G8" s="1173">
        <v>13</v>
      </c>
      <c r="H8" s="1173">
        <v>0</v>
      </c>
      <c r="I8" s="1173">
        <v>13</v>
      </c>
      <c r="J8" s="1173">
        <v>0</v>
      </c>
      <c r="K8" s="1173">
        <v>13</v>
      </c>
    </row>
    <row r="9" spans="1:13" x14ac:dyDescent="0.15">
      <c r="A9" s="968" t="s">
        <v>7</v>
      </c>
      <c r="B9" s="1173">
        <v>0</v>
      </c>
      <c r="C9" s="1173">
        <v>15</v>
      </c>
      <c r="D9" s="1173">
        <v>0</v>
      </c>
      <c r="E9" s="1173">
        <v>14</v>
      </c>
      <c r="F9" s="1173">
        <v>0</v>
      </c>
      <c r="G9" s="1173">
        <v>14</v>
      </c>
      <c r="H9" s="1173">
        <v>0</v>
      </c>
      <c r="I9" s="1173">
        <v>14</v>
      </c>
      <c r="J9" s="1173">
        <v>0</v>
      </c>
      <c r="K9" s="1173">
        <v>14</v>
      </c>
    </row>
    <row r="10" spans="1:13" x14ac:dyDescent="0.15">
      <c r="A10" s="968" t="s">
        <v>8</v>
      </c>
      <c r="B10" s="1173">
        <v>0</v>
      </c>
      <c r="C10" s="1173">
        <v>11</v>
      </c>
      <c r="D10" s="1173">
        <v>0</v>
      </c>
      <c r="E10" s="1173">
        <v>12</v>
      </c>
      <c r="F10" s="1173">
        <v>8</v>
      </c>
      <c r="G10" s="1173">
        <v>20</v>
      </c>
      <c r="H10" s="1173">
        <v>0</v>
      </c>
      <c r="I10" s="1173">
        <v>20</v>
      </c>
      <c r="J10" s="1173">
        <v>0</v>
      </c>
      <c r="K10" s="1173">
        <v>20</v>
      </c>
    </row>
    <row r="11" spans="1:13" ht="12" x14ac:dyDescent="0.2">
      <c r="A11" s="968" t="s">
        <v>9</v>
      </c>
      <c r="B11" s="1173">
        <v>0</v>
      </c>
      <c r="C11" s="1173">
        <v>47</v>
      </c>
      <c r="D11" s="1173">
        <v>1</v>
      </c>
      <c r="E11" s="1173">
        <v>48</v>
      </c>
      <c r="F11" s="1173">
        <v>0</v>
      </c>
      <c r="G11" s="1173">
        <v>48</v>
      </c>
      <c r="H11" s="1173">
        <v>1</v>
      </c>
      <c r="I11" s="1173">
        <v>49</v>
      </c>
      <c r="J11" s="1173">
        <v>1</v>
      </c>
      <c r="K11" s="1173">
        <v>50</v>
      </c>
      <c r="M11" s="1174"/>
    </row>
    <row r="12" spans="1:13" x14ac:dyDescent="0.15">
      <c r="A12" s="968" t="s">
        <v>10</v>
      </c>
      <c r="B12" s="1173">
        <v>4</v>
      </c>
      <c r="C12" s="1173">
        <v>98</v>
      </c>
      <c r="D12" s="1173">
        <v>1</v>
      </c>
      <c r="E12" s="1173">
        <v>99</v>
      </c>
      <c r="F12" s="1173">
        <v>2</v>
      </c>
      <c r="G12" s="1173">
        <v>101</v>
      </c>
      <c r="H12" s="1173">
        <v>1</v>
      </c>
      <c r="I12" s="1173">
        <v>102</v>
      </c>
      <c r="J12" s="1173">
        <v>1</v>
      </c>
      <c r="K12" s="1173">
        <v>103</v>
      </c>
    </row>
    <row r="13" spans="1:13" x14ac:dyDescent="0.15">
      <c r="A13" s="968" t="s">
        <v>11</v>
      </c>
      <c r="B13" s="1173">
        <v>4</v>
      </c>
      <c r="C13" s="1173">
        <v>71</v>
      </c>
      <c r="D13" s="1173">
        <v>1</v>
      </c>
      <c r="E13" s="1173">
        <v>72</v>
      </c>
      <c r="F13" s="1173">
        <v>6</v>
      </c>
      <c r="G13" s="1173">
        <v>78</v>
      </c>
      <c r="H13" s="1173">
        <v>5</v>
      </c>
      <c r="I13" s="1173">
        <v>83</v>
      </c>
      <c r="J13" s="1173">
        <v>2</v>
      </c>
      <c r="K13" s="1173">
        <v>85</v>
      </c>
    </row>
    <row r="14" spans="1:13" x14ac:dyDescent="0.15">
      <c r="A14" s="968" t="s">
        <v>12</v>
      </c>
      <c r="B14" s="1173">
        <v>4</v>
      </c>
      <c r="C14" s="1173">
        <v>49</v>
      </c>
      <c r="D14" s="1173">
        <v>1</v>
      </c>
      <c r="E14" s="1173">
        <v>50</v>
      </c>
      <c r="F14" s="1173">
        <v>0</v>
      </c>
      <c r="G14" s="1173">
        <v>50</v>
      </c>
      <c r="H14" s="1173">
        <v>1</v>
      </c>
      <c r="I14" s="1173">
        <v>51</v>
      </c>
      <c r="J14" s="1173">
        <v>1</v>
      </c>
      <c r="K14" s="1173">
        <v>52</v>
      </c>
    </row>
    <row r="15" spans="1:13" x14ac:dyDescent="0.15">
      <c r="A15" s="968" t="s">
        <v>13</v>
      </c>
      <c r="B15" s="1173">
        <v>2</v>
      </c>
      <c r="C15" s="1173">
        <v>41</v>
      </c>
      <c r="D15" s="1173">
        <v>4</v>
      </c>
      <c r="E15" s="1173">
        <v>46</v>
      </c>
      <c r="F15" s="1173">
        <v>2</v>
      </c>
      <c r="G15" s="1173">
        <v>48</v>
      </c>
      <c r="H15" s="1173">
        <v>6</v>
      </c>
      <c r="I15" s="1173">
        <v>54</v>
      </c>
      <c r="J15" s="1173">
        <v>4</v>
      </c>
      <c r="K15" s="1173">
        <v>58</v>
      </c>
    </row>
    <row r="16" spans="1:13" x14ac:dyDescent="0.15">
      <c r="A16" s="968" t="s">
        <v>14</v>
      </c>
      <c r="B16" s="1173">
        <v>6</v>
      </c>
      <c r="C16" s="1173">
        <v>90</v>
      </c>
      <c r="D16" s="1173">
        <v>6</v>
      </c>
      <c r="E16" s="1173">
        <v>96</v>
      </c>
      <c r="F16" s="1173">
        <v>7</v>
      </c>
      <c r="G16" s="1173">
        <v>103</v>
      </c>
      <c r="H16" s="1173">
        <v>4</v>
      </c>
      <c r="I16" s="1173">
        <v>107</v>
      </c>
      <c r="J16" s="1173">
        <v>6</v>
      </c>
      <c r="K16" s="1173">
        <v>113</v>
      </c>
    </row>
    <row r="17" spans="1:11" x14ac:dyDescent="0.15">
      <c r="A17" s="968" t="s">
        <v>15</v>
      </c>
      <c r="B17" s="1173">
        <v>0</v>
      </c>
      <c r="C17" s="1173">
        <v>52</v>
      </c>
      <c r="D17" s="1173">
        <v>2</v>
      </c>
      <c r="E17" s="1173">
        <v>54</v>
      </c>
      <c r="F17" s="1173">
        <v>0</v>
      </c>
      <c r="G17" s="1173">
        <v>54</v>
      </c>
      <c r="H17" s="1173">
        <v>3</v>
      </c>
      <c r="I17" s="1173">
        <v>57</v>
      </c>
      <c r="J17" s="1173">
        <v>8</v>
      </c>
      <c r="K17" s="1173">
        <v>65</v>
      </c>
    </row>
    <row r="18" spans="1:11" x14ac:dyDescent="0.15">
      <c r="A18" s="968" t="s">
        <v>301</v>
      </c>
      <c r="B18" s="1173">
        <v>0</v>
      </c>
      <c r="C18" s="1173">
        <v>35</v>
      </c>
      <c r="D18" s="1173">
        <v>1</v>
      </c>
      <c r="E18" s="1173">
        <v>36</v>
      </c>
      <c r="F18" s="1173">
        <v>0</v>
      </c>
      <c r="G18" s="1173">
        <v>36</v>
      </c>
      <c r="H18" s="1173">
        <v>0</v>
      </c>
      <c r="I18" s="1173">
        <v>36</v>
      </c>
      <c r="J18" s="1173">
        <v>0</v>
      </c>
      <c r="K18" s="1173">
        <v>36</v>
      </c>
    </row>
    <row r="19" spans="1:11" x14ac:dyDescent="0.15">
      <c r="A19" s="968" t="s">
        <v>303</v>
      </c>
      <c r="B19" s="1173">
        <v>1</v>
      </c>
      <c r="C19" s="1173">
        <v>59</v>
      </c>
      <c r="D19" s="1173">
        <v>2</v>
      </c>
      <c r="E19" s="1173">
        <v>60</v>
      </c>
      <c r="F19" s="1173">
        <v>2</v>
      </c>
      <c r="G19" s="1173">
        <v>62</v>
      </c>
      <c r="H19" s="1173">
        <v>4</v>
      </c>
      <c r="I19" s="1173">
        <v>66</v>
      </c>
      <c r="J19" s="1173">
        <v>0</v>
      </c>
      <c r="K19" s="1173">
        <v>66</v>
      </c>
    </row>
    <row r="20" spans="1:11" x14ac:dyDescent="0.15">
      <c r="A20" s="968" t="s">
        <v>18</v>
      </c>
      <c r="B20" s="1173">
        <v>0</v>
      </c>
      <c r="C20" s="1173">
        <v>15</v>
      </c>
      <c r="D20" s="1173">
        <v>2</v>
      </c>
      <c r="E20" s="1173">
        <v>17</v>
      </c>
      <c r="F20" s="1173">
        <v>0</v>
      </c>
      <c r="G20" s="1173">
        <v>17</v>
      </c>
      <c r="H20" s="1173">
        <v>0</v>
      </c>
      <c r="I20" s="1173">
        <v>17</v>
      </c>
      <c r="J20" s="1173">
        <v>0</v>
      </c>
      <c r="K20" s="1173">
        <v>17</v>
      </c>
    </row>
    <row r="21" spans="1:11" x14ac:dyDescent="0.15">
      <c r="A21" s="968" t="s">
        <v>19</v>
      </c>
      <c r="B21" s="1173">
        <v>0</v>
      </c>
      <c r="C21" s="1173">
        <v>12</v>
      </c>
      <c r="D21" s="1173">
        <v>0</v>
      </c>
      <c r="E21" s="1173">
        <v>12</v>
      </c>
      <c r="F21" s="1173">
        <v>0</v>
      </c>
      <c r="G21" s="1173">
        <v>12</v>
      </c>
      <c r="H21" s="1173">
        <v>0</v>
      </c>
      <c r="I21" s="1173">
        <v>12</v>
      </c>
      <c r="J21" s="1173">
        <v>0</v>
      </c>
      <c r="K21" s="1173">
        <v>12</v>
      </c>
    </row>
    <row r="22" spans="1:11" x14ac:dyDescent="0.15">
      <c r="A22" s="97"/>
      <c r="B22" s="1175"/>
      <c r="C22" s="1175"/>
      <c r="D22" s="1175"/>
      <c r="E22" s="1175"/>
      <c r="F22" s="1175"/>
      <c r="G22" s="1175"/>
      <c r="H22" s="1175"/>
      <c r="I22" s="1175"/>
      <c r="J22" s="97"/>
      <c r="K22" s="97"/>
    </row>
    <row r="23" spans="1:11" ht="12.75" customHeight="1" x14ac:dyDescent="0.15">
      <c r="A23" s="1176" t="s">
        <v>460</v>
      </c>
      <c r="B23" s="1177"/>
      <c r="C23" s="97"/>
      <c r="D23" s="97"/>
      <c r="E23" s="97"/>
      <c r="F23" s="97"/>
      <c r="G23" s="97"/>
      <c r="H23" s="97"/>
      <c r="I23" s="97"/>
      <c r="J23" s="97"/>
      <c r="K23" s="97"/>
    </row>
    <row r="24" spans="1:11" ht="11.25" customHeight="1" x14ac:dyDescent="0.15">
      <c r="A24" s="1178" t="s">
        <v>2454</v>
      </c>
      <c r="B24" s="1179"/>
      <c r="C24" s="97"/>
      <c r="D24" s="97"/>
      <c r="E24" s="97"/>
      <c r="F24" s="97"/>
      <c r="G24" s="97"/>
      <c r="H24" s="97"/>
      <c r="I24" s="97"/>
      <c r="J24" s="97"/>
      <c r="K24" s="97"/>
    </row>
  </sheetData>
  <mergeCells count="6">
    <mergeCell ref="J4:K4"/>
    <mergeCell ref="A4:A5"/>
    <mergeCell ref="B4:C4"/>
    <mergeCell ref="D4:E4"/>
    <mergeCell ref="F4:G4"/>
    <mergeCell ref="H4:I4"/>
  </mergeCells>
  <pageMargins left="0.7" right="0.7" top="0.75" bottom="0.75" header="0.3" footer="0.3"/>
  <pageSetup paperSize="14"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G17"/>
  <sheetViews>
    <sheetView workbookViewId="0">
      <selection activeCell="E26" sqref="E26"/>
    </sheetView>
  </sheetViews>
  <sheetFormatPr baseColWidth="10" defaultColWidth="9.140625" defaultRowHeight="10.5" x14ac:dyDescent="0.15"/>
  <cols>
    <col min="1" max="1" width="31.5703125" style="97" customWidth="1"/>
    <col min="2" max="7" width="13.42578125" style="97" customWidth="1"/>
    <col min="8" max="8" width="9.140625" style="97" customWidth="1"/>
    <col min="9" max="16384" width="9.140625" style="97"/>
  </cols>
  <sheetData>
    <row r="1" spans="1:7" ht="15" customHeight="1" x14ac:dyDescent="0.15"/>
    <row r="2" spans="1:7" ht="11.25" customHeight="1" x14ac:dyDescent="0.15">
      <c r="A2" s="2358" t="s">
        <v>200</v>
      </c>
      <c r="B2" s="2348"/>
      <c r="C2" s="2348"/>
      <c r="D2" s="2348"/>
      <c r="E2" s="2348"/>
      <c r="F2" s="2348"/>
      <c r="G2" s="2348"/>
    </row>
    <row r="3" spans="1:7" ht="11.25" customHeight="1" x14ac:dyDescent="0.15">
      <c r="A3" s="2347"/>
      <c r="B3" s="2348"/>
      <c r="C3" s="2348"/>
      <c r="D3" s="2348"/>
      <c r="E3" s="2348"/>
      <c r="F3" s="2348"/>
      <c r="G3" s="2348"/>
    </row>
    <row r="4" spans="1:7" ht="12.75" customHeight="1" x14ac:dyDescent="0.15">
      <c r="A4" s="2359" t="s">
        <v>201</v>
      </c>
      <c r="B4" s="2359" t="s">
        <v>141</v>
      </c>
      <c r="C4" s="2361" t="s">
        <v>187</v>
      </c>
      <c r="D4" s="2362"/>
      <c r="E4" s="2362"/>
      <c r="F4" s="2362"/>
      <c r="G4" s="2363"/>
    </row>
    <row r="5" spans="1:7" ht="11.25" x14ac:dyDescent="0.15">
      <c r="A5" s="2360"/>
      <c r="B5" s="2360"/>
      <c r="C5" s="1615" t="s">
        <v>202</v>
      </c>
      <c r="D5" s="1615" t="s">
        <v>203</v>
      </c>
      <c r="E5" s="1615" t="s">
        <v>204</v>
      </c>
      <c r="F5" s="1615" t="s">
        <v>205</v>
      </c>
      <c r="G5" s="1615" t="s">
        <v>206</v>
      </c>
    </row>
    <row r="6" spans="1:7" x14ac:dyDescent="0.15">
      <c r="A6" s="146" t="s">
        <v>141</v>
      </c>
      <c r="B6" s="718">
        <f>SUM(B7:B8)</f>
        <v>4</v>
      </c>
      <c r="C6" s="718">
        <f t="shared" ref="C6:G6" si="0">SUM(C7:C8)</f>
        <v>0</v>
      </c>
      <c r="D6" s="718">
        <f t="shared" si="0"/>
        <v>0</v>
      </c>
      <c r="E6" s="718">
        <f t="shared" si="0"/>
        <v>3</v>
      </c>
      <c r="F6" s="718">
        <f t="shared" si="0"/>
        <v>0</v>
      </c>
      <c r="G6" s="718">
        <f t="shared" si="0"/>
        <v>1</v>
      </c>
    </row>
    <row r="7" spans="1:7" ht="21" x14ac:dyDescent="0.15">
      <c r="A7" s="2002" t="s">
        <v>180</v>
      </c>
      <c r="B7" s="438">
        <v>3</v>
      </c>
      <c r="C7" s="438">
        <v>0</v>
      </c>
      <c r="D7" s="438">
        <v>0</v>
      </c>
      <c r="E7" s="438">
        <v>2</v>
      </c>
      <c r="F7" s="438">
        <v>0</v>
      </c>
      <c r="G7" s="438">
        <v>1</v>
      </c>
    </row>
    <row r="8" spans="1:7" ht="21" x14ac:dyDescent="0.15">
      <c r="A8" s="2002" t="s">
        <v>207</v>
      </c>
      <c r="B8" s="438">
        <v>1</v>
      </c>
      <c r="C8" s="438">
        <v>0</v>
      </c>
      <c r="D8" s="438">
        <v>0</v>
      </c>
      <c r="E8" s="438">
        <v>1</v>
      </c>
      <c r="F8" s="438">
        <v>0</v>
      </c>
      <c r="G8" s="438">
        <v>0</v>
      </c>
    </row>
    <row r="9" spans="1:7" ht="11.25" customHeight="1" x14ac:dyDescent="0.15">
      <c r="A9" s="2356"/>
      <c r="B9" s="2357"/>
      <c r="C9" s="2357"/>
      <c r="D9" s="2357"/>
      <c r="E9" s="2357"/>
      <c r="F9" s="2357"/>
      <c r="G9" s="2357"/>
    </row>
    <row r="10" spans="1:7" ht="11.25" customHeight="1" x14ac:dyDescent="0.15">
      <c r="A10" s="2366" t="s">
        <v>208</v>
      </c>
      <c r="B10" s="2365"/>
      <c r="C10" s="2365"/>
      <c r="D10" s="2365"/>
      <c r="E10" s="2365"/>
      <c r="F10" s="2365"/>
      <c r="G10" s="2365"/>
    </row>
    <row r="11" spans="1:7" ht="11.25" customHeight="1" x14ac:dyDescent="0.15">
      <c r="A11" s="2366" t="s">
        <v>209</v>
      </c>
      <c r="B11" s="2365"/>
      <c r="C11" s="2365"/>
      <c r="D11" s="2365"/>
      <c r="E11" s="2365"/>
      <c r="F11" s="2365"/>
      <c r="G11" s="2365"/>
    </row>
    <row r="12" spans="1:7" ht="11.25" customHeight="1" x14ac:dyDescent="0.15">
      <c r="A12" s="2367" t="s">
        <v>210</v>
      </c>
      <c r="B12" s="2368"/>
      <c r="C12" s="2368"/>
      <c r="D12" s="2368"/>
      <c r="E12" s="2368"/>
      <c r="F12" s="2368"/>
      <c r="G12" s="2368"/>
    </row>
    <row r="13" spans="1:7" ht="11.25" customHeight="1" x14ac:dyDescent="0.15">
      <c r="A13" s="2369" t="s">
        <v>211</v>
      </c>
      <c r="B13" s="2369"/>
      <c r="C13" s="2369"/>
      <c r="D13" s="2369"/>
      <c r="E13" s="2369"/>
      <c r="F13" s="2369"/>
      <c r="G13" s="2369"/>
    </row>
    <row r="14" spans="1:7" ht="11.25" customHeight="1" x14ac:dyDescent="0.15">
      <c r="A14" s="2370" t="s">
        <v>212</v>
      </c>
      <c r="B14" s="2370"/>
      <c r="C14" s="2370"/>
      <c r="D14" s="2370"/>
      <c r="E14" s="2370"/>
      <c r="F14" s="2370"/>
      <c r="G14" s="2370"/>
    </row>
    <row r="15" spans="1:7" ht="11.25" customHeight="1" x14ac:dyDescent="0.15">
      <c r="A15" s="2353" t="s">
        <v>20</v>
      </c>
      <c r="B15" s="2353"/>
      <c r="C15" s="2353"/>
      <c r="D15" s="2353"/>
      <c r="E15" s="2353"/>
      <c r="F15" s="2353"/>
      <c r="G15" s="2353"/>
    </row>
    <row r="16" spans="1:7" ht="11.25" customHeight="1" x14ac:dyDescent="0.15">
      <c r="A16" s="2364" t="s">
        <v>199</v>
      </c>
      <c r="B16" s="2365"/>
      <c r="C16" s="2365"/>
      <c r="D16" s="2365"/>
      <c r="E16" s="2365"/>
      <c r="F16" s="2365"/>
      <c r="G16" s="2365"/>
    </row>
    <row r="17" spans="1:7" x14ac:dyDescent="0.15">
      <c r="A17" s="2009"/>
      <c r="B17" s="2009"/>
      <c r="C17" s="2009"/>
      <c r="D17" s="2009"/>
      <c r="E17" s="2009"/>
      <c r="F17" s="2009"/>
      <c r="G17" s="2009"/>
    </row>
  </sheetData>
  <mergeCells count="13">
    <mergeCell ref="A16:G16"/>
    <mergeCell ref="A10:G10"/>
    <mergeCell ref="A11:G11"/>
    <mergeCell ref="A12:G12"/>
    <mergeCell ref="A13:G13"/>
    <mergeCell ref="A14:G14"/>
    <mergeCell ref="A15:G15"/>
    <mergeCell ref="A9:G9"/>
    <mergeCell ref="A2:G2"/>
    <mergeCell ref="A3:G3"/>
    <mergeCell ref="A4:A5"/>
    <mergeCell ref="B4:B5"/>
    <mergeCell ref="C4:G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K26"/>
  <sheetViews>
    <sheetView zoomScaleNormal="100" workbookViewId="0">
      <selection activeCell="A2" sqref="A2:Q2"/>
    </sheetView>
  </sheetViews>
  <sheetFormatPr baseColWidth="10" defaultColWidth="11.42578125" defaultRowHeight="12.75" x14ac:dyDescent="0.2"/>
  <cols>
    <col min="1" max="1" width="20.140625" style="1181" customWidth="1"/>
    <col min="2" max="2" width="8.42578125" style="1181" bestFit="1" customWidth="1"/>
    <col min="3" max="3" width="11.140625" style="1181" bestFit="1" customWidth="1"/>
    <col min="4" max="4" width="8.42578125" style="1181" bestFit="1" customWidth="1"/>
    <col min="5" max="5" width="11.140625" style="1181" bestFit="1" customWidth="1"/>
    <col min="6" max="6" width="8.42578125" style="1181" bestFit="1" customWidth="1"/>
    <col min="7" max="7" width="11.140625" style="1181" bestFit="1" customWidth="1"/>
    <col min="8" max="8" width="8.42578125" style="1181" bestFit="1" customWidth="1"/>
    <col min="9" max="9" width="11.140625" style="1181" bestFit="1" customWidth="1"/>
    <col min="10" max="10" width="8.42578125" style="1181" bestFit="1" customWidth="1"/>
    <col min="11" max="16384" width="11.42578125" style="1181"/>
  </cols>
  <sheetData>
    <row r="1" spans="1:11" x14ac:dyDescent="0.2">
      <c r="A1" s="1180"/>
      <c r="D1" s="1182"/>
    </row>
    <row r="2" spans="1:11" s="1183" customFormat="1" ht="15" customHeight="1" x14ac:dyDescent="0.15">
      <c r="A2" s="3109" t="s">
        <v>2610</v>
      </c>
      <c r="B2" s="3109"/>
      <c r="C2" s="3109"/>
      <c r="D2" s="3109"/>
      <c r="E2" s="3109"/>
      <c r="F2" s="3109"/>
      <c r="G2" s="3109"/>
      <c r="H2" s="3109"/>
      <c r="I2" s="3109"/>
      <c r="J2" s="3109"/>
      <c r="K2" s="3109"/>
    </row>
    <row r="3" spans="1:11" s="1183" customFormat="1" ht="11.25" customHeight="1" x14ac:dyDescent="0.25">
      <c r="A3" s="3110"/>
      <c r="B3" s="3111"/>
      <c r="C3" s="3111"/>
      <c r="D3" s="1184"/>
    </row>
    <row r="4" spans="1:11" s="1183" customFormat="1" ht="12.75" customHeight="1" x14ac:dyDescent="0.15">
      <c r="A4" s="3112" t="s">
        <v>2611</v>
      </c>
      <c r="B4" s="3113" t="s">
        <v>2612</v>
      </c>
      <c r="C4" s="3114"/>
      <c r="D4" s="3114"/>
      <c r="E4" s="3114"/>
      <c r="F4" s="3114"/>
      <c r="G4" s="3114"/>
      <c r="H4" s="3114"/>
      <c r="I4" s="3114"/>
      <c r="J4" s="3114"/>
      <c r="K4" s="3115"/>
    </row>
    <row r="5" spans="1:11" s="1183" customFormat="1" ht="12.75" customHeight="1" x14ac:dyDescent="0.15">
      <c r="A5" s="3112"/>
      <c r="B5" s="3113">
        <v>2011</v>
      </c>
      <c r="C5" s="3115"/>
      <c r="D5" s="3113">
        <v>2012</v>
      </c>
      <c r="E5" s="3115"/>
      <c r="F5" s="3113">
        <v>2013</v>
      </c>
      <c r="G5" s="3115"/>
      <c r="H5" s="3113">
        <v>2014</v>
      </c>
      <c r="I5" s="3115"/>
      <c r="J5" s="3113">
        <v>2015</v>
      </c>
      <c r="K5" s="3115"/>
    </row>
    <row r="6" spans="1:11" s="1183" customFormat="1" ht="12.75" customHeight="1" x14ac:dyDescent="0.15">
      <c r="A6" s="3112"/>
      <c r="B6" s="1185" t="s">
        <v>2562</v>
      </c>
      <c r="C6" s="1185" t="s">
        <v>727</v>
      </c>
      <c r="D6" s="1185" t="s">
        <v>2562</v>
      </c>
      <c r="E6" s="1185" t="s">
        <v>727</v>
      </c>
      <c r="F6" s="1185" t="s">
        <v>2562</v>
      </c>
      <c r="G6" s="1185" t="s">
        <v>727</v>
      </c>
      <c r="H6" s="1185" t="s">
        <v>2562</v>
      </c>
      <c r="I6" s="1185" t="s">
        <v>727</v>
      </c>
      <c r="J6" s="1185" t="s">
        <v>2562</v>
      </c>
      <c r="K6" s="1185" t="s">
        <v>727</v>
      </c>
    </row>
    <row r="7" spans="1:11" s="1183" customFormat="1" ht="10.5" x14ac:dyDescent="0.15">
      <c r="A7" s="369" t="s">
        <v>141</v>
      </c>
      <c r="B7" s="1186">
        <f t="shared" ref="B7:K7" si="0">SUM(B8:B11)</f>
        <v>51877</v>
      </c>
      <c r="C7" s="1187">
        <f t="shared" si="0"/>
        <v>1</v>
      </c>
      <c r="D7" s="1186">
        <f t="shared" si="0"/>
        <v>54778</v>
      </c>
      <c r="E7" s="1187">
        <f t="shared" si="0"/>
        <v>1</v>
      </c>
      <c r="F7" s="1186">
        <f t="shared" si="0"/>
        <v>54583</v>
      </c>
      <c r="G7" s="1187">
        <f t="shared" si="0"/>
        <v>1</v>
      </c>
      <c r="H7" s="1186">
        <f t="shared" si="0"/>
        <v>51860</v>
      </c>
      <c r="I7" s="1187">
        <f t="shared" si="0"/>
        <v>1</v>
      </c>
      <c r="J7" s="1186">
        <f t="shared" si="0"/>
        <v>54591.822222222218</v>
      </c>
      <c r="K7" s="1187">
        <f t="shared" si="0"/>
        <v>1</v>
      </c>
    </row>
    <row r="8" spans="1:11" s="1183" customFormat="1" ht="10.5" x14ac:dyDescent="0.15">
      <c r="A8" s="461" t="s">
        <v>2613</v>
      </c>
      <c r="B8" s="1188">
        <v>983</v>
      </c>
      <c r="C8" s="1189">
        <f>+B8/$B$7</f>
        <v>1.8948667039343062E-2</v>
      </c>
      <c r="D8" s="1188">
        <v>1028</v>
      </c>
      <c r="E8" s="1189">
        <f>+D8/$D$7</f>
        <v>1.8766658147431451E-2</v>
      </c>
      <c r="F8" s="1188">
        <v>1114</v>
      </c>
      <c r="G8" s="1189">
        <f>+F8/$F$7</f>
        <v>2.0409284942198121E-2</v>
      </c>
      <c r="H8" s="1188">
        <v>1221</v>
      </c>
      <c r="I8" s="1189">
        <f>+H8/$H$7</f>
        <v>2.3544157346702663E-2</v>
      </c>
      <c r="J8" s="1188">
        <v>424.05</v>
      </c>
      <c r="K8" s="1189">
        <f>+J8/$J$7</f>
        <v>7.767646924732724E-3</v>
      </c>
    </row>
    <row r="9" spans="1:11" s="1183" customFormat="1" ht="10.5" x14ac:dyDescent="0.15">
      <c r="A9" s="461" t="s">
        <v>2614</v>
      </c>
      <c r="B9" s="1188">
        <v>4814</v>
      </c>
      <c r="C9" s="1189">
        <f t="shared" ref="C9:C11" si="1">+B9/$B$7</f>
        <v>9.2796422306609866E-2</v>
      </c>
      <c r="D9" s="1188">
        <v>3669</v>
      </c>
      <c r="E9" s="1189">
        <f t="shared" ref="E9:E11" si="2">+D9/$D$7</f>
        <v>6.6979444302457197E-2</v>
      </c>
      <c r="F9" s="1188">
        <v>3260</v>
      </c>
      <c r="G9" s="1189">
        <f t="shared" ref="G9:G11" si="3">+F9/$F$7</f>
        <v>5.9725555575911915E-2</v>
      </c>
      <c r="H9" s="1188">
        <v>2696</v>
      </c>
      <c r="I9" s="1189">
        <f t="shared" ref="I9:I11" si="4">+H9/$H$7</f>
        <v>5.1986116467412261E-2</v>
      </c>
      <c r="J9" s="1188">
        <v>1752.55</v>
      </c>
      <c r="K9" s="1189">
        <f t="shared" ref="K9:K11" si="5">+J9/$J$7</f>
        <v>3.2102793580804943E-2</v>
      </c>
    </row>
    <row r="10" spans="1:11" s="1183" customFormat="1" ht="10.5" x14ac:dyDescent="0.15">
      <c r="A10" s="461" t="s">
        <v>2615</v>
      </c>
      <c r="B10" s="1188">
        <v>2018</v>
      </c>
      <c r="C10" s="1189">
        <f t="shared" si="1"/>
        <v>3.8899705071611695E-2</v>
      </c>
      <c r="D10" s="1188">
        <v>1828</v>
      </c>
      <c r="E10" s="1189">
        <f t="shared" si="2"/>
        <v>3.3371061375004563E-2</v>
      </c>
      <c r="F10" s="1188">
        <v>521</v>
      </c>
      <c r="G10" s="1189">
        <f t="shared" si="3"/>
        <v>9.5450964586043276E-3</v>
      </c>
      <c r="H10" s="1188">
        <v>452</v>
      </c>
      <c r="I10" s="1189">
        <f t="shared" si="4"/>
        <v>8.7157732356344005E-3</v>
      </c>
      <c r="J10" s="1188">
        <v>293.31666666666666</v>
      </c>
      <c r="K10" s="1189">
        <f t="shared" si="5"/>
        <v>5.3729048551024337E-3</v>
      </c>
    </row>
    <row r="11" spans="1:11" s="1183" customFormat="1" ht="10.5" x14ac:dyDescent="0.15">
      <c r="A11" s="461" t="s">
        <v>2616</v>
      </c>
      <c r="B11" s="1188">
        <v>44062</v>
      </c>
      <c r="C11" s="1189">
        <f t="shared" si="1"/>
        <v>0.84935520558243538</v>
      </c>
      <c r="D11" s="1188">
        <v>48253</v>
      </c>
      <c r="E11" s="1189">
        <f t="shared" si="2"/>
        <v>0.88088283617510676</v>
      </c>
      <c r="F11" s="1188">
        <v>49688</v>
      </c>
      <c r="G11" s="1189">
        <f t="shared" si="3"/>
        <v>0.91032006302328561</v>
      </c>
      <c r="H11" s="1188">
        <v>47491</v>
      </c>
      <c r="I11" s="1189">
        <f t="shared" si="4"/>
        <v>0.91575395295025064</v>
      </c>
      <c r="J11" s="1188">
        <v>52121.905555555553</v>
      </c>
      <c r="K11" s="1189">
        <f t="shared" si="5"/>
        <v>0.95475665463935999</v>
      </c>
    </row>
    <row r="12" spans="1:11" s="1190" customFormat="1" ht="10.5" customHeight="1" x14ac:dyDescent="0.15">
      <c r="A12" s="3106"/>
      <c r="B12" s="3106"/>
      <c r="C12" s="3106"/>
    </row>
    <row r="13" spans="1:11" s="1190" customFormat="1" ht="15" customHeight="1" x14ac:dyDescent="0.15">
      <c r="A13" s="3107" t="s">
        <v>2617</v>
      </c>
      <c r="B13" s="3107"/>
      <c r="C13" s="3107"/>
      <c r="D13" s="3107"/>
      <c r="E13" s="3107"/>
      <c r="F13" s="3107"/>
      <c r="G13" s="3107"/>
      <c r="H13" s="3107"/>
      <c r="I13" s="3107"/>
      <c r="J13" s="3107"/>
      <c r="K13" s="3107"/>
    </row>
    <row r="14" spans="1:11" s="1190" customFormat="1" ht="15" customHeight="1" x14ac:dyDescent="0.15">
      <c r="A14" s="3108" t="s">
        <v>2606</v>
      </c>
      <c r="B14" s="3108"/>
      <c r="C14" s="3108"/>
      <c r="D14" s="3108"/>
      <c r="E14" s="3108"/>
      <c r="F14" s="3108"/>
      <c r="G14" s="3108"/>
      <c r="H14" s="3108"/>
      <c r="I14" s="3108"/>
      <c r="J14" s="3108"/>
      <c r="K14" s="3108"/>
    </row>
    <row r="15" spans="1:11" ht="15" customHeight="1" x14ac:dyDescent="0.2"/>
    <row r="17" spans="1:3" x14ac:dyDescent="0.2">
      <c r="A17" s="1191"/>
      <c r="B17" s="1192"/>
      <c r="C17" s="1193"/>
    </row>
    <row r="18" spans="1:3" x14ac:dyDescent="0.2">
      <c r="A18" s="1191"/>
      <c r="B18" s="1166"/>
      <c r="C18" s="1193"/>
    </row>
    <row r="19" spans="1:3" x14ac:dyDescent="0.2">
      <c r="A19" s="1194"/>
      <c r="B19" s="1194"/>
      <c r="C19" s="1194"/>
    </row>
    <row r="20" spans="1:3" x14ac:dyDescent="0.2">
      <c r="A20" s="1194"/>
      <c r="B20" s="1194"/>
      <c r="C20" s="1194"/>
    </row>
    <row r="21" spans="1:3" x14ac:dyDescent="0.2">
      <c r="A21" s="1194"/>
      <c r="B21" s="1194"/>
      <c r="C21" s="1194"/>
    </row>
    <row r="22" spans="1:3" x14ac:dyDescent="0.2">
      <c r="A22" s="1194"/>
      <c r="B22" s="1194"/>
      <c r="C22" s="1194"/>
    </row>
    <row r="23" spans="1:3" x14ac:dyDescent="0.2">
      <c r="A23" s="1194"/>
      <c r="B23" s="1194"/>
      <c r="C23" s="1194"/>
    </row>
    <row r="24" spans="1:3" x14ac:dyDescent="0.2">
      <c r="A24" s="1194"/>
      <c r="B24" s="1194"/>
      <c r="C24" s="1194"/>
    </row>
    <row r="25" spans="1:3" x14ac:dyDescent="0.2">
      <c r="A25" s="1194"/>
      <c r="B25" s="1194"/>
      <c r="C25" s="1194"/>
    </row>
    <row r="26" spans="1:3" x14ac:dyDescent="0.2">
      <c r="A26" s="1194"/>
      <c r="B26" s="1194"/>
      <c r="C26" s="1194"/>
    </row>
  </sheetData>
  <mergeCells count="12">
    <mergeCell ref="A12:C12"/>
    <mergeCell ref="A13:K13"/>
    <mergeCell ref="A14:K14"/>
    <mergeCell ref="A2:K2"/>
    <mergeCell ref="A3:C3"/>
    <mergeCell ref="A4:A6"/>
    <mergeCell ref="B4:K4"/>
    <mergeCell ref="B5:C5"/>
    <mergeCell ref="D5:E5"/>
    <mergeCell ref="F5:G5"/>
    <mergeCell ref="H5:I5"/>
    <mergeCell ref="J5:K5"/>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1:U36"/>
  <sheetViews>
    <sheetView zoomScale="95" zoomScaleNormal="95" workbookViewId="0">
      <selection activeCell="A22" sqref="A22"/>
    </sheetView>
  </sheetViews>
  <sheetFormatPr baseColWidth="10" defaultColWidth="11.42578125" defaultRowHeight="10.5" x14ac:dyDescent="0.15"/>
  <cols>
    <col min="1" max="1" width="26.42578125" style="1196" customWidth="1"/>
    <col min="2" max="2" width="7.28515625" style="1196" bestFit="1" customWidth="1"/>
    <col min="3" max="3" width="11.28515625" style="1196" bestFit="1" customWidth="1"/>
    <col min="4" max="4" width="6.42578125" style="1196" bestFit="1" customWidth="1"/>
    <col min="5" max="5" width="11.28515625" style="1196" bestFit="1" customWidth="1"/>
    <col min="6" max="6" width="7.28515625" style="1196" bestFit="1" customWidth="1"/>
    <col min="7" max="7" width="11.5703125" style="1196" bestFit="1" customWidth="1"/>
    <col min="8" max="8" width="6.5703125" style="1196" bestFit="1" customWidth="1"/>
    <col min="9" max="9" width="11.5703125" style="1196" bestFit="1" customWidth="1"/>
    <col min="10" max="10" width="8.140625" style="1196" bestFit="1" customWidth="1"/>
    <col min="11" max="11" width="11.28515625" style="1196" bestFit="1" customWidth="1"/>
    <col min="12" max="12" width="6.5703125" style="1196" bestFit="1" customWidth="1"/>
    <col min="13" max="13" width="11.28515625" style="1196" bestFit="1" customWidth="1"/>
    <col min="14" max="14" width="8.140625" style="1196" bestFit="1" customWidth="1"/>
    <col min="15" max="15" width="11.28515625" style="1196" bestFit="1" customWidth="1"/>
    <col min="16" max="16" width="6.5703125" style="1196" bestFit="1" customWidth="1"/>
    <col min="17" max="17" width="11.5703125" style="1196" bestFit="1" customWidth="1"/>
    <col min="18" max="18" width="7.42578125" style="1196" bestFit="1" customWidth="1"/>
    <col min="19" max="19" width="11.28515625" style="1196" bestFit="1" customWidth="1"/>
    <col min="20" max="20" width="6.5703125" style="1196" bestFit="1" customWidth="1"/>
    <col min="21" max="21" width="11.28515625" style="1196" bestFit="1" customWidth="1"/>
    <col min="22" max="16384" width="11.42578125" style="1196"/>
  </cols>
  <sheetData>
    <row r="1" spans="1:21" x14ac:dyDescent="0.15">
      <c r="A1" s="1195"/>
    </row>
    <row r="2" spans="1:21" s="461" customFormat="1" ht="26.25" customHeight="1" x14ac:dyDescent="0.15">
      <c r="A2" s="3116" t="s">
        <v>2618</v>
      </c>
      <c r="B2" s="3116"/>
      <c r="C2" s="3116"/>
      <c r="D2" s="3116"/>
      <c r="E2" s="3116"/>
      <c r="F2" s="3116"/>
      <c r="G2" s="3116"/>
      <c r="H2" s="3116"/>
      <c r="I2" s="3116"/>
      <c r="J2" s="3116"/>
      <c r="K2" s="3116"/>
      <c r="L2" s="3116"/>
      <c r="M2" s="3116"/>
      <c r="N2" s="3116"/>
      <c r="O2" s="3116"/>
      <c r="P2" s="3116"/>
      <c r="Q2" s="3116"/>
      <c r="R2" s="3116"/>
      <c r="S2" s="3116"/>
      <c r="T2" s="3116"/>
      <c r="U2" s="3116"/>
    </row>
    <row r="3" spans="1:21" s="461" customFormat="1" x14ac:dyDescent="0.15">
      <c r="A3" s="1197"/>
      <c r="B3" s="1197"/>
      <c r="C3" s="1197"/>
      <c r="D3" s="1197"/>
      <c r="E3" s="1197"/>
    </row>
    <row r="4" spans="1:21" s="461" customFormat="1" ht="11.25" customHeight="1" x14ac:dyDescent="0.15">
      <c r="A4" s="3117" t="s">
        <v>2619</v>
      </c>
      <c r="B4" s="3120">
        <v>2011</v>
      </c>
      <c r="C4" s="3121"/>
      <c r="D4" s="3121"/>
      <c r="E4" s="3122"/>
      <c r="F4" s="3120">
        <v>2012</v>
      </c>
      <c r="G4" s="3121"/>
      <c r="H4" s="3121"/>
      <c r="I4" s="3122"/>
      <c r="J4" s="3123">
        <v>2013</v>
      </c>
      <c r="K4" s="3124"/>
      <c r="L4" s="3124"/>
      <c r="M4" s="3125"/>
      <c r="N4" s="3123">
        <v>2014</v>
      </c>
      <c r="O4" s="3124"/>
      <c r="P4" s="3124"/>
      <c r="Q4" s="3125"/>
      <c r="R4" s="3123">
        <v>2015</v>
      </c>
      <c r="S4" s="3124"/>
      <c r="T4" s="3124"/>
      <c r="U4" s="3125"/>
    </row>
    <row r="5" spans="1:21" s="461" customFormat="1" ht="12.75" customHeight="1" x14ac:dyDescent="0.15">
      <c r="A5" s="3118"/>
      <c r="B5" s="3126" t="s">
        <v>2612</v>
      </c>
      <c r="C5" s="3126"/>
      <c r="D5" s="3126" t="s">
        <v>2620</v>
      </c>
      <c r="E5" s="3126"/>
      <c r="F5" s="3126" t="s">
        <v>2612</v>
      </c>
      <c r="G5" s="3126"/>
      <c r="H5" s="3126" t="s">
        <v>2620</v>
      </c>
      <c r="I5" s="3126"/>
      <c r="J5" s="3126" t="s">
        <v>2612</v>
      </c>
      <c r="K5" s="3126"/>
      <c r="L5" s="3126" t="s">
        <v>2620</v>
      </c>
      <c r="M5" s="3126"/>
      <c r="N5" s="3126" t="s">
        <v>2612</v>
      </c>
      <c r="O5" s="3126"/>
      <c r="P5" s="3126" t="s">
        <v>2620</v>
      </c>
      <c r="Q5" s="3126"/>
      <c r="R5" s="3126" t="s">
        <v>2612</v>
      </c>
      <c r="S5" s="3126"/>
      <c r="T5" s="3126" t="s">
        <v>2620</v>
      </c>
      <c r="U5" s="3126"/>
    </row>
    <row r="6" spans="1:21" s="461" customFormat="1" x14ac:dyDescent="0.15">
      <c r="A6" s="3119"/>
      <c r="B6" s="1198" t="s">
        <v>2562</v>
      </c>
      <c r="C6" s="1199" t="s">
        <v>727</v>
      </c>
      <c r="D6" s="1198" t="s">
        <v>2562</v>
      </c>
      <c r="E6" s="1198" t="s">
        <v>727</v>
      </c>
      <c r="F6" s="1198" t="s">
        <v>2562</v>
      </c>
      <c r="G6" s="1199" t="s">
        <v>727</v>
      </c>
      <c r="H6" s="1198" t="s">
        <v>2562</v>
      </c>
      <c r="I6" s="1198" t="s">
        <v>727</v>
      </c>
      <c r="J6" s="1198" t="s">
        <v>2562</v>
      </c>
      <c r="K6" s="1199" t="s">
        <v>727</v>
      </c>
      <c r="L6" s="1198" t="s">
        <v>2562</v>
      </c>
      <c r="M6" s="1198" t="s">
        <v>727</v>
      </c>
      <c r="N6" s="1198" t="s">
        <v>2562</v>
      </c>
      <c r="O6" s="1199" t="s">
        <v>727</v>
      </c>
      <c r="P6" s="1198" t="s">
        <v>2562</v>
      </c>
      <c r="Q6" s="1198" t="s">
        <v>727</v>
      </c>
      <c r="R6" s="1198" t="s">
        <v>2562</v>
      </c>
      <c r="S6" s="1199" t="s">
        <v>727</v>
      </c>
      <c r="T6" s="1198" t="s">
        <v>2562</v>
      </c>
      <c r="U6" s="1198" t="s">
        <v>727</v>
      </c>
    </row>
    <row r="7" spans="1:21" s="461" customFormat="1" x14ac:dyDescent="0.15">
      <c r="A7" s="369" t="s">
        <v>141</v>
      </c>
      <c r="B7" s="1200">
        <f t="shared" ref="B7:U7" si="0">SUM(B8:B22)</f>
        <v>51877</v>
      </c>
      <c r="C7" s="1201">
        <f t="shared" si="0"/>
        <v>0.94750780807656487</v>
      </c>
      <c r="D7" s="1200">
        <f t="shared" si="0"/>
        <v>980</v>
      </c>
      <c r="E7" s="1201">
        <f t="shared" si="0"/>
        <v>1.0470085470085468</v>
      </c>
      <c r="F7" s="1200">
        <f t="shared" si="0"/>
        <v>54751</v>
      </c>
      <c r="G7" s="1201">
        <f t="shared" si="0"/>
        <v>1</v>
      </c>
      <c r="H7" s="1200">
        <f t="shared" si="0"/>
        <v>936</v>
      </c>
      <c r="I7" s="1201">
        <f t="shared" si="0"/>
        <v>1</v>
      </c>
      <c r="J7" s="1200">
        <f t="shared" si="0"/>
        <v>54586</v>
      </c>
      <c r="K7" s="1201">
        <f t="shared" si="0"/>
        <v>1</v>
      </c>
      <c r="L7" s="1200">
        <f t="shared" si="0"/>
        <v>929</v>
      </c>
      <c r="M7" s="1201">
        <f t="shared" si="0"/>
        <v>1</v>
      </c>
      <c r="N7" s="1200">
        <f t="shared" si="0"/>
        <v>51859</v>
      </c>
      <c r="O7" s="1201">
        <f t="shared" si="0"/>
        <v>0.99999999999999978</v>
      </c>
      <c r="P7" s="1200">
        <f t="shared" si="0"/>
        <v>831.20388888888886</v>
      </c>
      <c r="Q7" s="1201">
        <f t="shared" si="0"/>
        <v>1</v>
      </c>
      <c r="R7" s="1200">
        <f t="shared" si="0"/>
        <v>54591.622222222213</v>
      </c>
      <c r="S7" s="1201">
        <f t="shared" si="0"/>
        <v>1.0000000000000002</v>
      </c>
      <c r="T7" s="1200">
        <f t="shared" si="0"/>
        <v>835.19972222222225</v>
      </c>
      <c r="U7" s="1201">
        <f t="shared" si="0"/>
        <v>1</v>
      </c>
    </row>
    <row r="8" spans="1:21" s="461" customFormat="1" x14ac:dyDescent="0.15">
      <c r="A8" s="1202" t="s">
        <v>2621</v>
      </c>
      <c r="B8" s="1166">
        <v>6113</v>
      </c>
      <c r="C8" s="1203">
        <f>+B8/$F$7</f>
        <v>0.11165092875015982</v>
      </c>
      <c r="D8" s="1166">
        <v>44</v>
      </c>
      <c r="E8" s="1203">
        <f>+D8/$H$7</f>
        <v>4.7008547008547008E-2</v>
      </c>
      <c r="F8" s="1166">
        <v>7340</v>
      </c>
      <c r="G8" s="1203">
        <f t="shared" ref="G8:G14" si="1">+F8/$F$7</f>
        <v>0.13406147832916293</v>
      </c>
      <c r="H8" s="1166">
        <v>123</v>
      </c>
      <c r="I8" s="1203">
        <f t="shared" ref="I8:I14" si="2">+H8/$H$7</f>
        <v>0.13141025641025642</v>
      </c>
      <c r="J8" s="1166">
        <v>7786</v>
      </c>
      <c r="K8" s="1203">
        <f>+J8/$J$7</f>
        <v>0.1426373062690067</v>
      </c>
      <c r="L8" s="1166">
        <v>128</v>
      </c>
      <c r="M8" s="1203">
        <f>+L8/$L$7</f>
        <v>0.13778256189451021</v>
      </c>
      <c r="N8" s="1166">
        <v>7920</v>
      </c>
      <c r="O8" s="1203">
        <f>+N8/$N$7</f>
        <v>0.15272180335139512</v>
      </c>
      <c r="P8" s="1166">
        <v>112</v>
      </c>
      <c r="Q8" s="1203">
        <f>+P8/$P$7</f>
        <v>0.13474431664379713</v>
      </c>
      <c r="R8" s="1166">
        <v>7867.2</v>
      </c>
      <c r="S8" s="1203">
        <f>+R8/$R$7</f>
        <v>0.14411002420802868</v>
      </c>
      <c r="T8" s="1166">
        <v>92.489444444444445</v>
      </c>
      <c r="U8" s="1203">
        <f>+T8/$T$7</f>
        <v>0.11073931418266889</v>
      </c>
    </row>
    <row r="9" spans="1:21" s="461" customFormat="1" x14ac:dyDescent="0.15">
      <c r="A9" s="1202" t="s">
        <v>312</v>
      </c>
      <c r="B9" s="1166">
        <v>462</v>
      </c>
      <c r="C9" s="1203">
        <f t="shared" ref="C9:C20" si="3">+B9/$F$7</f>
        <v>8.4382020419718363E-3</v>
      </c>
      <c r="D9" s="1166">
        <v>112</v>
      </c>
      <c r="E9" s="1203">
        <f t="shared" ref="E9:E20" si="4">+D9/$H$7</f>
        <v>0.11965811965811966</v>
      </c>
      <c r="F9" s="1166">
        <v>387</v>
      </c>
      <c r="G9" s="1203">
        <f t="shared" si="1"/>
        <v>7.0683640481452393E-3</v>
      </c>
      <c r="H9" s="1166">
        <v>6</v>
      </c>
      <c r="I9" s="1203">
        <f t="shared" si="2"/>
        <v>6.41025641025641E-3</v>
      </c>
      <c r="J9" s="1166">
        <v>702</v>
      </c>
      <c r="K9" s="1203">
        <f t="shared" ref="K9:K20" si="5">+J9/$J$7</f>
        <v>1.28604404059649E-2</v>
      </c>
      <c r="L9" s="1166">
        <v>9</v>
      </c>
      <c r="M9" s="1203">
        <f t="shared" ref="M9:M20" si="6">+L9/$L$7</f>
        <v>9.6878363832077503E-3</v>
      </c>
      <c r="N9" s="1166">
        <v>472</v>
      </c>
      <c r="O9" s="1203">
        <f t="shared" ref="O9:O20" si="7">+N9/$N$7</f>
        <v>9.1016024219518314E-3</v>
      </c>
      <c r="P9" s="1166">
        <v>5</v>
      </c>
      <c r="Q9" s="1203">
        <f t="shared" ref="Q9:Q20" si="8">+P9/$P$7</f>
        <v>6.0153712787409429E-3</v>
      </c>
      <c r="R9" s="1166">
        <v>599.65</v>
      </c>
      <c r="S9" s="1203">
        <f t="shared" ref="S9:S20" si="9">+R9/$R$7</f>
        <v>1.0984286152169056E-2</v>
      </c>
      <c r="T9" s="1166">
        <v>6.3366666666666669</v>
      </c>
      <c r="U9" s="1203">
        <f t="shared" ref="U9:U20" si="10">+T9/$T$7</f>
        <v>7.5870076319070725E-3</v>
      </c>
    </row>
    <row r="10" spans="1:21" s="461" customFormat="1" x14ac:dyDescent="0.15">
      <c r="A10" s="1202" t="s">
        <v>1738</v>
      </c>
      <c r="B10" s="1166">
        <v>1611</v>
      </c>
      <c r="C10" s="1203">
        <f t="shared" si="3"/>
        <v>2.9424120107395299E-2</v>
      </c>
      <c r="D10" s="1166">
        <v>235</v>
      </c>
      <c r="E10" s="1203">
        <f t="shared" si="4"/>
        <v>0.25106837606837606</v>
      </c>
      <c r="F10" s="1166">
        <v>1528</v>
      </c>
      <c r="G10" s="1203">
        <f t="shared" si="1"/>
        <v>2.7908166060893864E-2</v>
      </c>
      <c r="H10" s="1166">
        <v>40</v>
      </c>
      <c r="I10" s="1203">
        <f t="shared" si="2"/>
        <v>4.2735042735042736E-2</v>
      </c>
      <c r="J10" s="1166">
        <v>960</v>
      </c>
      <c r="K10" s="1203">
        <f t="shared" si="5"/>
        <v>1.7586927050892171E-2</v>
      </c>
      <c r="L10" s="1166">
        <v>31</v>
      </c>
      <c r="M10" s="1203">
        <f t="shared" si="6"/>
        <v>3.3369214208826693E-2</v>
      </c>
      <c r="N10" s="1166">
        <v>991</v>
      </c>
      <c r="O10" s="1203">
        <f t="shared" si="7"/>
        <v>1.9109508474903104E-2</v>
      </c>
      <c r="P10" s="1166">
        <v>29</v>
      </c>
      <c r="Q10" s="1203">
        <f t="shared" si="8"/>
        <v>3.4889153416697467E-2</v>
      </c>
      <c r="R10" s="1166">
        <v>1199.3333333333333</v>
      </c>
      <c r="S10" s="1203">
        <f t="shared" si="9"/>
        <v>2.1969182898637685E-2</v>
      </c>
      <c r="T10" s="1166">
        <v>33.793333333333337</v>
      </c>
      <c r="U10" s="1203">
        <f t="shared" si="10"/>
        <v>4.046137999593577E-2</v>
      </c>
    </row>
    <row r="11" spans="1:21" s="461" customFormat="1" x14ac:dyDescent="0.15">
      <c r="A11" s="1202" t="s">
        <v>2622</v>
      </c>
      <c r="B11" s="1166">
        <v>8971</v>
      </c>
      <c r="C11" s="1203">
        <f t="shared" si="3"/>
        <v>0.16385088856824534</v>
      </c>
      <c r="D11" s="1166">
        <v>140</v>
      </c>
      <c r="E11" s="1203">
        <f t="shared" si="4"/>
        <v>0.14957264957264957</v>
      </c>
      <c r="F11" s="1166">
        <v>8911</v>
      </c>
      <c r="G11" s="1203">
        <f t="shared" si="1"/>
        <v>0.16275501817318405</v>
      </c>
      <c r="H11" s="1166">
        <v>219</v>
      </c>
      <c r="I11" s="1203">
        <f t="shared" si="2"/>
        <v>0.23397435897435898</v>
      </c>
      <c r="J11" s="1166">
        <v>9060</v>
      </c>
      <c r="K11" s="1203">
        <f t="shared" si="5"/>
        <v>0.16597662404279487</v>
      </c>
      <c r="L11" s="1166">
        <v>227</v>
      </c>
      <c r="M11" s="1203">
        <f t="shared" si="6"/>
        <v>0.24434876210979548</v>
      </c>
      <c r="N11" s="1166">
        <v>9349</v>
      </c>
      <c r="O11" s="1203">
        <f t="shared" si="7"/>
        <v>0.18027729034497386</v>
      </c>
      <c r="P11" s="1166">
        <v>215</v>
      </c>
      <c r="Q11" s="1203">
        <f t="shared" si="8"/>
        <v>0.25866096498586055</v>
      </c>
      <c r="R11" s="1166">
        <v>9417.0666666666675</v>
      </c>
      <c r="S11" s="1203">
        <f t="shared" si="9"/>
        <v>0.1725002167609764</v>
      </c>
      <c r="T11" s="1166">
        <v>221.43805555555556</v>
      </c>
      <c r="U11" s="1203">
        <f t="shared" si="10"/>
        <v>0.26513185967827391</v>
      </c>
    </row>
    <row r="12" spans="1:21" s="461" customFormat="1" x14ac:dyDescent="0.15">
      <c r="A12" s="1202" t="s">
        <v>2623</v>
      </c>
      <c r="B12" s="1166">
        <v>510</v>
      </c>
      <c r="C12" s="1203">
        <f t="shared" si="3"/>
        <v>9.314898358020858E-3</v>
      </c>
      <c r="D12" s="1166">
        <v>8</v>
      </c>
      <c r="E12" s="1203">
        <f t="shared" si="4"/>
        <v>8.5470085470085479E-3</v>
      </c>
      <c r="F12" s="1166">
        <v>673</v>
      </c>
      <c r="G12" s="1203">
        <f t="shared" si="1"/>
        <v>1.2292012931270661E-2</v>
      </c>
      <c r="H12" s="1166">
        <v>2</v>
      </c>
      <c r="I12" s="1203">
        <f t="shared" si="2"/>
        <v>2.136752136752137E-3</v>
      </c>
      <c r="J12" s="1166">
        <v>769</v>
      </c>
      <c r="K12" s="1203">
        <f t="shared" si="5"/>
        <v>1.408786135639175E-2</v>
      </c>
      <c r="L12" s="1166">
        <v>1</v>
      </c>
      <c r="M12" s="1203">
        <f t="shared" si="6"/>
        <v>1.076426264800861E-3</v>
      </c>
      <c r="N12" s="1166">
        <v>761</v>
      </c>
      <c r="O12" s="1203">
        <f t="shared" si="7"/>
        <v>1.4674405599799456E-2</v>
      </c>
      <c r="P12" s="1166">
        <v>2</v>
      </c>
      <c r="Q12" s="1203">
        <f t="shared" si="8"/>
        <v>2.4061485114963773E-3</v>
      </c>
      <c r="R12" s="1166">
        <v>358.7</v>
      </c>
      <c r="S12" s="1203">
        <f t="shared" si="9"/>
        <v>6.5706052577053954E-3</v>
      </c>
      <c r="T12" s="1166">
        <v>0.57777777777777772</v>
      </c>
      <c r="U12" s="1203">
        <f t="shared" si="10"/>
        <v>6.9178396784002748E-4</v>
      </c>
    </row>
    <row r="13" spans="1:21" s="461" customFormat="1" x14ac:dyDescent="0.15">
      <c r="A13" s="1202" t="s">
        <v>100</v>
      </c>
      <c r="B13" s="1166">
        <v>9571</v>
      </c>
      <c r="C13" s="1203">
        <f t="shared" si="3"/>
        <v>0.17480959251885811</v>
      </c>
      <c r="D13" s="1166">
        <v>94</v>
      </c>
      <c r="E13" s="1203">
        <f t="shared" si="4"/>
        <v>0.10042735042735043</v>
      </c>
      <c r="F13" s="1166">
        <v>9172</v>
      </c>
      <c r="G13" s="1203">
        <f t="shared" si="1"/>
        <v>0.16752205439170062</v>
      </c>
      <c r="H13" s="1166">
        <v>191</v>
      </c>
      <c r="I13" s="1203">
        <f t="shared" si="2"/>
        <v>0.20405982905982906</v>
      </c>
      <c r="J13" s="1166">
        <v>9229</v>
      </c>
      <c r="K13" s="1203">
        <f t="shared" si="5"/>
        <v>0.169072655992379</v>
      </c>
      <c r="L13" s="1166">
        <v>174</v>
      </c>
      <c r="M13" s="1203">
        <f t="shared" si="6"/>
        <v>0.18729817007534985</v>
      </c>
      <c r="N13" s="1166">
        <v>7605</v>
      </c>
      <c r="O13" s="1203">
        <f t="shared" si="7"/>
        <v>0.14664764071810099</v>
      </c>
      <c r="P13" s="1166">
        <v>131</v>
      </c>
      <c r="Q13" s="1203">
        <f t="shared" si="8"/>
        <v>0.15760272750301271</v>
      </c>
      <c r="R13" s="1166">
        <v>7303.8666666666668</v>
      </c>
      <c r="S13" s="1203">
        <f t="shared" si="9"/>
        <v>0.13379098054524446</v>
      </c>
      <c r="T13" s="1166">
        <v>140.70944444444444</v>
      </c>
      <c r="U13" s="1203">
        <f t="shared" si="10"/>
        <v>0.16847400771405641</v>
      </c>
    </row>
    <row r="14" spans="1:21" s="461" customFormat="1" x14ac:dyDescent="0.15">
      <c r="A14" s="1202" t="s">
        <v>2624</v>
      </c>
      <c r="B14" s="1166">
        <v>3697</v>
      </c>
      <c r="C14" s="1203">
        <f t="shared" si="3"/>
        <v>6.7523880842359038E-2</v>
      </c>
      <c r="D14" s="1166">
        <v>75</v>
      </c>
      <c r="E14" s="1203">
        <f t="shared" si="4"/>
        <v>8.0128205128205135E-2</v>
      </c>
      <c r="F14" s="1166">
        <v>4115</v>
      </c>
      <c r="G14" s="1203">
        <f t="shared" si="1"/>
        <v>7.5158444594619275E-2</v>
      </c>
      <c r="H14" s="1166">
        <v>71</v>
      </c>
      <c r="I14" s="1203">
        <f t="shared" si="2"/>
        <v>7.5854700854700849E-2</v>
      </c>
      <c r="J14" s="1166">
        <v>3963</v>
      </c>
      <c r="K14" s="1203">
        <f t="shared" si="5"/>
        <v>7.2601033231964235E-2</v>
      </c>
      <c r="L14" s="1166">
        <v>66</v>
      </c>
      <c r="M14" s="1203">
        <f t="shared" si="6"/>
        <v>7.1044133476856841E-2</v>
      </c>
      <c r="N14" s="1166">
        <v>3002</v>
      </c>
      <c r="O14" s="1203">
        <f t="shared" si="7"/>
        <v>5.7887734048091943E-2</v>
      </c>
      <c r="P14" s="1166">
        <v>44</v>
      </c>
      <c r="Q14" s="1203">
        <f t="shared" si="8"/>
        <v>5.2935267252920297E-2</v>
      </c>
      <c r="R14" s="1166">
        <v>2918.75</v>
      </c>
      <c r="S14" s="1203">
        <f t="shared" si="9"/>
        <v>5.3465163356363601E-2</v>
      </c>
      <c r="T14" s="1166">
        <v>35.151944444444446</v>
      </c>
      <c r="U14" s="1203">
        <f t="shared" si="10"/>
        <v>4.2088070085698065E-2</v>
      </c>
    </row>
    <row r="15" spans="1:21" s="461" customFormat="1" x14ac:dyDescent="0.15">
      <c r="A15" s="461" t="s">
        <v>2543</v>
      </c>
      <c r="B15" s="1166" t="s">
        <v>181</v>
      </c>
      <c r="C15" s="1203" t="s">
        <v>181</v>
      </c>
      <c r="D15" s="1166" t="s">
        <v>181</v>
      </c>
      <c r="E15" s="1203" t="s">
        <v>181</v>
      </c>
      <c r="F15" s="1166" t="s">
        <v>181</v>
      </c>
      <c r="G15" s="1203" t="s">
        <v>181</v>
      </c>
      <c r="H15" s="1166" t="s">
        <v>181</v>
      </c>
      <c r="I15" s="1203" t="s">
        <v>181</v>
      </c>
      <c r="J15" s="1166">
        <v>3397</v>
      </c>
      <c r="K15" s="1203">
        <f t="shared" si="5"/>
        <v>6.2232074158209062E-2</v>
      </c>
      <c r="L15" s="1166">
        <v>6</v>
      </c>
      <c r="M15" s="1203">
        <f t="shared" si="6"/>
        <v>6.4585575888051671E-3</v>
      </c>
      <c r="N15" s="1166">
        <v>3328</v>
      </c>
      <c r="O15" s="1203">
        <f t="shared" si="7"/>
        <v>6.417401029715189E-2</v>
      </c>
      <c r="P15" s="1166">
        <v>4</v>
      </c>
      <c r="Q15" s="1203">
        <f t="shared" si="8"/>
        <v>4.8122970229927545E-3</v>
      </c>
      <c r="R15" s="1166">
        <v>5397.2666666666664</v>
      </c>
      <c r="S15" s="1203">
        <f t="shared" si="9"/>
        <v>9.8866207798266173E-2</v>
      </c>
      <c r="T15" s="1166">
        <v>4.306111111111111</v>
      </c>
      <c r="U15" s="1203">
        <f t="shared" si="10"/>
        <v>5.1557860910846675E-3</v>
      </c>
    </row>
    <row r="16" spans="1:21" s="461" customFormat="1" x14ac:dyDescent="0.15">
      <c r="A16" s="461" t="s">
        <v>2625</v>
      </c>
      <c r="B16" s="1166">
        <v>975</v>
      </c>
      <c r="C16" s="1203">
        <f t="shared" si="3"/>
        <v>1.7807893919745757E-2</v>
      </c>
      <c r="D16" s="1166">
        <v>40</v>
      </c>
      <c r="E16" s="1203">
        <f t="shared" si="4"/>
        <v>4.2735042735042736E-2</v>
      </c>
      <c r="F16" s="1166">
        <v>933</v>
      </c>
      <c r="G16" s="1203">
        <f t="shared" ref="G16:G22" si="11">+F16/$F$7</f>
        <v>1.7040784643202862E-2</v>
      </c>
      <c r="H16" s="1166">
        <v>17</v>
      </c>
      <c r="I16" s="1203">
        <f>+H16/$H$7</f>
        <v>1.8162393162393164E-2</v>
      </c>
      <c r="J16" s="1166">
        <v>933</v>
      </c>
      <c r="K16" s="1203">
        <f t="shared" si="5"/>
        <v>1.7092294727585829E-2</v>
      </c>
      <c r="L16" s="1166">
        <v>20</v>
      </c>
      <c r="M16" s="1203">
        <f t="shared" si="6"/>
        <v>2.1528525296017224E-2</v>
      </c>
      <c r="N16" s="1166">
        <v>1256</v>
      </c>
      <c r="O16" s="1203">
        <f t="shared" si="7"/>
        <v>2.4219518309261653E-2</v>
      </c>
      <c r="P16" s="1166">
        <v>19</v>
      </c>
      <c r="Q16" s="1203">
        <f t="shared" si="8"/>
        <v>2.2858410859215583E-2</v>
      </c>
      <c r="R16" s="1166">
        <v>1428.5555555555557</v>
      </c>
      <c r="S16" s="1203">
        <f t="shared" si="9"/>
        <v>2.6168036365368238E-2</v>
      </c>
      <c r="T16" s="1166">
        <v>24.106944444444444</v>
      </c>
      <c r="U16" s="1203">
        <f t="shared" si="10"/>
        <v>2.8863688292786922E-2</v>
      </c>
    </row>
    <row r="17" spans="1:21" s="461" customFormat="1" x14ac:dyDescent="0.15">
      <c r="A17" s="1202" t="s">
        <v>2626</v>
      </c>
      <c r="B17" s="1166">
        <v>1387</v>
      </c>
      <c r="C17" s="1203">
        <f t="shared" si="3"/>
        <v>2.5332870632499862E-2</v>
      </c>
      <c r="D17" s="1166">
        <v>205</v>
      </c>
      <c r="E17" s="1203">
        <f t="shared" si="4"/>
        <v>0.21901709401709402</v>
      </c>
      <c r="F17" s="1166">
        <v>1756</v>
      </c>
      <c r="G17" s="1203">
        <f t="shared" si="11"/>
        <v>3.2072473562126717E-2</v>
      </c>
      <c r="H17" s="1166">
        <v>70</v>
      </c>
      <c r="I17" s="1203">
        <f>+H17/$H$7</f>
        <v>7.4786324786324784E-2</v>
      </c>
      <c r="J17" s="1166">
        <v>1420</v>
      </c>
      <c r="K17" s="1203">
        <f t="shared" si="5"/>
        <v>2.6013996262778002E-2</v>
      </c>
      <c r="L17" s="1166">
        <v>34</v>
      </c>
      <c r="M17" s="1203">
        <f t="shared" si="6"/>
        <v>3.6598493003229281E-2</v>
      </c>
      <c r="N17" s="1166">
        <v>1347</v>
      </c>
      <c r="O17" s="1203">
        <f t="shared" si="7"/>
        <v>2.5974276403324399E-2</v>
      </c>
      <c r="P17" s="1166">
        <v>18</v>
      </c>
      <c r="Q17" s="1203">
        <f t="shared" si="8"/>
        <v>2.1655336603467395E-2</v>
      </c>
      <c r="R17" s="1166">
        <v>1641.45</v>
      </c>
      <c r="S17" s="1203">
        <f t="shared" si="9"/>
        <v>3.0067800391024597E-2</v>
      </c>
      <c r="T17" s="1166">
        <v>30.725833333333334</v>
      </c>
      <c r="U17" s="1203">
        <f t="shared" si="10"/>
        <v>3.678860578590816E-2</v>
      </c>
    </row>
    <row r="18" spans="1:21" s="461" customFormat="1" x14ac:dyDescent="0.15">
      <c r="A18" s="1202" t="s">
        <v>2627</v>
      </c>
      <c r="B18" s="1166">
        <v>9681</v>
      </c>
      <c r="C18" s="1203">
        <f t="shared" si="3"/>
        <v>0.17681868824313712</v>
      </c>
      <c r="D18" s="1166">
        <v>4</v>
      </c>
      <c r="E18" s="1203">
        <f t="shared" si="4"/>
        <v>4.2735042735042739E-3</v>
      </c>
      <c r="F18" s="1166">
        <v>8906</v>
      </c>
      <c r="G18" s="1203">
        <f t="shared" si="11"/>
        <v>0.16266369564026228</v>
      </c>
      <c r="H18" s="1166">
        <v>82</v>
      </c>
      <c r="I18" s="1203">
        <f>+H18/$H$7</f>
        <v>8.7606837606837601E-2</v>
      </c>
      <c r="J18" s="1166">
        <v>9303</v>
      </c>
      <c r="K18" s="1203">
        <f t="shared" si="5"/>
        <v>0.17042831495255192</v>
      </c>
      <c r="L18" s="1166">
        <v>85</v>
      </c>
      <c r="M18" s="1203">
        <f t="shared" si="6"/>
        <v>9.1496232508073191E-2</v>
      </c>
      <c r="N18" s="1166">
        <v>10335</v>
      </c>
      <c r="O18" s="1203">
        <f t="shared" si="7"/>
        <v>0.19929038353998341</v>
      </c>
      <c r="P18" s="1166">
        <v>91</v>
      </c>
      <c r="Q18" s="1203">
        <f t="shared" si="8"/>
        <v>0.10947975727308516</v>
      </c>
      <c r="R18" s="1166">
        <v>8987.3666666666704</v>
      </c>
      <c r="S18" s="1203">
        <f t="shared" si="9"/>
        <v>0.16462904564518049</v>
      </c>
      <c r="T18" s="1166">
        <v>72.012222222222221</v>
      </c>
      <c r="U18" s="1203">
        <f t="shared" si="10"/>
        <v>8.6221559114769281E-2</v>
      </c>
    </row>
    <row r="19" spans="1:21" s="461" customFormat="1" x14ac:dyDescent="0.15">
      <c r="A19" s="1202" t="s">
        <v>2628</v>
      </c>
      <c r="B19" s="1166">
        <v>6156</v>
      </c>
      <c r="C19" s="1203">
        <f t="shared" si="3"/>
        <v>0.11243630253328707</v>
      </c>
      <c r="D19" s="1166">
        <v>21</v>
      </c>
      <c r="E19" s="1203">
        <f t="shared" si="4"/>
        <v>2.2435897435897436E-2</v>
      </c>
      <c r="F19" s="1166">
        <v>5662</v>
      </c>
      <c r="G19" s="1203">
        <f t="shared" si="11"/>
        <v>0.10341363628061588</v>
      </c>
      <c r="H19" s="1166">
        <v>109</v>
      </c>
      <c r="I19" s="1203">
        <f>+H19/$H$7</f>
        <v>0.11645299145299146</v>
      </c>
      <c r="J19" s="1166">
        <v>6001</v>
      </c>
      <c r="K19" s="1203">
        <f t="shared" si="5"/>
        <v>0.10993661378375408</v>
      </c>
      <c r="L19" s="1166">
        <v>148</v>
      </c>
      <c r="M19" s="1203">
        <f t="shared" si="6"/>
        <v>0.15931108719052745</v>
      </c>
      <c r="N19" s="1166">
        <v>5238</v>
      </c>
      <c r="O19" s="1203">
        <f t="shared" si="7"/>
        <v>0.10100464721649087</v>
      </c>
      <c r="P19" s="1166">
        <v>161</v>
      </c>
      <c r="Q19" s="1203">
        <f t="shared" si="8"/>
        <v>0.19369495517545837</v>
      </c>
      <c r="R19" s="1166">
        <v>7225.5666666666666</v>
      </c>
      <c r="S19" s="1203">
        <f t="shared" si="9"/>
        <v>0.13235669453554741</v>
      </c>
      <c r="T19" s="1166">
        <v>173.34805555555556</v>
      </c>
      <c r="U19" s="1203">
        <f t="shared" si="10"/>
        <v>0.20755281753965035</v>
      </c>
    </row>
    <row r="20" spans="1:21" s="461" customFormat="1" x14ac:dyDescent="0.15">
      <c r="A20" s="1202" t="s">
        <v>2629</v>
      </c>
      <c r="B20" s="1166">
        <v>2743</v>
      </c>
      <c r="C20" s="1203">
        <f t="shared" si="3"/>
        <v>5.0099541560884732E-2</v>
      </c>
      <c r="D20" s="1166">
        <v>2</v>
      </c>
      <c r="E20" s="1203">
        <f t="shared" si="4"/>
        <v>2.136752136752137E-3</v>
      </c>
      <c r="F20" s="1166">
        <v>2102</v>
      </c>
      <c r="G20" s="1203">
        <f t="shared" si="11"/>
        <v>3.8391992840313416E-2</v>
      </c>
      <c r="H20" s="1166">
        <v>2</v>
      </c>
      <c r="I20" s="1203">
        <f>+H20/$H$7</f>
        <v>2.136752136752137E-3</v>
      </c>
      <c r="J20" s="1166">
        <v>1063</v>
      </c>
      <c r="K20" s="1203">
        <f t="shared" si="5"/>
        <v>1.9473857765727475E-2</v>
      </c>
      <c r="L20" s="1166"/>
      <c r="M20" s="1203">
        <f t="shared" si="6"/>
        <v>0</v>
      </c>
      <c r="N20" s="1166">
        <v>255</v>
      </c>
      <c r="O20" s="1203">
        <f t="shared" si="7"/>
        <v>4.917179274571434E-3</v>
      </c>
      <c r="P20" s="1166">
        <v>0.2038888888888889</v>
      </c>
      <c r="Q20" s="1203">
        <f t="shared" si="8"/>
        <v>2.4529347325532512E-4</v>
      </c>
      <c r="R20" s="1166">
        <v>246.85</v>
      </c>
      <c r="S20" s="1203">
        <f t="shared" si="9"/>
        <v>4.5217560854880871E-3</v>
      </c>
      <c r="T20" s="1166">
        <v>0.2038888888888889</v>
      </c>
      <c r="U20" s="1203">
        <f t="shared" si="10"/>
        <v>2.4411991942047129E-4</v>
      </c>
    </row>
    <row r="21" spans="1:21" s="461" customFormat="1" ht="11.25" x14ac:dyDescent="0.15">
      <c r="A21" s="461" t="s">
        <v>2630</v>
      </c>
      <c r="B21" s="1166" t="s">
        <v>181</v>
      </c>
      <c r="C21" s="1166" t="s">
        <v>181</v>
      </c>
      <c r="D21" s="1166" t="s">
        <v>181</v>
      </c>
      <c r="E21" s="1166" t="s">
        <v>181</v>
      </c>
      <c r="F21" s="674">
        <v>42</v>
      </c>
      <c r="G21" s="1203">
        <f t="shared" si="11"/>
        <v>7.6710927654289425E-4</v>
      </c>
      <c r="H21" s="674">
        <v>1</v>
      </c>
      <c r="I21" s="1203">
        <f t="shared" ref="I21:I22" si="12">+H21/$H$7</f>
        <v>1.0683760683760685E-3</v>
      </c>
      <c r="J21" s="674" t="s">
        <v>181</v>
      </c>
      <c r="K21" s="674" t="s">
        <v>181</v>
      </c>
      <c r="L21" s="674" t="s">
        <v>181</v>
      </c>
      <c r="M21" s="674" t="s">
        <v>181</v>
      </c>
      <c r="N21" s="674" t="s">
        <v>181</v>
      </c>
      <c r="O21" s="674" t="s">
        <v>181</v>
      </c>
      <c r="P21" s="674" t="s">
        <v>181</v>
      </c>
      <c r="Q21" s="674" t="s">
        <v>181</v>
      </c>
      <c r="R21" s="674" t="s">
        <v>181</v>
      </c>
      <c r="S21" s="674" t="s">
        <v>181</v>
      </c>
      <c r="T21" s="674" t="s">
        <v>181</v>
      </c>
      <c r="U21" s="674" t="s">
        <v>181</v>
      </c>
    </row>
    <row r="22" spans="1:21" s="461" customFormat="1" ht="11.25" x14ac:dyDescent="0.15">
      <c r="A22" s="461" t="s">
        <v>4258</v>
      </c>
      <c r="B22" s="1166" t="s">
        <v>181</v>
      </c>
      <c r="C22" s="1166" t="s">
        <v>181</v>
      </c>
      <c r="D22" s="1166" t="s">
        <v>181</v>
      </c>
      <c r="E22" s="1166" t="s">
        <v>181</v>
      </c>
      <c r="F22" s="674">
        <v>3224</v>
      </c>
      <c r="G22" s="1203">
        <f t="shared" si="11"/>
        <v>5.8884769227959308E-2</v>
      </c>
      <c r="H22" s="674">
        <v>3</v>
      </c>
      <c r="I22" s="1203">
        <f t="shared" si="12"/>
        <v>3.205128205128205E-3</v>
      </c>
      <c r="J22" s="674" t="s">
        <v>181</v>
      </c>
      <c r="K22" s="674" t="s">
        <v>181</v>
      </c>
      <c r="L22" s="674" t="s">
        <v>181</v>
      </c>
      <c r="M22" s="674" t="s">
        <v>181</v>
      </c>
      <c r="N22" s="674" t="s">
        <v>181</v>
      </c>
      <c r="O22" s="674" t="s">
        <v>181</v>
      </c>
      <c r="P22" s="674" t="s">
        <v>181</v>
      </c>
      <c r="Q22" s="674" t="s">
        <v>181</v>
      </c>
      <c r="R22" s="674" t="s">
        <v>181</v>
      </c>
      <c r="S22" s="674" t="s">
        <v>181</v>
      </c>
      <c r="T22" s="674" t="s">
        <v>181</v>
      </c>
      <c r="U22" s="674" t="s">
        <v>181</v>
      </c>
    </row>
    <row r="23" spans="1:21" s="461" customFormat="1" x14ac:dyDescent="0.15">
      <c r="A23" s="3127"/>
      <c r="B23" s="3127"/>
      <c r="C23" s="3127"/>
      <c r="D23" s="3127"/>
      <c r="E23" s="3127"/>
    </row>
    <row r="24" spans="1:21" s="461" customFormat="1" ht="10.5" customHeight="1" x14ac:dyDescent="0.15">
      <c r="A24" s="1204" t="s">
        <v>2631</v>
      </c>
      <c r="B24" s="1205"/>
      <c r="C24" s="1205"/>
      <c r="D24" s="1205"/>
      <c r="E24" s="1205"/>
      <c r="F24" s="499"/>
      <c r="G24" s="499"/>
      <c r="H24" s="499"/>
      <c r="I24" s="499"/>
      <c r="J24" s="499"/>
      <c r="K24" s="499"/>
      <c r="L24" s="499"/>
      <c r="M24" s="499"/>
      <c r="N24" s="499"/>
      <c r="O24" s="499"/>
      <c r="P24" s="499"/>
      <c r="Q24" s="499"/>
    </row>
    <row r="25" spans="1:21" s="461" customFormat="1" x14ac:dyDescent="0.15">
      <c r="A25" s="1204" t="s">
        <v>2632</v>
      </c>
      <c r="B25" s="1206"/>
      <c r="C25" s="1206"/>
      <c r="D25" s="1206"/>
      <c r="E25" s="1206"/>
      <c r="F25" s="499"/>
      <c r="G25" s="499"/>
      <c r="H25" s="499"/>
      <c r="I25" s="499"/>
      <c r="J25" s="499"/>
      <c r="K25" s="499"/>
      <c r="L25" s="499"/>
      <c r="M25" s="499"/>
      <c r="N25" s="499"/>
      <c r="O25" s="499"/>
      <c r="P25" s="499"/>
      <c r="Q25" s="499"/>
    </row>
    <row r="26" spans="1:21" s="461" customFormat="1" x14ac:dyDescent="0.15">
      <c r="A26" s="1207" t="s">
        <v>2633</v>
      </c>
      <c r="B26" s="1207"/>
      <c r="C26" s="1207"/>
      <c r="D26" s="1207"/>
      <c r="E26" s="1207"/>
      <c r="F26" s="463"/>
    </row>
    <row r="27" spans="1:21" s="461" customFormat="1" x14ac:dyDescent="0.15">
      <c r="A27" s="1207" t="s">
        <v>2634</v>
      </c>
      <c r="B27" s="1207"/>
      <c r="C27" s="1207"/>
      <c r="D27" s="1207"/>
      <c r="E27" s="1207"/>
      <c r="F27" s="463"/>
    </row>
    <row r="28" spans="1:21" s="461" customFormat="1" x14ac:dyDescent="0.15">
      <c r="A28" s="1207" t="s">
        <v>2635</v>
      </c>
      <c r="B28" s="1207"/>
      <c r="C28" s="1207"/>
      <c r="D28" s="1207"/>
      <c r="E28" s="1207"/>
      <c r="F28" s="463"/>
    </row>
    <row r="29" spans="1:21" s="461" customFormat="1" ht="10.5" customHeight="1" x14ac:dyDescent="0.15">
      <c r="A29" s="3128" t="s">
        <v>731</v>
      </c>
      <c r="B29" s="3128"/>
      <c r="C29" s="3128"/>
      <c r="D29" s="3128"/>
      <c r="E29" s="3128"/>
    </row>
    <row r="30" spans="1:21" s="461" customFormat="1" x14ac:dyDescent="0.15">
      <c r="A30" s="3129" t="s">
        <v>2606</v>
      </c>
      <c r="B30" s="3129"/>
      <c r="C30" s="3129"/>
      <c r="D30" s="3129"/>
      <c r="E30" s="3129"/>
    </row>
    <row r="31" spans="1:21" s="461" customFormat="1" x14ac:dyDescent="0.15">
      <c r="B31" s="1208"/>
    </row>
    <row r="36" spans="3:3" x14ac:dyDescent="0.15">
      <c r="C36" s="1209"/>
    </row>
  </sheetData>
  <mergeCells count="20">
    <mergeCell ref="A23:E23"/>
    <mergeCell ref="A29:E29"/>
    <mergeCell ref="A30:E30"/>
    <mergeCell ref="H5:I5"/>
    <mergeCell ref="J5:K5"/>
    <mergeCell ref="A2:U2"/>
    <mergeCell ref="A4:A6"/>
    <mergeCell ref="B4:E4"/>
    <mergeCell ref="F4:I4"/>
    <mergeCell ref="J4:M4"/>
    <mergeCell ref="N4:Q4"/>
    <mergeCell ref="R4:U4"/>
    <mergeCell ref="B5:C5"/>
    <mergeCell ref="D5:E5"/>
    <mergeCell ref="F5:G5"/>
    <mergeCell ref="T5:U5"/>
    <mergeCell ref="L5:M5"/>
    <mergeCell ref="N5:O5"/>
    <mergeCell ref="P5:Q5"/>
    <mergeCell ref="R5:S5"/>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U13"/>
  <sheetViews>
    <sheetView zoomScale="95" zoomScaleNormal="95" workbookViewId="0">
      <selection activeCell="A2" sqref="A2:U2"/>
    </sheetView>
  </sheetViews>
  <sheetFormatPr baseColWidth="10" defaultColWidth="11.42578125" defaultRowHeight="10.5" x14ac:dyDescent="0.15"/>
  <cols>
    <col min="1" max="1" width="23.7109375" style="1211" customWidth="1"/>
    <col min="2" max="2" width="9" style="1211" bestFit="1" customWidth="1"/>
    <col min="3" max="3" width="11.140625" style="1211" bestFit="1" customWidth="1"/>
    <col min="4" max="4" width="6.42578125" style="1211" bestFit="1" customWidth="1"/>
    <col min="5" max="5" width="11.42578125" style="1211"/>
    <col min="6" max="6" width="9" style="1211" bestFit="1" customWidth="1"/>
    <col min="7" max="7" width="11.42578125" style="1211"/>
    <col min="8" max="8" width="6.42578125" style="1211" bestFit="1" customWidth="1"/>
    <col min="9" max="9" width="11.42578125" style="1211"/>
    <col min="10" max="10" width="9" style="1211" bestFit="1" customWidth="1"/>
    <col min="11" max="11" width="11.140625" style="1211" bestFit="1" customWidth="1"/>
    <col min="12" max="12" width="6.42578125" style="1211" bestFit="1" customWidth="1"/>
    <col min="13" max="13" width="11.140625" style="1211" bestFit="1" customWidth="1"/>
    <col min="14" max="14" width="9" style="1211" bestFit="1" customWidth="1"/>
    <col min="15" max="15" width="11.140625" style="1211" bestFit="1" customWidth="1"/>
    <col min="16" max="16" width="6.42578125" style="1211" bestFit="1" customWidth="1"/>
    <col min="17" max="17" width="11.140625" style="1211" bestFit="1" customWidth="1"/>
    <col min="18" max="18" width="9" style="1211" bestFit="1" customWidth="1"/>
    <col min="19" max="19" width="11.42578125" style="1211"/>
    <col min="20" max="20" width="6.42578125" style="1211" bestFit="1" customWidth="1"/>
    <col min="21" max="16384" width="11.42578125" style="1211"/>
  </cols>
  <sheetData>
    <row r="1" spans="1:21" x14ac:dyDescent="0.15">
      <c r="A1" s="1210"/>
    </row>
    <row r="2" spans="1:21" s="461" customFormat="1" ht="15" customHeight="1" x14ac:dyDescent="0.15">
      <c r="A2" s="3116" t="s">
        <v>2636</v>
      </c>
      <c r="B2" s="3116"/>
      <c r="C2" s="3116"/>
      <c r="D2" s="3116"/>
      <c r="E2" s="3116"/>
      <c r="F2" s="3116"/>
      <c r="G2" s="3116"/>
      <c r="H2" s="3116"/>
      <c r="I2" s="3116"/>
      <c r="J2" s="3116"/>
      <c r="K2" s="3116"/>
      <c r="L2" s="3116"/>
      <c r="M2" s="3116"/>
      <c r="N2" s="3116"/>
      <c r="O2" s="3116"/>
      <c r="P2" s="3116"/>
      <c r="Q2" s="3116"/>
      <c r="R2" s="3116"/>
      <c r="S2" s="3116"/>
      <c r="T2" s="3116"/>
      <c r="U2" s="3116"/>
    </row>
    <row r="3" spans="1:21" s="461" customFormat="1" x14ac:dyDescent="0.15">
      <c r="A3" s="3110"/>
      <c r="B3" s="3110"/>
      <c r="C3" s="3110"/>
      <c r="D3" s="3110"/>
      <c r="E3" s="3110"/>
    </row>
    <row r="4" spans="1:21" s="461" customFormat="1" x14ac:dyDescent="0.15">
      <c r="A4" s="1212"/>
      <c r="B4" s="3121">
        <v>2011</v>
      </c>
      <c r="C4" s="3121"/>
      <c r="D4" s="3121"/>
      <c r="E4" s="3121"/>
      <c r="F4" s="3123">
        <v>2012</v>
      </c>
      <c r="G4" s="3124"/>
      <c r="H4" s="3124"/>
      <c r="I4" s="3125"/>
      <c r="J4" s="3123">
        <v>2013</v>
      </c>
      <c r="K4" s="3124"/>
      <c r="L4" s="3124"/>
      <c r="M4" s="3125"/>
      <c r="N4" s="3123">
        <v>2014</v>
      </c>
      <c r="O4" s="3124"/>
      <c r="P4" s="3124"/>
      <c r="Q4" s="3125"/>
      <c r="R4" s="3123">
        <v>2015</v>
      </c>
      <c r="S4" s="3124"/>
      <c r="T4" s="3124"/>
      <c r="U4" s="3125"/>
    </row>
    <row r="5" spans="1:21" s="461" customFormat="1" ht="12.75" customHeight="1" x14ac:dyDescent="0.15">
      <c r="A5" s="3117" t="s">
        <v>2637</v>
      </c>
      <c r="B5" s="3126" t="s">
        <v>2612</v>
      </c>
      <c r="C5" s="3126"/>
      <c r="D5" s="3126" t="s">
        <v>2620</v>
      </c>
      <c r="E5" s="3126"/>
      <c r="F5" s="3126" t="s">
        <v>2612</v>
      </c>
      <c r="G5" s="3126"/>
      <c r="H5" s="3126" t="s">
        <v>2620</v>
      </c>
      <c r="I5" s="3126"/>
      <c r="J5" s="3126" t="s">
        <v>2612</v>
      </c>
      <c r="K5" s="3126"/>
      <c r="L5" s="3126" t="s">
        <v>2620</v>
      </c>
      <c r="M5" s="3126"/>
      <c r="N5" s="3126" t="s">
        <v>2612</v>
      </c>
      <c r="O5" s="3126"/>
      <c r="P5" s="3126" t="s">
        <v>2620</v>
      </c>
      <c r="Q5" s="3126"/>
      <c r="R5" s="3126" t="s">
        <v>2612</v>
      </c>
      <c r="S5" s="3126"/>
      <c r="T5" s="3126" t="s">
        <v>2620</v>
      </c>
      <c r="U5" s="3126"/>
    </row>
    <row r="6" spans="1:21" s="461" customFormat="1" x14ac:dyDescent="0.15">
      <c r="A6" s="3119"/>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3">
        <f t="shared" ref="B7:U7" si="0">SUM(B8:B9)</f>
        <v>51877</v>
      </c>
      <c r="C7" s="1187">
        <f t="shared" si="0"/>
        <v>1</v>
      </c>
      <c r="D7" s="1213">
        <f t="shared" si="0"/>
        <v>980</v>
      </c>
      <c r="E7" s="1187">
        <f t="shared" si="0"/>
        <v>1</v>
      </c>
      <c r="F7" s="1213">
        <f t="shared" si="0"/>
        <v>54778</v>
      </c>
      <c r="G7" s="1187">
        <f t="shared" si="0"/>
        <v>1</v>
      </c>
      <c r="H7" s="1213">
        <f t="shared" si="0"/>
        <v>936</v>
      </c>
      <c r="I7" s="1187">
        <f t="shared" si="0"/>
        <v>1</v>
      </c>
      <c r="J7" s="1213">
        <f t="shared" si="0"/>
        <v>54583</v>
      </c>
      <c r="K7" s="1187">
        <f t="shared" si="0"/>
        <v>1</v>
      </c>
      <c r="L7" s="1213">
        <f t="shared" si="0"/>
        <v>929</v>
      </c>
      <c r="M7" s="1187">
        <f t="shared" si="0"/>
        <v>1</v>
      </c>
      <c r="N7" s="1213">
        <f t="shared" si="0"/>
        <v>51860</v>
      </c>
      <c r="O7" s="1187">
        <f t="shared" si="0"/>
        <v>1</v>
      </c>
      <c r="P7" s="1213">
        <f t="shared" si="0"/>
        <v>832</v>
      </c>
      <c r="Q7" s="1187">
        <f t="shared" si="0"/>
        <v>1</v>
      </c>
      <c r="R7" s="1213">
        <f t="shared" si="0"/>
        <v>54591.822222222225</v>
      </c>
      <c r="S7" s="1187">
        <f t="shared" si="0"/>
        <v>1</v>
      </c>
      <c r="T7" s="1213">
        <f t="shared" si="0"/>
        <v>835.19972222222225</v>
      </c>
      <c r="U7" s="1187">
        <f t="shared" si="0"/>
        <v>1</v>
      </c>
    </row>
    <row r="8" spans="1:21" s="461" customFormat="1" x14ac:dyDescent="0.15">
      <c r="A8" s="461" t="s">
        <v>139</v>
      </c>
      <c r="B8" s="1214">
        <v>31813</v>
      </c>
      <c r="C8" s="1189">
        <f>+B8/$B$7</f>
        <v>0.61323900765271699</v>
      </c>
      <c r="D8" s="1214">
        <v>709</v>
      </c>
      <c r="E8" s="1189">
        <f>+D8/$D$7</f>
        <v>0.72346938775510206</v>
      </c>
      <c r="F8" s="1214">
        <v>32593</v>
      </c>
      <c r="G8" s="1189">
        <f>+F8/$F$7</f>
        <v>0.59500164299536307</v>
      </c>
      <c r="H8" s="1214">
        <v>684</v>
      </c>
      <c r="I8" s="1189">
        <f>+H8/$H$7</f>
        <v>0.73076923076923073</v>
      </c>
      <c r="J8" s="1214">
        <v>31987</v>
      </c>
      <c r="K8" s="1189">
        <f>+J8/$J$7</f>
        <v>0.58602495282413936</v>
      </c>
      <c r="L8" s="1214">
        <v>666</v>
      </c>
      <c r="M8" s="1189">
        <f>+L8/$L$7</f>
        <v>0.7168998923573735</v>
      </c>
      <c r="N8" s="1214">
        <v>31941</v>
      </c>
      <c r="O8" s="1189">
        <f>+N8/$N$7</f>
        <v>0.61590821442344779</v>
      </c>
      <c r="P8" s="1214">
        <v>619</v>
      </c>
      <c r="Q8" s="1189">
        <f>+P8/$P$7</f>
        <v>0.74399038461538458</v>
      </c>
      <c r="R8" s="1214">
        <v>34071.572222222225</v>
      </c>
      <c r="S8" s="1189">
        <f>+R8/$R$7</f>
        <v>0.62411494680521951</v>
      </c>
      <c r="T8" s="1214">
        <v>620.14888888888891</v>
      </c>
      <c r="U8" s="1189">
        <f>+T8/$T$7</f>
        <v>0.74251567905081917</v>
      </c>
    </row>
    <row r="9" spans="1:21" s="1183" customFormat="1" x14ac:dyDescent="0.15">
      <c r="A9" s="461" t="s">
        <v>2638</v>
      </c>
      <c r="B9" s="1214">
        <v>20064</v>
      </c>
      <c r="C9" s="1189">
        <f>+B9/$B$7</f>
        <v>0.38676099234728301</v>
      </c>
      <c r="D9" s="1214">
        <v>271</v>
      </c>
      <c r="E9" s="1189">
        <f>+D9/$D$7</f>
        <v>0.27653061224489794</v>
      </c>
      <c r="F9" s="1214">
        <v>22185</v>
      </c>
      <c r="G9" s="1189">
        <f>+F9/$F$7</f>
        <v>0.40499835700463688</v>
      </c>
      <c r="H9" s="1214">
        <v>252</v>
      </c>
      <c r="I9" s="1189">
        <f>+H9/$H$7</f>
        <v>0.26923076923076922</v>
      </c>
      <c r="J9" s="1214">
        <v>22596</v>
      </c>
      <c r="K9" s="1189">
        <f>+J9/$J$7</f>
        <v>0.41397504717586059</v>
      </c>
      <c r="L9" s="1214">
        <v>263</v>
      </c>
      <c r="M9" s="1189">
        <f>+L9/$L$7</f>
        <v>0.2831001076426265</v>
      </c>
      <c r="N9" s="1214">
        <v>19919</v>
      </c>
      <c r="O9" s="1189">
        <f>+N9/$N$7</f>
        <v>0.38409178557655227</v>
      </c>
      <c r="P9" s="1214">
        <v>213</v>
      </c>
      <c r="Q9" s="1189">
        <f>+P9/$P$7</f>
        <v>0.25600961538461536</v>
      </c>
      <c r="R9" s="1214">
        <v>20520.25</v>
      </c>
      <c r="S9" s="1189">
        <f>+R9/$R$7</f>
        <v>0.37588505319478049</v>
      </c>
      <c r="T9" s="1214">
        <v>215.05083333333334</v>
      </c>
      <c r="U9" s="1189">
        <f>+T9/$T$7</f>
        <v>0.25748432094918083</v>
      </c>
    </row>
    <row r="10" spans="1:21" s="1190" customFormat="1" ht="10.5" customHeight="1" x14ac:dyDescent="0.15">
      <c r="A10" s="3106"/>
      <c r="B10" s="3106"/>
      <c r="C10" s="3106"/>
      <c r="D10" s="3106"/>
      <c r="E10" s="3106"/>
      <c r="F10" s="1191"/>
    </row>
    <row r="11" spans="1:21" s="1190" customFormat="1" x14ac:dyDescent="0.15">
      <c r="A11" s="3130" t="s">
        <v>2639</v>
      </c>
      <c r="B11" s="3130"/>
      <c r="C11" s="3130"/>
      <c r="D11" s="3130"/>
      <c r="E11" s="3130"/>
      <c r="F11" s="3130"/>
      <c r="G11" s="3130"/>
      <c r="H11" s="3130"/>
      <c r="I11" s="3130"/>
    </row>
    <row r="12" spans="1:21" s="1190" customFormat="1" ht="11.25" customHeight="1" x14ac:dyDescent="0.15">
      <c r="A12" s="3131" t="s">
        <v>2640</v>
      </c>
      <c r="B12" s="3131"/>
      <c r="C12" s="3131"/>
      <c r="D12" s="3131"/>
      <c r="E12" s="3131"/>
      <c r="F12" s="1191"/>
    </row>
    <row r="13" spans="1:21" s="1190" customFormat="1" x14ac:dyDescent="0.15">
      <c r="A13" s="3132" t="s">
        <v>2641</v>
      </c>
      <c r="B13" s="3132"/>
      <c r="C13" s="3132"/>
      <c r="D13" s="3132"/>
      <c r="E13" s="3132"/>
      <c r="F13" s="1191"/>
    </row>
  </sheetData>
  <mergeCells count="22">
    <mergeCell ref="A11:I11"/>
    <mergeCell ref="A12:E12"/>
    <mergeCell ref="A13:E13"/>
    <mergeCell ref="L5:M5"/>
    <mergeCell ref="N5:O5"/>
    <mergeCell ref="P5:Q5"/>
    <mergeCell ref="R5:S5"/>
    <mergeCell ref="T5:U5"/>
    <mergeCell ref="A10:E10"/>
    <mergeCell ref="A5:A6"/>
    <mergeCell ref="B5:C5"/>
    <mergeCell ref="D5:E5"/>
    <mergeCell ref="F5:G5"/>
    <mergeCell ref="H5:I5"/>
    <mergeCell ref="J5:K5"/>
    <mergeCell ref="A2:U2"/>
    <mergeCell ref="A3:E3"/>
    <mergeCell ref="B4:E4"/>
    <mergeCell ref="F4:I4"/>
    <mergeCell ref="J4:M4"/>
    <mergeCell ref="N4:Q4"/>
    <mergeCell ref="R4:U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U27"/>
  <sheetViews>
    <sheetView zoomScaleNormal="100" workbookViewId="0">
      <selection activeCell="A2" sqref="A2:U2"/>
    </sheetView>
  </sheetViews>
  <sheetFormatPr baseColWidth="10" defaultColWidth="11.42578125" defaultRowHeight="10.5" x14ac:dyDescent="0.15"/>
  <cols>
    <col min="1" max="1" width="20.5703125" style="1211" customWidth="1"/>
    <col min="2" max="2" width="9" style="1211" bestFit="1" customWidth="1"/>
    <col min="3" max="3" width="11.42578125" style="1211"/>
    <col min="4" max="4" width="6.42578125" style="1211" bestFit="1" customWidth="1"/>
    <col min="5" max="5" width="11.42578125" style="1211"/>
    <col min="6" max="6" width="9" style="1211" bestFit="1" customWidth="1"/>
    <col min="7" max="7" width="11.42578125" style="1211"/>
    <col min="8" max="8" width="6.42578125" style="1211" bestFit="1" customWidth="1"/>
    <col min="9" max="9" width="11.42578125" style="1211"/>
    <col min="10" max="10" width="9" style="1211" bestFit="1" customWidth="1"/>
    <col min="11" max="11" width="11.140625" style="1211" bestFit="1" customWidth="1"/>
    <col min="12" max="12" width="6.42578125" style="1211" bestFit="1" customWidth="1"/>
    <col min="13" max="13" width="11.42578125" style="1211"/>
    <col min="14" max="14" width="9" style="1211" bestFit="1" customWidth="1"/>
    <col min="15" max="15" width="11.42578125" style="1211"/>
    <col min="16" max="16" width="6.42578125" style="1211" bestFit="1" customWidth="1"/>
    <col min="17" max="17" width="11.42578125" style="1211"/>
    <col min="18" max="18" width="9" style="1211" bestFit="1" customWidth="1"/>
    <col min="19" max="19" width="11.42578125" style="1211"/>
    <col min="20" max="20" width="6.42578125" style="1211" bestFit="1" customWidth="1"/>
    <col min="21" max="16384" width="11.42578125" style="1211"/>
  </cols>
  <sheetData>
    <row r="1" spans="1:21" x14ac:dyDescent="0.15">
      <c r="A1" s="1210"/>
    </row>
    <row r="2" spans="1:21" s="461" customFormat="1" ht="18.75" customHeight="1" x14ac:dyDescent="0.15">
      <c r="A2" s="3116" t="s">
        <v>2642</v>
      </c>
      <c r="B2" s="3116"/>
      <c r="C2" s="3116"/>
      <c r="D2" s="3116"/>
      <c r="E2" s="3116"/>
      <c r="F2" s="3116"/>
      <c r="G2" s="3116"/>
      <c r="H2" s="3116"/>
      <c r="I2" s="3116"/>
      <c r="J2" s="3116"/>
      <c r="K2" s="3116"/>
      <c r="L2" s="3116"/>
      <c r="M2" s="3116"/>
      <c r="N2" s="3116"/>
      <c r="O2" s="3116"/>
      <c r="P2" s="3116"/>
      <c r="Q2" s="3116"/>
      <c r="R2" s="3116"/>
      <c r="S2" s="3116"/>
      <c r="T2" s="3116"/>
      <c r="U2" s="3116"/>
    </row>
    <row r="3" spans="1:21" s="461" customFormat="1" x14ac:dyDescent="0.15">
      <c r="A3" s="3110"/>
      <c r="B3" s="3110"/>
      <c r="C3" s="3110"/>
      <c r="D3" s="3110"/>
      <c r="E3" s="3110"/>
      <c r="F3" s="1215"/>
    </row>
    <row r="4" spans="1:21" s="461" customFormat="1" ht="15" customHeight="1" x14ac:dyDescent="0.15">
      <c r="A4" s="3133" t="s">
        <v>2619</v>
      </c>
      <c r="B4" s="3120">
        <v>2011</v>
      </c>
      <c r="C4" s="3121"/>
      <c r="D4" s="3121"/>
      <c r="E4" s="3122"/>
      <c r="F4" s="3120">
        <v>2012</v>
      </c>
      <c r="G4" s="3121"/>
      <c r="H4" s="3121"/>
      <c r="I4" s="3122"/>
      <c r="J4" s="3120">
        <v>2013</v>
      </c>
      <c r="K4" s="3121"/>
      <c r="L4" s="3121"/>
      <c r="M4" s="3122"/>
      <c r="N4" s="3120">
        <v>2014</v>
      </c>
      <c r="O4" s="3121"/>
      <c r="P4" s="3121"/>
      <c r="Q4" s="3122"/>
      <c r="R4" s="3120">
        <v>2015</v>
      </c>
      <c r="S4" s="3121"/>
      <c r="T4" s="3121"/>
      <c r="U4" s="3122"/>
    </row>
    <row r="5" spans="1:21" s="461" customFormat="1" ht="12.75" customHeight="1" x14ac:dyDescent="0.15">
      <c r="A5" s="3134"/>
      <c r="B5" s="3126" t="s">
        <v>2612</v>
      </c>
      <c r="C5" s="3126"/>
      <c r="D5" s="3126" t="s">
        <v>2620</v>
      </c>
      <c r="E5" s="3126"/>
      <c r="F5" s="3126" t="s">
        <v>2612</v>
      </c>
      <c r="G5" s="3126"/>
      <c r="H5" s="3126" t="s">
        <v>2620</v>
      </c>
      <c r="I5" s="3126"/>
      <c r="J5" s="3126" t="s">
        <v>2612</v>
      </c>
      <c r="K5" s="3126"/>
      <c r="L5" s="3126" t="s">
        <v>2620</v>
      </c>
      <c r="M5" s="3126"/>
      <c r="N5" s="3126" t="s">
        <v>2612</v>
      </c>
      <c r="O5" s="3126"/>
      <c r="P5" s="3126" t="s">
        <v>2620</v>
      </c>
      <c r="Q5" s="3126"/>
      <c r="R5" s="3126" t="s">
        <v>2612</v>
      </c>
      <c r="S5" s="3126"/>
      <c r="T5" s="3126" t="s">
        <v>2620</v>
      </c>
      <c r="U5" s="3126"/>
    </row>
    <row r="6" spans="1:21" s="461" customFormat="1" x14ac:dyDescent="0.15">
      <c r="A6" s="3135"/>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6">
        <f t="shared" ref="B7:U7" si="0">SUM(B8:B21)</f>
        <v>31813</v>
      </c>
      <c r="C7" s="1217">
        <f t="shared" si="0"/>
        <v>1</v>
      </c>
      <c r="D7" s="1216">
        <f t="shared" si="0"/>
        <v>709</v>
      </c>
      <c r="E7" s="1217">
        <f t="shared" si="0"/>
        <v>0.99999999999999989</v>
      </c>
      <c r="F7" s="1216">
        <f t="shared" si="0"/>
        <v>32593</v>
      </c>
      <c r="G7" s="1217">
        <f t="shared" si="0"/>
        <v>1</v>
      </c>
      <c r="H7" s="1216">
        <f t="shared" si="0"/>
        <v>682</v>
      </c>
      <c r="I7" s="1217">
        <f t="shared" si="0"/>
        <v>0.99999999999999989</v>
      </c>
      <c r="J7" s="1216">
        <f t="shared" si="0"/>
        <v>31988</v>
      </c>
      <c r="K7" s="1217">
        <f t="shared" si="0"/>
        <v>0.99999999999999989</v>
      </c>
      <c r="L7" s="1216">
        <f t="shared" si="0"/>
        <v>667.2</v>
      </c>
      <c r="M7" s="1217">
        <f t="shared" si="0"/>
        <v>1</v>
      </c>
      <c r="N7" s="1216">
        <f t="shared" si="0"/>
        <v>31942</v>
      </c>
      <c r="O7" s="1217">
        <f t="shared" si="0"/>
        <v>1</v>
      </c>
      <c r="P7" s="1216">
        <f t="shared" si="0"/>
        <v>618</v>
      </c>
      <c r="Q7" s="1217">
        <f t="shared" si="0"/>
        <v>1</v>
      </c>
      <c r="R7" s="1216">
        <f t="shared" si="0"/>
        <v>34072</v>
      </c>
      <c r="S7" s="1217">
        <f t="shared" si="0"/>
        <v>1</v>
      </c>
      <c r="T7" s="1216">
        <f t="shared" si="0"/>
        <v>620.14888888888879</v>
      </c>
      <c r="U7" s="1217">
        <f t="shared" si="0"/>
        <v>1</v>
      </c>
    </row>
    <row r="8" spans="1:21" s="461" customFormat="1" x14ac:dyDescent="0.15">
      <c r="A8" s="461" t="s">
        <v>2621</v>
      </c>
      <c r="B8" s="300">
        <v>5665</v>
      </c>
      <c r="C8" s="1189">
        <f>+B8/$B$7</f>
        <v>0.17807185741677931</v>
      </c>
      <c r="D8" s="300">
        <v>94</v>
      </c>
      <c r="E8" s="1189">
        <f>+D8/$D$7</f>
        <v>0.13258110014104371</v>
      </c>
      <c r="F8" s="300">
        <v>6468</v>
      </c>
      <c r="G8" s="1189">
        <f>+F8/$F$7</f>
        <v>0.19844751940600741</v>
      </c>
      <c r="H8" s="300">
        <v>102</v>
      </c>
      <c r="I8" s="1189">
        <f>+H8/$H$7</f>
        <v>0.14956011730205279</v>
      </c>
      <c r="J8" s="300">
        <v>7330</v>
      </c>
      <c r="K8" s="1189">
        <f>+J8/$J$7</f>
        <v>0.22914843066149806</v>
      </c>
      <c r="L8" s="300">
        <v>121</v>
      </c>
      <c r="M8" s="1189">
        <f>+L8/$L$7</f>
        <v>0.18135491606714627</v>
      </c>
      <c r="N8" s="300">
        <v>7362</v>
      </c>
      <c r="O8" s="1189">
        <f>+N8/$N$7</f>
        <v>0.23048024544486884</v>
      </c>
      <c r="P8" s="300">
        <v>101</v>
      </c>
      <c r="Q8" s="1189">
        <f>+P8/$P$7</f>
        <v>0.16343042071197411</v>
      </c>
      <c r="R8" s="300">
        <v>7372</v>
      </c>
      <c r="S8" s="1189">
        <f>+R8/$R$7</f>
        <v>0.21636534397745949</v>
      </c>
      <c r="T8" s="300">
        <v>75.594722222222202</v>
      </c>
      <c r="U8" s="1189">
        <f>+T8/$T$7</f>
        <v>0.12189769840217581</v>
      </c>
    </row>
    <row r="9" spans="1:21" s="461" customFormat="1" x14ac:dyDescent="0.15">
      <c r="A9" s="461" t="s">
        <v>312</v>
      </c>
      <c r="B9" s="300">
        <v>210</v>
      </c>
      <c r="C9" s="1189">
        <f t="shared" ref="C9:C20" si="1">+B9/$B$7</f>
        <v>6.6010750322195331E-3</v>
      </c>
      <c r="D9" s="300">
        <v>4</v>
      </c>
      <c r="E9" s="1189">
        <f t="shared" ref="E9:E20" si="2">+D9/$D$7</f>
        <v>5.6417489421720732E-3</v>
      </c>
      <c r="F9" s="300">
        <v>220</v>
      </c>
      <c r="G9" s="1189">
        <f t="shared" ref="G9:G21" si="3">+F9/$F$7</f>
        <v>6.7499156260546747E-3</v>
      </c>
      <c r="H9" s="300">
        <v>4</v>
      </c>
      <c r="I9" s="1189">
        <f t="shared" ref="I9:I21" si="4">+H9/$H$7</f>
        <v>5.8651026392961877E-3</v>
      </c>
      <c r="J9" s="300">
        <v>432</v>
      </c>
      <c r="K9" s="1189">
        <f t="shared" ref="K9:K20" si="5">+J9/$J$7</f>
        <v>1.3505064399149681E-2</v>
      </c>
      <c r="L9" s="300">
        <v>5</v>
      </c>
      <c r="M9" s="1189">
        <f t="shared" ref="M9:M20" si="6">+L9/$L$7</f>
        <v>7.4940047961630689E-3</v>
      </c>
      <c r="N9" s="300">
        <v>188</v>
      </c>
      <c r="O9" s="1189">
        <f t="shared" ref="O9:O20" si="7">+N9/$N$7</f>
        <v>5.8856677728382698E-3</v>
      </c>
      <c r="P9" s="300">
        <v>2</v>
      </c>
      <c r="Q9" s="1189">
        <f t="shared" ref="Q9:Q20" si="8">+P9/$P$7</f>
        <v>3.2362459546925568E-3</v>
      </c>
      <c r="R9" s="300">
        <v>226</v>
      </c>
      <c r="S9" s="1189">
        <f t="shared" ref="S9:S20" si="9">+R9/$R$7</f>
        <v>6.6330124442357365E-3</v>
      </c>
      <c r="T9" s="300">
        <v>2.9738888888888888</v>
      </c>
      <c r="U9" s="1189">
        <f t="shared" ref="U9:U20" si="10">+T9/$T$7</f>
        <v>4.7954433881469329E-3</v>
      </c>
    </row>
    <row r="10" spans="1:21" s="461" customFormat="1" x14ac:dyDescent="0.15">
      <c r="A10" s="461" t="s">
        <v>1738</v>
      </c>
      <c r="B10" s="300">
        <v>1596</v>
      </c>
      <c r="C10" s="1189">
        <f t="shared" si="1"/>
        <v>5.016817024486845E-2</v>
      </c>
      <c r="D10" s="300">
        <v>40</v>
      </c>
      <c r="E10" s="1189">
        <f t="shared" si="2"/>
        <v>5.6417489421720736E-2</v>
      </c>
      <c r="F10" s="300">
        <v>1260</v>
      </c>
      <c r="G10" s="1189">
        <f t="shared" si="3"/>
        <v>3.8658607676494955E-2</v>
      </c>
      <c r="H10" s="300">
        <v>34</v>
      </c>
      <c r="I10" s="1189">
        <f t="shared" si="4"/>
        <v>4.9853372434017593E-2</v>
      </c>
      <c r="J10" s="300">
        <v>899</v>
      </c>
      <c r="K10" s="1189">
        <f t="shared" si="5"/>
        <v>2.8104289108415656E-2</v>
      </c>
      <c r="L10" s="300">
        <v>30</v>
      </c>
      <c r="M10" s="1189">
        <f t="shared" si="6"/>
        <v>4.4964028776978415E-2</v>
      </c>
      <c r="N10" s="300">
        <v>805</v>
      </c>
      <c r="O10" s="1189">
        <f t="shared" si="7"/>
        <v>2.5201928495397909E-2</v>
      </c>
      <c r="P10" s="300">
        <v>28</v>
      </c>
      <c r="Q10" s="1189">
        <f t="shared" si="8"/>
        <v>4.5307443365695796E-2</v>
      </c>
      <c r="R10" s="300">
        <v>1103</v>
      </c>
      <c r="S10" s="1189">
        <f t="shared" si="9"/>
        <v>3.2372622681380608E-2</v>
      </c>
      <c r="T10" s="300">
        <v>33.423333333333332</v>
      </c>
      <c r="U10" s="1189">
        <f t="shared" si="10"/>
        <v>5.3895659465289701E-2</v>
      </c>
    </row>
    <row r="11" spans="1:21" s="461" customFormat="1" x14ac:dyDescent="0.15">
      <c r="A11" s="461" t="s">
        <v>2622</v>
      </c>
      <c r="B11" s="300">
        <v>8968</v>
      </c>
      <c r="C11" s="1189">
        <f t="shared" si="1"/>
        <v>0.28189733756640367</v>
      </c>
      <c r="D11" s="300">
        <v>235</v>
      </c>
      <c r="E11" s="1189">
        <f t="shared" si="2"/>
        <v>0.33145275035260929</v>
      </c>
      <c r="F11" s="300">
        <v>8907</v>
      </c>
      <c r="G11" s="1189">
        <f t="shared" si="3"/>
        <v>0.27327953855122267</v>
      </c>
      <c r="H11" s="300">
        <v>219</v>
      </c>
      <c r="I11" s="1189">
        <f t="shared" si="4"/>
        <v>0.32111436950146627</v>
      </c>
      <c r="J11" s="300">
        <v>8941</v>
      </c>
      <c r="K11" s="1189">
        <f t="shared" si="5"/>
        <v>0.27951106664999376</v>
      </c>
      <c r="L11" s="300">
        <v>226</v>
      </c>
      <c r="M11" s="1189">
        <f t="shared" si="6"/>
        <v>0.33872901678657075</v>
      </c>
      <c r="N11" s="300">
        <v>9302</v>
      </c>
      <c r="O11" s="1189">
        <f t="shared" si="7"/>
        <v>0.29121532778160414</v>
      </c>
      <c r="P11" s="300">
        <v>215</v>
      </c>
      <c r="Q11" s="1189">
        <f t="shared" si="8"/>
        <v>0.34789644012944981</v>
      </c>
      <c r="R11" s="300">
        <v>9404</v>
      </c>
      <c r="S11" s="1189">
        <f t="shared" si="9"/>
        <v>0.27600375675041089</v>
      </c>
      <c r="T11" s="300">
        <v>221.42555555555555</v>
      </c>
      <c r="U11" s="1189">
        <f t="shared" si="10"/>
        <v>0.35705224910147032</v>
      </c>
    </row>
    <row r="12" spans="1:21" s="461" customFormat="1" x14ac:dyDescent="0.15">
      <c r="A12" s="461" t="s">
        <v>2623</v>
      </c>
      <c r="B12" s="300">
        <v>22</v>
      </c>
      <c r="C12" s="1189">
        <f t="shared" si="1"/>
        <v>6.9154119385157016E-4</v>
      </c>
      <c r="D12" s="1218">
        <v>0</v>
      </c>
      <c r="E12" s="1219">
        <f t="shared" si="2"/>
        <v>0</v>
      </c>
      <c r="F12" s="300">
        <v>15</v>
      </c>
      <c r="G12" s="1189">
        <f t="shared" si="3"/>
        <v>4.6022151995827324E-4</v>
      </c>
      <c r="H12" s="1218">
        <v>0</v>
      </c>
      <c r="I12" s="1189">
        <f t="shared" si="4"/>
        <v>0</v>
      </c>
      <c r="J12" s="300">
        <v>23</v>
      </c>
      <c r="K12" s="1189">
        <f t="shared" si="5"/>
        <v>7.1901963236213585E-4</v>
      </c>
      <c r="L12" s="1218">
        <v>0.2</v>
      </c>
      <c r="M12" s="1189">
        <f t="shared" si="6"/>
        <v>2.9976019184652276E-4</v>
      </c>
      <c r="N12" s="300">
        <v>33</v>
      </c>
      <c r="O12" s="1189">
        <f t="shared" si="7"/>
        <v>1.0331225345939516E-3</v>
      </c>
      <c r="P12" s="1218">
        <v>0</v>
      </c>
      <c r="Q12" s="1189">
        <f t="shared" si="8"/>
        <v>0</v>
      </c>
      <c r="R12" s="300">
        <v>45</v>
      </c>
      <c r="S12" s="1189">
        <f t="shared" si="9"/>
        <v>1.3207325663301245E-3</v>
      </c>
      <c r="T12" s="1218">
        <v>0.21916666666666668</v>
      </c>
      <c r="U12" s="1189">
        <f t="shared" si="10"/>
        <v>3.5340975464673367E-4</v>
      </c>
    </row>
    <row r="13" spans="1:21" s="461" customFormat="1" x14ac:dyDescent="0.15">
      <c r="A13" s="461" t="s">
        <v>100</v>
      </c>
      <c r="B13" s="300">
        <v>8979</v>
      </c>
      <c r="C13" s="1189">
        <f t="shared" si="1"/>
        <v>0.28224310816332948</v>
      </c>
      <c r="D13" s="300">
        <v>203</v>
      </c>
      <c r="E13" s="1189">
        <f t="shared" si="2"/>
        <v>0.28631875881523272</v>
      </c>
      <c r="F13" s="300">
        <v>8712</v>
      </c>
      <c r="G13" s="1189">
        <f t="shared" si="3"/>
        <v>0.26729665879176512</v>
      </c>
      <c r="H13" s="300">
        <v>186</v>
      </c>
      <c r="I13" s="1189">
        <f t="shared" si="4"/>
        <v>0.27272727272727271</v>
      </c>
      <c r="J13" s="300">
        <v>8664</v>
      </c>
      <c r="K13" s="1189">
        <f t="shared" si="5"/>
        <v>0.27085156933850196</v>
      </c>
      <c r="L13" s="300">
        <v>171</v>
      </c>
      <c r="M13" s="1189">
        <f t="shared" si="6"/>
        <v>0.25629496402877694</v>
      </c>
      <c r="N13" s="300">
        <v>7070</v>
      </c>
      <c r="O13" s="1189">
        <f t="shared" si="7"/>
        <v>0.22133867635088597</v>
      </c>
      <c r="P13" s="300">
        <v>130</v>
      </c>
      <c r="Q13" s="1189">
        <f t="shared" si="8"/>
        <v>0.21035598705501618</v>
      </c>
      <c r="R13" s="300">
        <v>6976</v>
      </c>
      <c r="S13" s="1189">
        <f t="shared" si="9"/>
        <v>0.2047428973937544</v>
      </c>
      <c r="T13" s="300">
        <v>140.17527777777778</v>
      </c>
      <c r="U13" s="1189">
        <f t="shared" si="10"/>
        <v>0.22603487692919624</v>
      </c>
    </row>
    <row r="14" spans="1:21" s="461" customFormat="1" x14ac:dyDescent="0.15">
      <c r="A14" s="461" t="s">
        <v>2624</v>
      </c>
      <c r="B14" s="300">
        <v>46</v>
      </c>
      <c r="C14" s="1189">
        <f t="shared" si="1"/>
        <v>1.4459497689623738E-3</v>
      </c>
      <c r="D14" s="300">
        <v>1</v>
      </c>
      <c r="E14" s="1189">
        <f t="shared" si="2"/>
        <v>1.4104372355430183E-3</v>
      </c>
      <c r="F14" s="300">
        <v>41</v>
      </c>
      <c r="G14" s="1189">
        <f t="shared" si="3"/>
        <v>1.2579388212192802E-3</v>
      </c>
      <c r="H14" s="300">
        <v>1</v>
      </c>
      <c r="I14" s="1189">
        <f t="shared" si="4"/>
        <v>1.4662756598240469E-3</v>
      </c>
      <c r="J14" s="300">
        <v>37</v>
      </c>
      <c r="K14" s="1189">
        <f t="shared" si="5"/>
        <v>1.1566837564086533E-3</v>
      </c>
      <c r="L14" s="300">
        <v>1</v>
      </c>
      <c r="M14" s="1189">
        <f t="shared" si="6"/>
        <v>1.4988009592326139E-3</v>
      </c>
      <c r="N14" s="300">
        <v>62</v>
      </c>
      <c r="O14" s="1189">
        <f t="shared" si="7"/>
        <v>1.941018095297727E-3</v>
      </c>
      <c r="P14" s="300">
        <v>1</v>
      </c>
      <c r="Q14" s="1189">
        <f t="shared" si="8"/>
        <v>1.6181229773462784E-3</v>
      </c>
      <c r="R14" s="300">
        <v>58</v>
      </c>
      <c r="S14" s="1189">
        <f t="shared" si="9"/>
        <v>1.7022775299366049E-3</v>
      </c>
      <c r="T14" s="300">
        <v>1.1705555555555556</v>
      </c>
      <c r="U14" s="1189">
        <f t="shared" si="10"/>
        <v>1.8875395514338855E-3</v>
      </c>
    </row>
    <row r="15" spans="1:21" s="461" customFormat="1" x14ac:dyDescent="0.15">
      <c r="A15" s="1220" t="s">
        <v>2543</v>
      </c>
      <c r="B15" s="300" t="s">
        <v>181</v>
      </c>
      <c r="C15" s="300" t="s">
        <v>181</v>
      </c>
      <c r="D15" s="300" t="s">
        <v>181</v>
      </c>
      <c r="E15" s="300" t="s">
        <v>181</v>
      </c>
      <c r="F15" s="300">
        <v>1528</v>
      </c>
      <c r="G15" s="1189">
        <f t="shared" si="3"/>
        <v>4.6881232166416105E-2</v>
      </c>
      <c r="H15" s="300">
        <v>2</v>
      </c>
      <c r="I15" s="1189">
        <f t="shared" si="4"/>
        <v>2.9325513196480938E-3</v>
      </c>
      <c r="J15" s="300">
        <v>1753</v>
      </c>
      <c r="K15" s="1189">
        <f t="shared" si="5"/>
        <v>5.4801800675253219E-2</v>
      </c>
      <c r="L15" s="300">
        <v>5</v>
      </c>
      <c r="M15" s="1189">
        <f t="shared" si="6"/>
        <v>7.4940047961630689E-3</v>
      </c>
      <c r="N15" s="300">
        <v>2484</v>
      </c>
      <c r="O15" s="1189">
        <f t="shared" si="7"/>
        <v>7.7765950785799259E-2</v>
      </c>
      <c r="P15" s="300">
        <v>3</v>
      </c>
      <c r="Q15" s="1189">
        <f t="shared" si="8"/>
        <v>4.8543689320388345E-3</v>
      </c>
      <c r="R15" s="300">
        <v>2892</v>
      </c>
      <c r="S15" s="1189">
        <f t="shared" si="9"/>
        <v>8.4879079596149334E-2</v>
      </c>
      <c r="T15" s="300">
        <v>2.6333333333333333</v>
      </c>
      <c r="U15" s="1189">
        <f t="shared" si="10"/>
        <v>4.2462921090634159E-3</v>
      </c>
    </row>
    <row r="16" spans="1:21" s="461" customFormat="1" x14ac:dyDescent="0.15">
      <c r="A16" s="461" t="s">
        <v>2625</v>
      </c>
      <c r="B16" s="300">
        <v>871</v>
      </c>
      <c r="C16" s="1189">
        <f t="shared" si="1"/>
        <v>2.7378744538396255E-2</v>
      </c>
      <c r="D16" s="300">
        <v>21</v>
      </c>
      <c r="E16" s="1189">
        <f t="shared" si="2"/>
        <v>2.9619181946403384E-2</v>
      </c>
      <c r="F16" s="300">
        <v>873</v>
      </c>
      <c r="G16" s="1189">
        <f t="shared" si="3"/>
        <v>2.6784892461571504E-2</v>
      </c>
      <c r="H16" s="300">
        <v>17</v>
      </c>
      <c r="I16" s="1189">
        <f t="shared" si="4"/>
        <v>2.4926686217008796E-2</v>
      </c>
      <c r="J16" s="300">
        <v>852</v>
      </c>
      <c r="K16" s="1189">
        <f t="shared" si="5"/>
        <v>2.6634988120545204E-2</v>
      </c>
      <c r="L16" s="300">
        <v>20</v>
      </c>
      <c r="M16" s="1189">
        <f t="shared" si="6"/>
        <v>2.9976019184652276E-2</v>
      </c>
      <c r="N16" s="300">
        <v>1001</v>
      </c>
      <c r="O16" s="1189">
        <f t="shared" si="7"/>
        <v>3.133805021601653E-2</v>
      </c>
      <c r="P16" s="300">
        <v>18</v>
      </c>
      <c r="Q16" s="1189">
        <f t="shared" si="8"/>
        <v>2.9126213592233011E-2</v>
      </c>
      <c r="R16" s="300">
        <v>1374</v>
      </c>
      <c r="S16" s="1189">
        <f t="shared" si="9"/>
        <v>4.0326367691946467E-2</v>
      </c>
      <c r="T16" s="300">
        <v>23.251666666666665</v>
      </c>
      <c r="U16" s="1189">
        <f t="shared" si="10"/>
        <v>3.7493684312369435E-2</v>
      </c>
    </row>
    <row r="17" spans="1:21" s="461" customFormat="1" x14ac:dyDescent="0.15">
      <c r="A17" s="461" t="s">
        <v>2626</v>
      </c>
      <c r="B17" s="300">
        <v>896</v>
      </c>
      <c r="C17" s="1189">
        <f t="shared" si="1"/>
        <v>2.8164586804136672E-2</v>
      </c>
      <c r="D17" s="300">
        <v>41</v>
      </c>
      <c r="E17" s="1189">
        <f t="shared" si="2"/>
        <v>5.7827926657263752E-2</v>
      </c>
      <c r="F17" s="300">
        <v>1230</v>
      </c>
      <c r="G17" s="1189">
        <f t="shared" si="3"/>
        <v>3.7738164636578406E-2</v>
      </c>
      <c r="H17" s="300">
        <v>67</v>
      </c>
      <c r="I17" s="1189">
        <f t="shared" si="4"/>
        <v>9.824046920821114E-2</v>
      </c>
      <c r="J17" s="300">
        <v>717</v>
      </c>
      <c r="K17" s="1189">
        <f t="shared" si="5"/>
        <v>2.2414655495810929E-2</v>
      </c>
      <c r="L17" s="300">
        <v>32</v>
      </c>
      <c r="M17" s="1189">
        <f t="shared" si="6"/>
        <v>4.7961630695443645E-2</v>
      </c>
      <c r="N17" s="300">
        <v>479</v>
      </c>
      <c r="O17" s="1189">
        <f t="shared" si="7"/>
        <v>1.4995930123348569E-2</v>
      </c>
      <c r="P17" s="300">
        <v>16</v>
      </c>
      <c r="Q17" s="1189">
        <f t="shared" si="8"/>
        <v>2.5889967637540454E-2</v>
      </c>
      <c r="R17" s="300">
        <v>722</v>
      </c>
      <c r="S17" s="1189">
        <f t="shared" si="9"/>
        <v>2.1190420286452218E-2</v>
      </c>
      <c r="T17" s="300">
        <v>28.5825</v>
      </c>
      <c r="U17" s="1189">
        <f t="shared" si="10"/>
        <v>4.6089738306571544E-2</v>
      </c>
    </row>
    <row r="18" spans="1:21" s="461" customFormat="1" x14ac:dyDescent="0.15">
      <c r="A18" s="461" t="s">
        <v>2627</v>
      </c>
      <c r="B18" s="300">
        <v>670</v>
      </c>
      <c r="C18" s="1189">
        <f t="shared" si="1"/>
        <v>2.1060572721843272E-2</v>
      </c>
      <c r="D18" s="300">
        <v>21</v>
      </c>
      <c r="E18" s="1189">
        <f t="shared" si="2"/>
        <v>2.9619181946403384E-2</v>
      </c>
      <c r="F18" s="300">
        <v>432</v>
      </c>
      <c r="G18" s="1189">
        <f t="shared" si="3"/>
        <v>1.3254379774798269E-2</v>
      </c>
      <c r="H18" s="300">
        <v>11</v>
      </c>
      <c r="I18" s="1189">
        <f t="shared" si="4"/>
        <v>1.6129032258064516E-2</v>
      </c>
      <c r="J18" s="300">
        <v>244</v>
      </c>
      <c r="K18" s="1189">
        <f t="shared" si="5"/>
        <v>7.6278604476678752E-3</v>
      </c>
      <c r="L18" s="300">
        <v>7</v>
      </c>
      <c r="M18" s="1189">
        <f t="shared" si="6"/>
        <v>1.0491606714628296E-2</v>
      </c>
      <c r="N18" s="300">
        <v>1483</v>
      </c>
      <c r="O18" s="1189">
        <f t="shared" si="7"/>
        <v>4.6427900569782729E-2</v>
      </c>
      <c r="P18" s="300">
        <v>42</v>
      </c>
      <c r="Q18" s="1189">
        <f t="shared" si="8"/>
        <v>6.7961165048543687E-2</v>
      </c>
      <c r="R18" s="300">
        <v>1782</v>
      </c>
      <c r="S18" s="1189">
        <f t="shared" si="9"/>
        <v>5.2301009626672931E-2</v>
      </c>
      <c r="T18" s="300">
        <v>31.733888888888888</v>
      </c>
      <c r="U18" s="1189">
        <f t="shared" si="10"/>
        <v>5.1171403283082562E-2</v>
      </c>
    </row>
    <row r="19" spans="1:21" s="461" customFormat="1" x14ac:dyDescent="0.15">
      <c r="A19" s="461" t="s">
        <v>2628</v>
      </c>
      <c r="B19" s="300">
        <v>1148</v>
      </c>
      <c r="C19" s="1189">
        <f t="shared" si="1"/>
        <v>3.608587684280011E-2</v>
      </c>
      <c r="D19" s="300">
        <v>45</v>
      </c>
      <c r="E19" s="1189">
        <f t="shared" si="2"/>
        <v>6.3469675599435824E-2</v>
      </c>
      <c r="F19" s="300">
        <v>919</v>
      </c>
      <c r="G19" s="1189">
        <f t="shared" si="3"/>
        <v>2.8196238456110207E-2</v>
      </c>
      <c r="H19" s="300">
        <v>37</v>
      </c>
      <c r="I19" s="1189">
        <f t="shared" si="4"/>
        <v>5.4252199413489736E-2</v>
      </c>
      <c r="J19" s="300">
        <v>1033</v>
      </c>
      <c r="K19" s="1189">
        <f t="shared" si="5"/>
        <v>3.2293360010003748E-2</v>
      </c>
      <c r="L19" s="300">
        <v>48</v>
      </c>
      <c r="M19" s="1189">
        <f t="shared" si="6"/>
        <v>7.1942446043165464E-2</v>
      </c>
      <c r="N19" s="300">
        <v>1418</v>
      </c>
      <c r="O19" s="1189">
        <f t="shared" si="7"/>
        <v>4.4392962244067372E-2</v>
      </c>
      <c r="P19" s="300">
        <v>62</v>
      </c>
      <c r="Q19" s="1189">
        <f t="shared" si="8"/>
        <v>0.10032362459546926</v>
      </c>
      <c r="R19" s="300">
        <v>1871</v>
      </c>
      <c r="S19" s="1189">
        <f t="shared" si="9"/>
        <v>5.4913125146748065E-2</v>
      </c>
      <c r="T19" s="300">
        <v>58.761111111111113</v>
      </c>
      <c r="U19" s="1189">
        <f t="shared" si="10"/>
        <v>9.4753231302877106E-2</v>
      </c>
    </row>
    <row r="20" spans="1:21" s="461" customFormat="1" x14ac:dyDescent="0.15">
      <c r="A20" s="461" t="s">
        <v>2629</v>
      </c>
      <c r="B20" s="300">
        <v>2742</v>
      </c>
      <c r="C20" s="1189">
        <f t="shared" si="1"/>
        <v>8.6191179706409327E-2</v>
      </c>
      <c r="D20" s="1218">
        <v>4</v>
      </c>
      <c r="E20" s="1189">
        <f t="shared" si="2"/>
        <v>5.6417489421720732E-3</v>
      </c>
      <c r="F20" s="300">
        <v>1979</v>
      </c>
      <c r="G20" s="1189">
        <f t="shared" si="3"/>
        <v>6.0718559199828187E-2</v>
      </c>
      <c r="H20" s="1218">
        <v>2</v>
      </c>
      <c r="I20" s="1189">
        <f t="shared" si="4"/>
        <v>2.9325513196480938E-3</v>
      </c>
      <c r="J20" s="300">
        <v>1063</v>
      </c>
      <c r="K20" s="1189">
        <f t="shared" si="5"/>
        <v>3.3231211704389148E-2</v>
      </c>
      <c r="L20" s="1218">
        <v>1</v>
      </c>
      <c r="M20" s="1189">
        <f t="shared" si="6"/>
        <v>1.4988009592326139E-3</v>
      </c>
      <c r="N20" s="300">
        <v>255</v>
      </c>
      <c r="O20" s="1189">
        <f t="shared" si="7"/>
        <v>7.9832195854987169E-3</v>
      </c>
      <c r="P20" s="1218">
        <v>0</v>
      </c>
      <c r="Q20" s="1189">
        <f t="shared" si="8"/>
        <v>0</v>
      </c>
      <c r="R20" s="300">
        <v>247</v>
      </c>
      <c r="S20" s="1189">
        <f t="shared" si="9"/>
        <v>7.2493543085231276E-3</v>
      </c>
      <c r="T20" s="1218">
        <v>0.2038888888888889</v>
      </c>
      <c r="U20" s="1189">
        <f t="shared" si="10"/>
        <v>3.2877409367642902E-4</v>
      </c>
    </row>
    <row r="21" spans="1:21" s="1191" customFormat="1" x14ac:dyDescent="0.15">
      <c r="A21" s="1220" t="s">
        <v>2643</v>
      </c>
      <c r="B21" s="300" t="s">
        <v>181</v>
      </c>
      <c r="C21" s="300" t="s">
        <v>181</v>
      </c>
      <c r="D21" s="300" t="s">
        <v>181</v>
      </c>
      <c r="E21" s="300" t="s">
        <v>181</v>
      </c>
      <c r="F21" s="300">
        <v>9</v>
      </c>
      <c r="G21" s="1189">
        <f t="shared" si="3"/>
        <v>2.7613291197496398E-4</v>
      </c>
      <c r="H21" s="1221">
        <v>0</v>
      </c>
      <c r="I21" s="1189">
        <f t="shared" si="4"/>
        <v>0</v>
      </c>
      <c r="J21" s="300" t="s">
        <v>181</v>
      </c>
      <c r="K21" s="300" t="s">
        <v>181</v>
      </c>
      <c r="L21" s="300" t="s">
        <v>181</v>
      </c>
      <c r="M21" s="300" t="s">
        <v>181</v>
      </c>
      <c r="N21" s="300" t="s">
        <v>181</v>
      </c>
      <c r="O21" s="300" t="s">
        <v>181</v>
      </c>
      <c r="P21" s="300" t="s">
        <v>181</v>
      </c>
      <c r="Q21" s="300" t="s">
        <v>181</v>
      </c>
      <c r="R21" s="300" t="s">
        <v>181</v>
      </c>
      <c r="S21" s="1221" t="s">
        <v>181</v>
      </c>
      <c r="T21" s="1221" t="s">
        <v>181</v>
      </c>
      <c r="U21" s="1221" t="s">
        <v>181</v>
      </c>
    </row>
    <row r="22" spans="1:21" s="1191" customFormat="1" ht="11.25" customHeight="1" x14ac:dyDescent="0.15">
      <c r="A22" s="3137"/>
      <c r="B22" s="3137"/>
      <c r="C22" s="3137"/>
      <c r="D22" s="3137"/>
      <c r="E22" s="3137"/>
      <c r="F22" s="1222"/>
    </row>
    <row r="23" spans="1:21" s="1190" customFormat="1" ht="11.25" customHeight="1" x14ac:dyDescent="0.15">
      <c r="A23" s="3138" t="s">
        <v>2644</v>
      </c>
      <c r="B23" s="3138"/>
      <c r="C23" s="3138"/>
      <c r="D23" s="3138"/>
      <c r="E23" s="3138"/>
      <c r="F23" s="1222"/>
    </row>
    <row r="24" spans="1:21" s="1190" customFormat="1" ht="11.25" customHeight="1" x14ac:dyDescent="0.15">
      <c r="A24" s="3138" t="s">
        <v>2645</v>
      </c>
      <c r="B24" s="3138"/>
      <c r="C24" s="3138"/>
      <c r="D24" s="3138"/>
      <c r="E24" s="3138"/>
      <c r="F24" s="1222"/>
    </row>
    <row r="25" spans="1:21" s="1190" customFormat="1" ht="11.25" customHeight="1" x14ac:dyDescent="0.15">
      <c r="A25" s="3131" t="s">
        <v>731</v>
      </c>
      <c r="B25" s="3131"/>
      <c r="C25" s="3131"/>
      <c r="D25" s="3131"/>
      <c r="E25" s="3131"/>
      <c r="F25" s="1222"/>
    </row>
    <row r="26" spans="1:21" s="1190" customFormat="1" ht="11.25" customHeight="1" x14ac:dyDescent="0.15">
      <c r="A26" s="3136" t="s">
        <v>2606</v>
      </c>
      <c r="B26" s="3136"/>
      <c r="C26" s="3136"/>
      <c r="D26" s="3136"/>
      <c r="E26" s="3136"/>
      <c r="F26" s="1222"/>
    </row>
    <row r="27" spans="1:21" s="1190" customFormat="1" x14ac:dyDescent="0.15">
      <c r="A27" s="1223"/>
      <c r="B27" s="1193"/>
      <c r="D27" s="1183"/>
      <c r="F27" s="1222"/>
    </row>
  </sheetData>
  <mergeCells count="23">
    <mergeCell ref="A26:E26"/>
    <mergeCell ref="R5:S5"/>
    <mergeCell ref="T5:U5"/>
    <mergeCell ref="A22:E22"/>
    <mergeCell ref="A23:E23"/>
    <mergeCell ref="A24:E24"/>
    <mergeCell ref="A25:E25"/>
    <mergeCell ref="F5:G5"/>
    <mergeCell ref="H5:I5"/>
    <mergeCell ref="J5:K5"/>
    <mergeCell ref="L5:M5"/>
    <mergeCell ref="N5:O5"/>
    <mergeCell ref="P5:Q5"/>
    <mergeCell ref="A2:U2"/>
    <mergeCell ref="A3:E3"/>
    <mergeCell ref="A4:A6"/>
    <mergeCell ref="B4:E4"/>
    <mergeCell ref="F4:I4"/>
    <mergeCell ref="J4:M4"/>
    <mergeCell ref="N4:Q4"/>
    <mergeCell ref="R4:U4"/>
    <mergeCell ref="B5:C5"/>
    <mergeCell ref="D5:E5"/>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U26"/>
  <sheetViews>
    <sheetView zoomScaleNormal="100" workbookViewId="0">
      <selection activeCell="G23" sqref="G23"/>
    </sheetView>
  </sheetViews>
  <sheetFormatPr baseColWidth="10" defaultColWidth="11.42578125" defaultRowHeight="10.5" x14ac:dyDescent="0.15"/>
  <cols>
    <col min="1" max="1" width="21.42578125" style="1191" customWidth="1"/>
    <col min="2" max="2" width="9" style="461" bestFit="1" customWidth="1"/>
    <col min="3" max="3" width="11.140625" style="461" bestFit="1" customWidth="1"/>
    <col min="4" max="4" width="6.42578125" style="1190" bestFit="1" customWidth="1"/>
    <col min="5" max="5" width="11.140625" style="1190" bestFit="1" customWidth="1"/>
    <col min="6" max="6" width="9" style="1190" bestFit="1" customWidth="1"/>
    <col min="7" max="7" width="11.42578125" style="1190"/>
    <col min="8" max="8" width="6.42578125" style="1190" bestFit="1" customWidth="1"/>
    <col min="9" max="9" width="11.42578125" style="1190"/>
    <col min="10" max="10" width="9" style="1190" bestFit="1" customWidth="1"/>
    <col min="11" max="11" width="11.42578125" style="1190"/>
    <col min="12" max="12" width="6.7109375" style="1190" bestFit="1" customWidth="1"/>
    <col min="13" max="13" width="11.42578125" style="1190"/>
    <col min="14" max="14" width="9" style="1190" bestFit="1" customWidth="1"/>
    <col min="15" max="15" width="11.140625" style="1190" bestFit="1" customWidth="1"/>
    <col min="16" max="16" width="6.42578125" style="1190" bestFit="1" customWidth="1"/>
    <col min="17" max="17" width="11.140625" style="1190" bestFit="1" customWidth="1"/>
    <col min="18" max="18" width="9" style="1190" bestFit="1" customWidth="1"/>
    <col min="19" max="19" width="11.42578125" style="1190"/>
    <col min="20" max="20" width="6.42578125" style="1190" bestFit="1" customWidth="1"/>
    <col min="21" max="16384" width="11.42578125" style="1190"/>
  </cols>
  <sheetData>
    <row r="1" spans="1:21" x14ac:dyDescent="0.15">
      <c r="A1" s="1210"/>
      <c r="D1" s="1183"/>
      <c r="E1" s="1191"/>
      <c r="F1" s="1191"/>
    </row>
    <row r="2" spans="1:21" s="461" customFormat="1" ht="18" customHeight="1" x14ac:dyDescent="0.15">
      <c r="A2" s="3116" t="s">
        <v>2646</v>
      </c>
      <c r="B2" s="3116"/>
      <c r="C2" s="3116"/>
      <c r="D2" s="3116"/>
      <c r="E2" s="3116"/>
      <c r="F2" s="3116"/>
      <c r="G2" s="3116"/>
      <c r="H2" s="3116"/>
      <c r="I2" s="3116"/>
      <c r="J2" s="3116"/>
      <c r="K2" s="3116"/>
      <c r="L2" s="3116"/>
      <c r="M2" s="3116"/>
      <c r="N2" s="3116"/>
    </row>
    <row r="3" spans="1:21" s="461" customFormat="1" ht="10.5" customHeight="1" x14ac:dyDescent="0.15">
      <c r="A3" s="3110"/>
      <c r="B3" s="3110"/>
      <c r="C3" s="3110"/>
      <c r="D3" s="3110"/>
      <c r="E3" s="3110"/>
      <c r="F3" s="1183"/>
    </row>
    <row r="4" spans="1:21" s="461" customFormat="1" ht="14.25" customHeight="1" x14ac:dyDescent="0.15">
      <c r="A4" s="3133" t="s">
        <v>2619</v>
      </c>
      <c r="B4" s="3120">
        <v>2011</v>
      </c>
      <c r="C4" s="3121"/>
      <c r="D4" s="3121"/>
      <c r="E4" s="3122"/>
      <c r="F4" s="3120">
        <v>2012</v>
      </c>
      <c r="G4" s="3121"/>
      <c r="H4" s="3121"/>
      <c r="I4" s="3122"/>
      <c r="J4" s="3120">
        <v>2013</v>
      </c>
      <c r="K4" s="3121"/>
      <c r="L4" s="3121"/>
      <c r="M4" s="3122"/>
      <c r="N4" s="3120">
        <v>2014</v>
      </c>
      <c r="O4" s="3121"/>
      <c r="P4" s="3121"/>
      <c r="Q4" s="3122"/>
      <c r="R4" s="3120">
        <v>2015</v>
      </c>
      <c r="S4" s="3121"/>
      <c r="T4" s="3121"/>
      <c r="U4" s="3122"/>
    </row>
    <row r="5" spans="1:21" s="461" customFormat="1" ht="16.5" customHeight="1" x14ac:dyDescent="0.15">
      <c r="A5" s="3134"/>
      <c r="B5" s="3126" t="s">
        <v>2612</v>
      </c>
      <c r="C5" s="3126"/>
      <c r="D5" s="3126" t="s">
        <v>2620</v>
      </c>
      <c r="E5" s="3126"/>
      <c r="F5" s="3126" t="s">
        <v>2612</v>
      </c>
      <c r="G5" s="3126"/>
      <c r="H5" s="3126" t="s">
        <v>2620</v>
      </c>
      <c r="I5" s="3126"/>
      <c r="J5" s="3126" t="s">
        <v>2612</v>
      </c>
      <c r="K5" s="3126"/>
      <c r="L5" s="3126" t="s">
        <v>2620</v>
      </c>
      <c r="M5" s="3126"/>
      <c r="N5" s="3126" t="s">
        <v>2612</v>
      </c>
      <c r="O5" s="3126"/>
      <c r="P5" s="3126" t="s">
        <v>2620</v>
      </c>
      <c r="Q5" s="3126"/>
      <c r="R5" s="3126" t="s">
        <v>2612</v>
      </c>
      <c r="S5" s="3126"/>
      <c r="T5" s="3126" t="s">
        <v>2620</v>
      </c>
      <c r="U5" s="3126"/>
    </row>
    <row r="6" spans="1:21" s="461" customFormat="1" ht="15" customHeight="1" x14ac:dyDescent="0.15">
      <c r="A6" s="3135"/>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6">
        <f t="shared" ref="B7:U7" si="0">SUM(B8:B21)</f>
        <v>20064</v>
      </c>
      <c r="C7" s="1187">
        <f t="shared" si="0"/>
        <v>1</v>
      </c>
      <c r="D7" s="1216">
        <f t="shared" si="0"/>
        <v>271</v>
      </c>
      <c r="E7" s="1187">
        <f t="shared" si="0"/>
        <v>1</v>
      </c>
      <c r="F7" s="1216">
        <f t="shared" si="0"/>
        <v>22184</v>
      </c>
      <c r="G7" s="1187">
        <f t="shared" si="0"/>
        <v>1</v>
      </c>
      <c r="H7" s="1216">
        <f t="shared" si="0"/>
        <v>253</v>
      </c>
      <c r="I7" s="1187">
        <f t="shared" si="0"/>
        <v>1</v>
      </c>
      <c r="J7" s="1216">
        <f t="shared" si="0"/>
        <v>22596.15</v>
      </c>
      <c r="K7" s="1187">
        <f t="shared" si="0"/>
        <v>1</v>
      </c>
      <c r="L7" s="1216">
        <f t="shared" si="0"/>
        <v>263.21777777777777</v>
      </c>
      <c r="M7" s="1187">
        <f t="shared" si="0"/>
        <v>1</v>
      </c>
      <c r="N7" s="1216">
        <f t="shared" si="0"/>
        <v>19919.2</v>
      </c>
      <c r="O7" s="1187">
        <f t="shared" si="0"/>
        <v>0.99999999999999989</v>
      </c>
      <c r="P7" s="1216">
        <f t="shared" si="0"/>
        <v>212.57999999999998</v>
      </c>
      <c r="Q7" s="1187">
        <f t="shared" si="0"/>
        <v>1</v>
      </c>
      <c r="R7" s="1216">
        <f t="shared" si="0"/>
        <v>20520.240000000002</v>
      </c>
      <c r="S7" s="1187">
        <f t="shared" si="0"/>
        <v>0.99999999999999989</v>
      </c>
      <c r="T7" s="1216">
        <f t="shared" si="0"/>
        <v>214.96008333333333</v>
      </c>
      <c r="U7" s="1187">
        <f t="shared" si="0"/>
        <v>1</v>
      </c>
    </row>
    <row r="8" spans="1:21" s="461" customFormat="1" x14ac:dyDescent="0.15">
      <c r="A8" s="461" t="s">
        <v>2621</v>
      </c>
      <c r="B8" s="300">
        <v>449</v>
      </c>
      <c r="C8" s="1203">
        <f>B8/$B$7</f>
        <v>2.2378389154704945E-2</v>
      </c>
      <c r="D8" s="300">
        <v>18</v>
      </c>
      <c r="E8" s="1203">
        <f>D8/$D$7</f>
        <v>6.6420664206642069E-2</v>
      </c>
      <c r="F8" s="300">
        <v>872</v>
      </c>
      <c r="G8" s="1203">
        <f>F8/$F$7</f>
        <v>3.9307609087630722E-2</v>
      </c>
      <c r="H8" s="300">
        <v>21</v>
      </c>
      <c r="I8" s="1203">
        <f>H8/$H$7</f>
        <v>8.3003952569169967E-2</v>
      </c>
      <c r="J8" s="300">
        <v>455.46666666666698</v>
      </c>
      <c r="K8" s="1203">
        <f>J8/$J$7</f>
        <v>2.01568261259846E-2</v>
      </c>
      <c r="L8" s="1224">
        <v>7.483888888888889</v>
      </c>
      <c r="M8" s="1203">
        <f>L8/$L$7</f>
        <v>2.8432307848169663E-2</v>
      </c>
      <c r="N8" s="1225">
        <f>(2010540/3600)</f>
        <v>558.48333333333335</v>
      </c>
      <c r="O8" s="1203">
        <f>N8/$N$7</f>
        <v>2.8037437915846689E-2</v>
      </c>
      <c r="P8" s="1225">
        <f>(40624/3600)</f>
        <v>11.284444444444444</v>
      </c>
      <c r="Q8" s="1203">
        <f>P8/$P$7</f>
        <v>5.3083283678824186E-2</v>
      </c>
      <c r="R8" s="300">
        <v>495.7</v>
      </c>
      <c r="S8" s="1203">
        <f>R8/$R$7</f>
        <v>2.4156637544200259E-2</v>
      </c>
      <c r="T8" s="300">
        <v>16.894722222222221</v>
      </c>
      <c r="U8" s="1203">
        <f>T8/$T$7</f>
        <v>7.8594695164980882E-2</v>
      </c>
    </row>
    <row r="9" spans="1:21" s="461" customFormat="1" x14ac:dyDescent="0.15">
      <c r="A9" s="461" t="s">
        <v>312</v>
      </c>
      <c r="B9" s="300">
        <v>250</v>
      </c>
      <c r="C9" s="1203">
        <f t="shared" ref="C9:C19" si="1">B9/$B$7</f>
        <v>1.2460127591706539E-2</v>
      </c>
      <c r="D9" s="300">
        <v>3</v>
      </c>
      <c r="E9" s="1203">
        <f t="shared" ref="E9:E19" si="2">D9/$D$7</f>
        <v>1.107011070110701E-2</v>
      </c>
      <c r="F9" s="300">
        <v>167</v>
      </c>
      <c r="G9" s="1203">
        <f t="shared" ref="G9:G20" si="3">F9/$F$7</f>
        <v>7.5279480706815722E-3</v>
      </c>
      <c r="H9" s="300">
        <v>2</v>
      </c>
      <c r="I9" s="1203">
        <f t="shared" ref="I9:I20" si="4">H9/$H$7</f>
        <v>7.9051383399209481E-3</v>
      </c>
      <c r="J9" s="300">
        <v>270.21666666666664</v>
      </c>
      <c r="K9" s="1203">
        <f t="shared" ref="K9:K19" si="5">J9/$J$7</f>
        <v>1.1958526858188967E-2</v>
      </c>
      <c r="L9" s="1224">
        <v>3.8516666666666666</v>
      </c>
      <c r="M9" s="1203">
        <f t="shared" ref="M9:M19" si="6">L9/$L$7</f>
        <v>1.4633003512089694E-2</v>
      </c>
      <c r="N9" s="1225">
        <f>(1021320/3600)</f>
        <v>283.7</v>
      </c>
      <c r="O9" s="1203">
        <f t="shared" ref="O9:O19" si="7">N9/$N$7</f>
        <v>1.4242539861038595E-2</v>
      </c>
      <c r="P9" s="1225">
        <f>(8471/3600)</f>
        <v>2.3530555555555557</v>
      </c>
      <c r="Q9" s="1203">
        <f t="shared" ref="Q9:Q19" si="8">P9/$P$7</f>
        <v>1.1069035448092745E-2</v>
      </c>
      <c r="R9" s="300">
        <v>373.66666666666669</v>
      </c>
      <c r="S9" s="1203">
        <f t="shared" ref="S9:S19" si="9">R9/$R$7</f>
        <v>1.8209663564688651E-2</v>
      </c>
      <c r="T9" s="300">
        <v>3.3627777777777776</v>
      </c>
      <c r="U9" s="1203">
        <f t="shared" ref="U9:U19" si="10">T9/$T$7</f>
        <v>1.5643731271555196E-2</v>
      </c>
    </row>
    <row r="10" spans="1:21" s="461" customFormat="1" x14ac:dyDescent="0.15">
      <c r="A10" s="461" t="s">
        <v>1738</v>
      </c>
      <c r="B10" s="300">
        <v>15</v>
      </c>
      <c r="C10" s="1203">
        <f t="shared" si="1"/>
        <v>7.4760765550239234E-4</v>
      </c>
      <c r="D10" s="300">
        <v>0</v>
      </c>
      <c r="E10" s="1203">
        <f t="shared" si="2"/>
        <v>0</v>
      </c>
      <c r="F10" s="300">
        <v>268</v>
      </c>
      <c r="G10" s="1203">
        <f t="shared" si="3"/>
        <v>1.2080778939776415E-2</v>
      </c>
      <c r="H10" s="300">
        <v>5</v>
      </c>
      <c r="I10" s="1203">
        <f t="shared" si="4"/>
        <v>1.9762845849802372E-2</v>
      </c>
      <c r="J10" s="300">
        <v>61.033333333333331</v>
      </c>
      <c r="K10" s="1203">
        <f t="shared" si="5"/>
        <v>2.7010501051432799E-3</v>
      </c>
      <c r="L10" s="1224">
        <v>0.30388888888888888</v>
      </c>
      <c r="M10" s="1203">
        <f t="shared" si="6"/>
        <v>1.1545150614615696E-3</v>
      </c>
      <c r="N10" s="1225">
        <f>(669960/3600)</f>
        <v>186.1</v>
      </c>
      <c r="O10" s="1203">
        <f t="shared" si="7"/>
        <v>9.3427446885417081E-3</v>
      </c>
      <c r="P10" s="1225">
        <f>(4081/3600)</f>
        <v>1.1336111111111111</v>
      </c>
      <c r="Q10" s="1203">
        <f t="shared" si="8"/>
        <v>5.3326329434147668E-3</v>
      </c>
      <c r="R10" s="300">
        <v>96.316666666666663</v>
      </c>
      <c r="S10" s="1203">
        <f t="shared" si="9"/>
        <v>4.6937397743236266E-3</v>
      </c>
      <c r="T10" s="300">
        <v>0.37</v>
      </c>
      <c r="U10" s="1203">
        <f t="shared" si="10"/>
        <v>1.7212497979275996E-3</v>
      </c>
    </row>
    <row r="11" spans="1:21" s="1191" customFormat="1" x14ac:dyDescent="0.15">
      <c r="A11" s="1191" t="s">
        <v>2622</v>
      </c>
      <c r="B11" s="248">
        <v>4</v>
      </c>
      <c r="C11" s="1226">
        <f t="shared" si="1"/>
        <v>1.9936204146730463E-4</v>
      </c>
      <c r="D11" s="248">
        <v>0</v>
      </c>
      <c r="E11" s="1227">
        <f t="shared" si="2"/>
        <v>0</v>
      </c>
      <c r="F11" s="248">
        <v>3</v>
      </c>
      <c r="G11" s="1226">
        <f t="shared" si="3"/>
        <v>1.3523260007212407E-4</v>
      </c>
      <c r="H11" s="248">
        <v>0</v>
      </c>
      <c r="I11" s="1226">
        <f t="shared" si="4"/>
        <v>0</v>
      </c>
      <c r="J11" s="248">
        <v>119.28333333333333</v>
      </c>
      <c r="K11" s="1226">
        <f t="shared" si="5"/>
        <v>5.2789228843556678E-3</v>
      </c>
      <c r="L11" s="1228">
        <v>0.45777777777777778</v>
      </c>
      <c r="M11" s="1226">
        <f t="shared" si="6"/>
        <v>1.7391598000810484E-3</v>
      </c>
      <c r="N11" s="1229">
        <f>(170700/3600)</f>
        <v>47.416666666666664</v>
      </c>
      <c r="O11" s="1226">
        <f t="shared" si="7"/>
        <v>2.3804503527584775E-3</v>
      </c>
      <c r="P11" s="1229">
        <f>(412/3600)</f>
        <v>0.11444444444444445</v>
      </c>
      <c r="Q11" s="1226">
        <f t="shared" si="8"/>
        <v>5.3835941501761432E-4</v>
      </c>
      <c r="R11" s="248">
        <v>13.49</v>
      </c>
      <c r="S11" s="1226">
        <f t="shared" si="9"/>
        <v>6.5739971852181065E-4</v>
      </c>
      <c r="T11" s="248">
        <v>1.2500000000000001E-2</v>
      </c>
      <c r="U11" s="1226">
        <f t="shared" si="10"/>
        <v>5.8150331011067566E-5</v>
      </c>
    </row>
    <row r="12" spans="1:21" s="1191" customFormat="1" x14ac:dyDescent="0.15">
      <c r="A12" s="1191" t="s">
        <v>2623</v>
      </c>
      <c r="B12" s="248">
        <v>488</v>
      </c>
      <c r="C12" s="1226">
        <f t="shared" si="1"/>
        <v>2.4322169059011165E-2</v>
      </c>
      <c r="D12" s="248">
        <v>2</v>
      </c>
      <c r="E12" s="1226">
        <f t="shared" si="2"/>
        <v>7.3800738007380072E-3</v>
      </c>
      <c r="F12" s="248">
        <v>657</v>
      </c>
      <c r="G12" s="1226">
        <f t="shared" si="3"/>
        <v>2.9615939415795167E-2</v>
      </c>
      <c r="H12" s="248">
        <v>2</v>
      </c>
      <c r="I12" s="1226">
        <f t="shared" si="4"/>
        <v>7.9051383399209481E-3</v>
      </c>
      <c r="J12" s="248">
        <v>746.1</v>
      </c>
      <c r="K12" s="1226">
        <f t="shared" si="5"/>
        <v>3.3018899237259446E-2</v>
      </c>
      <c r="L12" s="1228">
        <v>1.0788888888888888</v>
      </c>
      <c r="M12" s="1226">
        <f t="shared" si="6"/>
        <v>4.0988450628123728E-3</v>
      </c>
      <c r="N12" s="1229">
        <f>(2623320/3600)</f>
        <v>728.7</v>
      </c>
      <c r="O12" s="1226">
        <f t="shared" si="7"/>
        <v>3.6582794489738543E-2</v>
      </c>
      <c r="P12" s="1229">
        <f>(4659/3600)</f>
        <v>1.2941666666666667</v>
      </c>
      <c r="Q12" s="1226">
        <f t="shared" si="8"/>
        <v>6.0879041615705468E-3</v>
      </c>
      <c r="R12" s="248">
        <v>313.3</v>
      </c>
      <c r="S12" s="1226">
        <f t="shared" si="9"/>
        <v>1.5267852617708175E-2</v>
      </c>
      <c r="T12" s="248">
        <v>0.3586111111111111</v>
      </c>
      <c r="U12" s="1226">
        <f t="shared" si="10"/>
        <v>1.6682683852286271E-3</v>
      </c>
    </row>
    <row r="13" spans="1:21" s="1191" customFormat="1" x14ac:dyDescent="0.15">
      <c r="A13" s="1191" t="s">
        <v>100</v>
      </c>
      <c r="B13" s="248">
        <v>593</v>
      </c>
      <c r="C13" s="1226">
        <f t="shared" si="1"/>
        <v>2.9555422647527911E-2</v>
      </c>
      <c r="D13" s="248">
        <v>2</v>
      </c>
      <c r="E13" s="1226">
        <f t="shared" si="2"/>
        <v>7.3800738007380072E-3</v>
      </c>
      <c r="F13" s="248">
        <v>460</v>
      </c>
      <c r="G13" s="1226">
        <f t="shared" si="3"/>
        <v>2.0735665344392355E-2</v>
      </c>
      <c r="H13" s="248">
        <v>5</v>
      </c>
      <c r="I13" s="1226">
        <f t="shared" si="4"/>
        <v>1.9762845849802372E-2</v>
      </c>
      <c r="J13" s="248">
        <v>564.79999999999995</v>
      </c>
      <c r="K13" s="1226">
        <f t="shared" si="5"/>
        <v>2.4995408509856765E-2</v>
      </c>
      <c r="L13" s="1228">
        <v>2.9569444444444444</v>
      </c>
      <c r="M13" s="1226">
        <f t="shared" si="6"/>
        <v>1.1233832567877888E-2</v>
      </c>
      <c r="N13" s="1229">
        <f>(1926000/3600)</f>
        <v>535</v>
      </c>
      <c r="O13" s="1226">
        <f t="shared" si="7"/>
        <v>2.6858508373830272E-2</v>
      </c>
      <c r="P13" s="1229">
        <f>(4490/3600)</f>
        <v>1.2472222222222222</v>
      </c>
      <c r="Q13" s="1226">
        <f t="shared" si="8"/>
        <v>5.8670722656045836E-3</v>
      </c>
      <c r="R13" s="248">
        <v>327.45</v>
      </c>
      <c r="S13" s="1226">
        <f t="shared" si="9"/>
        <v>1.5957415702740316E-2</v>
      </c>
      <c r="T13" s="248">
        <v>0.44341666666666602</v>
      </c>
      <c r="U13" s="1226">
        <f t="shared" si="10"/>
        <v>2.0627860753992667E-3</v>
      </c>
    </row>
    <row r="14" spans="1:21" s="1191" customFormat="1" x14ac:dyDescent="0.15">
      <c r="A14" s="1191" t="s">
        <v>2624</v>
      </c>
      <c r="B14" s="248">
        <v>3652</v>
      </c>
      <c r="C14" s="1226">
        <f t="shared" si="1"/>
        <v>0.18201754385964913</v>
      </c>
      <c r="D14" s="248">
        <v>74</v>
      </c>
      <c r="E14" s="1226">
        <f t="shared" si="2"/>
        <v>0.27306273062730629</v>
      </c>
      <c r="F14" s="248">
        <v>4074</v>
      </c>
      <c r="G14" s="1226">
        <f t="shared" si="3"/>
        <v>0.18364587089794446</v>
      </c>
      <c r="H14" s="248">
        <v>70</v>
      </c>
      <c r="I14" s="1226">
        <f t="shared" si="4"/>
        <v>0.27667984189723321</v>
      </c>
      <c r="J14" s="248">
        <v>3925.6</v>
      </c>
      <c r="K14" s="1226">
        <f t="shared" si="5"/>
        <v>0.17372871042190813</v>
      </c>
      <c r="L14" s="1228">
        <v>65.045555555555552</v>
      </c>
      <c r="M14" s="1226">
        <f t="shared" si="6"/>
        <v>0.24711687829258408</v>
      </c>
      <c r="N14" s="1229">
        <f>(10583340/3600)</f>
        <v>2939.8166666666666</v>
      </c>
      <c r="O14" s="1226">
        <f t="shared" si="7"/>
        <v>0.1475870851573691</v>
      </c>
      <c r="P14" s="1229">
        <f>(152533/3600)</f>
        <v>42.37027777777778</v>
      </c>
      <c r="Q14" s="1226">
        <f t="shared" si="8"/>
        <v>0.19931450643417906</v>
      </c>
      <c r="R14" s="248">
        <v>2860.9166666666665</v>
      </c>
      <c r="S14" s="1226">
        <f t="shared" si="9"/>
        <v>0.13941925955381937</v>
      </c>
      <c r="T14" s="248">
        <v>33.981388888888887</v>
      </c>
      <c r="U14" s="1226">
        <f t="shared" si="10"/>
        <v>0.15808232096837616</v>
      </c>
    </row>
    <row r="15" spans="1:21" s="1191" customFormat="1" x14ac:dyDescent="0.15">
      <c r="A15" s="1230" t="s">
        <v>2543</v>
      </c>
      <c r="B15" s="1231" t="s">
        <v>181</v>
      </c>
      <c r="C15" s="1221" t="s">
        <v>181</v>
      </c>
      <c r="D15" s="1221" t="s">
        <v>181</v>
      </c>
      <c r="E15" s="1221" t="s">
        <v>181</v>
      </c>
      <c r="F15" s="248">
        <v>1696</v>
      </c>
      <c r="G15" s="1226">
        <f t="shared" si="3"/>
        <v>7.6451496574107464E-2</v>
      </c>
      <c r="H15" s="248">
        <v>1</v>
      </c>
      <c r="I15" s="1226">
        <f t="shared" si="4"/>
        <v>3.952569169960474E-3</v>
      </c>
      <c r="J15" s="248">
        <v>1643.3</v>
      </c>
      <c r="K15" s="1226">
        <f t="shared" si="5"/>
        <v>7.2724778336132473E-2</v>
      </c>
      <c r="L15" s="1228">
        <v>1.6966666666666668</v>
      </c>
      <c r="M15" s="1226">
        <f t="shared" si="6"/>
        <v>6.4458665405916528E-3</v>
      </c>
      <c r="N15" s="1229">
        <f>(3038580/3600)</f>
        <v>844.05</v>
      </c>
      <c r="O15" s="1226">
        <f t="shared" si="7"/>
        <v>4.2373689706413906E-2</v>
      </c>
      <c r="P15" s="1229">
        <f>(3121/3600)</f>
        <v>0.86694444444444441</v>
      </c>
      <c r="Q15" s="1226">
        <f t="shared" si="8"/>
        <v>4.0782032385193552E-3</v>
      </c>
      <c r="R15" s="248">
        <v>2505.7166666666667</v>
      </c>
      <c r="S15" s="1226">
        <f t="shared" si="9"/>
        <v>0.12210952048644004</v>
      </c>
      <c r="T15" s="248">
        <v>1.6727777777777777</v>
      </c>
      <c r="U15" s="1226">
        <f t="shared" si="10"/>
        <v>7.7818065188588626E-3</v>
      </c>
    </row>
    <row r="16" spans="1:21" s="1191" customFormat="1" x14ac:dyDescent="0.15">
      <c r="A16" s="1191" t="s">
        <v>2625</v>
      </c>
      <c r="B16" s="248">
        <v>102</v>
      </c>
      <c r="C16" s="1226">
        <f t="shared" si="1"/>
        <v>5.0837320574162676E-3</v>
      </c>
      <c r="D16" s="248">
        <v>1</v>
      </c>
      <c r="E16" s="1226">
        <f t="shared" si="2"/>
        <v>3.6900369003690036E-3</v>
      </c>
      <c r="F16" s="248">
        <v>120</v>
      </c>
      <c r="G16" s="1226">
        <f t="shared" si="3"/>
        <v>5.4093040028849624E-3</v>
      </c>
      <c r="H16" s="248">
        <v>0</v>
      </c>
      <c r="I16" s="1226">
        <f t="shared" si="4"/>
        <v>0</v>
      </c>
      <c r="J16" s="248">
        <v>80.416666666666671</v>
      </c>
      <c r="K16" s="1226">
        <f t="shared" si="5"/>
        <v>3.5588658539913512E-3</v>
      </c>
      <c r="L16" s="1228">
        <v>0.61472222222222217</v>
      </c>
      <c r="M16" s="1226">
        <f t="shared" si="6"/>
        <v>2.3354130082399024E-3</v>
      </c>
      <c r="N16" s="1229">
        <f>(920520/3600)</f>
        <v>255.7</v>
      </c>
      <c r="O16" s="1226">
        <f t="shared" si="7"/>
        <v>1.283686091810916E-2</v>
      </c>
      <c r="P16" s="1229">
        <f>(4732/3600)</f>
        <v>1.3144444444444445</v>
      </c>
      <c r="Q16" s="1226">
        <f t="shared" si="8"/>
        <v>6.1832930870469689E-3</v>
      </c>
      <c r="R16" s="248">
        <v>54.9</v>
      </c>
      <c r="S16" s="1226">
        <f t="shared" si="9"/>
        <v>2.6754073051777167E-3</v>
      </c>
      <c r="T16" s="248">
        <v>0.8552777777777778</v>
      </c>
      <c r="U16" s="1226">
        <f t="shared" si="10"/>
        <v>3.9787748707350449E-3</v>
      </c>
    </row>
    <row r="17" spans="1:21" s="1191" customFormat="1" x14ac:dyDescent="0.15">
      <c r="A17" s="1191" t="s">
        <v>2626</v>
      </c>
      <c r="B17" s="248">
        <v>492</v>
      </c>
      <c r="C17" s="1226">
        <f t="shared" si="1"/>
        <v>2.4521531100478468E-2</v>
      </c>
      <c r="D17" s="248">
        <v>3</v>
      </c>
      <c r="E17" s="1226">
        <f t="shared" si="2"/>
        <v>1.107011070110701E-2</v>
      </c>
      <c r="F17" s="248">
        <v>527</v>
      </c>
      <c r="G17" s="1226">
        <f t="shared" si="3"/>
        <v>2.3755860079336458E-2</v>
      </c>
      <c r="H17" s="248">
        <v>3</v>
      </c>
      <c r="I17" s="1226">
        <f t="shared" si="4"/>
        <v>1.1857707509881422E-2</v>
      </c>
      <c r="J17" s="248">
        <v>703.2166666666667</v>
      </c>
      <c r="K17" s="1226">
        <f t="shared" si="5"/>
        <v>3.1121083311390067E-2</v>
      </c>
      <c r="L17" s="1228">
        <v>2.0283333333333333</v>
      </c>
      <c r="M17" s="1226">
        <f t="shared" si="6"/>
        <v>7.7059131433202758E-3</v>
      </c>
      <c r="N17" s="1229">
        <f>(3124740/3600)</f>
        <v>867.98333333333335</v>
      </c>
      <c r="O17" s="1226">
        <f t="shared" si="7"/>
        <v>4.3575210517155974E-2</v>
      </c>
      <c r="P17" s="1229">
        <f>(7955/3600)</f>
        <v>2.2097222222222221</v>
      </c>
      <c r="Q17" s="1226">
        <f t="shared" si="8"/>
        <v>1.039477948171146E-2</v>
      </c>
      <c r="R17" s="248">
        <v>919.05</v>
      </c>
      <c r="S17" s="1226">
        <f t="shared" si="9"/>
        <v>4.4787487865638992E-2</v>
      </c>
      <c r="T17" s="248">
        <v>2.1433333333333335</v>
      </c>
      <c r="U17" s="1226">
        <f t="shared" si="10"/>
        <v>9.9708434240310517E-3</v>
      </c>
    </row>
    <row r="18" spans="1:21" s="1191" customFormat="1" x14ac:dyDescent="0.15">
      <c r="A18" s="1191" t="s">
        <v>2627</v>
      </c>
      <c r="B18" s="248">
        <v>9011</v>
      </c>
      <c r="C18" s="1226">
        <f t="shared" si="1"/>
        <v>0.44911283891547049</v>
      </c>
      <c r="D18" s="248">
        <v>73</v>
      </c>
      <c r="E18" s="1226">
        <f t="shared" si="2"/>
        <v>0.26937269372693728</v>
      </c>
      <c r="F18" s="248">
        <v>8474</v>
      </c>
      <c r="G18" s="1226">
        <f t="shared" si="3"/>
        <v>0.38198701767039306</v>
      </c>
      <c r="H18" s="248">
        <v>72</v>
      </c>
      <c r="I18" s="1226">
        <f t="shared" si="4"/>
        <v>0.28458498023715417</v>
      </c>
      <c r="J18" s="248">
        <v>9058.9333333333325</v>
      </c>
      <c r="K18" s="1226">
        <f t="shared" si="5"/>
        <v>0.40090605405493113</v>
      </c>
      <c r="L18" s="1228">
        <v>77.523611111111109</v>
      </c>
      <c r="M18" s="1226">
        <f t="shared" si="6"/>
        <v>0.29452270194515739</v>
      </c>
      <c r="N18" s="1229">
        <f>(31867200/3600)</f>
        <v>8852</v>
      </c>
      <c r="O18" s="1226">
        <f t="shared" si="7"/>
        <v>0.44439535724326279</v>
      </c>
      <c r="P18" s="1229">
        <f>(177114/3600)</f>
        <v>49.198333333333331</v>
      </c>
      <c r="Q18" s="1226">
        <f t="shared" si="8"/>
        <v>0.2314344403675479</v>
      </c>
      <c r="R18" s="248">
        <v>7205.0166666666664</v>
      </c>
      <c r="S18" s="1226">
        <f t="shared" si="9"/>
        <v>0.35111756327736254</v>
      </c>
      <c r="T18" s="248">
        <v>40.278333333333336</v>
      </c>
      <c r="U18" s="1226">
        <f t="shared" si="10"/>
        <v>0.18737587327259597</v>
      </c>
    </row>
    <row r="19" spans="1:21" s="1191" customFormat="1" x14ac:dyDescent="0.15">
      <c r="A19" s="1191" t="s">
        <v>2628</v>
      </c>
      <c r="B19" s="248">
        <v>5008</v>
      </c>
      <c r="C19" s="1226">
        <f t="shared" si="1"/>
        <v>0.24960127591706538</v>
      </c>
      <c r="D19" s="248">
        <v>95</v>
      </c>
      <c r="E19" s="1226">
        <f t="shared" si="2"/>
        <v>0.35055350553505538</v>
      </c>
      <c r="F19" s="248">
        <v>4743</v>
      </c>
      <c r="G19" s="1226">
        <f t="shared" si="3"/>
        <v>0.21380274071402813</v>
      </c>
      <c r="H19" s="248">
        <v>72</v>
      </c>
      <c r="I19" s="1226">
        <f t="shared" si="4"/>
        <v>0.28458498023715417</v>
      </c>
      <c r="J19" s="248">
        <v>4967.7833333333338</v>
      </c>
      <c r="K19" s="1226">
        <f t="shared" si="5"/>
        <v>0.21985087430085803</v>
      </c>
      <c r="L19" s="1228">
        <v>100.17583333333333</v>
      </c>
      <c r="M19" s="1226">
        <f t="shared" si="6"/>
        <v>0.38058156321761449</v>
      </c>
      <c r="N19" s="1229">
        <f>(13752900/3600)</f>
        <v>3820.25</v>
      </c>
      <c r="O19" s="1226">
        <f t="shared" si="7"/>
        <v>0.19178732077593477</v>
      </c>
      <c r="P19" s="1229">
        <f>(357096/3600)</f>
        <v>99.193333333333328</v>
      </c>
      <c r="Q19" s="1226">
        <f t="shared" si="8"/>
        <v>0.46661648947847084</v>
      </c>
      <c r="R19" s="248">
        <v>5354.7166666666662</v>
      </c>
      <c r="S19" s="1226">
        <f t="shared" si="9"/>
        <v>0.26094805258937837</v>
      </c>
      <c r="T19" s="248">
        <v>114.58694444444444</v>
      </c>
      <c r="U19" s="1226">
        <f t="shared" si="10"/>
        <v>0.5330614999193003</v>
      </c>
    </row>
    <row r="20" spans="1:21" s="1191" customFormat="1" x14ac:dyDescent="0.15">
      <c r="A20" s="1191" t="s">
        <v>2629</v>
      </c>
      <c r="B20" s="1231" t="s">
        <v>181</v>
      </c>
      <c r="C20" s="1221" t="s">
        <v>181</v>
      </c>
      <c r="D20" s="1221" t="s">
        <v>181</v>
      </c>
      <c r="E20" s="1221" t="s">
        <v>181</v>
      </c>
      <c r="F20" s="1231">
        <v>123</v>
      </c>
      <c r="G20" s="1226">
        <f t="shared" si="3"/>
        <v>5.5445366029570863E-3</v>
      </c>
      <c r="H20" s="1221">
        <v>0</v>
      </c>
      <c r="I20" s="1226">
        <f t="shared" si="4"/>
        <v>0</v>
      </c>
      <c r="J20" s="1221">
        <v>0</v>
      </c>
      <c r="K20" s="1221">
        <v>0</v>
      </c>
      <c r="L20" s="229">
        <v>0</v>
      </c>
      <c r="M20" s="1221">
        <v>0</v>
      </c>
      <c r="N20" s="1229">
        <f>(0/3600)</f>
        <v>0</v>
      </c>
      <c r="O20" s="1221" t="s">
        <v>181</v>
      </c>
      <c r="P20" s="1229">
        <f>(0/3600)</f>
        <v>0</v>
      </c>
      <c r="Q20" s="1221" t="s">
        <v>181</v>
      </c>
      <c r="R20" s="1231" t="s">
        <v>181</v>
      </c>
      <c r="S20" s="1221" t="s">
        <v>181</v>
      </c>
      <c r="T20" s="1221" t="s">
        <v>181</v>
      </c>
      <c r="U20" s="1221" t="s">
        <v>181</v>
      </c>
    </row>
    <row r="21" spans="1:21" x14ac:dyDescent="0.15">
      <c r="A21" s="1230" t="s">
        <v>2643</v>
      </c>
      <c r="B21" s="1231" t="s">
        <v>181</v>
      </c>
      <c r="C21" s="1221" t="s">
        <v>181</v>
      </c>
      <c r="D21" s="1221" t="s">
        <v>181</v>
      </c>
      <c r="E21" s="1221" t="s">
        <v>181</v>
      </c>
      <c r="F21" s="1231" t="s">
        <v>181</v>
      </c>
      <c r="G21" s="1221" t="s">
        <v>181</v>
      </c>
      <c r="H21" s="1221" t="s">
        <v>181</v>
      </c>
      <c r="I21" s="1221" t="s">
        <v>181</v>
      </c>
      <c r="J21" s="1231" t="s">
        <v>181</v>
      </c>
      <c r="K21" s="1221" t="s">
        <v>181</v>
      </c>
      <c r="L21" s="1221" t="s">
        <v>181</v>
      </c>
      <c r="M21" s="1221" t="s">
        <v>181</v>
      </c>
      <c r="N21" s="1231"/>
      <c r="O21" s="1221" t="s">
        <v>181</v>
      </c>
      <c r="P21" s="1221"/>
      <c r="Q21" s="1221" t="s">
        <v>181</v>
      </c>
      <c r="R21" s="1231" t="s">
        <v>181</v>
      </c>
      <c r="S21" s="1221" t="s">
        <v>181</v>
      </c>
      <c r="T21" s="1221" t="s">
        <v>181</v>
      </c>
      <c r="U21" s="1221" t="s">
        <v>181</v>
      </c>
    </row>
    <row r="22" spans="1:21" ht="11.25" customHeight="1" x14ac:dyDescent="0.15">
      <c r="A22" s="3106"/>
      <c r="B22" s="3106"/>
      <c r="C22" s="3106"/>
      <c r="D22" s="3106"/>
      <c r="E22" s="3106"/>
    </row>
    <row r="23" spans="1:21" s="1183" customFormat="1" ht="11.25" customHeight="1" x14ac:dyDescent="0.15">
      <c r="A23" s="3138" t="s">
        <v>2647</v>
      </c>
      <c r="B23" s="3138"/>
      <c r="C23" s="3138"/>
      <c r="D23" s="3138"/>
      <c r="E23" s="3138"/>
      <c r="F23" s="1215"/>
    </row>
    <row r="24" spans="1:21" ht="11.25" customHeight="1" x14ac:dyDescent="0.15">
      <c r="A24" s="3138" t="s">
        <v>2640</v>
      </c>
      <c r="B24" s="3138"/>
      <c r="C24" s="3138"/>
      <c r="D24" s="3138"/>
      <c r="E24" s="3138"/>
      <c r="F24" s="1222"/>
    </row>
    <row r="25" spans="1:21" ht="11.25" customHeight="1" x14ac:dyDescent="0.15">
      <c r="A25" s="3131" t="s">
        <v>184</v>
      </c>
      <c r="B25" s="3131"/>
      <c r="C25" s="3131"/>
      <c r="D25" s="3131"/>
      <c r="E25" s="3131"/>
      <c r="F25" s="1222"/>
    </row>
    <row r="26" spans="1:21" ht="11.25" customHeight="1" x14ac:dyDescent="0.15">
      <c r="A26" s="3139" t="s">
        <v>2641</v>
      </c>
      <c r="B26" s="3139"/>
      <c r="C26" s="3139"/>
      <c r="D26" s="3139"/>
      <c r="E26" s="3139"/>
    </row>
  </sheetData>
  <mergeCells count="23">
    <mergeCell ref="A26:E26"/>
    <mergeCell ref="R4:U4"/>
    <mergeCell ref="B5:C5"/>
    <mergeCell ref="D5:E5"/>
    <mergeCell ref="F5:G5"/>
    <mergeCell ref="H5:I5"/>
    <mergeCell ref="J5:K5"/>
    <mergeCell ref="L5:M5"/>
    <mergeCell ref="N5:O5"/>
    <mergeCell ref="P5:Q5"/>
    <mergeCell ref="R5:S5"/>
    <mergeCell ref="T5:U5"/>
    <mergeCell ref="A22:E22"/>
    <mergeCell ref="A23:E23"/>
    <mergeCell ref="A24:E24"/>
    <mergeCell ref="A25:E25"/>
    <mergeCell ref="A2:N2"/>
    <mergeCell ref="A3:E3"/>
    <mergeCell ref="A4:A6"/>
    <mergeCell ref="B4:E4"/>
    <mergeCell ref="F4:I4"/>
    <mergeCell ref="J4:M4"/>
    <mergeCell ref="N4:Q4"/>
  </mergeCells>
  <pageMargins left="0.7" right="0.7" top="0.75" bottom="0.75" header="0.3" footer="0.3"/>
  <pageSetup paperSize="14" scale="9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M16"/>
  <sheetViews>
    <sheetView zoomScaleNormal="100" workbookViewId="0">
      <selection activeCell="C25" sqref="C25"/>
    </sheetView>
  </sheetViews>
  <sheetFormatPr baseColWidth="10" defaultColWidth="11.42578125" defaultRowHeight="12.75" x14ac:dyDescent="0.2"/>
  <cols>
    <col min="1" max="1" width="28" style="1181" customWidth="1"/>
    <col min="2" max="2" width="9" style="1181" bestFit="1" customWidth="1"/>
    <col min="3" max="3" width="11.140625" style="1181" bestFit="1" customWidth="1"/>
    <col min="4" max="4" width="7.140625" style="1181" customWidth="1"/>
    <col min="5" max="5" width="11.7109375" style="1181" customWidth="1"/>
    <col min="6" max="6" width="9" style="1181" bestFit="1" customWidth="1"/>
    <col min="7" max="7" width="11.42578125" style="1181"/>
    <col min="8" max="8" width="6.42578125" style="1181" bestFit="1" customWidth="1"/>
    <col min="9" max="9" width="11.42578125" style="1181"/>
    <col min="10" max="10" width="9" style="1181" bestFit="1" customWidth="1"/>
    <col min="11" max="11" width="11.140625" style="1181" bestFit="1" customWidth="1"/>
    <col min="12" max="12" width="6.42578125" style="1181" bestFit="1" customWidth="1"/>
    <col min="13" max="13" width="11.140625" style="1181" bestFit="1" customWidth="1"/>
    <col min="14" max="14" width="9" style="1181" bestFit="1" customWidth="1"/>
    <col min="15" max="16384" width="11.42578125" style="1181"/>
  </cols>
  <sheetData>
    <row r="1" spans="1:13" x14ac:dyDescent="0.2">
      <c r="A1" s="1180"/>
    </row>
    <row r="2" spans="1:13" s="1232" customFormat="1" ht="18.75" customHeight="1" x14ac:dyDescent="0.15">
      <c r="A2" s="3141" t="s">
        <v>2648</v>
      </c>
      <c r="B2" s="3141"/>
      <c r="C2" s="3141"/>
      <c r="D2" s="3141"/>
      <c r="E2" s="3141"/>
      <c r="F2" s="3141"/>
      <c r="G2" s="3141"/>
      <c r="H2" s="3141"/>
      <c r="I2" s="3141"/>
      <c r="J2" s="3141"/>
      <c r="K2" s="3141"/>
      <c r="L2" s="3141"/>
      <c r="M2" s="3141"/>
    </row>
    <row r="3" spans="1:13" s="1232" customFormat="1" ht="10.5" x14ac:dyDescent="0.15">
      <c r="A3" s="3142"/>
      <c r="B3" s="3142"/>
      <c r="C3" s="3142"/>
      <c r="D3" s="3142"/>
      <c r="E3" s="3142"/>
    </row>
    <row r="4" spans="1:13" s="1232" customFormat="1" ht="15" customHeight="1" x14ac:dyDescent="0.15">
      <c r="A4" s="3143" t="s">
        <v>2649</v>
      </c>
      <c r="B4" s="3146">
        <v>2013</v>
      </c>
      <c r="C4" s="3147"/>
      <c r="D4" s="3147"/>
      <c r="E4" s="3148"/>
      <c r="F4" s="3147">
        <v>2014</v>
      </c>
      <c r="G4" s="3147"/>
      <c r="H4" s="3147"/>
      <c r="I4" s="3147"/>
      <c r="J4" s="3146">
        <v>2015</v>
      </c>
      <c r="K4" s="3147"/>
      <c r="L4" s="3147"/>
      <c r="M4" s="3148"/>
    </row>
    <row r="5" spans="1:13" s="1232" customFormat="1" ht="15.75" customHeight="1" x14ac:dyDescent="0.15">
      <c r="A5" s="3144"/>
      <c r="B5" s="3149" t="s">
        <v>2650</v>
      </c>
      <c r="C5" s="3149"/>
      <c r="D5" s="3149"/>
      <c r="E5" s="3149"/>
      <c r="F5" s="3149" t="s">
        <v>2650</v>
      </c>
      <c r="G5" s="3149"/>
      <c r="H5" s="3149"/>
      <c r="I5" s="3149"/>
      <c r="J5" s="3149" t="s">
        <v>2650</v>
      </c>
      <c r="K5" s="3149"/>
      <c r="L5" s="3149"/>
      <c r="M5" s="3149"/>
    </row>
    <row r="6" spans="1:13" s="1232" customFormat="1" ht="11.25" x14ac:dyDescent="0.15">
      <c r="A6" s="3144"/>
      <c r="B6" s="3126" t="s">
        <v>2651</v>
      </c>
      <c r="C6" s="3126"/>
      <c r="D6" s="3126" t="s">
        <v>2652</v>
      </c>
      <c r="E6" s="3126"/>
      <c r="F6" s="3126" t="s">
        <v>2651</v>
      </c>
      <c r="G6" s="3126"/>
      <c r="H6" s="3126" t="s">
        <v>2652</v>
      </c>
      <c r="I6" s="3126"/>
      <c r="J6" s="3126" t="s">
        <v>2651</v>
      </c>
      <c r="K6" s="3126"/>
      <c r="L6" s="3126" t="s">
        <v>2652</v>
      </c>
      <c r="M6" s="3126"/>
    </row>
    <row r="7" spans="1:13" s="1232" customFormat="1" ht="11.25" x14ac:dyDescent="0.15">
      <c r="A7" s="3145"/>
      <c r="B7" s="1198" t="s">
        <v>2653</v>
      </c>
      <c r="C7" s="1198" t="s">
        <v>727</v>
      </c>
      <c r="D7" s="1198" t="s">
        <v>2562</v>
      </c>
      <c r="E7" s="1198" t="s">
        <v>727</v>
      </c>
      <c r="F7" s="1198" t="s">
        <v>2653</v>
      </c>
      <c r="G7" s="1198" t="s">
        <v>727</v>
      </c>
      <c r="H7" s="1198" t="s">
        <v>2562</v>
      </c>
      <c r="I7" s="1198" t="s">
        <v>727</v>
      </c>
      <c r="J7" s="1198" t="s">
        <v>2653</v>
      </c>
      <c r="K7" s="1198" t="s">
        <v>727</v>
      </c>
      <c r="L7" s="1198" t="s">
        <v>2562</v>
      </c>
      <c r="M7" s="1198" t="s">
        <v>727</v>
      </c>
    </row>
    <row r="8" spans="1:13" s="1232" customFormat="1" ht="11.25" customHeight="1" x14ac:dyDescent="0.15">
      <c r="A8" s="1233" t="s">
        <v>141</v>
      </c>
      <c r="B8" s="689">
        <f>SUM(B9,B10)</f>
        <v>54583.416666666664</v>
      </c>
      <c r="C8" s="1234">
        <f t="shared" ref="C8:E8" si="0">SUM(C9,C10)</f>
        <v>1</v>
      </c>
      <c r="D8" s="689">
        <f t="shared" si="0"/>
        <v>929.25194444444446</v>
      </c>
      <c r="E8" s="1234">
        <f t="shared" si="0"/>
        <v>1</v>
      </c>
      <c r="F8" s="689">
        <f>SUM(F9,F10)</f>
        <v>51407.966666666667</v>
      </c>
      <c r="G8" s="1234">
        <f t="shared" ref="G8:I8" si="1">SUM(G9,G10)</f>
        <v>1</v>
      </c>
      <c r="H8" s="689">
        <f t="shared" si="1"/>
        <v>446.875</v>
      </c>
      <c r="I8" s="1234">
        <f t="shared" si="1"/>
        <v>0.99999999999999989</v>
      </c>
      <c r="J8" s="689">
        <f>SUM(J9,J10)</f>
        <v>54591.822222222218</v>
      </c>
      <c r="K8" s="1234">
        <f t="shared" ref="K8:M8" si="2">SUM(K9,K10)</f>
        <v>1</v>
      </c>
      <c r="L8" s="689">
        <f t="shared" si="2"/>
        <v>422.89861111111111</v>
      </c>
      <c r="M8" s="1234">
        <f t="shared" si="2"/>
        <v>1</v>
      </c>
    </row>
    <row r="9" spans="1:13" s="1232" customFormat="1" ht="11.25" customHeight="1" x14ac:dyDescent="0.15">
      <c r="A9" s="1196" t="s">
        <v>2654</v>
      </c>
      <c r="B9" s="1074">
        <v>4374.6666666666661</v>
      </c>
      <c r="C9" s="1235">
        <f>+B9/$B$8</f>
        <v>8.0146442524515221E-2</v>
      </c>
      <c r="D9" s="1074">
        <v>21.511666666666667</v>
      </c>
      <c r="E9" s="1235">
        <f>+D9/$D$8</f>
        <v>2.3149444879049963E-2</v>
      </c>
      <c r="F9" s="329">
        <f>(14100180/3600)</f>
        <v>3916.7166666666667</v>
      </c>
      <c r="G9" s="1235">
        <f>+F9/$F$8</f>
        <v>7.6188904573156302E-2</v>
      </c>
      <c r="H9" s="329">
        <f>(60189/3600)</f>
        <v>16.719166666666666</v>
      </c>
      <c r="I9" s="1235">
        <f>+H9/$H$8</f>
        <v>3.7413519813519813E-2</v>
      </c>
      <c r="J9" s="1236">
        <v>2176.6</v>
      </c>
      <c r="K9" s="1235">
        <f>+J9/$J$8</f>
        <v>3.9870440505537667E-2</v>
      </c>
      <c r="L9" s="1236">
        <v>9.6850000000000005</v>
      </c>
      <c r="M9" s="1235">
        <f>+L9/$L$8</f>
        <v>2.2901470341919361E-2</v>
      </c>
    </row>
    <row r="10" spans="1:13" s="1232" customFormat="1" ht="11.25" customHeight="1" x14ac:dyDescent="0.15">
      <c r="A10" s="1196" t="s">
        <v>2616</v>
      </c>
      <c r="B10" s="1074">
        <v>50208.75</v>
      </c>
      <c r="C10" s="1235">
        <f>+B10/$B$8</f>
        <v>0.91985355747548481</v>
      </c>
      <c r="D10" s="1074">
        <v>907.74027777777781</v>
      </c>
      <c r="E10" s="1235">
        <f>+D10/$D$8</f>
        <v>0.97685055512095009</v>
      </c>
      <c r="F10" s="1237">
        <f>(170968500/3600)</f>
        <v>47491.25</v>
      </c>
      <c r="G10" s="1235">
        <f>+F10/$F$8</f>
        <v>0.9238110954268437</v>
      </c>
      <c r="H10" s="1238">
        <f>(1548561/3600)</f>
        <v>430.15583333333331</v>
      </c>
      <c r="I10" s="1235">
        <f>+H10/$H$8</f>
        <v>0.96258648018648008</v>
      </c>
      <c r="J10" s="1236">
        <v>52415.222222222219</v>
      </c>
      <c r="K10" s="1235">
        <f>+J10/$J$8</f>
        <v>0.96012955949446233</v>
      </c>
      <c r="L10" s="1236">
        <v>413.21361111111111</v>
      </c>
      <c r="M10" s="1235">
        <f>+L10/$L$8</f>
        <v>0.97709852965808064</v>
      </c>
    </row>
    <row r="11" spans="1:13" s="1232" customFormat="1" ht="10.5" x14ac:dyDescent="0.15">
      <c r="A11" s="3140"/>
      <c r="B11" s="3140"/>
      <c r="C11" s="3140"/>
      <c r="D11" s="3140"/>
      <c r="E11" s="3140"/>
    </row>
    <row r="12" spans="1:13" s="1232" customFormat="1" ht="15" customHeight="1" x14ac:dyDescent="0.15">
      <c r="A12" s="3150" t="s">
        <v>2655</v>
      </c>
      <c r="B12" s="3150"/>
      <c r="C12" s="3150"/>
      <c r="D12" s="3150"/>
      <c r="E12" s="3150"/>
    </row>
    <row r="13" spans="1:13" s="1232" customFormat="1" ht="15" customHeight="1" x14ac:dyDescent="0.15">
      <c r="A13" s="3150" t="s">
        <v>2656</v>
      </c>
      <c r="B13" s="3150"/>
      <c r="C13" s="3150"/>
      <c r="D13" s="3150"/>
      <c r="E13" s="3150"/>
    </row>
    <row r="14" spans="1:13" s="1232" customFormat="1" ht="15" customHeight="1" x14ac:dyDescent="0.15">
      <c r="A14" s="3150" t="s">
        <v>2657</v>
      </c>
      <c r="B14" s="3150"/>
      <c r="C14" s="3150"/>
      <c r="D14" s="3150"/>
      <c r="E14" s="3150"/>
      <c r="F14" s="1239"/>
    </row>
    <row r="15" spans="1:13" s="1232" customFormat="1" ht="22.5" customHeight="1" x14ac:dyDescent="0.15">
      <c r="A15" s="3151" t="s">
        <v>2658</v>
      </c>
      <c r="B15" s="3151"/>
      <c r="C15" s="3151"/>
      <c r="D15" s="3151"/>
      <c r="E15" s="3151"/>
      <c r="F15" s="3151"/>
      <c r="G15" s="3151"/>
      <c r="H15" s="3151"/>
      <c r="I15" s="3151"/>
      <c r="J15" s="3151"/>
      <c r="K15" s="3151"/>
      <c r="L15" s="3151"/>
      <c r="M15" s="3151"/>
    </row>
    <row r="16" spans="1:13" s="1232" customFormat="1" ht="11.25" customHeight="1" x14ac:dyDescent="0.15">
      <c r="A16" s="3136" t="s">
        <v>2606</v>
      </c>
      <c r="B16" s="3136"/>
      <c r="C16" s="3136"/>
      <c r="D16" s="3136"/>
      <c r="E16" s="3136"/>
      <c r="F16" s="1239"/>
    </row>
  </sheetData>
  <mergeCells count="21">
    <mergeCell ref="A12:E12"/>
    <mergeCell ref="A13:E13"/>
    <mergeCell ref="A14:E14"/>
    <mergeCell ref="A15:M15"/>
    <mergeCell ref="A16:E16"/>
    <mergeCell ref="A11:E11"/>
    <mergeCell ref="A2:M2"/>
    <mergeCell ref="A3:E3"/>
    <mergeCell ref="A4:A7"/>
    <mergeCell ref="B4:E4"/>
    <mergeCell ref="F4:I4"/>
    <mergeCell ref="J4:M4"/>
    <mergeCell ref="B5:E5"/>
    <mergeCell ref="F5:I5"/>
    <mergeCell ref="J5:M5"/>
    <mergeCell ref="B6:C6"/>
    <mergeCell ref="D6:E6"/>
    <mergeCell ref="F6:G6"/>
    <mergeCell ref="H6:I6"/>
    <mergeCell ref="J6:K6"/>
    <mergeCell ref="L6:M6"/>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2:K17"/>
  <sheetViews>
    <sheetView zoomScale="90" zoomScaleNormal="90" workbookViewId="0">
      <selection activeCell="H24" sqref="H24"/>
    </sheetView>
  </sheetViews>
  <sheetFormatPr baseColWidth="10" defaultColWidth="11.42578125" defaultRowHeight="12.75" x14ac:dyDescent="0.2"/>
  <cols>
    <col min="1" max="1" width="26.85546875" style="1181" customWidth="1"/>
    <col min="2" max="8" width="10.85546875" style="1181" customWidth="1"/>
    <col min="9" max="9" width="11.140625" style="1181" bestFit="1" customWidth="1"/>
    <col min="10" max="10" width="11.85546875" style="1181" bestFit="1" customWidth="1"/>
    <col min="11" max="11" width="11.140625" style="1181" bestFit="1" customWidth="1"/>
    <col min="12" max="12" width="13.5703125" style="1181" customWidth="1"/>
    <col min="13" max="16384" width="11.42578125" style="1181"/>
  </cols>
  <sheetData>
    <row r="2" spans="1:11" s="1211" customFormat="1" ht="18.75" customHeight="1" x14ac:dyDescent="0.15">
      <c r="A2" s="3153" t="s">
        <v>2659</v>
      </c>
      <c r="B2" s="3153"/>
      <c r="C2" s="3153"/>
      <c r="D2" s="3153"/>
      <c r="E2" s="3153"/>
      <c r="F2" s="3153"/>
      <c r="G2" s="3153"/>
      <c r="H2" s="3153"/>
      <c r="I2" s="3153"/>
      <c r="J2" s="3153"/>
      <c r="K2" s="3153"/>
    </row>
    <row r="3" spans="1:11" s="1211" customFormat="1" ht="10.5" x14ac:dyDescent="0.15">
      <c r="A3" s="3154"/>
      <c r="B3" s="3154"/>
      <c r="C3" s="3154"/>
      <c r="D3" s="3154"/>
      <c r="E3" s="3154"/>
      <c r="F3" s="3154"/>
      <c r="G3" s="3154"/>
      <c r="H3" s="3154"/>
      <c r="I3" s="3154"/>
      <c r="J3" s="3154"/>
      <c r="K3" s="3154"/>
    </row>
    <row r="4" spans="1:11" s="1211" customFormat="1" ht="15.75" customHeight="1" x14ac:dyDescent="0.15">
      <c r="A4" s="3155" t="s">
        <v>2619</v>
      </c>
      <c r="B4" s="3157">
        <v>2011</v>
      </c>
      <c r="C4" s="3157"/>
      <c r="D4" s="3157">
        <v>2012</v>
      </c>
      <c r="E4" s="3157"/>
      <c r="F4" s="3157">
        <v>2013</v>
      </c>
      <c r="G4" s="3157"/>
      <c r="H4" s="3157">
        <v>2014</v>
      </c>
      <c r="I4" s="3157"/>
      <c r="J4" s="3157" t="s">
        <v>2240</v>
      </c>
      <c r="K4" s="3157"/>
    </row>
    <row r="5" spans="1:11" s="1211" customFormat="1" ht="15.75" customHeight="1" x14ac:dyDescent="0.15">
      <c r="A5" s="3156"/>
      <c r="B5" s="1240" t="s">
        <v>2562</v>
      </c>
      <c r="C5" s="1240" t="s">
        <v>727</v>
      </c>
      <c r="D5" s="1240" t="s">
        <v>2562</v>
      </c>
      <c r="E5" s="1240" t="s">
        <v>727</v>
      </c>
      <c r="F5" s="1240" t="s">
        <v>2562</v>
      </c>
      <c r="G5" s="1240" t="s">
        <v>727</v>
      </c>
      <c r="H5" s="1240" t="s">
        <v>2562</v>
      </c>
      <c r="I5" s="1240" t="s">
        <v>727</v>
      </c>
      <c r="J5" s="1240" t="s">
        <v>2562</v>
      </c>
      <c r="K5" s="1240" t="s">
        <v>727</v>
      </c>
    </row>
    <row r="6" spans="1:11" s="1211" customFormat="1" ht="11.25" x14ac:dyDescent="0.15">
      <c r="A6" s="1241" t="s">
        <v>2660</v>
      </c>
      <c r="B6" s="610">
        <f t="shared" ref="B6:I6" si="0">SUM(B7:B8)</f>
        <v>51876.566666666666</v>
      </c>
      <c r="C6" s="1242">
        <f>SUM(C7:C8)</f>
        <v>1</v>
      </c>
      <c r="D6" s="610">
        <f t="shared" si="0"/>
        <v>54779.255555555559</v>
      </c>
      <c r="E6" s="1242">
        <f t="shared" si="0"/>
        <v>1</v>
      </c>
      <c r="F6" s="610">
        <f t="shared" si="0"/>
        <v>54583.416666666672</v>
      </c>
      <c r="G6" s="1242">
        <f t="shared" si="0"/>
        <v>1</v>
      </c>
      <c r="H6" s="610">
        <f t="shared" si="0"/>
        <v>51860.25</v>
      </c>
      <c r="I6" s="1242">
        <f t="shared" si="0"/>
        <v>1</v>
      </c>
      <c r="J6" s="1243">
        <f t="shared" ref="J6:K6" si="1">SUM(J7:J8)</f>
        <v>54591.822222222218</v>
      </c>
      <c r="K6" s="1242">
        <f t="shared" si="1"/>
        <v>1</v>
      </c>
    </row>
    <row r="7" spans="1:11" s="1211" customFormat="1" ht="10.5" x14ac:dyDescent="0.15">
      <c r="A7" s="1244" t="s">
        <v>2661</v>
      </c>
      <c r="B7" s="1245">
        <v>1178.5999999999999</v>
      </c>
      <c r="C7" s="1246">
        <f>+B7/B6</f>
        <v>2.2719313858473027E-2</v>
      </c>
      <c r="D7" s="1245">
        <v>1208.3555555555556</v>
      </c>
      <c r="E7" s="1246">
        <f>+D7/D6</f>
        <v>2.2058634117984241E-2</v>
      </c>
      <c r="F7" s="1245">
        <v>995.9</v>
      </c>
      <c r="G7" s="1246">
        <f>+F7/F6</f>
        <v>1.8245468327529268E-2</v>
      </c>
      <c r="H7" s="1247">
        <f>(5487840/3600)</f>
        <v>1524.4</v>
      </c>
      <c r="I7" s="1246">
        <f>+H7/H6</f>
        <v>2.9394382017055454E-2</v>
      </c>
      <c r="J7" s="1248">
        <v>3194.8722222222223</v>
      </c>
      <c r="K7" s="1246">
        <f>+J7/J6</f>
        <v>5.8522908600067092E-2</v>
      </c>
    </row>
    <row r="8" spans="1:11" s="1211" customFormat="1" ht="10.5" x14ac:dyDescent="0.15">
      <c r="A8" s="1244" t="s">
        <v>2662</v>
      </c>
      <c r="B8" s="1245">
        <v>50697.966666666667</v>
      </c>
      <c r="C8" s="1246">
        <f>+B8/B6</f>
        <v>0.97728068614152697</v>
      </c>
      <c r="D8" s="1245">
        <v>53570.9</v>
      </c>
      <c r="E8" s="1246">
        <f>+D8/D6</f>
        <v>0.97794136588201575</v>
      </c>
      <c r="F8" s="1245">
        <v>53587.51666666667</v>
      </c>
      <c r="G8" s="1246">
        <f>+F8/F6</f>
        <v>0.98175453167247073</v>
      </c>
      <c r="H8" s="1247">
        <f>(181209060/3600)</f>
        <v>50335.85</v>
      </c>
      <c r="I8" s="1246">
        <f>+H8/H6</f>
        <v>0.97060561798294454</v>
      </c>
      <c r="J8" s="1248">
        <v>51396.95</v>
      </c>
      <c r="K8" s="1246">
        <f>+J8/J6</f>
        <v>0.94147709139993296</v>
      </c>
    </row>
    <row r="9" spans="1:11" s="1211" customFormat="1" ht="11.25" x14ac:dyDescent="0.15">
      <c r="A9" s="1241" t="s">
        <v>2663</v>
      </c>
      <c r="B9" s="610">
        <f t="shared" ref="B9:K9" si="2">SUM(B10:B11)</f>
        <v>979.88202777778065</v>
      </c>
      <c r="C9" s="1242">
        <f>SUM(C10:C11)</f>
        <v>0.99999999999999989</v>
      </c>
      <c r="D9" s="610">
        <f t="shared" si="2"/>
        <v>936.03062777777222</v>
      </c>
      <c r="E9" s="1242">
        <f t="shared" si="2"/>
        <v>1</v>
      </c>
      <c r="F9" s="610">
        <f t="shared" si="2"/>
        <v>929.25194444444446</v>
      </c>
      <c r="G9" s="1242">
        <f t="shared" si="2"/>
        <v>1</v>
      </c>
      <c r="H9" s="610">
        <f t="shared" si="2"/>
        <v>831.11333333333334</v>
      </c>
      <c r="I9" s="1242">
        <f t="shared" si="2"/>
        <v>1</v>
      </c>
      <c r="J9" s="1243">
        <f t="shared" si="2"/>
        <v>835</v>
      </c>
      <c r="K9" s="1242">
        <f t="shared" si="2"/>
        <v>1</v>
      </c>
    </row>
    <row r="10" spans="1:11" s="1211" customFormat="1" ht="10.5" x14ac:dyDescent="0.15">
      <c r="A10" s="1244" t="s">
        <v>2661</v>
      </c>
      <c r="B10" s="1249">
        <v>23.519188888888898</v>
      </c>
      <c r="C10" s="1246">
        <f>+B10/B9</f>
        <v>2.4002061699434109E-2</v>
      </c>
      <c r="D10" s="1249">
        <v>25.552877777777791</v>
      </c>
      <c r="E10" s="1246">
        <f>+D10/D9</f>
        <v>2.7299189812242372E-2</v>
      </c>
      <c r="F10" s="1249">
        <v>20.639722222222222</v>
      </c>
      <c r="G10" s="1246">
        <f>+F10/F9</f>
        <v>2.2211115452184207E-2</v>
      </c>
      <c r="H10" s="1250">
        <f>(93606/3600)</f>
        <v>26.001666666666665</v>
      </c>
      <c r="I10" s="1246">
        <f>+H10/H9</f>
        <v>3.1285344156833803E-2</v>
      </c>
      <c r="J10" s="1248">
        <v>43</v>
      </c>
      <c r="K10" s="1235">
        <f>+J10/J9</f>
        <v>5.1497005988023953E-2</v>
      </c>
    </row>
    <row r="11" spans="1:11" s="1211" customFormat="1" ht="10.5" x14ac:dyDescent="0.15">
      <c r="A11" s="1244" t="s">
        <v>2662</v>
      </c>
      <c r="B11" s="1249">
        <v>956.3628388888917</v>
      </c>
      <c r="C11" s="1246">
        <f>+B11/B9</f>
        <v>0.9759979383005658</v>
      </c>
      <c r="D11" s="1249">
        <v>910.47774999999444</v>
      </c>
      <c r="E11" s="1246">
        <f>+D11/D9</f>
        <v>0.97270081018775767</v>
      </c>
      <c r="F11" s="1249">
        <v>908.61222222222227</v>
      </c>
      <c r="G11" s="1246">
        <f>+F11/F9</f>
        <v>0.97778888454781587</v>
      </c>
      <c r="H11" s="1250">
        <f>(2898402/3600)</f>
        <v>805.11166666666668</v>
      </c>
      <c r="I11" s="1246">
        <f>+H11/H9</f>
        <v>0.96871465584316618</v>
      </c>
      <c r="J11" s="1248">
        <v>792</v>
      </c>
      <c r="K11" s="1246">
        <f>+J11/J9</f>
        <v>0.94850299401197602</v>
      </c>
    </row>
    <row r="12" spans="1:11" s="1211" customFormat="1" ht="9.75" customHeight="1" x14ac:dyDescent="0.15">
      <c r="A12" s="3158"/>
      <c r="B12" s="3158"/>
      <c r="C12" s="3158"/>
      <c r="D12" s="3158"/>
      <c r="E12" s="3158"/>
      <c r="F12" s="3158"/>
      <c r="G12" s="3158"/>
      <c r="H12" s="3158"/>
      <c r="I12" s="3158"/>
      <c r="J12" s="3158"/>
      <c r="K12" s="3158"/>
    </row>
    <row r="13" spans="1:11" s="1211" customFormat="1" ht="129" customHeight="1" x14ac:dyDescent="0.15">
      <c r="A13" s="3150" t="s">
        <v>2664</v>
      </c>
      <c r="B13" s="3150"/>
      <c r="C13" s="3150"/>
      <c r="D13" s="3150"/>
      <c r="E13" s="3150"/>
      <c r="F13" s="3150"/>
      <c r="G13" s="3150"/>
      <c r="H13" s="3150"/>
      <c r="I13" s="3150"/>
      <c r="J13" s="3150"/>
      <c r="K13" s="3150"/>
    </row>
    <row r="14" spans="1:11" s="1211" customFormat="1" ht="82.5" customHeight="1" x14ac:dyDescent="0.15">
      <c r="A14" s="3150" t="s">
        <v>2665</v>
      </c>
      <c r="B14" s="3150"/>
      <c r="C14" s="3150"/>
      <c r="D14" s="3150"/>
      <c r="E14" s="3150"/>
      <c r="F14" s="3150"/>
      <c r="G14" s="3150"/>
      <c r="H14" s="3150"/>
      <c r="I14" s="3150"/>
      <c r="J14" s="3150"/>
      <c r="K14" s="3150"/>
    </row>
    <row r="15" spans="1:11" s="1211" customFormat="1" ht="15" customHeight="1" x14ac:dyDescent="0.15">
      <c r="A15" s="3159" t="s">
        <v>2666</v>
      </c>
      <c r="B15" s="3159"/>
      <c r="C15" s="3159"/>
      <c r="D15" s="3159"/>
      <c r="E15" s="3159"/>
      <c r="F15" s="3159"/>
      <c r="G15" s="3159"/>
      <c r="H15" s="3159"/>
      <c r="I15" s="3159"/>
      <c r="J15" s="3159"/>
      <c r="K15" s="3159"/>
    </row>
    <row r="16" spans="1:11" s="1211" customFormat="1" ht="15" customHeight="1" x14ac:dyDescent="0.15">
      <c r="A16" s="3160" t="s">
        <v>2667</v>
      </c>
      <c r="B16" s="3160"/>
      <c r="C16" s="3160"/>
      <c r="D16" s="3160"/>
      <c r="E16" s="3160"/>
      <c r="F16" s="3160"/>
      <c r="G16" s="3160"/>
      <c r="H16" s="3160"/>
      <c r="I16" s="3160"/>
      <c r="J16" s="3160"/>
      <c r="K16" s="3160"/>
    </row>
    <row r="17" spans="1:11" s="1211" customFormat="1" ht="15" customHeight="1" x14ac:dyDescent="0.15">
      <c r="A17" s="3152" t="s">
        <v>2606</v>
      </c>
      <c r="B17" s="3152"/>
      <c r="C17" s="3152"/>
      <c r="D17" s="3152"/>
      <c r="E17" s="3152"/>
      <c r="F17" s="3152"/>
      <c r="G17" s="3152"/>
      <c r="H17" s="3152"/>
      <c r="I17" s="3152"/>
      <c r="J17" s="3152"/>
      <c r="K17" s="3152"/>
    </row>
  </sheetData>
  <mergeCells count="14">
    <mergeCell ref="A17:K17"/>
    <mergeCell ref="A2:K2"/>
    <mergeCell ref="A3:K3"/>
    <mergeCell ref="A4:A5"/>
    <mergeCell ref="B4:C4"/>
    <mergeCell ref="D4:E4"/>
    <mergeCell ref="F4:G4"/>
    <mergeCell ref="H4:I4"/>
    <mergeCell ref="J4:K4"/>
    <mergeCell ref="A12:K12"/>
    <mergeCell ref="A13:K13"/>
    <mergeCell ref="A14:K14"/>
    <mergeCell ref="A15:K15"/>
    <mergeCell ref="A16:K16"/>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O24"/>
  <sheetViews>
    <sheetView workbookViewId="0">
      <selection activeCell="A2" sqref="A2:O2"/>
    </sheetView>
  </sheetViews>
  <sheetFormatPr baseColWidth="10" defaultColWidth="8" defaultRowHeight="10.5" x14ac:dyDescent="0.15"/>
  <cols>
    <col min="1" max="1" width="20" style="1" customWidth="1"/>
    <col min="2" max="2" width="12.140625" style="1" customWidth="1"/>
    <col min="3" max="3" width="12.28515625" style="1" bestFit="1" customWidth="1"/>
    <col min="4" max="4" width="12.140625" style="1" customWidth="1"/>
    <col min="5" max="5" width="11.28515625" style="1" customWidth="1"/>
    <col min="6" max="7" width="12.140625" style="1" customWidth="1"/>
    <col min="8" max="8" width="11.28515625" style="1" customWidth="1"/>
    <col min="9" max="10" width="12.140625" style="1" customWidth="1"/>
    <col min="11" max="11" width="11.28515625" style="1" customWidth="1"/>
    <col min="12" max="13" width="12.140625" style="1" customWidth="1"/>
    <col min="14" max="14" width="11.28515625" style="1" customWidth="1"/>
    <col min="15" max="15" width="12.140625" style="1" customWidth="1"/>
    <col min="16" max="16" width="8" style="1" customWidth="1"/>
    <col min="17" max="16384" width="8" style="1"/>
  </cols>
  <sheetData>
    <row r="1" spans="1:15" ht="15" customHeight="1" x14ac:dyDescent="0.15"/>
    <row r="2" spans="1:15" x14ac:dyDescent="0.15">
      <c r="A2" s="3162" t="s">
        <v>2668</v>
      </c>
      <c r="B2" s="3162"/>
      <c r="C2" s="3162"/>
      <c r="D2" s="3162"/>
      <c r="E2" s="3162"/>
      <c r="F2" s="3162"/>
      <c r="G2" s="3162"/>
      <c r="H2" s="3162"/>
      <c r="I2" s="3162"/>
      <c r="J2" s="3162"/>
      <c r="K2" s="3162"/>
      <c r="L2" s="3162"/>
      <c r="M2" s="3162"/>
      <c r="N2" s="3162"/>
      <c r="O2" s="3162"/>
    </row>
    <row r="3" spans="1:15" ht="11.25" customHeight="1" x14ac:dyDescent="0.15">
      <c r="A3" s="3163"/>
      <c r="B3" s="3163"/>
      <c r="C3" s="3163"/>
      <c r="D3" s="3163"/>
      <c r="E3" s="3163"/>
      <c r="F3" s="3163"/>
      <c r="G3" s="3163"/>
      <c r="H3" s="3163"/>
      <c r="I3" s="3163"/>
      <c r="J3" s="3163"/>
      <c r="K3" s="3163"/>
      <c r="L3" s="3163"/>
      <c r="M3" s="3163"/>
      <c r="N3" s="2315"/>
      <c r="O3" s="2315"/>
    </row>
    <row r="4" spans="1:15" ht="12.75" customHeight="1" x14ac:dyDescent="0.15">
      <c r="A4" s="3164" t="s">
        <v>2669</v>
      </c>
      <c r="B4" s="3166" t="s">
        <v>2321</v>
      </c>
      <c r="C4" s="3166"/>
      <c r="D4" s="3167">
        <v>2012</v>
      </c>
      <c r="E4" s="3168"/>
      <c r="F4" s="3169"/>
      <c r="G4" s="3170">
        <v>2013</v>
      </c>
      <c r="H4" s="3171"/>
      <c r="I4" s="3172"/>
      <c r="J4" s="3170">
        <v>2014</v>
      </c>
      <c r="K4" s="3171"/>
      <c r="L4" s="3171"/>
      <c r="M4" s="3173">
        <v>2015</v>
      </c>
      <c r="N4" s="3173"/>
      <c r="O4" s="3173"/>
    </row>
    <row r="5" spans="1:15" ht="22.5" customHeight="1" x14ac:dyDescent="0.15">
      <c r="A5" s="3165"/>
      <c r="B5" s="1251" t="s">
        <v>69</v>
      </c>
      <c r="C5" s="1252" t="s">
        <v>2670</v>
      </c>
      <c r="D5" s="1252" t="s">
        <v>69</v>
      </c>
      <c r="E5" s="1252" t="s">
        <v>131</v>
      </c>
      <c r="F5" s="1252" t="s">
        <v>2671</v>
      </c>
      <c r="G5" s="681" t="s">
        <v>69</v>
      </c>
      <c r="H5" s="681" t="s">
        <v>131</v>
      </c>
      <c r="I5" s="681" t="s">
        <v>2671</v>
      </c>
      <c r="J5" s="681" t="s">
        <v>69</v>
      </c>
      <c r="K5" s="681" t="s">
        <v>131</v>
      </c>
      <c r="L5" s="681" t="s">
        <v>2671</v>
      </c>
      <c r="M5" s="1253" t="s">
        <v>69</v>
      </c>
      <c r="N5" s="1253" t="s">
        <v>131</v>
      </c>
      <c r="O5" s="1253" t="s">
        <v>2671</v>
      </c>
    </row>
    <row r="6" spans="1:15" x14ac:dyDescent="0.15">
      <c r="A6" s="1254" t="s">
        <v>141</v>
      </c>
      <c r="B6" s="1255">
        <f>SUM(B7:B16)</f>
        <v>16</v>
      </c>
      <c r="C6" s="1255">
        <f>SUM(C7:C16)</f>
        <v>16</v>
      </c>
      <c r="D6" s="1255">
        <f>SUM(E6:F6)</f>
        <v>3201</v>
      </c>
      <c r="E6" s="1255">
        <f t="shared" ref="E6:L6" si="0">SUM(E7:E16)</f>
        <v>412</v>
      </c>
      <c r="F6" s="1255">
        <f t="shared" si="0"/>
        <v>2789</v>
      </c>
      <c r="G6" s="1255">
        <f>SUM(H6:I6)</f>
        <v>3083</v>
      </c>
      <c r="H6" s="1255">
        <f t="shared" si="0"/>
        <v>510</v>
      </c>
      <c r="I6" s="1255">
        <f t="shared" si="0"/>
        <v>2573</v>
      </c>
      <c r="J6" s="1255">
        <f>SUM(K6:L6)</f>
        <v>3715</v>
      </c>
      <c r="K6" s="1256">
        <f t="shared" si="0"/>
        <v>1621</v>
      </c>
      <c r="L6" s="1256">
        <f t="shared" si="0"/>
        <v>2094</v>
      </c>
      <c r="M6" s="1256">
        <f>SUM(N6:O6)</f>
        <v>4138</v>
      </c>
      <c r="N6" s="1257">
        <f>SUM(N7:N16)</f>
        <v>2083</v>
      </c>
      <c r="O6" s="1257">
        <f>SUM(O7:O16)</f>
        <v>2055</v>
      </c>
    </row>
    <row r="7" spans="1:15" s="6" customFormat="1" x14ac:dyDescent="0.15">
      <c r="A7" s="1258" t="s">
        <v>2672</v>
      </c>
      <c r="B7" s="1259">
        <v>6</v>
      </c>
      <c r="C7" s="1259">
        <v>6</v>
      </c>
      <c r="D7" s="1255">
        <f t="shared" ref="D7:D16" si="1">SUM(E7:F7)</f>
        <v>70</v>
      </c>
      <c r="E7" s="1259">
        <v>20</v>
      </c>
      <c r="F7" s="1260">
        <f>70-E7</f>
        <v>50</v>
      </c>
      <c r="G7" s="1255">
        <f t="shared" ref="G7:G16" si="2">SUM(H7:I7)</f>
        <v>65</v>
      </c>
      <c r="H7" s="1259">
        <v>17</v>
      </c>
      <c r="I7" s="1260">
        <f>65-H7</f>
        <v>48</v>
      </c>
      <c r="J7" s="1255">
        <f t="shared" ref="J7:J16" si="3">SUM(K7:L7)</f>
        <v>104</v>
      </c>
      <c r="K7" s="1245">
        <v>40</v>
      </c>
      <c r="L7" s="1245">
        <v>64</v>
      </c>
      <c r="M7" s="1256">
        <f t="shared" ref="M7:M16" si="4">SUM(N7:O7)</f>
        <v>99</v>
      </c>
      <c r="N7" s="1261">
        <v>44</v>
      </c>
      <c r="O7" s="1261">
        <v>55</v>
      </c>
    </row>
    <row r="8" spans="1:15" s="6" customFormat="1" x14ac:dyDescent="0.15">
      <c r="A8" s="1060" t="s">
        <v>1929</v>
      </c>
      <c r="B8" s="1259">
        <v>10</v>
      </c>
      <c r="C8" s="1259">
        <v>10</v>
      </c>
      <c r="D8" s="1255">
        <f t="shared" si="1"/>
        <v>382</v>
      </c>
      <c r="E8" s="1259">
        <v>209</v>
      </c>
      <c r="F8" s="1260">
        <f>382-E8</f>
        <v>173</v>
      </c>
      <c r="G8" s="1255">
        <f t="shared" si="2"/>
        <v>557</v>
      </c>
      <c r="H8" s="1259">
        <v>350</v>
      </c>
      <c r="I8" s="1260">
        <f>557-H8</f>
        <v>207</v>
      </c>
      <c r="J8" s="1255">
        <f t="shared" si="3"/>
        <v>1646</v>
      </c>
      <c r="K8" s="1245">
        <v>1464</v>
      </c>
      <c r="L8" s="1245">
        <v>182</v>
      </c>
      <c r="M8" s="1256">
        <f t="shared" si="4"/>
        <v>1954</v>
      </c>
      <c r="N8" s="1261">
        <v>1806</v>
      </c>
      <c r="O8" s="1261">
        <v>148</v>
      </c>
    </row>
    <row r="9" spans="1:15" s="6" customFormat="1" x14ac:dyDescent="0.15">
      <c r="A9" s="1258" t="s">
        <v>2673</v>
      </c>
      <c r="B9" s="1262" t="s">
        <v>181</v>
      </c>
      <c r="C9" s="1262" t="s">
        <v>181</v>
      </c>
      <c r="D9" s="1255">
        <f t="shared" si="1"/>
        <v>40</v>
      </c>
      <c r="E9" s="1259">
        <v>40</v>
      </c>
      <c r="F9" s="1260">
        <f>40-E9</f>
        <v>0</v>
      </c>
      <c r="G9" s="1255">
        <f t="shared" si="2"/>
        <v>40</v>
      </c>
      <c r="H9" s="1259">
        <v>40</v>
      </c>
      <c r="I9" s="1260">
        <f>40-H9</f>
        <v>0</v>
      </c>
      <c r="J9" s="1255">
        <f t="shared" si="3"/>
        <v>14</v>
      </c>
      <c r="K9" s="1245">
        <v>14</v>
      </c>
      <c r="L9" s="1245">
        <v>0</v>
      </c>
      <c r="M9" s="1256">
        <f t="shared" si="4"/>
        <v>14</v>
      </c>
      <c r="N9" s="1261">
        <v>14</v>
      </c>
      <c r="O9" s="1261">
        <v>0</v>
      </c>
    </row>
    <row r="10" spans="1:15" s="6" customFormat="1" x14ac:dyDescent="0.15">
      <c r="A10" s="1258" t="s">
        <v>1671</v>
      </c>
      <c r="B10" s="1262" t="s">
        <v>181</v>
      </c>
      <c r="C10" s="1262" t="s">
        <v>181</v>
      </c>
      <c r="D10" s="1255">
        <f t="shared" si="1"/>
        <v>2063</v>
      </c>
      <c r="E10" s="1260">
        <v>28</v>
      </c>
      <c r="F10" s="1259">
        <f>2063-E10</f>
        <v>2035</v>
      </c>
      <c r="G10" s="1255">
        <f t="shared" si="2"/>
        <v>1985</v>
      </c>
      <c r="H10" s="1260">
        <v>28</v>
      </c>
      <c r="I10" s="1259">
        <f>1985-H10</f>
        <v>1957</v>
      </c>
      <c r="J10" s="1255">
        <f t="shared" si="3"/>
        <v>1579</v>
      </c>
      <c r="K10" s="1245">
        <v>33</v>
      </c>
      <c r="L10" s="1245">
        <v>1546</v>
      </c>
      <c r="M10" s="1256">
        <f t="shared" si="4"/>
        <v>1692</v>
      </c>
      <c r="N10" s="1261">
        <v>144</v>
      </c>
      <c r="O10" s="1261">
        <v>1548</v>
      </c>
    </row>
    <row r="11" spans="1:15" s="6" customFormat="1" x14ac:dyDescent="0.15">
      <c r="A11" s="1258" t="s">
        <v>2674</v>
      </c>
      <c r="B11" s="1262" t="s">
        <v>181</v>
      </c>
      <c r="C11" s="1262" t="s">
        <v>181</v>
      </c>
      <c r="D11" s="1255">
        <f t="shared" si="1"/>
        <v>13</v>
      </c>
      <c r="E11" s="1260">
        <v>12</v>
      </c>
      <c r="F11" s="1259">
        <f>13-E11</f>
        <v>1</v>
      </c>
      <c r="G11" s="1255">
        <f t="shared" si="2"/>
        <v>8</v>
      </c>
      <c r="H11" s="1260">
        <v>8</v>
      </c>
      <c r="I11" s="1259">
        <f>8-H11</f>
        <v>0</v>
      </c>
      <c r="J11" s="1255">
        <f t="shared" si="3"/>
        <v>0</v>
      </c>
      <c r="K11" s="1245">
        <v>0</v>
      </c>
      <c r="L11" s="1245">
        <v>0</v>
      </c>
      <c r="M11" s="1256">
        <f t="shared" si="4"/>
        <v>8</v>
      </c>
      <c r="N11" s="1261">
        <v>8</v>
      </c>
      <c r="O11" s="1261">
        <v>0</v>
      </c>
    </row>
    <row r="12" spans="1:15" s="6" customFormat="1" x14ac:dyDescent="0.15">
      <c r="A12" s="1258" t="s">
        <v>2675</v>
      </c>
      <c r="B12" s="1262" t="s">
        <v>181</v>
      </c>
      <c r="C12" s="1262" t="s">
        <v>181</v>
      </c>
      <c r="D12" s="1255">
        <f t="shared" si="1"/>
        <v>506</v>
      </c>
      <c r="E12" s="1260">
        <v>16</v>
      </c>
      <c r="F12" s="1259">
        <f>506-E12</f>
        <v>490</v>
      </c>
      <c r="G12" s="1255">
        <f t="shared" si="2"/>
        <v>315</v>
      </c>
      <c r="H12" s="1260">
        <v>7</v>
      </c>
      <c r="I12" s="1259">
        <f>315-H12</f>
        <v>308</v>
      </c>
      <c r="J12" s="1255">
        <f t="shared" si="3"/>
        <v>243</v>
      </c>
      <c r="K12" s="1245">
        <v>14</v>
      </c>
      <c r="L12" s="1245">
        <v>229</v>
      </c>
      <c r="M12" s="1256">
        <f t="shared" si="4"/>
        <v>245</v>
      </c>
      <c r="N12" s="1261">
        <v>16</v>
      </c>
      <c r="O12" s="1261">
        <v>229</v>
      </c>
    </row>
    <row r="13" spans="1:15" s="6" customFormat="1" x14ac:dyDescent="0.15">
      <c r="A13" s="1258" t="s">
        <v>2676</v>
      </c>
      <c r="B13" s="1262" t="s">
        <v>181</v>
      </c>
      <c r="C13" s="1262" t="s">
        <v>181</v>
      </c>
      <c r="D13" s="1255">
        <f t="shared" si="1"/>
        <v>34</v>
      </c>
      <c r="E13" s="1260">
        <v>8</v>
      </c>
      <c r="F13" s="1259">
        <f>34-E13</f>
        <v>26</v>
      </c>
      <c r="G13" s="1255">
        <f t="shared" si="2"/>
        <v>61</v>
      </c>
      <c r="H13" s="1260">
        <v>21</v>
      </c>
      <c r="I13" s="1259">
        <f>61-H13</f>
        <v>40</v>
      </c>
      <c r="J13" s="1255">
        <f t="shared" si="3"/>
        <v>77</v>
      </c>
      <c r="K13" s="1245">
        <v>11</v>
      </c>
      <c r="L13" s="1245">
        <v>66</v>
      </c>
      <c r="M13" s="1256">
        <f t="shared" si="4"/>
        <v>69</v>
      </c>
      <c r="N13" s="1261">
        <v>1</v>
      </c>
      <c r="O13" s="1261">
        <v>68</v>
      </c>
    </row>
    <row r="14" spans="1:15" s="6" customFormat="1" x14ac:dyDescent="0.15">
      <c r="A14" s="1258" t="s">
        <v>2677</v>
      </c>
      <c r="B14" s="1262" t="s">
        <v>181</v>
      </c>
      <c r="C14" s="1262" t="s">
        <v>181</v>
      </c>
      <c r="D14" s="1255">
        <f t="shared" si="1"/>
        <v>14</v>
      </c>
      <c r="E14" s="1260">
        <v>8</v>
      </c>
      <c r="F14" s="1259">
        <f>14-E14</f>
        <v>6</v>
      </c>
      <c r="G14" s="1255">
        <f t="shared" si="2"/>
        <v>13</v>
      </c>
      <c r="H14" s="1260">
        <v>11</v>
      </c>
      <c r="I14" s="1259">
        <f>13-H14</f>
        <v>2</v>
      </c>
      <c r="J14" s="1255">
        <f t="shared" si="3"/>
        <v>15</v>
      </c>
      <c r="K14" s="1245">
        <v>15</v>
      </c>
      <c r="L14" s="1245">
        <v>0</v>
      </c>
      <c r="M14" s="1256">
        <f t="shared" si="4"/>
        <v>12</v>
      </c>
      <c r="N14" s="1261">
        <v>12</v>
      </c>
      <c r="O14" s="1261">
        <v>0</v>
      </c>
    </row>
    <row r="15" spans="1:15" s="6" customFormat="1" x14ac:dyDescent="0.15">
      <c r="A15" s="1258" t="s">
        <v>2678</v>
      </c>
      <c r="B15" s="1262" t="s">
        <v>181</v>
      </c>
      <c r="C15" s="1262" t="s">
        <v>181</v>
      </c>
      <c r="D15" s="1255">
        <f t="shared" si="1"/>
        <v>79</v>
      </c>
      <c r="E15" s="1260">
        <v>71</v>
      </c>
      <c r="F15" s="1259">
        <f>79-E15</f>
        <v>8</v>
      </c>
      <c r="G15" s="1255">
        <f t="shared" si="2"/>
        <v>33</v>
      </c>
      <c r="H15" s="1260">
        <v>24</v>
      </c>
      <c r="I15" s="1259">
        <f>33-H15</f>
        <v>9</v>
      </c>
      <c r="J15" s="1255">
        <f t="shared" si="3"/>
        <v>23</v>
      </c>
      <c r="K15" s="1245">
        <v>16</v>
      </c>
      <c r="L15" s="1245">
        <v>7</v>
      </c>
      <c r="M15" s="1256">
        <f t="shared" si="4"/>
        <v>25</v>
      </c>
      <c r="N15" s="1261">
        <v>18</v>
      </c>
      <c r="O15" s="1261">
        <v>7</v>
      </c>
    </row>
    <row r="16" spans="1:15" s="6" customFormat="1" x14ac:dyDescent="0.15">
      <c r="A16" s="1258" t="s">
        <v>2679</v>
      </c>
      <c r="B16" s="1262" t="s">
        <v>181</v>
      </c>
      <c r="C16" s="1262" t="s">
        <v>181</v>
      </c>
      <c r="D16" s="1255">
        <f t="shared" si="1"/>
        <v>0</v>
      </c>
      <c r="E16" s="1260">
        <v>0</v>
      </c>
      <c r="F16" s="1259">
        <v>0</v>
      </c>
      <c r="G16" s="1255">
        <f t="shared" si="2"/>
        <v>6</v>
      </c>
      <c r="H16" s="1260">
        <v>4</v>
      </c>
      <c r="I16" s="1259">
        <f>6-H16</f>
        <v>2</v>
      </c>
      <c r="J16" s="1255">
        <f t="shared" si="3"/>
        <v>14</v>
      </c>
      <c r="K16" s="1245">
        <v>14</v>
      </c>
      <c r="L16" s="1245">
        <v>0</v>
      </c>
      <c r="M16" s="1256">
        <f t="shared" si="4"/>
        <v>20</v>
      </c>
      <c r="N16" s="1261">
        <v>20</v>
      </c>
      <c r="O16" s="1261">
        <v>0</v>
      </c>
    </row>
    <row r="17" spans="1:15" s="6" customFormat="1" x14ac:dyDescent="0.15">
      <c r="A17" s="3174"/>
      <c r="B17" s="3174"/>
      <c r="C17" s="3174"/>
      <c r="D17" s="3174"/>
      <c r="E17" s="3174"/>
      <c r="F17" s="3174"/>
      <c r="G17" s="3174"/>
      <c r="H17" s="3174"/>
      <c r="I17" s="3174"/>
      <c r="J17" s="3174"/>
      <c r="K17" s="3174"/>
      <c r="L17" s="3174"/>
      <c r="M17" s="3174"/>
      <c r="N17" s="3175"/>
      <c r="O17" s="3175"/>
    </row>
    <row r="18" spans="1:15" s="6" customFormat="1" x14ac:dyDescent="0.15">
      <c r="A18" s="3176" t="s">
        <v>2680</v>
      </c>
      <c r="B18" s="3176"/>
      <c r="C18" s="3176"/>
      <c r="D18" s="3176"/>
      <c r="E18" s="3176"/>
      <c r="F18" s="3176"/>
      <c r="G18" s="3176"/>
      <c r="H18" s="3176"/>
      <c r="I18" s="3176"/>
      <c r="J18" s="3176"/>
      <c r="K18" s="3176"/>
      <c r="L18" s="3176"/>
      <c r="M18" s="3176"/>
      <c r="N18" s="3176"/>
      <c r="O18" s="3176"/>
    </row>
    <row r="19" spans="1:15" s="6" customFormat="1" ht="12.75" customHeight="1" x14ac:dyDescent="0.15">
      <c r="A19" s="3177" t="s">
        <v>2681</v>
      </c>
      <c r="B19" s="3177"/>
      <c r="C19" s="3177"/>
      <c r="D19" s="3177"/>
      <c r="E19" s="3177"/>
      <c r="F19" s="3177"/>
      <c r="G19" s="3177"/>
      <c r="H19" s="3177"/>
      <c r="I19" s="3177"/>
      <c r="J19" s="3177"/>
      <c r="K19" s="3177"/>
      <c r="L19" s="3177"/>
      <c r="M19" s="3177"/>
      <c r="N19" s="3177"/>
      <c r="O19" s="3177"/>
    </row>
    <row r="20" spans="1:15" s="6" customFormat="1" ht="12.75" customHeight="1" x14ac:dyDescent="0.15">
      <c r="A20" s="3178" t="s">
        <v>20</v>
      </c>
      <c r="B20" s="3178"/>
      <c r="C20" s="3178"/>
      <c r="D20" s="3178"/>
      <c r="E20" s="3178"/>
      <c r="F20" s="3178"/>
      <c r="G20" s="3178"/>
      <c r="H20" s="3178"/>
      <c r="I20" s="3178"/>
      <c r="J20" s="3178"/>
      <c r="K20" s="3178"/>
      <c r="L20" s="3178"/>
      <c r="M20" s="3178"/>
      <c r="N20" s="3178"/>
      <c r="O20" s="3178"/>
    </row>
    <row r="21" spans="1:15" s="6" customFormat="1" x14ac:dyDescent="0.15">
      <c r="A21" s="3161" t="s">
        <v>731</v>
      </c>
      <c r="B21" s="3161"/>
      <c r="C21" s="3161"/>
      <c r="D21" s="3161"/>
      <c r="E21" s="3161"/>
      <c r="F21" s="3161"/>
      <c r="G21" s="3161"/>
      <c r="H21" s="3161"/>
      <c r="I21" s="3161"/>
      <c r="J21" s="3161"/>
      <c r="K21" s="3161"/>
      <c r="L21" s="3161"/>
      <c r="M21" s="3161"/>
      <c r="N21" s="3161"/>
      <c r="O21" s="3161"/>
    </row>
    <row r="22" spans="1:15" s="6" customFormat="1" x14ac:dyDescent="0.15">
      <c r="A22" s="6" t="s">
        <v>2682</v>
      </c>
    </row>
    <row r="23" spans="1:15" s="6" customFormat="1" x14ac:dyDescent="0.15">
      <c r="A23" s="3161" t="s">
        <v>1440</v>
      </c>
      <c r="B23" s="3161"/>
      <c r="C23" s="3161"/>
      <c r="D23" s="3161"/>
      <c r="E23" s="3161"/>
      <c r="F23" s="3161"/>
      <c r="G23" s="3161"/>
      <c r="H23" s="3161"/>
      <c r="I23" s="3161"/>
      <c r="J23" s="3161"/>
      <c r="K23" s="3161"/>
      <c r="L23" s="3161"/>
      <c r="M23" s="3161"/>
      <c r="N23" s="3161"/>
      <c r="O23" s="3161"/>
    </row>
    <row r="24" spans="1:15" s="6" customFormat="1" x14ac:dyDescent="0.15"/>
  </sheetData>
  <mergeCells count="14">
    <mergeCell ref="A23:O23"/>
    <mergeCell ref="A2:O2"/>
    <mergeCell ref="A3:O3"/>
    <mergeCell ref="A4:A5"/>
    <mergeCell ref="B4:C4"/>
    <mergeCell ref="D4:F4"/>
    <mergeCell ref="G4:I4"/>
    <mergeCell ref="J4:L4"/>
    <mergeCell ref="M4:O4"/>
    <mergeCell ref="A17:O17"/>
    <mergeCell ref="A18:O18"/>
    <mergeCell ref="A19:O19"/>
    <mergeCell ref="A20:O20"/>
    <mergeCell ref="A21:O21"/>
  </mergeCells>
  <pageMargins left="0.78740157480314965" right="0.78740157480314965" top="0.78740157480314965" bottom="0.78740157480314965" header="0.78740157480314965" footer="0.78740157480314965"/>
  <pageSetup paperSize="9" orientation="landscape" verticalDpi="599"/>
  <headerFooter alignWithMargins="0">
    <oddFooter>&amp;L&amp;C&amp;R</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G47"/>
  <sheetViews>
    <sheetView workbookViewId="0">
      <selection activeCell="A2" sqref="A2:F2"/>
    </sheetView>
  </sheetViews>
  <sheetFormatPr baseColWidth="10" defaultColWidth="11" defaultRowHeight="12.75" x14ac:dyDescent="0.2"/>
  <cols>
    <col min="1" max="1" width="37.42578125" style="1263" customWidth="1"/>
    <col min="2" max="2" width="13.7109375" style="1263" customWidth="1"/>
    <col min="3" max="3" width="17.140625" style="1263" customWidth="1"/>
    <col min="4" max="5" width="15.85546875" style="1263" bestFit="1" customWidth="1"/>
    <col min="6" max="6" width="17.28515625" style="1263" customWidth="1"/>
    <col min="7" max="8" width="11" style="1263"/>
    <col min="9" max="9" width="12" style="1263" bestFit="1" customWidth="1"/>
    <col min="10" max="16384" width="11" style="1263"/>
  </cols>
  <sheetData>
    <row r="1" spans="1:6" x14ac:dyDescent="0.2">
      <c r="A1" s="622"/>
      <c r="B1" s="622"/>
      <c r="C1" s="622"/>
      <c r="D1" s="622"/>
      <c r="E1" s="622"/>
    </row>
    <row r="2" spans="1:6" ht="22.5" customHeight="1" x14ac:dyDescent="0.2">
      <c r="A2" s="3180" t="s">
        <v>2683</v>
      </c>
      <c r="B2" s="3180"/>
      <c r="C2" s="3180"/>
      <c r="D2" s="3180"/>
      <c r="E2" s="3180"/>
      <c r="F2" s="3180"/>
    </row>
    <row r="3" spans="1:6" ht="11.25" customHeight="1" x14ac:dyDescent="0.2">
      <c r="A3" s="3181"/>
      <c r="B3" s="3181"/>
      <c r="C3" s="3181"/>
      <c r="D3" s="3181"/>
      <c r="E3" s="3181"/>
      <c r="F3" s="3181"/>
    </row>
    <row r="4" spans="1:6" x14ac:dyDescent="0.2">
      <c r="A4" s="2903" t="s">
        <v>2684</v>
      </c>
      <c r="B4" s="2615" t="s">
        <v>2685</v>
      </c>
      <c r="C4" s="2615"/>
      <c r="D4" s="2615"/>
      <c r="E4" s="2615"/>
      <c r="F4" s="2615"/>
    </row>
    <row r="5" spans="1:6" x14ac:dyDescent="0.2">
      <c r="A5" s="2904"/>
      <c r="B5" s="624" t="s">
        <v>2321</v>
      </c>
      <c r="C5" s="624" t="s">
        <v>2210</v>
      </c>
      <c r="D5" s="624" t="s">
        <v>2686</v>
      </c>
      <c r="E5" s="624">
        <v>2014</v>
      </c>
      <c r="F5" s="624">
        <v>2015</v>
      </c>
    </row>
    <row r="6" spans="1:6" x14ac:dyDescent="0.2">
      <c r="A6" s="1264" t="s">
        <v>2687</v>
      </c>
      <c r="B6" s="615" t="s">
        <v>181</v>
      </c>
      <c r="C6" s="1265">
        <f>+C7</f>
        <v>2537679279</v>
      </c>
      <c r="D6" s="1265">
        <f>+D7</f>
        <v>2223896987</v>
      </c>
      <c r="E6" s="1265">
        <f>SUM(E7,E11)</f>
        <v>2946905584</v>
      </c>
      <c r="F6" s="1265">
        <f>SUM(F7,F11)</f>
        <v>3337889916</v>
      </c>
    </row>
    <row r="7" spans="1:6" x14ac:dyDescent="0.2">
      <c r="A7" s="1266" t="s">
        <v>2688</v>
      </c>
      <c r="B7" s="667" t="s">
        <v>181</v>
      </c>
      <c r="C7" s="1265">
        <f>SUM(C8:C10)</f>
        <v>2537679279</v>
      </c>
      <c r="D7" s="1265">
        <f>SUM(D8:D10)</f>
        <v>2223896987</v>
      </c>
      <c r="E7" s="1265">
        <f>SUM(E8:E10)</f>
        <v>2933163401</v>
      </c>
      <c r="F7" s="1265">
        <f>SUM(F8:F10)</f>
        <v>3335173818</v>
      </c>
    </row>
    <row r="8" spans="1:6" x14ac:dyDescent="0.2">
      <c r="A8" s="1267" t="s">
        <v>2689</v>
      </c>
      <c r="B8" s="667" t="s">
        <v>181</v>
      </c>
      <c r="C8" s="1268">
        <v>961607277</v>
      </c>
      <c r="D8" s="1268">
        <v>1310333477</v>
      </c>
      <c r="E8" s="1268">
        <v>1651522749</v>
      </c>
      <c r="F8" s="1268">
        <v>1617754459</v>
      </c>
    </row>
    <row r="9" spans="1:6" x14ac:dyDescent="0.2">
      <c r="A9" s="1267" t="s">
        <v>2690</v>
      </c>
      <c r="B9" s="667" t="s">
        <v>181</v>
      </c>
      <c r="C9" s="1268">
        <v>1518195389</v>
      </c>
      <c r="D9" s="1268">
        <v>806300068</v>
      </c>
      <c r="E9" s="1268">
        <v>1053111905</v>
      </c>
      <c r="F9" s="1268">
        <v>1417085747</v>
      </c>
    </row>
    <row r="10" spans="1:6" x14ac:dyDescent="0.2">
      <c r="A10" s="1267" t="s">
        <v>2691</v>
      </c>
      <c r="B10" s="667" t="s">
        <v>181</v>
      </c>
      <c r="C10" s="1268">
        <v>57876613</v>
      </c>
      <c r="D10" s="1268">
        <f>107792264-528822</f>
        <v>107263442</v>
      </c>
      <c r="E10" s="1268">
        <v>228528747</v>
      </c>
      <c r="F10" s="1268">
        <v>300333612</v>
      </c>
    </row>
    <row r="11" spans="1:6" x14ac:dyDescent="0.2">
      <c r="A11" s="1266" t="s">
        <v>2692</v>
      </c>
      <c r="B11" s="667" t="s">
        <v>181</v>
      </c>
      <c r="C11" s="1268" t="s">
        <v>181</v>
      </c>
      <c r="D11" s="1268" t="s">
        <v>181</v>
      </c>
      <c r="E11" s="1265">
        <f>SUM(E12)</f>
        <v>13742183</v>
      </c>
      <c r="F11" s="1265">
        <f>SUM(F12)</f>
        <v>2716098</v>
      </c>
    </row>
    <row r="12" spans="1:6" x14ac:dyDescent="0.2">
      <c r="A12" s="396" t="s">
        <v>2693</v>
      </c>
      <c r="B12" s="667" t="s">
        <v>181</v>
      </c>
      <c r="C12" s="1268" t="s">
        <v>181</v>
      </c>
      <c r="D12" s="1268" t="s">
        <v>181</v>
      </c>
      <c r="E12" s="1269">
        <v>13742183</v>
      </c>
      <c r="F12" s="1268">
        <v>2716098</v>
      </c>
    </row>
    <row r="13" spans="1:6" ht="11.25" customHeight="1" x14ac:dyDescent="0.2">
      <c r="A13" s="396"/>
      <c r="B13" s="667"/>
      <c r="C13" s="1268"/>
      <c r="D13" s="1268"/>
      <c r="E13" s="1269"/>
      <c r="F13" s="1268"/>
    </row>
    <row r="14" spans="1:6" x14ac:dyDescent="0.2">
      <c r="A14" s="1264" t="s">
        <v>2694</v>
      </c>
      <c r="B14" s="1270" t="s">
        <v>181</v>
      </c>
      <c r="C14" s="1265" t="s">
        <v>181</v>
      </c>
      <c r="D14" s="1265">
        <f>SUM(D15:D16)</f>
        <v>2097439498.9838219</v>
      </c>
      <c r="E14" s="1265">
        <f>SUM(E15:E16)</f>
        <v>1301763491.6499953</v>
      </c>
      <c r="F14" s="1265">
        <f>SUM(F15:F16)</f>
        <v>2117419613</v>
      </c>
    </row>
    <row r="15" spans="1:6" x14ac:dyDescent="0.2">
      <c r="A15" s="1271" t="s">
        <v>2695</v>
      </c>
      <c r="B15" s="569" t="s">
        <v>181</v>
      </c>
      <c r="C15" s="1268" t="s">
        <v>181</v>
      </c>
      <c r="D15" s="1268">
        <v>1288960496.8714395</v>
      </c>
      <c r="E15" s="1268">
        <v>751293970.68901718</v>
      </c>
      <c r="F15" s="1268">
        <v>1309229934</v>
      </c>
    </row>
    <row r="16" spans="1:6" x14ac:dyDescent="0.2">
      <c r="A16" s="1271" t="s">
        <v>2696</v>
      </c>
      <c r="B16" s="1272" t="s">
        <v>181</v>
      </c>
      <c r="C16" s="1268" t="s">
        <v>181</v>
      </c>
      <c r="D16" s="1268">
        <v>808479002.11238241</v>
      </c>
      <c r="E16" s="1268">
        <v>550469520.96097827</v>
      </c>
      <c r="F16" s="1268">
        <v>808189679</v>
      </c>
    </row>
    <row r="17" spans="1:7" s="1273" customFormat="1" x14ac:dyDescent="0.2">
      <c r="A17" s="1062" t="s">
        <v>2697</v>
      </c>
      <c r="B17" s="1270" t="s">
        <v>181</v>
      </c>
      <c r="C17" s="1265" t="s">
        <v>181</v>
      </c>
      <c r="D17" s="1265">
        <f>SUM(D18:D21)</f>
        <v>2097439498.9838219</v>
      </c>
      <c r="E17" s="1265">
        <f>SUM(E18:E21)</f>
        <v>1301763491.6499953</v>
      </c>
      <c r="F17" s="1265">
        <f>SUM(F18:F21)</f>
        <v>2117419612.8872797</v>
      </c>
    </row>
    <row r="18" spans="1:7" s="1273" customFormat="1" x14ac:dyDescent="0.2">
      <c r="A18" s="710" t="s">
        <v>2698</v>
      </c>
      <c r="B18" s="1272" t="s">
        <v>181</v>
      </c>
      <c r="C18" s="1268" t="s">
        <v>181</v>
      </c>
      <c r="D18" s="1268">
        <v>1221249766.8714395</v>
      </c>
      <c r="E18" s="1268">
        <v>751293970.68901718</v>
      </c>
      <c r="F18" s="711">
        <v>1230574305.9050069</v>
      </c>
    </row>
    <row r="19" spans="1:7" s="1273" customFormat="1" x14ac:dyDescent="0.2">
      <c r="A19" s="710" t="s">
        <v>2699</v>
      </c>
      <c r="B19" s="1272" t="s">
        <v>181</v>
      </c>
      <c r="C19" s="1268" t="s">
        <v>181</v>
      </c>
      <c r="D19" s="1268">
        <v>67710730</v>
      </c>
      <c r="E19" s="1268" t="s">
        <v>181</v>
      </c>
      <c r="F19" s="711">
        <v>78655627.982272968</v>
      </c>
    </row>
    <row r="20" spans="1:7" s="1273" customFormat="1" x14ac:dyDescent="0.2">
      <c r="A20" s="710" t="s">
        <v>2700</v>
      </c>
      <c r="B20" s="1272" t="s">
        <v>181</v>
      </c>
      <c r="C20" s="1268" t="s">
        <v>181</v>
      </c>
      <c r="D20" s="1268">
        <v>0</v>
      </c>
      <c r="E20" s="1268">
        <v>127124.24308287271</v>
      </c>
      <c r="F20" s="711">
        <v>90302614</v>
      </c>
    </row>
    <row r="21" spans="1:7" s="1273" customFormat="1" x14ac:dyDescent="0.2">
      <c r="A21" s="710" t="s">
        <v>2701</v>
      </c>
      <c r="B21" s="1272" t="s">
        <v>181</v>
      </c>
      <c r="C21" s="1268" t="s">
        <v>181</v>
      </c>
      <c r="D21" s="1268">
        <v>808479002.11238241</v>
      </c>
      <c r="E21" s="1268">
        <v>550342396.71789539</v>
      </c>
      <c r="F21" s="1274">
        <v>717887065</v>
      </c>
    </row>
    <row r="22" spans="1:7" ht="11.25" customHeight="1" x14ac:dyDescent="0.2">
      <c r="A22" s="3182"/>
      <c r="B22" s="3182"/>
      <c r="C22" s="3182"/>
      <c r="D22" s="3182"/>
      <c r="E22" s="3182"/>
      <c r="F22" s="3182"/>
    </row>
    <row r="23" spans="1:7" x14ac:dyDescent="0.2">
      <c r="A23" s="3179" t="s">
        <v>2702</v>
      </c>
      <c r="B23" s="3179"/>
      <c r="C23" s="3179"/>
      <c r="D23" s="3179"/>
      <c r="E23" s="3179"/>
      <c r="F23" s="3179"/>
    </row>
    <row r="24" spans="1:7" ht="63.75" customHeight="1" x14ac:dyDescent="0.2">
      <c r="A24" s="3185" t="s">
        <v>2703</v>
      </c>
      <c r="B24" s="3185"/>
      <c r="C24" s="3185"/>
      <c r="D24" s="3185"/>
      <c r="E24" s="3185"/>
      <c r="F24" s="3185"/>
    </row>
    <row r="25" spans="1:7" x14ac:dyDescent="0.2">
      <c r="A25" s="2871" t="s">
        <v>2704</v>
      </c>
      <c r="B25" s="2871"/>
      <c r="C25" s="2871"/>
      <c r="D25" s="2871"/>
      <c r="E25" s="2871"/>
      <c r="F25" s="2871"/>
    </row>
    <row r="26" spans="1:7" ht="22.5" customHeight="1" x14ac:dyDescent="0.2">
      <c r="A26" s="3184" t="s">
        <v>2705</v>
      </c>
      <c r="B26" s="3184"/>
      <c r="C26" s="3184"/>
      <c r="D26" s="3184"/>
      <c r="E26" s="3184"/>
      <c r="F26" s="3184"/>
    </row>
    <row r="27" spans="1:7" ht="11.25" customHeight="1" x14ac:dyDescent="0.2">
      <c r="A27" s="3184" t="s">
        <v>2706</v>
      </c>
      <c r="B27" s="3184"/>
      <c r="C27" s="3184"/>
      <c r="D27" s="3184"/>
      <c r="E27" s="3184"/>
      <c r="F27" s="3184"/>
    </row>
    <row r="28" spans="1:7" ht="11.25" customHeight="1" x14ac:dyDescent="0.2">
      <c r="A28" s="2871" t="s">
        <v>2707</v>
      </c>
      <c r="B28" s="2871"/>
      <c r="C28" s="2871"/>
      <c r="D28" s="2871"/>
      <c r="E28" s="2871"/>
      <c r="F28" s="2871"/>
    </row>
    <row r="29" spans="1:7" ht="75" customHeight="1" x14ac:dyDescent="0.2">
      <c r="A29" s="3186" t="s">
        <v>2708</v>
      </c>
      <c r="B29" s="3186"/>
      <c r="C29" s="3186"/>
      <c r="D29" s="3186"/>
      <c r="E29" s="3186"/>
      <c r="F29" s="3186"/>
      <c r="G29" s="612" t="s">
        <v>2709</v>
      </c>
    </row>
    <row r="30" spans="1:7" ht="11.25" customHeight="1" x14ac:dyDescent="0.2">
      <c r="A30" s="3183" t="s">
        <v>20</v>
      </c>
      <c r="B30" s="3183"/>
      <c r="C30" s="3183"/>
      <c r="D30" s="3183"/>
      <c r="E30" s="3183"/>
      <c r="F30" s="3183"/>
      <c r="G30" s="612"/>
    </row>
    <row r="31" spans="1:7" ht="11.25" customHeight="1" x14ac:dyDescent="0.2">
      <c r="A31" s="3184" t="s">
        <v>731</v>
      </c>
      <c r="B31" s="3184"/>
      <c r="C31" s="3184"/>
      <c r="D31" s="3184"/>
      <c r="E31" s="3184"/>
      <c r="F31" s="3184"/>
      <c r="G31" s="612"/>
    </row>
    <row r="32" spans="1:7" ht="11.25" customHeight="1" x14ac:dyDescent="0.2">
      <c r="A32" s="2871" t="s">
        <v>1440</v>
      </c>
      <c r="B32" s="2871"/>
      <c r="C32" s="2871"/>
      <c r="D32" s="2871"/>
      <c r="E32" s="2871"/>
      <c r="F32" s="2871"/>
    </row>
    <row r="33" spans="1:5" x14ac:dyDescent="0.2">
      <c r="A33" s="622"/>
      <c r="B33" s="622"/>
      <c r="C33" s="622"/>
      <c r="D33" s="622"/>
      <c r="E33" s="622"/>
    </row>
    <row r="35" spans="1:5" x14ac:dyDescent="0.2">
      <c r="A35" s="28"/>
      <c r="B35" s="1"/>
      <c r="C35" s="1"/>
      <c r="D35" s="1"/>
    </row>
    <row r="36" spans="1:5" x14ac:dyDescent="0.2">
      <c r="A36" s="28"/>
      <c r="B36" s="1"/>
      <c r="C36" s="1"/>
      <c r="D36" s="1"/>
    </row>
    <row r="37" spans="1:5" x14ac:dyDescent="0.2">
      <c r="A37" s="28"/>
      <c r="B37" s="1"/>
      <c r="C37" s="1"/>
      <c r="D37" s="1"/>
    </row>
    <row r="45" spans="1:5" s="1" customFormat="1" ht="10.5" x14ac:dyDescent="0.15"/>
    <row r="46" spans="1:5" s="1" customFormat="1" ht="10.5" x14ac:dyDescent="0.15"/>
    <row r="47" spans="1:5" s="1" customFormat="1" ht="10.5" x14ac:dyDescent="0.15"/>
  </sheetData>
  <mergeCells count="15">
    <mergeCell ref="A30:F30"/>
    <mergeCell ref="A31:F31"/>
    <mergeCell ref="A32:F32"/>
    <mergeCell ref="A24:F24"/>
    <mergeCell ref="A25:F25"/>
    <mergeCell ref="A26:F26"/>
    <mergeCell ref="A27:F27"/>
    <mergeCell ref="A28:F28"/>
    <mergeCell ref="A29:F29"/>
    <mergeCell ref="A23:F23"/>
    <mergeCell ref="A2:F2"/>
    <mergeCell ref="A3:F3"/>
    <mergeCell ref="A4:A5"/>
    <mergeCell ref="B4:F4"/>
    <mergeCell ref="A22:F22"/>
  </mergeCells>
  <pageMargins left="0.7" right="0.7" top="0.75" bottom="0.75" header="0.3" footer="0.3"/>
  <pageSetup paperSize="9" orientation="portrait" verticalDpi="599"/>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Q13"/>
  <sheetViews>
    <sheetView zoomScaleNormal="100" workbookViewId="0">
      <selection activeCell="A2" sqref="A2:M2"/>
    </sheetView>
  </sheetViews>
  <sheetFormatPr baseColWidth="10" defaultColWidth="8" defaultRowHeight="10.5" x14ac:dyDescent="0.15"/>
  <cols>
    <col min="1" max="1" width="12.42578125" style="1" customWidth="1"/>
    <col min="2" max="13" width="11.28515625" style="1" customWidth="1"/>
    <col min="14" max="16384" width="8" style="1"/>
  </cols>
  <sheetData>
    <row r="1" spans="1:17" ht="15" customHeight="1" x14ac:dyDescent="0.15"/>
    <row r="2" spans="1:17" ht="22.5" customHeight="1" x14ac:dyDescent="0.15">
      <c r="A2" s="3188" t="s">
        <v>2710</v>
      </c>
      <c r="B2" s="3188"/>
      <c r="C2" s="3188"/>
      <c r="D2" s="3188"/>
      <c r="E2" s="3188"/>
      <c r="F2" s="3188"/>
      <c r="G2" s="3188"/>
      <c r="H2" s="3188"/>
      <c r="I2" s="3188"/>
      <c r="J2" s="3188"/>
      <c r="K2" s="3189"/>
      <c r="L2" s="3189"/>
      <c r="M2" s="3189"/>
      <c r="N2" s="1987"/>
      <c r="O2" s="1987"/>
      <c r="P2" s="1987"/>
      <c r="Q2" s="1987"/>
    </row>
    <row r="3" spans="1:17" ht="11.25" customHeight="1" x14ac:dyDescent="0.15">
      <c r="A3" s="3190"/>
      <c r="B3" s="3190"/>
      <c r="C3" s="3190"/>
      <c r="D3" s="3190"/>
      <c r="E3" s="3190"/>
      <c r="F3" s="3190"/>
      <c r="G3" s="3190"/>
      <c r="H3" s="3190"/>
      <c r="I3" s="3190"/>
      <c r="J3" s="3190"/>
      <c r="K3" s="3190"/>
      <c r="L3" s="3190"/>
      <c r="M3" s="3190"/>
    </row>
    <row r="4" spans="1:17" ht="15" customHeight="1" x14ac:dyDescent="0.15">
      <c r="A4" s="3191" t="s">
        <v>2711</v>
      </c>
      <c r="B4" s="3192" t="s">
        <v>1399</v>
      </c>
      <c r="C4" s="3192"/>
      <c r="D4" s="3192"/>
      <c r="E4" s="3192"/>
      <c r="F4" s="3192"/>
      <c r="G4" s="3192"/>
      <c r="H4" s="3192">
        <v>2014</v>
      </c>
      <c r="I4" s="3192"/>
      <c r="J4" s="3192"/>
      <c r="K4" s="3193">
        <v>2015</v>
      </c>
      <c r="L4" s="3193"/>
      <c r="M4" s="3193"/>
    </row>
    <row r="5" spans="1:17" ht="12.75" customHeight="1" x14ac:dyDescent="0.15">
      <c r="A5" s="3191"/>
      <c r="B5" s="3112" t="s">
        <v>2712</v>
      </c>
      <c r="C5" s="3112"/>
      <c r="D5" s="3112"/>
      <c r="E5" s="3112" t="s">
        <v>2713</v>
      </c>
      <c r="F5" s="3112"/>
      <c r="G5" s="3112"/>
      <c r="H5" s="3112" t="s">
        <v>2714</v>
      </c>
      <c r="I5" s="3112"/>
      <c r="J5" s="3112"/>
      <c r="K5" s="3173" t="s">
        <v>2715</v>
      </c>
      <c r="L5" s="3194"/>
      <c r="M5" s="3194"/>
    </row>
    <row r="6" spans="1:17" x14ac:dyDescent="0.15">
      <c r="A6" s="3191"/>
      <c r="B6" s="1252" t="s">
        <v>69</v>
      </c>
      <c r="C6" s="1275" t="s">
        <v>966</v>
      </c>
      <c r="D6" s="1276" t="s">
        <v>967</v>
      </c>
      <c r="E6" s="1276" t="s">
        <v>69</v>
      </c>
      <c r="F6" s="1275" t="s">
        <v>966</v>
      </c>
      <c r="G6" s="1276" t="s">
        <v>967</v>
      </c>
      <c r="H6" s="1276" t="s">
        <v>69</v>
      </c>
      <c r="I6" s="1275" t="s">
        <v>966</v>
      </c>
      <c r="J6" s="1276" t="s">
        <v>967</v>
      </c>
      <c r="K6" s="1277" t="s">
        <v>69</v>
      </c>
      <c r="L6" s="1277" t="s">
        <v>966</v>
      </c>
      <c r="M6" s="1277" t="s">
        <v>967</v>
      </c>
    </row>
    <row r="7" spans="1:17" s="6" customFormat="1" x14ac:dyDescent="0.15">
      <c r="A7" s="1062" t="s">
        <v>141</v>
      </c>
      <c r="B7" s="1278">
        <f>SUM(C7:D7)</f>
        <v>3186</v>
      </c>
      <c r="C7" s="1279">
        <f>SUM(C8:C9)</f>
        <v>1790</v>
      </c>
      <c r="D7" s="1279">
        <f>SUM(D8:D9)</f>
        <v>1396</v>
      </c>
      <c r="E7" s="1278">
        <f>SUM(F7:G7)</f>
        <v>4247</v>
      </c>
      <c r="F7" s="1279">
        <f>SUM(F8:F9)</f>
        <v>2376</v>
      </c>
      <c r="G7" s="1279">
        <f>SUM(G8:G9)</f>
        <v>1871</v>
      </c>
      <c r="H7" s="1278">
        <f>SUM(I7:J7)</f>
        <v>2089</v>
      </c>
      <c r="I7" s="1279">
        <f>SUM(I8:I9)</f>
        <v>879</v>
      </c>
      <c r="J7" s="1279">
        <f>SUM(J8:J9)</f>
        <v>1210</v>
      </c>
      <c r="K7" s="709">
        <f>SUM(L7:M7)</f>
        <v>4496</v>
      </c>
      <c r="L7" s="709">
        <f>SUM(L8:L9)</f>
        <v>2631</v>
      </c>
      <c r="M7" s="709">
        <f>SUM(M8:M9)</f>
        <v>1865</v>
      </c>
    </row>
    <row r="8" spans="1:17" s="6" customFormat="1" x14ac:dyDescent="0.15">
      <c r="A8" s="710" t="s">
        <v>2018</v>
      </c>
      <c r="B8" s="1278">
        <f>SUM(C8:D8)</f>
        <v>1123</v>
      </c>
      <c r="C8" s="1269">
        <v>620</v>
      </c>
      <c r="D8" s="1269">
        <v>503</v>
      </c>
      <c r="E8" s="1278">
        <f>SUM(F8:G8)</f>
        <v>1069</v>
      </c>
      <c r="F8" s="1269">
        <v>563</v>
      </c>
      <c r="G8" s="1269">
        <v>506</v>
      </c>
      <c r="H8" s="1278">
        <f>SUM(I8:J8)</f>
        <v>879</v>
      </c>
      <c r="I8" s="1269">
        <v>466</v>
      </c>
      <c r="J8" s="1269">
        <v>413</v>
      </c>
      <c r="K8" s="709">
        <f>SUM(L8:M8)</f>
        <v>1182</v>
      </c>
      <c r="L8" s="711">
        <v>647</v>
      </c>
      <c r="M8" s="711">
        <v>535</v>
      </c>
    </row>
    <row r="9" spans="1:17" s="6" customFormat="1" x14ac:dyDescent="0.15">
      <c r="A9" s="1060" t="s">
        <v>2716</v>
      </c>
      <c r="B9" s="1278">
        <f>SUM(C9:D9)</f>
        <v>2063</v>
      </c>
      <c r="C9" s="1269">
        <v>1170</v>
      </c>
      <c r="D9" s="1269">
        <v>893</v>
      </c>
      <c r="E9" s="1278">
        <f>SUM(F9:G9)</f>
        <v>3178</v>
      </c>
      <c r="F9" s="1269">
        <v>1813</v>
      </c>
      <c r="G9" s="1269">
        <v>1365</v>
      </c>
      <c r="H9" s="1278">
        <f>SUM(I9:J9)</f>
        <v>1210</v>
      </c>
      <c r="I9" s="1269">
        <v>413</v>
      </c>
      <c r="J9" s="1269">
        <v>797</v>
      </c>
      <c r="K9" s="709">
        <f>SUM(L9:M9)</f>
        <v>3314</v>
      </c>
      <c r="L9" s="711">
        <v>1984</v>
      </c>
      <c r="M9" s="711">
        <v>1330</v>
      </c>
    </row>
    <row r="10" spans="1:17" s="6" customFormat="1" x14ac:dyDescent="0.15">
      <c r="A10" s="3174"/>
      <c r="B10" s="3174"/>
      <c r="C10" s="3174"/>
      <c r="D10" s="3174"/>
      <c r="E10" s="3174"/>
      <c r="F10" s="3174"/>
      <c r="G10" s="3174"/>
      <c r="H10" s="3174"/>
      <c r="I10" s="3174"/>
      <c r="J10" s="3174"/>
      <c r="K10" s="3175"/>
      <c r="L10" s="3175"/>
      <c r="M10" s="3175"/>
    </row>
    <row r="11" spans="1:17" s="6" customFormat="1" ht="32.25" customHeight="1" x14ac:dyDescent="0.15">
      <c r="A11" s="3056" t="s">
        <v>2717</v>
      </c>
      <c r="B11" s="3056"/>
      <c r="C11" s="3056"/>
      <c r="D11" s="3056"/>
      <c r="E11" s="3056"/>
      <c r="F11" s="3056"/>
      <c r="G11" s="3056"/>
      <c r="H11" s="3056"/>
      <c r="I11" s="3056"/>
      <c r="J11" s="3056"/>
      <c r="K11" s="3056"/>
      <c r="L11" s="3056"/>
      <c r="M11" s="3056"/>
    </row>
    <row r="12" spans="1:17" s="6" customFormat="1" x14ac:dyDescent="0.15">
      <c r="A12" s="3057" t="s">
        <v>2718</v>
      </c>
      <c r="B12" s="3057"/>
      <c r="C12" s="3057"/>
      <c r="D12" s="3057"/>
      <c r="E12" s="3057"/>
      <c r="F12" s="3057"/>
      <c r="G12" s="3057"/>
      <c r="H12" s="3057"/>
      <c r="I12" s="3057"/>
      <c r="J12" s="3057"/>
      <c r="K12" s="3057"/>
      <c r="L12" s="3057"/>
      <c r="M12" s="3057"/>
    </row>
    <row r="13" spans="1:17" s="6" customFormat="1" x14ac:dyDescent="0.15">
      <c r="A13" s="3161" t="s">
        <v>1440</v>
      </c>
      <c r="B13" s="3161"/>
      <c r="C13" s="3161"/>
      <c r="D13" s="3161"/>
      <c r="E13" s="3161"/>
      <c r="F13" s="3161"/>
      <c r="G13" s="3161"/>
      <c r="H13" s="3161"/>
      <c r="I13" s="3161"/>
      <c r="J13" s="3161"/>
      <c r="K13" s="3187"/>
      <c r="L13" s="3187"/>
      <c r="M13" s="3187"/>
    </row>
  </sheetData>
  <mergeCells count="14">
    <mergeCell ref="A10:M10"/>
    <mergeCell ref="A11:M11"/>
    <mergeCell ref="A12:M12"/>
    <mergeCell ref="A13:M13"/>
    <mergeCell ref="A2:M2"/>
    <mergeCell ref="A3:M3"/>
    <mergeCell ref="A4:A6"/>
    <mergeCell ref="B4:G4"/>
    <mergeCell ref="H4:J4"/>
    <mergeCell ref="K4:M4"/>
    <mergeCell ref="B5:D5"/>
    <mergeCell ref="E5:G5"/>
    <mergeCell ref="H5:J5"/>
    <mergeCell ref="K5:M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M26"/>
  <sheetViews>
    <sheetView workbookViewId="0">
      <selection activeCell="K9" sqref="K9"/>
    </sheetView>
  </sheetViews>
  <sheetFormatPr baseColWidth="10" defaultColWidth="9.140625" defaultRowHeight="10.5" x14ac:dyDescent="0.15"/>
  <cols>
    <col min="1" max="1" width="19.5703125" style="97" customWidth="1"/>
    <col min="2" max="6" width="13.42578125" style="97" customWidth="1"/>
    <col min="7" max="7" width="9.140625" style="97" customWidth="1"/>
    <col min="8" max="16384" width="9.140625" style="97"/>
  </cols>
  <sheetData>
    <row r="1" spans="1:8" ht="15" customHeight="1" x14ac:dyDescent="0.15"/>
    <row r="2" spans="1:8" ht="23.25" customHeight="1" x14ac:dyDescent="0.15">
      <c r="A2" s="2371" t="s">
        <v>213</v>
      </c>
      <c r="B2" s="2372"/>
      <c r="C2" s="2372"/>
      <c r="D2" s="2372"/>
      <c r="E2" s="2372"/>
      <c r="F2" s="2372"/>
    </row>
    <row r="3" spans="1:8" ht="11.25" customHeight="1" x14ac:dyDescent="0.15">
      <c r="A3" s="2356"/>
      <c r="B3" s="2373"/>
      <c r="C3" s="2373"/>
      <c r="D3" s="2373"/>
      <c r="E3" s="2373"/>
      <c r="F3" s="2373"/>
    </row>
    <row r="4" spans="1:8" ht="12.75" customHeight="1" x14ac:dyDescent="0.15">
      <c r="A4" s="2351" t="s">
        <v>1</v>
      </c>
      <c r="B4" s="2374" t="s">
        <v>214</v>
      </c>
      <c r="C4" s="2375"/>
      <c r="D4" s="2375"/>
      <c r="E4" s="2375"/>
      <c r="F4" s="2375"/>
    </row>
    <row r="5" spans="1:8" ht="32.25" x14ac:dyDescent="0.15">
      <c r="A5" s="2351"/>
      <c r="B5" s="1995" t="s">
        <v>215</v>
      </c>
      <c r="C5" s="1997" t="s">
        <v>216</v>
      </c>
      <c r="D5" s="1997" t="s">
        <v>217</v>
      </c>
      <c r="E5" s="1997" t="s">
        <v>218</v>
      </c>
      <c r="F5" s="1997" t="s">
        <v>219</v>
      </c>
    </row>
    <row r="6" spans="1:8" x14ac:dyDescent="0.15">
      <c r="A6" s="146" t="s">
        <v>141</v>
      </c>
      <c r="B6" s="718">
        <f>SUM(C6:F6)</f>
        <v>40</v>
      </c>
      <c r="C6" s="718">
        <f>SUM(C7:C21)</f>
        <v>3</v>
      </c>
      <c r="D6" s="718">
        <f>SUM(D7:D21)</f>
        <v>27</v>
      </c>
      <c r="E6" s="718">
        <f>SUM(E7:E21)</f>
        <v>2</v>
      </c>
      <c r="F6" s="718">
        <f>SUM(F7:F21)</f>
        <v>8</v>
      </c>
      <c r="G6" s="2009"/>
      <c r="H6" s="2009"/>
    </row>
    <row r="7" spans="1:8" x14ac:dyDescent="0.15">
      <c r="A7" s="2002" t="s">
        <v>5</v>
      </c>
      <c r="B7" s="438">
        <f t="shared" ref="B7:B21" si="0">SUM(C7:F7)</f>
        <v>1</v>
      </c>
      <c r="C7" s="438">
        <v>0</v>
      </c>
      <c r="D7" s="438">
        <v>0</v>
      </c>
      <c r="E7" s="438">
        <v>0</v>
      </c>
      <c r="F7" s="438">
        <v>1</v>
      </c>
      <c r="G7" s="2009"/>
      <c r="H7" s="2009"/>
    </row>
    <row r="8" spans="1:8" x14ac:dyDescent="0.15">
      <c r="A8" s="2002" t="s">
        <v>6</v>
      </c>
      <c r="B8" s="438">
        <f t="shared" si="0"/>
        <v>0</v>
      </c>
      <c r="C8" s="438">
        <v>0</v>
      </c>
      <c r="D8" s="438">
        <v>0</v>
      </c>
      <c r="E8" s="438">
        <v>0</v>
      </c>
      <c r="F8" s="438">
        <v>0</v>
      </c>
      <c r="G8" s="2009"/>
      <c r="H8" s="2009"/>
    </row>
    <row r="9" spans="1:8" x14ac:dyDescent="0.15">
      <c r="A9" s="2002" t="s">
        <v>7</v>
      </c>
      <c r="B9" s="438">
        <f t="shared" si="0"/>
        <v>1</v>
      </c>
      <c r="C9" s="438">
        <v>0</v>
      </c>
      <c r="D9" s="438">
        <v>1</v>
      </c>
      <c r="E9" s="438">
        <v>0</v>
      </c>
      <c r="F9" s="438">
        <v>0</v>
      </c>
      <c r="G9" s="2009"/>
      <c r="H9" s="2009"/>
    </row>
    <row r="10" spans="1:8" x14ac:dyDescent="0.15">
      <c r="A10" s="2002" t="s">
        <v>8</v>
      </c>
      <c r="B10" s="438">
        <f t="shared" si="0"/>
        <v>0</v>
      </c>
      <c r="C10" s="438">
        <v>0</v>
      </c>
      <c r="D10" s="438">
        <v>0</v>
      </c>
      <c r="E10" s="438">
        <v>0</v>
      </c>
      <c r="F10" s="438">
        <v>0</v>
      </c>
      <c r="G10" s="2009"/>
      <c r="H10" s="2009"/>
    </row>
    <row r="11" spans="1:8" x14ac:dyDescent="0.15">
      <c r="A11" s="2002" t="s">
        <v>9</v>
      </c>
      <c r="B11" s="438">
        <f t="shared" si="0"/>
        <v>3</v>
      </c>
      <c r="C11" s="438">
        <v>0</v>
      </c>
      <c r="D11" s="438">
        <v>2</v>
      </c>
      <c r="E11" s="438">
        <v>0</v>
      </c>
      <c r="F11" s="438">
        <v>1</v>
      </c>
      <c r="G11" s="2009"/>
      <c r="H11" s="2009"/>
    </row>
    <row r="12" spans="1:8" x14ac:dyDescent="0.15">
      <c r="A12" s="2002" t="s">
        <v>10</v>
      </c>
      <c r="B12" s="438">
        <f t="shared" si="0"/>
        <v>4</v>
      </c>
      <c r="C12" s="438">
        <v>0</v>
      </c>
      <c r="D12" s="438">
        <v>3</v>
      </c>
      <c r="E12" s="438">
        <v>1</v>
      </c>
      <c r="F12" s="438">
        <v>0</v>
      </c>
      <c r="G12" s="2009"/>
      <c r="H12" s="2009"/>
    </row>
    <row r="13" spans="1:8" x14ac:dyDescent="0.15">
      <c r="A13" s="2002" t="s">
        <v>11</v>
      </c>
      <c r="B13" s="438">
        <f t="shared" si="0"/>
        <v>17</v>
      </c>
      <c r="C13" s="438">
        <v>2</v>
      </c>
      <c r="D13" s="438">
        <v>11</v>
      </c>
      <c r="E13" s="438">
        <v>0</v>
      </c>
      <c r="F13" s="438">
        <v>4</v>
      </c>
      <c r="G13" s="2009"/>
      <c r="H13" s="2009"/>
    </row>
    <row r="14" spans="1:8" x14ac:dyDescent="0.15">
      <c r="A14" s="2002" t="s">
        <v>12</v>
      </c>
      <c r="B14" s="438">
        <f t="shared" si="0"/>
        <v>2</v>
      </c>
      <c r="C14" s="438">
        <v>0</v>
      </c>
      <c r="D14" s="438">
        <v>1</v>
      </c>
      <c r="E14" s="438">
        <v>0</v>
      </c>
      <c r="F14" s="438">
        <v>1</v>
      </c>
      <c r="G14" s="2009"/>
      <c r="H14" s="2009"/>
    </row>
    <row r="15" spans="1:8" x14ac:dyDescent="0.15">
      <c r="A15" s="2002" t="s">
        <v>13</v>
      </c>
      <c r="B15" s="438">
        <f t="shared" si="0"/>
        <v>3</v>
      </c>
      <c r="C15" s="438">
        <v>1</v>
      </c>
      <c r="D15" s="438">
        <v>1</v>
      </c>
      <c r="E15" s="438">
        <v>1</v>
      </c>
      <c r="F15" s="438">
        <v>0</v>
      </c>
      <c r="G15" s="2009"/>
      <c r="H15" s="2009"/>
    </row>
    <row r="16" spans="1:8" x14ac:dyDescent="0.15">
      <c r="A16" s="2002" t="s">
        <v>14</v>
      </c>
      <c r="B16" s="438">
        <f t="shared" si="0"/>
        <v>3</v>
      </c>
      <c r="C16" s="438">
        <v>0</v>
      </c>
      <c r="D16" s="438">
        <v>3</v>
      </c>
      <c r="E16" s="438">
        <v>0</v>
      </c>
      <c r="F16" s="438">
        <v>0</v>
      </c>
      <c r="G16" s="2009"/>
      <c r="H16" s="2009"/>
    </row>
    <row r="17" spans="1:13" x14ac:dyDescent="0.15">
      <c r="A17" s="2002" t="s">
        <v>15</v>
      </c>
      <c r="B17" s="438">
        <f t="shared" si="0"/>
        <v>1</v>
      </c>
      <c r="C17" s="438">
        <v>0</v>
      </c>
      <c r="D17" s="438">
        <v>0</v>
      </c>
      <c r="E17" s="438">
        <v>0</v>
      </c>
      <c r="F17" s="438">
        <v>1</v>
      </c>
      <c r="G17" s="2009"/>
      <c r="H17" s="2009"/>
    </row>
    <row r="18" spans="1:13" x14ac:dyDescent="0.15">
      <c r="A18" s="2002" t="s">
        <v>16</v>
      </c>
      <c r="B18" s="438">
        <f t="shared" si="0"/>
        <v>0</v>
      </c>
      <c r="C18" s="438">
        <v>0</v>
      </c>
      <c r="D18" s="438">
        <v>0</v>
      </c>
      <c r="E18" s="438">
        <v>0</v>
      </c>
      <c r="F18" s="438">
        <v>0</v>
      </c>
      <c r="G18" s="2009"/>
      <c r="H18" s="2009"/>
    </row>
    <row r="19" spans="1:13" x14ac:dyDescent="0.15">
      <c r="A19" s="2002" t="s">
        <v>17</v>
      </c>
      <c r="B19" s="438">
        <f t="shared" si="0"/>
        <v>5</v>
      </c>
      <c r="C19" s="438">
        <v>0</v>
      </c>
      <c r="D19" s="438">
        <v>5</v>
      </c>
      <c r="E19" s="438">
        <v>0</v>
      </c>
      <c r="F19" s="438">
        <v>0</v>
      </c>
      <c r="G19" s="2009"/>
      <c r="H19" s="2009"/>
    </row>
    <row r="20" spans="1:13" x14ac:dyDescent="0.15">
      <c r="A20" s="2002" t="s">
        <v>18</v>
      </c>
      <c r="B20" s="438">
        <f t="shared" si="0"/>
        <v>0</v>
      </c>
      <c r="C20" s="438">
        <v>0</v>
      </c>
      <c r="D20" s="438">
        <v>0</v>
      </c>
      <c r="E20" s="438">
        <v>0</v>
      </c>
      <c r="F20" s="438">
        <v>0</v>
      </c>
      <c r="G20" s="2009"/>
      <c r="H20" s="2009"/>
    </row>
    <row r="21" spans="1:13" x14ac:dyDescent="0.15">
      <c r="A21" s="2002" t="s">
        <v>19</v>
      </c>
      <c r="B21" s="438">
        <f t="shared" si="0"/>
        <v>0</v>
      </c>
      <c r="C21" s="438">
        <v>0</v>
      </c>
      <c r="D21" s="438">
        <v>0</v>
      </c>
      <c r="E21" s="438">
        <v>0</v>
      </c>
      <c r="F21" s="438">
        <v>0</v>
      </c>
      <c r="G21" s="2009"/>
      <c r="H21" s="2009"/>
    </row>
    <row r="22" spans="1:13" ht="17.100000000000001" customHeight="1" x14ac:dyDescent="0.15">
      <c r="A22" s="2356"/>
      <c r="B22" s="2357"/>
      <c r="C22" s="2357"/>
      <c r="D22" s="2357"/>
      <c r="E22" s="2357"/>
      <c r="F22" s="2357"/>
      <c r="G22" s="2009"/>
      <c r="H22" s="2009"/>
    </row>
    <row r="23" spans="1:13" ht="42" customHeight="1" x14ac:dyDescent="0.15">
      <c r="A23" s="2376" t="s">
        <v>220</v>
      </c>
      <c r="B23" s="2376"/>
      <c r="C23" s="2376"/>
      <c r="D23" s="2376"/>
      <c r="E23" s="2376"/>
      <c r="F23" s="2376"/>
      <c r="G23" s="2009"/>
      <c r="H23" s="2009"/>
    </row>
    <row r="24" spans="1:13" ht="36" customHeight="1" x14ac:dyDescent="0.15">
      <c r="A24" s="2364" t="s">
        <v>221</v>
      </c>
      <c r="B24" s="2365"/>
      <c r="C24" s="2365"/>
      <c r="D24" s="2365"/>
      <c r="E24" s="2365"/>
      <c r="F24" s="2365"/>
      <c r="G24" s="2009"/>
      <c r="H24" s="2009"/>
    </row>
    <row r="25" spans="1:13" ht="15" customHeight="1" x14ac:dyDescent="0.15">
      <c r="A25" s="2364" t="s">
        <v>20</v>
      </c>
      <c r="B25" s="2365"/>
      <c r="C25" s="2365"/>
      <c r="D25" s="2365"/>
      <c r="E25" s="2365"/>
      <c r="F25" s="2365"/>
      <c r="G25" s="2009"/>
      <c r="H25" s="2009"/>
    </row>
    <row r="26" spans="1:13" ht="15" customHeight="1" x14ac:dyDescent="0.2">
      <c r="A26" s="2353" t="s">
        <v>199</v>
      </c>
      <c r="B26" s="2353"/>
      <c r="C26" s="2353"/>
      <c r="D26" s="2353"/>
      <c r="E26" s="2353"/>
      <c r="F26" s="2353"/>
      <c r="G26" s="2031"/>
      <c r="H26" s="2003"/>
      <c r="I26" s="111"/>
      <c r="J26" s="111"/>
      <c r="K26" s="111"/>
      <c r="L26" s="111"/>
      <c r="M26" s="111"/>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H25"/>
  <sheetViews>
    <sheetView zoomScaleNormal="100" workbookViewId="0">
      <selection activeCell="A2" sqref="A2:F2"/>
    </sheetView>
  </sheetViews>
  <sheetFormatPr baseColWidth="10" defaultColWidth="11.42578125" defaultRowHeight="10.5" x14ac:dyDescent="0.15"/>
  <cols>
    <col min="1" max="1" width="21.28515625" style="1211" customWidth="1"/>
    <col min="2" max="2" width="12.140625" style="1211" customWidth="1"/>
    <col min="3" max="3" width="9.7109375" style="1211" customWidth="1"/>
    <col min="4" max="6" width="11.42578125" style="1280"/>
    <col min="7" max="16384" width="11.42578125" style="1211"/>
  </cols>
  <sheetData>
    <row r="1" spans="1:6" x14ac:dyDescent="0.15">
      <c r="A1" s="1210"/>
    </row>
    <row r="2" spans="1:6" s="1232" customFormat="1" ht="22.5" customHeight="1" x14ac:dyDescent="0.15">
      <c r="A2" s="3195" t="s">
        <v>2719</v>
      </c>
      <c r="B2" s="3195"/>
      <c r="C2" s="3195"/>
      <c r="D2" s="3195"/>
      <c r="E2" s="3195"/>
      <c r="F2" s="3195"/>
    </row>
    <row r="3" spans="1:6" s="1232" customFormat="1" x14ac:dyDescent="0.15">
      <c r="A3" s="1196"/>
      <c r="B3" s="1196"/>
      <c r="C3" s="1196"/>
      <c r="D3" s="1196"/>
      <c r="E3" s="1196"/>
      <c r="F3" s="1196"/>
    </row>
    <row r="4" spans="1:6" s="1232" customFormat="1" ht="15" customHeight="1" x14ac:dyDescent="0.15">
      <c r="A4" s="3196" t="s">
        <v>2720</v>
      </c>
      <c r="B4" s="1281">
        <v>2011</v>
      </c>
      <c r="C4" s="1281">
        <v>2012</v>
      </c>
      <c r="D4" s="1281">
        <v>2013</v>
      </c>
      <c r="E4" s="1281">
        <v>2014</v>
      </c>
      <c r="F4" s="1281">
        <v>2015</v>
      </c>
    </row>
    <row r="5" spans="1:6" s="1282" customFormat="1" ht="18" customHeight="1" x14ac:dyDescent="0.25">
      <c r="A5" s="3197"/>
      <c r="B5" s="1069" t="s">
        <v>2721</v>
      </c>
      <c r="C5" s="1069" t="s">
        <v>2721</v>
      </c>
      <c r="D5" s="1069" t="s">
        <v>2721</v>
      </c>
      <c r="E5" s="1069" t="s">
        <v>2721</v>
      </c>
      <c r="F5" s="1069" t="s">
        <v>2721</v>
      </c>
    </row>
    <row r="6" spans="1:6" s="1232" customFormat="1" x14ac:dyDescent="0.15">
      <c r="A6" s="1283" t="s">
        <v>2722</v>
      </c>
      <c r="B6" s="1284" t="s">
        <v>181</v>
      </c>
      <c r="C6" s="1284" t="s">
        <v>181</v>
      </c>
      <c r="D6" s="329">
        <v>554.16777777777781</v>
      </c>
      <c r="E6" s="674">
        <v>450</v>
      </c>
      <c r="F6" s="300">
        <v>423</v>
      </c>
    </row>
    <row r="7" spans="1:6" s="1232" customFormat="1" x14ac:dyDescent="0.15">
      <c r="A7" s="1283" t="s">
        <v>2723</v>
      </c>
      <c r="B7" s="1284" t="s">
        <v>181</v>
      </c>
      <c r="C7" s="1284" t="s">
        <v>181</v>
      </c>
      <c r="D7" s="329">
        <v>675.38361111111112</v>
      </c>
      <c r="E7" s="1237">
        <f>(2040519/3600)</f>
        <v>566.81083333333333</v>
      </c>
      <c r="F7" s="300">
        <v>577.39055555555501</v>
      </c>
    </row>
    <row r="8" spans="1:6" s="1232" customFormat="1" x14ac:dyDescent="0.15">
      <c r="A8" s="1283" t="s">
        <v>2724</v>
      </c>
      <c r="B8" s="1284" t="s">
        <v>181</v>
      </c>
      <c r="C8" s="1284" t="s">
        <v>181</v>
      </c>
      <c r="D8" s="329">
        <v>618.49749999999995</v>
      </c>
      <c r="E8" s="1237">
        <f>(1856640/3600)</f>
        <v>515.73333333333335</v>
      </c>
      <c r="F8" s="300">
        <v>592.64916666666602</v>
      </c>
    </row>
    <row r="9" spans="1:6" s="1232" customFormat="1" x14ac:dyDescent="0.15">
      <c r="A9" s="1283" t="s">
        <v>2725</v>
      </c>
      <c r="B9" s="1284" t="s">
        <v>181</v>
      </c>
      <c r="C9" s="1284" t="s">
        <v>181</v>
      </c>
      <c r="D9" s="329">
        <v>771.22944444444443</v>
      </c>
      <c r="E9" s="1237">
        <f>(2400205/3600)</f>
        <v>666.72361111111115</v>
      </c>
      <c r="F9" s="300">
        <v>660.40027777777698</v>
      </c>
    </row>
    <row r="10" spans="1:6" s="1232" customFormat="1" x14ac:dyDescent="0.15">
      <c r="A10" s="1283" t="s">
        <v>2726</v>
      </c>
      <c r="B10" s="1284" t="s">
        <v>181</v>
      </c>
      <c r="C10" s="1284" t="s">
        <v>181</v>
      </c>
      <c r="D10" s="329">
        <v>939.11777777777775</v>
      </c>
      <c r="E10" s="674">
        <f>(3003283/3600)</f>
        <v>834.2452777777778</v>
      </c>
      <c r="F10" s="300">
        <v>851.250277777777</v>
      </c>
    </row>
    <row r="11" spans="1:6" s="1232" customFormat="1" x14ac:dyDescent="0.15">
      <c r="A11" s="1283" t="s">
        <v>2727</v>
      </c>
      <c r="B11" s="1284" t="s">
        <v>181</v>
      </c>
      <c r="C11" s="1284" t="s">
        <v>181</v>
      </c>
      <c r="D11" s="329">
        <v>1210.9027777777778</v>
      </c>
      <c r="E11" s="674">
        <f>(4012328/3600)</f>
        <v>1114.5355555555554</v>
      </c>
      <c r="F11" s="300">
        <v>1074.58777777777</v>
      </c>
    </row>
    <row r="12" spans="1:6" s="1232" customFormat="1" x14ac:dyDescent="0.15">
      <c r="A12" s="1283" t="s">
        <v>2728</v>
      </c>
      <c r="B12" s="1284" t="s">
        <v>181</v>
      </c>
      <c r="C12" s="1284" t="s">
        <v>181</v>
      </c>
      <c r="D12" s="329">
        <v>1687.3908333333334</v>
      </c>
      <c r="E12" s="1237">
        <f>(5661713/3600)</f>
        <v>1572.6980555555556</v>
      </c>
      <c r="F12" s="300">
        <v>1585.68777777777</v>
      </c>
    </row>
    <row r="13" spans="1:6" s="1232" customFormat="1" ht="9" customHeight="1" x14ac:dyDescent="0.15">
      <c r="A13" s="1285"/>
      <c r="B13" s="329"/>
      <c r="C13" s="1196"/>
      <c r="D13" s="1196"/>
      <c r="E13" s="1196"/>
      <c r="F13" s="1196"/>
    </row>
    <row r="14" spans="1:6" ht="12" customHeight="1" x14ac:dyDescent="0.15">
      <c r="A14" s="1195" t="s">
        <v>2729</v>
      </c>
      <c r="B14" s="1195"/>
      <c r="C14" s="1286"/>
      <c r="D14" s="1286"/>
      <c r="E14" s="1286"/>
      <c r="F14" s="1286"/>
    </row>
    <row r="15" spans="1:6" s="1190" customFormat="1" ht="11.25" customHeight="1" x14ac:dyDescent="0.15">
      <c r="A15" s="3131" t="s">
        <v>184</v>
      </c>
      <c r="B15" s="3131"/>
      <c r="C15" s="3131"/>
      <c r="D15" s="3131"/>
      <c r="E15" s="3131"/>
      <c r="F15" s="1222"/>
    </row>
    <row r="16" spans="1:6" ht="12" customHeight="1" x14ac:dyDescent="0.15">
      <c r="A16" s="1287" t="s">
        <v>2606</v>
      </c>
      <c r="B16" s="1287"/>
      <c r="C16" s="1287"/>
      <c r="D16" s="1286"/>
      <c r="E16" s="1286"/>
      <c r="F16" s="1286"/>
    </row>
    <row r="19" spans="4:8" x14ac:dyDescent="0.15">
      <c r="D19" s="1288"/>
      <c r="E19" s="1245"/>
      <c r="G19" s="1289"/>
      <c r="H19" s="675"/>
    </row>
    <row r="20" spans="4:8" x14ac:dyDescent="0.15">
      <c r="D20" s="1288"/>
      <c r="E20" s="1245"/>
      <c r="G20" s="1289"/>
      <c r="H20" s="1290"/>
    </row>
    <row r="21" spans="4:8" x14ac:dyDescent="0.15">
      <c r="D21" s="1288"/>
      <c r="E21" s="1245"/>
      <c r="G21" s="1289"/>
      <c r="H21" s="1290"/>
    </row>
    <row r="22" spans="4:8" x14ac:dyDescent="0.15">
      <c r="D22" s="1288"/>
      <c r="E22" s="1245"/>
      <c r="G22" s="1289"/>
      <c r="H22" s="1290"/>
    </row>
    <row r="23" spans="4:8" x14ac:dyDescent="0.15">
      <c r="D23" s="1288"/>
      <c r="E23" s="1245"/>
      <c r="G23" s="1289"/>
      <c r="H23" s="675"/>
    </row>
    <row r="24" spans="4:8" x14ac:dyDescent="0.15">
      <c r="D24" s="1288"/>
      <c r="E24" s="1245"/>
      <c r="G24" s="1289"/>
      <c r="H24" s="675"/>
    </row>
    <row r="25" spans="4:8" x14ac:dyDescent="0.15">
      <c r="D25" s="1288"/>
      <c r="E25" s="1245"/>
      <c r="G25" s="1289"/>
      <c r="H25" s="1290"/>
    </row>
  </sheetData>
  <mergeCells count="3">
    <mergeCell ref="A2:F2"/>
    <mergeCell ref="A4:A5"/>
    <mergeCell ref="A15:E15"/>
  </mergeCells>
  <pageMargins left="0.7" right="0.7" top="0.75" bottom="0.75" header="0.3" footer="0.3"/>
  <pageSetup paperSize="14" scale="90"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G26"/>
  <sheetViews>
    <sheetView zoomScaleNormal="100" workbookViewId="0">
      <selection activeCell="E35" sqref="E35"/>
    </sheetView>
  </sheetViews>
  <sheetFormatPr baseColWidth="10" defaultColWidth="11.42578125" defaultRowHeight="10.5" x14ac:dyDescent="0.15"/>
  <cols>
    <col min="1" max="1" width="21" style="1211" customWidth="1"/>
    <col min="2" max="2" width="15.42578125" style="1211" customWidth="1"/>
    <col min="3" max="3" width="19" style="1211" customWidth="1"/>
    <col min="4" max="4" width="15.28515625" style="1211" customWidth="1"/>
    <col min="5" max="5" width="14.5703125" style="1211" customWidth="1"/>
    <col min="6" max="6" width="15.85546875" style="1211" customWidth="1"/>
    <col min="7" max="7" width="17" style="1211" customWidth="1"/>
    <col min="8" max="16384" width="11.42578125" style="1211"/>
  </cols>
  <sheetData>
    <row r="1" spans="1:7" x14ac:dyDescent="0.15">
      <c r="A1" s="1232"/>
    </row>
    <row r="2" spans="1:7" ht="26.25" customHeight="1" x14ac:dyDescent="0.15">
      <c r="A2" s="3195" t="s">
        <v>2730</v>
      </c>
      <c r="B2" s="3195"/>
      <c r="C2" s="3195"/>
      <c r="D2" s="3195"/>
      <c r="E2" s="3195"/>
      <c r="F2" s="3195"/>
      <c r="G2" s="3195"/>
    </row>
    <row r="3" spans="1:7" s="1232" customFormat="1" ht="11.25" customHeight="1" x14ac:dyDescent="0.15">
      <c r="A3" s="3200"/>
      <c r="B3" s="3200"/>
      <c r="C3" s="3200"/>
    </row>
    <row r="4" spans="1:7" s="1232" customFormat="1" ht="15" customHeight="1" x14ac:dyDescent="0.15">
      <c r="A4" s="3201" t="s">
        <v>2619</v>
      </c>
      <c r="B4" s="3146">
        <v>2013</v>
      </c>
      <c r="C4" s="3148"/>
      <c r="D4" s="3146">
        <v>2014</v>
      </c>
      <c r="E4" s="3148"/>
      <c r="F4" s="3146">
        <v>2015</v>
      </c>
      <c r="G4" s="3148"/>
    </row>
    <row r="5" spans="1:7" s="1232" customFormat="1" ht="12.75" customHeight="1" x14ac:dyDescent="0.15">
      <c r="A5" s="3196"/>
      <c r="B5" s="3146" t="s">
        <v>2731</v>
      </c>
      <c r="C5" s="3148"/>
      <c r="D5" s="3146" t="s">
        <v>2731</v>
      </c>
      <c r="E5" s="3148"/>
      <c r="F5" s="3146" t="s">
        <v>2731</v>
      </c>
      <c r="G5" s="3148"/>
    </row>
    <row r="6" spans="1:7" s="1232" customFormat="1" x14ac:dyDescent="0.15">
      <c r="A6" s="3197"/>
      <c r="B6" s="1281" t="s">
        <v>2562</v>
      </c>
      <c r="C6" s="1291" t="s">
        <v>727</v>
      </c>
      <c r="D6" s="1281" t="s">
        <v>2562</v>
      </c>
      <c r="E6" s="1291" t="s">
        <v>727</v>
      </c>
      <c r="F6" s="1281" t="s">
        <v>2562</v>
      </c>
      <c r="G6" s="1291" t="s">
        <v>727</v>
      </c>
    </row>
    <row r="7" spans="1:7" s="1232" customFormat="1" x14ac:dyDescent="0.15">
      <c r="A7" s="1292" t="s">
        <v>141</v>
      </c>
      <c r="B7" s="1293">
        <f t="shared" ref="B7:G7" si="0">SUM(B8:B20)</f>
        <v>554.16777777777781</v>
      </c>
      <c r="C7" s="1234">
        <f t="shared" si="0"/>
        <v>1</v>
      </c>
      <c r="D7" s="1293">
        <f t="shared" si="0"/>
        <v>449.88166666666666</v>
      </c>
      <c r="E7" s="1234">
        <f t="shared" si="0"/>
        <v>1</v>
      </c>
      <c r="F7" s="1293">
        <f t="shared" si="0"/>
        <v>422.99861111111159</v>
      </c>
      <c r="G7" s="1234">
        <f t="shared" si="0"/>
        <v>0.99999999999999989</v>
      </c>
    </row>
    <row r="8" spans="1:7" s="1232" customFormat="1" x14ac:dyDescent="0.15">
      <c r="A8" s="1196" t="s">
        <v>2629</v>
      </c>
      <c r="B8" s="1294">
        <v>0.2961111111111111</v>
      </c>
      <c r="C8" s="1295">
        <f>+B8/$B$7</f>
        <v>5.3433476825109113E-4</v>
      </c>
      <c r="D8" s="1296">
        <f>(912/3600)</f>
        <v>0.25333333333333335</v>
      </c>
      <c r="E8" s="1209">
        <f>+D8/$D$7</f>
        <v>5.6311104031060027E-4</v>
      </c>
      <c r="F8" s="1218">
        <v>0.14944444444444444</v>
      </c>
      <c r="G8" s="1295">
        <f>+F8/$F$7</f>
        <v>3.5329771899697554E-4</v>
      </c>
    </row>
    <row r="9" spans="1:7" s="1232" customFormat="1" x14ac:dyDescent="0.15">
      <c r="A9" s="1196" t="s">
        <v>2623</v>
      </c>
      <c r="B9" s="1297">
        <v>1.7147222222222223</v>
      </c>
      <c r="C9" s="1209">
        <f t="shared" ref="C9:C20" si="1">+B9/$B$7</f>
        <v>3.0942293850037394E-3</v>
      </c>
      <c r="D9" s="1298">
        <f>(5316/3600)</f>
        <v>1.4766666666666666</v>
      </c>
      <c r="E9" s="1209">
        <f t="shared" ref="E9:E20" si="2">+D9/$D$7</f>
        <v>3.282344616547314E-3</v>
      </c>
      <c r="F9" s="1218">
        <v>0.34694444444444444</v>
      </c>
      <c r="G9" s="1209">
        <f t="shared" ref="G9:G20" si="3">+F9/$F$7</f>
        <v>8.2020232532940981E-4</v>
      </c>
    </row>
    <row r="10" spans="1:7" x14ac:dyDescent="0.15">
      <c r="A10" s="1280" t="s">
        <v>2543</v>
      </c>
      <c r="B10" s="1299">
        <v>4.7305555555555552</v>
      </c>
      <c r="C10" s="1209">
        <f t="shared" si="1"/>
        <v>8.5363237366942613E-3</v>
      </c>
      <c r="D10" s="1300">
        <f>(8289/3600)</f>
        <v>2.3025000000000002</v>
      </c>
      <c r="E10" s="1209">
        <f t="shared" si="2"/>
        <v>5.1180125144019359E-3</v>
      </c>
      <c r="F10" s="300">
        <v>3.2797222222222224</v>
      </c>
      <c r="G10" s="1209">
        <f t="shared" si="3"/>
        <v>7.7535058888425481E-3</v>
      </c>
    </row>
    <row r="11" spans="1:7" x14ac:dyDescent="0.15">
      <c r="A11" s="1280" t="s">
        <v>312</v>
      </c>
      <c r="B11" s="1299">
        <v>4.7511111111111113</v>
      </c>
      <c r="C11" s="1209">
        <f t="shared" si="1"/>
        <v>8.5734163941525929E-3</v>
      </c>
      <c r="D11" s="1300">
        <f>(9006/3600)</f>
        <v>2.5016666666666665</v>
      </c>
      <c r="E11" s="1209">
        <f t="shared" si="2"/>
        <v>5.5607215230671766E-3</v>
      </c>
      <c r="F11" s="300">
        <v>2.2113888888888891</v>
      </c>
      <c r="G11" s="1209">
        <f t="shared" si="3"/>
        <v>5.2278868790611947E-3</v>
      </c>
    </row>
    <row r="12" spans="1:7" x14ac:dyDescent="0.15">
      <c r="A12" s="1280" t="s">
        <v>2625</v>
      </c>
      <c r="B12" s="1299">
        <v>8.7688888888888883</v>
      </c>
      <c r="C12" s="1209">
        <f t="shared" si="1"/>
        <v>1.5823527170872837E-2</v>
      </c>
      <c r="D12" s="1300">
        <f>(38520/3600)</f>
        <v>10.7</v>
      </c>
      <c r="E12" s="1209">
        <f t="shared" si="2"/>
        <v>2.3784032097329297E-2</v>
      </c>
      <c r="F12" s="300">
        <v>10.285</v>
      </c>
      <c r="G12" s="1209">
        <f t="shared" si="3"/>
        <v>2.4314500638628285E-2</v>
      </c>
    </row>
    <row r="13" spans="1:7" x14ac:dyDescent="0.15">
      <c r="A13" s="1280" t="s">
        <v>1738</v>
      </c>
      <c r="B13" s="1299">
        <v>16.5825</v>
      </c>
      <c r="C13" s="1209">
        <f t="shared" si="1"/>
        <v>2.9923248274188921E-2</v>
      </c>
      <c r="D13" s="1300">
        <f>(57710/3600)</f>
        <v>16.030555555555555</v>
      </c>
      <c r="E13" s="1209">
        <f t="shared" si="2"/>
        <v>3.5632826903864843E-2</v>
      </c>
      <c r="F13" s="300">
        <v>18.170277777777777</v>
      </c>
      <c r="G13" s="1209">
        <f t="shared" si="3"/>
        <v>4.2955880469793976E-2</v>
      </c>
    </row>
    <row r="14" spans="1:7" x14ac:dyDescent="0.15">
      <c r="A14" s="1280" t="s">
        <v>2626</v>
      </c>
      <c r="B14" s="1299">
        <v>18.449166666666667</v>
      </c>
      <c r="C14" s="1209">
        <f t="shared" si="1"/>
        <v>3.3291662573107624E-2</v>
      </c>
      <c r="D14" s="1300">
        <f>(37702/3600)</f>
        <v>10.472777777777777</v>
      </c>
      <c r="E14" s="1209">
        <f t="shared" si="2"/>
        <v>2.3278961010734921E-2</v>
      </c>
      <c r="F14" s="300">
        <v>14.793611111111112</v>
      </c>
      <c r="G14" s="1209">
        <f t="shared" si="3"/>
        <v>3.4973190744650426E-2</v>
      </c>
    </row>
    <row r="15" spans="1:7" x14ac:dyDescent="0.15">
      <c r="A15" s="1280" t="s">
        <v>2621</v>
      </c>
      <c r="B15" s="1299">
        <v>47.906388888888891</v>
      </c>
      <c r="C15" s="1209">
        <f t="shared" si="1"/>
        <v>8.6447445719407073E-2</v>
      </c>
      <c r="D15" s="1300">
        <f>(140041/3600)</f>
        <v>38.900277777777781</v>
      </c>
      <c r="E15" s="1209">
        <f t="shared" si="2"/>
        <v>8.6467799557167505E-2</v>
      </c>
      <c r="F15" s="300">
        <v>27.7925</v>
      </c>
      <c r="G15" s="1209">
        <f t="shared" si="3"/>
        <v>6.5703525425286985E-2</v>
      </c>
    </row>
    <row r="16" spans="1:7" x14ac:dyDescent="0.15">
      <c r="A16" s="1280" t="s">
        <v>2624</v>
      </c>
      <c r="B16" s="1299">
        <v>61.542777777777779</v>
      </c>
      <c r="C16" s="1209">
        <f t="shared" si="1"/>
        <v>0.11105441392598711</v>
      </c>
      <c r="D16" s="1300">
        <f>(119899/3600)</f>
        <v>33.305277777777775</v>
      </c>
      <c r="E16" s="1209">
        <f t="shared" si="2"/>
        <v>7.4031195857676146E-2</v>
      </c>
      <c r="F16" s="300">
        <v>25.765277777777779</v>
      </c>
      <c r="G16" s="1209">
        <f t="shared" si="3"/>
        <v>6.091102216647671E-2</v>
      </c>
    </row>
    <row r="17" spans="1:7" x14ac:dyDescent="0.15">
      <c r="A17" s="1280" t="s">
        <v>100</v>
      </c>
      <c r="B17" s="1299">
        <v>85.800555555555562</v>
      </c>
      <c r="C17" s="1209">
        <f t="shared" si="1"/>
        <v>0.15482775974384011</v>
      </c>
      <c r="D17" s="1300">
        <f>(208195/3600)</f>
        <v>57.831944444444446</v>
      </c>
      <c r="E17" s="1209">
        <f t="shared" si="2"/>
        <v>0.12854923578669453</v>
      </c>
      <c r="F17" s="300">
        <v>60.94083333333333</v>
      </c>
      <c r="G17" s="1209">
        <f t="shared" si="3"/>
        <v>0.14406863694719232</v>
      </c>
    </row>
    <row r="18" spans="1:7" x14ac:dyDescent="0.15">
      <c r="A18" s="1280" t="s">
        <v>2628</v>
      </c>
      <c r="B18" s="1299">
        <v>91.291388888888889</v>
      </c>
      <c r="C18" s="1209">
        <f t="shared" si="1"/>
        <v>0.16473601055436479</v>
      </c>
      <c r="D18" s="1300">
        <f>(345820/3600)</f>
        <v>96.061111111111117</v>
      </c>
      <c r="E18" s="1209">
        <f t="shared" si="2"/>
        <v>0.21352528504409185</v>
      </c>
      <c r="F18" s="300">
        <v>101.68611111111112</v>
      </c>
      <c r="G18" s="1209">
        <f t="shared" si="3"/>
        <v>0.24039348697625065</v>
      </c>
    </row>
    <row r="19" spans="1:7" x14ac:dyDescent="0.15">
      <c r="A19" s="1280" t="s">
        <v>2627</v>
      </c>
      <c r="B19" s="1299">
        <v>99.87444444444445</v>
      </c>
      <c r="C19" s="1209">
        <f t="shared" si="1"/>
        <v>0.18022420005172921</v>
      </c>
      <c r="D19" s="1300">
        <f>(252701/3600)</f>
        <v>70.194722222222225</v>
      </c>
      <c r="E19" s="1209">
        <f t="shared" si="2"/>
        <v>0.15602930153237829</v>
      </c>
      <c r="F19" s="300">
        <v>57.096944444444446</v>
      </c>
      <c r="G19" s="1209">
        <f t="shared" si="3"/>
        <v>0.13498139933477571</v>
      </c>
    </row>
    <row r="20" spans="1:7" x14ac:dyDescent="0.15">
      <c r="A20" s="1280" t="s">
        <v>2622</v>
      </c>
      <c r="B20" s="1299">
        <v>112.45916666666666</v>
      </c>
      <c r="C20" s="1209">
        <f t="shared" si="1"/>
        <v>0.20293342770240058</v>
      </c>
      <c r="D20" s="1300">
        <f>(395463/3600)</f>
        <v>109.85083333333333</v>
      </c>
      <c r="E20" s="1209">
        <f t="shared" si="2"/>
        <v>0.24417717251573562</v>
      </c>
      <c r="F20" s="300">
        <v>100.48055555555599</v>
      </c>
      <c r="G20" s="1209">
        <f t="shared" si="3"/>
        <v>0.23754346448471472</v>
      </c>
    </row>
    <row r="21" spans="1:7" ht="10.5" customHeight="1" x14ac:dyDescent="0.15">
      <c r="A21" s="3198"/>
      <c r="B21" s="3198"/>
      <c r="C21" s="3198"/>
    </row>
    <row r="22" spans="1:7" ht="18.75" customHeight="1" x14ac:dyDescent="0.15">
      <c r="A22" s="3150" t="s">
        <v>2655</v>
      </c>
      <c r="B22" s="3150"/>
      <c r="C22" s="3150"/>
      <c r="D22" s="3150"/>
      <c r="E22" s="3150"/>
    </row>
    <row r="23" spans="1:7" ht="12.75" customHeight="1" x14ac:dyDescent="0.15">
      <c r="A23" s="3199" t="s">
        <v>2732</v>
      </c>
      <c r="B23" s="3199"/>
      <c r="C23" s="3199"/>
    </row>
    <row r="24" spans="1:7" ht="16.5" customHeight="1" x14ac:dyDescent="0.15">
      <c r="A24" s="1195" t="s">
        <v>2733</v>
      </c>
      <c r="B24" s="1195"/>
      <c r="C24" s="1195"/>
    </row>
    <row r="25" spans="1:7" ht="15" customHeight="1" x14ac:dyDescent="0.15">
      <c r="A25" s="3152" t="s">
        <v>2606</v>
      </c>
      <c r="B25" s="3152"/>
      <c r="C25" s="3152"/>
    </row>
    <row r="26" spans="1:7" x14ac:dyDescent="0.15">
      <c r="C26" s="1301"/>
    </row>
  </sheetData>
  <mergeCells count="13">
    <mergeCell ref="A21:C21"/>
    <mergeCell ref="A22:E22"/>
    <mergeCell ref="A23:C23"/>
    <mergeCell ref="A25:C25"/>
    <mergeCell ref="A2:G2"/>
    <mergeCell ref="A3:C3"/>
    <mergeCell ref="A4:A6"/>
    <mergeCell ref="B4:C4"/>
    <mergeCell ref="D4:E4"/>
    <mergeCell ref="F4:G4"/>
    <mergeCell ref="B5:C5"/>
    <mergeCell ref="D5:E5"/>
    <mergeCell ref="F5:G5"/>
  </mergeCells>
  <pageMargins left="0.7" right="0.7" top="0.75" bottom="0.75" header="0.3" footer="0.3"/>
  <pageSetup paperSize="14" scale="90"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1:M17"/>
  <sheetViews>
    <sheetView zoomScaleNormal="100" workbookViewId="0">
      <selection activeCell="A22" sqref="A22"/>
    </sheetView>
  </sheetViews>
  <sheetFormatPr baseColWidth="10" defaultColWidth="11.42578125" defaultRowHeight="10.5" x14ac:dyDescent="0.15"/>
  <cols>
    <col min="1" max="1" width="20.7109375" style="1211" customWidth="1"/>
    <col min="2" max="2" width="13" style="1211" bestFit="1" customWidth="1"/>
    <col min="3" max="5" width="11.42578125" style="1211"/>
    <col min="6" max="6" width="11.7109375" style="1211" customWidth="1"/>
    <col min="7" max="8" width="11.42578125" style="1211"/>
    <col min="9" max="9" width="12" style="1211" customWidth="1"/>
    <col min="10" max="10" width="11.42578125" style="1211" customWidth="1"/>
    <col min="11" max="11" width="11.42578125" style="1211"/>
    <col min="12" max="12" width="11.28515625" style="1211" customWidth="1"/>
    <col min="13" max="13" width="15.42578125" style="1211" customWidth="1"/>
    <col min="14" max="16384" width="11.42578125" style="1211"/>
  </cols>
  <sheetData>
    <row r="1" spans="1:13" x14ac:dyDescent="0.15">
      <c r="A1" s="1232"/>
    </row>
    <row r="2" spans="1:13" s="1232" customFormat="1" ht="15" customHeight="1" x14ac:dyDescent="0.15">
      <c r="A2" s="3203" t="s">
        <v>2734</v>
      </c>
      <c r="B2" s="3203"/>
      <c r="C2" s="3203"/>
      <c r="D2" s="3203"/>
      <c r="E2" s="3203"/>
      <c r="F2" s="3203"/>
      <c r="G2" s="3203"/>
      <c r="H2" s="3203"/>
      <c r="I2" s="3203"/>
      <c r="J2" s="3203"/>
      <c r="K2" s="3203"/>
      <c r="L2" s="3203"/>
      <c r="M2" s="3203"/>
    </row>
    <row r="3" spans="1:13" s="1232" customFormat="1" x14ac:dyDescent="0.15">
      <c r="A3" s="3202"/>
      <c r="B3" s="3202"/>
      <c r="C3" s="3202"/>
      <c r="D3" s="3202"/>
      <c r="E3" s="3202"/>
    </row>
    <row r="4" spans="1:13" s="1232" customFormat="1" x14ac:dyDescent="0.15">
      <c r="A4" s="1302"/>
      <c r="B4" s="3146">
        <v>2013</v>
      </c>
      <c r="C4" s="3147"/>
      <c r="D4" s="3147"/>
      <c r="E4" s="3148"/>
      <c r="F4" s="3146">
        <v>2014</v>
      </c>
      <c r="G4" s="3147"/>
      <c r="H4" s="3147"/>
      <c r="I4" s="3148"/>
      <c r="J4" s="3146">
        <v>2015</v>
      </c>
      <c r="K4" s="3147"/>
      <c r="L4" s="3147"/>
      <c r="M4" s="3148"/>
    </row>
    <row r="5" spans="1:13" s="1232" customFormat="1" ht="13.5" customHeight="1" x14ac:dyDescent="0.15">
      <c r="A5" s="3207" t="s">
        <v>2637</v>
      </c>
      <c r="B5" s="3149" t="s">
        <v>2735</v>
      </c>
      <c r="C5" s="3149"/>
      <c r="D5" s="3149"/>
      <c r="E5" s="3149"/>
      <c r="F5" s="3149" t="s">
        <v>2735</v>
      </c>
      <c r="G5" s="3149"/>
      <c r="H5" s="3149"/>
      <c r="I5" s="3149"/>
      <c r="J5" s="3149" t="s">
        <v>2735</v>
      </c>
      <c r="K5" s="3149"/>
      <c r="L5" s="3149"/>
      <c r="M5" s="3149"/>
    </row>
    <row r="6" spans="1:13" s="1232" customFormat="1" ht="12.75" customHeight="1" x14ac:dyDescent="0.15">
      <c r="A6" s="3208"/>
      <c r="B6" s="3204" t="s">
        <v>2651</v>
      </c>
      <c r="C6" s="3204"/>
      <c r="D6" s="3204" t="s">
        <v>2652</v>
      </c>
      <c r="E6" s="3205"/>
      <c r="F6" s="3204" t="s">
        <v>2651</v>
      </c>
      <c r="G6" s="3204"/>
      <c r="H6" s="3204" t="s">
        <v>2652</v>
      </c>
      <c r="I6" s="3205"/>
      <c r="J6" s="3204" t="s">
        <v>2651</v>
      </c>
      <c r="K6" s="3204"/>
      <c r="L6" s="3204" t="s">
        <v>2652</v>
      </c>
      <c r="M6" s="3205"/>
    </row>
    <row r="7" spans="1:13" s="1232" customFormat="1" x14ac:dyDescent="0.15">
      <c r="A7" s="3209"/>
      <c r="B7" s="1303" t="s">
        <v>2736</v>
      </c>
      <c r="C7" s="1303" t="s">
        <v>727</v>
      </c>
      <c r="D7" s="1303" t="s">
        <v>2736</v>
      </c>
      <c r="E7" s="1303" t="s">
        <v>727</v>
      </c>
      <c r="F7" s="1303" t="s">
        <v>2736</v>
      </c>
      <c r="G7" s="1303" t="s">
        <v>727</v>
      </c>
      <c r="H7" s="1303" t="s">
        <v>2736</v>
      </c>
      <c r="I7" s="1303" t="s">
        <v>727</v>
      </c>
      <c r="J7" s="1303" t="s">
        <v>2736</v>
      </c>
      <c r="K7" s="1303" t="s">
        <v>727</v>
      </c>
      <c r="L7" s="1303" t="s">
        <v>2736</v>
      </c>
      <c r="M7" s="1303" t="s">
        <v>727</v>
      </c>
    </row>
    <row r="8" spans="1:13" s="1232" customFormat="1" x14ac:dyDescent="0.15">
      <c r="A8" s="1304" t="s">
        <v>141</v>
      </c>
      <c r="B8" s="689">
        <f t="shared" ref="B8:M8" si="0">SUM(B9:B10)</f>
        <v>4374.666666666667</v>
      </c>
      <c r="C8" s="581">
        <f t="shared" si="0"/>
        <v>1</v>
      </c>
      <c r="D8" s="689">
        <f t="shared" si="0"/>
        <v>21.511666666666667</v>
      </c>
      <c r="E8" s="581">
        <f t="shared" si="0"/>
        <v>0.99999999999999989</v>
      </c>
      <c r="F8" s="689">
        <f t="shared" si="0"/>
        <v>3916.7166666666667</v>
      </c>
      <c r="G8" s="581">
        <f t="shared" si="0"/>
        <v>1</v>
      </c>
      <c r="H8" s="689">
        <f t="shared" si="0"/>
        <v>449.88166666666666</v>
      </c>
      <c r="I8" s="581">
        <f t="shared" si="0"/>
        <v>1</v>
      </c>
      <c r="J8" s="689">
        <f t="shared" si="0"/>
        <v>2176.7000000000003</v>
      </c>
      <c r="K8" s="581">
        <f t="shared" si="0"/>
        <v>1</v>
      </c>
      <c r="L8" s="689">
        <f t="shared" si="0"/>
        <v>10</v>
      </c>
      <c r="M8" s="581">
        <f t="shared" si="0"/>
        <v>1</v>
      </c>
    </row>
    <row r="9" spans="1:13" s="1232" customFormat="1" x14ac:dyDescent="0.15">
      <c r="A9" s="1305" t="s">
        <v>139</v>
      </c>
      <c r="B9" s="329">
        <v>124.05</v>
      </c>
      <c r="C9" s="1235">
        <f>B9/$B$8</f>
        <v>2.8356446205425174E-2</v>
      </c>
      <c r="D9" s="329">
        <v>0.63777777777777778</v>
      </c>
      <c r="E9" s="1235">
        <f>D9/$D$8</f>
        <v>2.9647994628237907E-2</v>
      </c>
      <c r="F9" s="1237">
        <f>(438300/3600)</f>
        <v>121.75</v>
      </c>
      <c r="G9" s="1235">
        <f>F9/$F$8</f>
        <v>3.1084709556899272E-2</v>
      </c>
      <c r="H9" s="1306">
        <f>(1090428/3600)</f>
        <v>302.89666666666665</v>
      </c>
      <c r="I9" s="1235">
        <f>H9/$H$8</f>
        <v>0.67328075160505163</v>
      </c>
      <c r="J9" s="1306">
        <v>342.566666666667</v>
      </c>
      <c r="K9" s="1235">
        <f>J9/$J$8</f>
        <v>0.15737890690801074</v>
      </c>
      <c r="L9" s="1306">
        <v>1</v>
      </c>
      <c r="M9" s="1235">
        <f>L9/$L$8</f>
        <v>0.1</v>
      </c>
    </row>
    <row r="10" spans="1:13" s="1232" customFormat="1" x14ac:dyDescent="0.15">
      <c r="A10" s="1305" t="s">
        <v>2638</v>
      </c>
      <c r="B10" s="329">
        <v>4250.6166666666668</v>
      </c>
      <c r="C10" s="1235">
        <f>B10/$B$8</f>
        <v>0.97164355379457479</v>
      </c>
      <c r="D10" s="329">
        <v>20.873888888888889</v>
      </c>
      <c r="E10" s="1235">
        <f>D10/$D$8</f>
        <v>0.97035200537176203</v>
      </c>
      <c r="F10" s="1237">
        <f>(13661880/3600)</f>
        <v>3794.9666666666667</v>
      </c>
      <c r="G10" s="1235">
        <f>F10/$F$8</f>
        <v>0.96891529044310076</v>
      </c>
      <c r="H10" s="1306">
        <f>(529146/3600)</f>
        <v>146.98500000000001</v>
      </c>
      <c r="I10" s="1235">
        <f>H10/$H$8</f>
        <v>0.32671924839494831</v>
      </c>
      <c r="J10" s="1306">
        <v>1834.1333333333334</v>
      </c>
      <c r="K10" s="1235">
        <f>J10/$J$8</f>
        <v>0.84262109309198929</v>
      </c>
      <c r="L10" s="1306">
        <v>9</v>
      </c>
      <c r="M10" s="1235">
        <f>L10/$L$8</f>
        <v>0.9</v>
      </c>
    </row>
    <row r="11" spans="1:13" s="1232" customFormat="1" ht="10.5" customHeight="1" x14ac:dyDescent="0.15">
      <c r="A11" s="3206"/>
      <c r="B11" s="3206"/>
      <c r="C11" s="3206"/>
      <c r="D11" s="3206"/>
      <c r="E11" s="3206"/>
    </row>
    <row r="12" spans="1:13" s="1232" customFormat="1" x14ac:dyDescent="0.15">
      <c r="A12" s="3150" t="s">
        <v>2655</v>
      </c>
      <c r="B12" s="3150"/>
      <c r="C12" s="3150"/>
      <c r="D12" s="3150"/>
      <c r="E12" s="3150"/>
    </row>
    <row r="13" spans="1:13" s="1232" customFormat="1" ht="10.5" customHeight="1" x14ac:dyDescent="0.15">
      <c r="A13" s="3150" t="s">
        <v>2656</v>
      </c>
      <c r="B13" s="3150"/>
      <c r="C13" s="3150"/>
      <c r="D13" s="3150"/>
      <c r="E13" s="3150"/>
    </row>
    <row r="14" spans="1:13" s="1232" customFormat="1" ht="10.5" customHeight="1" x14ac:dyDescent="0.15">
      <c r="A14" s="3210" t="s">
        <v>2657</v>
      </c>
      <c r="B14" s="3150"/>
      <c r="C14" s="3150"/>
      <c r="D14" s="3150"/>
      <c r="E14" s="3150"/>
    </row>
    <row r="15" spans="1:13" s="1232" customFormat="1" ht="10.5" customHeight="1" x14ac:dyDescent="0.15">
      <c r="A15" s="3136" t="s">
        <v>2606</v>
      </c>
      <c r="B15" s="3136"/>
      <c r="C15" s="3136"/>
      <c r="D15" s="3136"/>
      <c r="E15" s="3136"/>
    </row>
    <row r="17" ht="13.5" customHeight="1" x14ac:dyDescent="0.15"/>
  </sheetData>
  <mergeCells count="20">
    <mergeCell ref="A12:E12"/>
    <mergeCell ref="A13:E13"/>
    <mergeCell ref="A14:E14"/>
    <mergeCell ref="A15:E15"/>
    <mergeCell ref="D6:E6"/>
    <mergeCell ref="F6:G6"/>
    <mergeCell ref="H6:I6"/>
    <mergeCell ref="J6:K6"/>
    <mergeCell ref="L6:M6"/>
    <mergeCell ref="A11:E11"/>
    <mergeCell ref="A5:A7"/>
    <mergeCell ref="B5:E5"/>
    <mergeCell ref="F5:I5"/>
    <mergeCell ref="J5:M5"/>
    <mergeCell ref="B6:C6"/>
    <mergeCell ref="A3:E3"/>
    <mergeCell ref="B4:E4"/>
    <mergeCell ref="F4:I4"/>
    <mergeCell ref="J4:M4"/>
    <mergeCell ref="A2:M2"/>
  </mergeCells>
  <pageMargins left="0.7" right="0.7" top="0.75" bottom="0.75" header="0.3" footer="0.3"/>
  <pageSetup paperSize="14" scale="90"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1:M16"/>
  <sheetViews>
    <sheetView zoomScaleNormal="100" workbookViewId="0">
      <selection activeCell="I26" sqref="I26"/>
    </sheetView>
  </sheetViews>
  <sheetFormatPr baseColWidth="10" defaultColWidth="11.42578125" defaultRowHeight="10.5" x14ac:dyDescent="0.15"/>
  <cols>
    <col min="1" max="1" width="28.42578125" style="1211" customWidth="1"/>
    <col min="2" max="2" width="8" style="1211" bestFit="1" customWidth="1"/>
    <col min="3" max="3" width="11.28515625" style="1211" bestFit="1" customWidth="1"/>
    <col min="4" max="4" width="6.5703125" style="1211" bestFit="1" customWidth="1"/>
    <col min="5" max="5" width="11.28515625" style="1211" bestFit="1" customWidth="1"/>
    <col min="6" max="6" width="7.42578125" style="1211" bestFit="1" customWidth="1"/>
    <col min="7" max="7" width="11.5703125" style="1211" bestFit="1" customWidth="1"/>
    <col min="8" max="8" width="8.140625" style="1211" customWidth="1"/>
    <col min="9" max="9" width="11.5703125" style="1211" bestFit="1" customWidth="1"/>
    <col min="10" max="10" width="7.85546875" style="1211" bestFit="1" customWidth="1"/>
    <col min="11" max="11" width="11.28515625" style="1211" bestFit="1" customWidth="1"/>
    <col min="12" max="13" width="11.5703125" style="1211" bestFit="1" customWidth="1"/>
    <col min="14" max="16384" width="11.42578125" style="1211"/>
  </cols>
  <sheetData>
    <row r="1" spans="1:13" s="1280" customFormat="1" x14ac:dyDescent="0.15">
      <c r="A1" s="1307"/>
      <c r="B1" s="1196"/>
    </row>
    <row r="2" spans="1:13" s="1280" customFormat="1" ht="22.5" customHeight="1" x14ac:dyDescent="0.15">
      <c r="A2" s="3195" t="s">
        <v>2737</v>
      </c>
      <c r="B2" s="3195"/>
      <c r="C2" s="3195"/>
      <c r="D2" s="3195"/>
      <c r="E2" s="3195"/>
      <c r="F2" s="3195"/>
      <c r="G2" s="3195"/>
      <c r="H2" s="3195"/>
      <c r="I2" s="3195"/>
      <c r="J2" s="3195"/>
      <c r="K2" s="3195"/>
      <c r="L2" s="3195"/>
      <c r="M2" s="3195"/>
    </row>
    <row r="3" spans="1:13" s="1280" customFormat="1" x14ac:dyDescent="0.15">
      <c r="A3" s="3211"/>
      <c r="B3" s="3211"/>
      <c r="C3" s="3211"/>
      <c r="D3" s="3211"/>
      <c r="E3" s="3211"/>
    </row>
    <row r="4" spans="1:13" s="1196" customFormat="1" x14ac:dyDescent="0.15">
      <c r="A4" s="1308"/>
      <c r="B4" s="3146">
        <v>2013</v>
      </c>
      <c r="C4" s="3147"/>
      <c r="D4" s="3147"/>
      <c r="E4" s="3148"/>
      <c r="F4" s="3146">
        <v>2014</v>
      </c>
      <c r="G4" s="3147"/>
      <c r="H4" s="3147"/>
      <c r="I4" s="3148"/>
      <c r="J4" s="3146">
        <v>2015</v>
      </c>
      <c r="K4" s="3147"/>
      <c r="L4" s="3147"/>
      <c r="M4" s="3148"/>
    </row>
    <row r="5" spans="1:13" s="1195" customFormat="1" ht="13.5" customHeight="1" x14ac:dyDescent="0.25">
      <c r="A5" s="3214" t="s">
        <v>2561</v>
      </c>
      <c r="B5" s="3060" t="s">
        <v>2651</v>
      </c>
      <c r="C5" s="3060"/>
      <c r="D5" s="3060" t="s">
        <v>2652</v>
      </c>
      <c r="E5" s="3060"/>
      <c r="F5" s="3060" t="s">
        <v>2651</v>
      </c>
      <c r="G5" s="3060"/>
      <c r="H5" s="3060" t="s">
        <v>2652</v>
      </c>
      <c r="I5" s="3060"/>
      <c r="J5" s="3060" t="s">
        <v>2651</v>
      </c>
      <c r="K5" s="3060"/>
      <c r="L5" s="3060" t="s">
        <v>2652</v>
      </c>
      <c r="M5" s="3060"/>
    </row>
    <row r="6" spans="1:13" s="1195" customFormat="1" ht="13.5" customHeight="1" x14ac:dyDescent="0.25">
      <c r="A6" s="3214"/>
      <c r="B6" s="1309" t="s">
        <v>2562</v>
      </c>
      <c r="C6" s="1309" t="s">
        <v>727</v>
      </c>
      <c r="D6" s="1309" t="s">
        <v>2562</v>
      </c>
      <c r="E6" s="1309" t="s">
        <v>727</v>
      </c>
      <c r="F6" s="1309" t="s">
        <v>2562</v>
      </c>
      <c r="G6" s="1309" t="s">
        <v>727</v>
      </c>
      <c r="H6" s="1309" t="s">
        <v>2562</v>
      </c>
      <c r="I6" s="1309" t="s">
        <v>727</v>
      </c>
      <c r="J6" s="1309" t="s">
        <v>2562</v>
      </c>
      <c r="K6" s="1309" t="s">
        <v>727</v>
      </c>
      <c r="L6" s="1309" t="s">
        <v>2562</v>
      </c>
      <c r="M6" s="1309" t="s">
        <v>727</v>
      </c>
    </row>
    <row r="7" spans="1:13" s="1196" customFormat="1" x14ac:dyDescent="0.15">
      <c r="A7" s="1310" t="s">
        <v>141</v>
      </c>
      <c r="B7" s="1311">
        <f t="shared" ref="B7:M7" si="0">SUM(B8:B9)</f>
        <v>54583.416666666664</v>
      </c>
      <c r="C7" s="1312">
        <f t="shared" si="0"/>
        <v>1</v>
      </c>
      <c r="D7" s="1311">
        <f t="shared" si="0"/>
        <v>929.25194444444446</v>
      </c>
      <c r="E7" s="1312">
        <f t="shared" si="0"/>
        <v>1</v>
      </c>
      <c r="F7" s="1311">
        <f t="shared" si="0"/>
        <v>51860.25</v>
      </c>
      <c r="G7" s="1312">
        <f t="shared" si="0"/>
        <v>1</v>
      </c>
      <c r="H7" s="1311">
        <f t="shared" si="0"/>
        <v>831.11333333333334</v>
      </c>
      <c r="I7" s="1312">
        <f t="shared" si="0"/>
        <v>1</v>
      </c>
      <c r="J7" s="1311">
        <f t="shared" si="0"/>
        <v>54591.516666666699</v>
      </c>
      <c r="K7" s="1312">
        <f t="shared" si="0"/>
        <v>1</v>
      </c>
      <c r="L7" s="1311">
        <f t="shared" si="0"/>
        <v>835</v>
      </c>
      <c r="M7" s="1312">
        <f t="shared" si="0"/>
        <v>1</v>
      </c>
    </row>
    <row r="8" spans="1:13" s="1196" customFormat="1" ht="12" customHeight="1" x14ac:dyDescent="0.15">
      <c r="A8" s="1313" t="s">
        <v>2738</v>
      </c>
      <c r="B8" s="329">
        <v>54253.283333333333</v>
      </c>
      <c r="C8" s="639">
        <f>B8/$B$7</f>
        <v>0.99395176495913751</v>
      </c>
      <c r="D8" s="334">
        <v>923.13333333333333</v>
      </c>
      <c r="E8" s="639">
        <f>D8/$D$7</f>
        <v>0.99341555199567633</v>
      </c>
      <c r="F8" s="1314">
        <f>(185428080/3600)</f>
        <v>51507.8</v>
      </c>
      <c r="G8" s="639">
        <f>F8/$F$7</f>
        <v>0.99320385073346162</v>
      </c>
      <c r="H8" s="1315">
        <f>(2971738/3600)</f>
        <v>825.48277777777776</v>
      </c>
      <c r="I8" s="639">
        <f>H8/$H$7</f>
        <v>0.993225285493889</v>
      </c>
      <c r="J8" s="1316">
        <v>54063.516666666699</v>
      </c>
      <c r="K8" s="639">
        <f>J8/$J$7</f>
        <v>0.99032816759380504</v>
      </c>
      <c r="L8" s="1316">
        <v>829</v>
      </c>
      <c r="M8" s="639">
        <f>L8/$L$7</f>
        <v>0.99281437125748506</v>
      </c>
    </row>
    <row r="9" spans="1:13" s="1196" customFormat="1" x14ac:dyDescent="0.15">
      <c r="A9" s="1313" t="s">
        <v>2739</v>
      </c>
      <c r="B9" s="329">
        <v>330.13333333333333</v>
      </c>
      <c r="C9" s="639">
        <f>B9/$B$7</f>
        <v>6.0482350408625329E-3</v>
      </c>
      <c r="D9" s="334">
        <v>6.118611111111111</v>
      </c>
      <c r="E9" s="639">
        <f>D9/$D$7</f>
        <v>6.5844480043236687E-3</v>
      </c>
      <c r="F9" s="1314">
        <f>(1268820/3600)</f>
        <v>352.45</v>
      </c>
      <c r="G9" s="639">
        <f>F9/$F$7</f>
        <v>6.7961492665384376E-3</v>
      </c>
      <c r="H9" s="1315">
        <f>(20270/3600)</f>
        <v>5.6305555555555555</v>
      </c>
      <c r="I9" s="639">
        <f>H9/$H$7</f>
        <v>6.7747145061109459E-3</v>
      </c>
      <c r="J9" s="1316">
        <v>528</v>
      </c>
      <c r="K9" s="639">
        <f>J9/$J$7</f>
        <v>9.6718324061949735E-3</v>
      </c>
      <c r="L9" s="1316">
        <v>6</v>
      </c>
      <c r="M9" s="639">
        <f>L9/$L$7</f>
        <v>7.18562874251497E-3</v>
      </c>
    </row>
    <row r="10" spans="1:13" s="1196" customFormat="1" ht="11.25" customHeight="1" x14ac:dyDescent="0.15">
      <c r="A10" s="3213"/>
      <c r="B10" s="3213"/>
      <c r="C10" s="3213"/>
      <c r="D10" s="3213"/>
      <c r="E10" s="3213"/>
    </row>
    <row r="11" spans="1:13" s="1232" customFormat="1" x14ac:dyDescent="0.15">
      <c r="A11" s="3150" t="s">
        <v>2655</v>
      </c>
      <c r="B11" s="3150"/>
      <c r="C11" s="3150"/>
      <c r="D11" s="3150"/>
      <c r="E11" s="3150"/>
    </row>
    <row r="12" spans="1:13" s="1232" customFormat="1" ht="10.5" customHeight="1" x14ac:dyDescent="0.15">
      <c r="A12" s="3150" t="s">
        <v>2656</v>
      </c>
      <c r="B12" s="3150"/>
      <c r="C12" s="3150"/>
      <c r="D12" s="3150"/>
      <c r="E12" s="3150"/>
    </row>
    <row r="13" spans="1:13" ht="10.5" customHeight="1" x14ac:dyDescent="0.15">
      <c r="A13" s="3210" t="s">
        <v>2657</v>
      </c>
      <c r="B13" s="3150"/>
      <c r="C13" s="3150"/>
      <c r="D13" s="3150"/>
      <c r="E13" s="3150"/>
    </row>
    <row r="14" spans="1:13" s="1280" customFormat="1" ht="10.5" customHeight="1" x14ac:dyDescent="0.15">
      <c r="A14" s="3212" t="s">
        <v>2606</v>
      </c>
      <c r="B14" s="3212"/>
      <c r="C14" s="3212"/>
      <c r="D14" s="3212"/>
      <c r="E14" s="3212"/>
      <c r="F14" s="1317"/>
      <c r="G14" s="1317"/>
    </row>
    <row r="15" spans="1:13" s="1280" customFormat="1" x14ac:dyDescent="0.15"/>
    <row r="16" spans="1:13" s="1280" customFormat="1" x14ac:dyDescent="0.15"/>
  </sheetData>
  <mergeCells count="17">
    <mergeCell ref="A14:E14"/>
    <mergeCell ref="J5:K5"/>
    <mergeCell ref="L5:M5"/>
    <mergeCell ref="A10:E10"/>
    <mergeCell ref="A11:E11"/>
    <mergeCell ref="A12:E12"/>
    <mergeCell ref="A13:E13"/>
    <mergeCell ref="A5:A6"/>
    <mergeCell ref="B5:C5"/>
    <mergeCell ref="D5:E5"/>
    <mergeCell ref="F5:G5"/>
    <mergeCell ref="H5:I5"/>
    <mergeCell ref="A2:M2"/>
    <mergeCell ref="A3:E3"/>
    <mergeCell ref="B4:E4"/>
    <mergeCell ref="F4:I4"/>
    <mergeCell ref="J4:M4"/>
  </mergeCells>
  <pageMargins left="0.7" right="0.7" top="0.75" bottom="0.75" header="0.3" footer="0.3"/>
  <pageSetup paperSize="14" scale="9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2:D17"/>
  <sheetViews>
    <sheetView workbookViewId="0">
      <selection activeCell="D21" sqref="D21"/>
    </sheetView>
  </sheetViews>
  <sheetFormatPr baseColWidth="10" defaultRowHeight="15" x14ac:dyDescent="0.25"/>
  <cols>
    <col min="1" max="1" width="32.140625" customWidth="1"/>
    <col min="2" max="2" width="28.7109375" customWidth="1"/>
  </cols>
  <sheetData>
    <row r="2" spans="1:4" ht="22.5" customHeight="1" x14ac:dyDescent="0.25">
      <c r="A2" s="3215" t="s">
        <v>4259</v>
      </c>
      <c r="B2" s="3215"/>
    </row>
    <row r="3" spans="1:4" x14ac:dyDescent="0.25">
      <c r="A3" s="752"/>
      <c r="B3" s="25"/>
    </row>
    <row r="4" spans="1:4" ht="26.25" customHeight="1" x14ac:dyDescent="0.25">
      <c r="A4" s="2188" t="s">
        <v>2740</v>
      </c>
      <c r="B4" s="2079" t="s">
        <v>2741</v>
      </c>
    </row>
    <row r="5" spans="1:4" x14ac:dyDescent="0.25">
      <c r="A5" s="732" t="s">
        <v>2742</v>
      </c>
      <c r="B5" s="732">
        <v>209</v>
      </c>
    </row>
    <row r="6" spans="1:4" x14ac:dyDescent="0.25">
      <c r="A6" s="737" t="s">
        <v>114</v>
      </c>
      <c r="B6" s="737">
        <v>6</v>
      </c>
    </row>
    <row r="7" spans="1:4" x14ac:dyDescent="0.25">
      <c r="A7" s="737" t="s">
        <v>2743</v>
      </c>
      <c r="B7" s="737">
        <v>4</v>
      </c>
    </row>
    <row r="8" spans="1:4" x14ac:dyDescent="0.25">
      <c r="A8" s="737" t="s">
        <v>1890</v>
      </c>
      <c r="B8" s="737">
        <v>24</v>
      </c>
    </row>
    <row r="9" spans="1:4" x14ac:dyDescent="0.25">
      <c r="A9" s="737" t="s">
        <v>2744</v>
      </c>
      <c r="B9" s="737">
        <v>119</v>
      </c>
    </row>
    <row r="10" spans="1:4" x14ac:dyDescent="0.25">
      <c r="A10" s="737" t="s">
        <v>115</v>
      </c>
      <c r="B10" s="737">
        <v>42</v>
      </c>
    </row>
    <row r="11" spans="1:4" x14ac:dyDescent="0.25">
      <c r="A11" s="737" t="s">
        <v>2745</v>
      </c>
      <c r="B11" s="737">
        <v>10</v>
      </c>
    </row>
    <row r="12" spans="1:4" x14ac:dyDescent="0.25">
      <c r="A12" s="737" t="s">
        <v>2746</v>
      </c>
      <c r="B12" s="737">
        <v>4</v>
      </c>
    </row>
    <row r="14" spans="1:4" ht="22.5" customHeight="1" x14ac:dyDescent="0.25">
      <c r="A14" s="3216" t="s">
        <v>2747</v>
      </c>
      <c r="B14" s="3216"/>
      <c r="C14" s="753"/>
      <c r="D14" s="753"/>
    </row>
    <row r="15" spans="1:4" ht="22.5" customHeight="1" x14ac:dyDescent="0.25">
      <c r="A15" s="3216" t="s">
        <v>2748</v>
      </c>
      <c r="B15" s="3216"/>
      <c r="C15" s="753"/>
      <c r="D15" s="753"/>
    </row>
    <row r="16" spans="1:4" ht="33" customHeight="1" x14ac:dyDescent="0.25">
      <c r="A16" s="3216" t="s">
        <v>2749</v>
      </c>
      <c r="B16" s="3216"/>
      <c r="C16" s="753"/>
      <c r="D16" s="753"/>
    </row>
    <row r="17" spans="1:4" ht="11.25" customHeight="1" x14ac:dyDescent="0.25">
      <c r="A17" s="3216" t="s">
        <v>2750</v>
      </c>
      <c r="B17" s="3216"/>
      <c r="C17" s="753"/>
      <c r="D17" s="753"/>
    </row>
  </sheetData>
  <mergeCells count="5">
    <mergeCell ref="A2:B2"/>
    <mergeCell ref="A14:B14"/>
    <mergeCell ref="A15:B15"/>
    <mergeCell ref="A16:B16"/>
    <mergeCell ref="A17:B17"/>
  </mergeCell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S24"/>
  <sheetViews>
    <sheetView zoomScaleNormal="100" workbookViewId="0">
      <selection sqref="A1:XFD1048576"/>
    </sheetView>
  </sheetViews>
  <sheetFormatPr baseColWidth="10" defaultColWidth="11.42578125" defaultRowHeight="10.5" x14ac:dyDescent="0.15"/>
  <cols>
    <col min="1" max="1" width="29.140625" style="1196" customWidth="1"/>
    <col min="2" max="2" width="9.28515625" style="1196" customWidth="1"/>
    <col min="3" max="4" width="15.42578125" style="1196" customWidth="1"/>
    <col min="5" max="5" width="3.7109375" style="1196" customWidth="1"/>
    <col min="6" max="16384" width="11.42578125" style="1196"/>
  </cols>
  <sheetData>
    <row r="1" spans="1:4" s="1233" customFormat="1" x14ac:dyDescent="0.15">
      <c r="A1" s="1210"/>
    </row>
    <row r="2" spans="1:4" ht="26.25" customHeight="1" x14ac:dyDescent="0.15">
      <c r="A2" s="3218" t="s">
        <v>2751</v>
      </c>
      <c r="B2" s="3218"/>
      <c r="C2" s="3218"/>
      <c r="D2" s="3218"/>
    </row>
    <row r="4" spans="1:4" ht="15.75" customHeight="1" x14ac:dyDescent="0.15">
      <c r="A4" s="3219" t="s">
        <v>1</v>
      </c>
      <c r="B4" s="3220" t="s">
        <v>69</v>
      </c>
      <c r="C4" s="3219" t="s">
        <v>2752</v>
      </c>
      <c r="D4" s="3219"/>
    </row>
    <row r="5" spans="1:4" ht="15.75" customHeight="1" x14ac:dyDescent="0.15">
      <c r="A5" s="3219"/>
      <c r="B5" s="3221"/>
      <c r="C5" s="2116" t="s">
        <v>139</v>
      </c>
      <c r="D5" s="2116" t="s">
        <v>2753</v>
      </c>
    </row>
    <row r="6" spans="1:4" x14ac:dyDescent="0.15">
      <c r="A6" s="1233" t="s">
        <v>141</v>
      </c>
      <c r="B6" s="1318">
        <f>SUM(C6:D6)</f>
        <v>5</v>
      </c>
      <c r="C6" s="1319">
        <f>SUM(C7:C21)</f>
        <v>4</v>
      </c>
      <c r="D6" s="1319">
        <f>SUM(D7:D21)</f>
        <v>1</v>
      </c>
    </row>
    <row r="7" spans="1:4" x14ac:dyDescent="0.15">
      <c r="A7" s="1320" t="s">
        <v>5</v>
      </c>
      <c r="B7" s="1318">
        <f t="shared" ref="B7:B21" si="0">SUM(C7:D7)</f>
        <v>0</v>
      </c>
      <c r="C7" s="1321" t="s">
        <v>193</v>
      </c>
      <c r="D7" s="1321" t="s">
        <v>193</v>
      </c>
    </row>
    <row r="8" spans="1:4" x14ac:dyDescent="0.15">
      <c r="A8" s="1320" t="s">
        <v>6</v>
      </c>
      <c r="B8" s="1318">
        <f t="shared" si="0"/>
        <v>0</v>
      </c>
      <c r="C8" s="1321" t="s">
        <v>193</v>
      </c>
      <c r="D8" s="1321" t="s">
        <v>193</v>
      </c>
    </row>
    <row r="9" spans="1:4" x14ac:dyDescent="0.15">
      <c r="A9" s="1320" t="s">
        <v>7</v>
      </c>
      <c r="B9" s="1318">
        <f t="shared" si="0"/>
        <v>0</v>
      </c>
      <c r="C9" s="1321" t="s">
        <v>193</v>
      </c>
      <c r="D9" s="1321" t="s">
        <v>193</v>
      </c>
    </row>
    <row r="10" spans="1:4" x14ac:dyDescent="0.15">
      <c r="A10" s="1320" t="s">
        <v>8</v>
      </c>
      <c r="B10" s="1318">
        <f t="shared" si="0"/>
        <v>0</v>
      </c>
      <c r="C10" s="1321" t="s">
        <v>193</v>
      </c>
      <c r="D10" s="1321" t="s">
        <v>193</v>
      </c>
    </row>
    <row r="11" spans="1:4" x14ac:dyDescent="0.15">
      <c r="A11" s="1320" t="s">
        <v>9</v>
      </c>
      <c r="B11" s="1318">
        <f t="shared" si="0"/>
        <v>0</v>
      </c>
      <c r="C11" s="1321" t="s">
        <v>193</v>
      </c>
      <c r="D11" s="1321" t="s">
        <v>193</v>
      </c>
    </row>
    <row r="12" spans="1:4" x14ac:dyDescent="0.15">
      <c r="A12" s="1320" t="s">
        <v>10</v>
      </c>
      <c r="B12" s="1318">
        <f t="shared" si="0"/>
        <v>0</v>
      </c>
      <c r="C12" s="1321" t="s">
        <v>193</v>
      </c>
      <c r="D12" s="1321" t="s">
        <v>193</v>
      </c>
    </row>
    <row r="13" spans="1:4" x14ac:dyDescent="0.15">
      <c r="A13" s="1320" t="s">
        <v>11</v>
      </c>
      <c r="B13" s="1318">
        <f t="shared" si="0"/>
        <v>5</v>
      </c>
      <c r="C13" s="1321">
        <v>4</v>
      </c>
      <c r="D13" s="1321">
        <v>1</v>
      </c>
    </row>
    <row r="14" spans="1:4" x14ac:dyDescent="0.15">
      <c r="A14" s="1320" t="s">
        <v>12</v>
      </c>
      <c r="B14" s="1318">
        <f t="shared" si="0"/>
        <v>0</v>
      </c>
      <c r="C14" s="1321" t="s">
        <v>193</v>
      </c>
      <c r="D14" s="1321" t="s">
        <v>193</v>
      </c>
    </row>
    <row r="15" spans="1:4" x14ac:dyDescent="0.15">
      <c r="A15" s="1320" t="s">
        <v>13</v>
      </c>
      <c r="B15" s="1318">
        <f t="shared" si="0"/>
        <v>0</v>
      </c>
      <c r="C15" s="1321" t="s">
        <v>193</v>
      </c>
      <c r="D15" s="1321" t="s">
        <v>193</v>
      </c>
    </row>
    <row r="16" spans="1:4" x14ac:dyDescent="0.15">
      <c r="A16" s="1320" t="s">
        <v>14</v>
      </c>
      <c r="B16" s="1318">
        <f t="shared" si="0"/>
        <v>0</v>
      </c>
      <c r="C16" s="1321" t="s">
        <v>193</v>
      </c>
      <c r="D16" s="1321" t="s">
        <v>193</v>
      </c>
    </row>
    <row r="17" spans="1:19" x14ac:dyDescent="0.15">
      <c r="A17" s="1320" t="s">
        <v>15</v>
      </c>
      <c r="B17" s="1318">
        <f t="shared" si="0"/>
        <v>0</v>
      </c>
      <c r="C17" s="1321" t="s">
        <v>193</v>
      </c>
      <c r="D17" s="1321" t="s">
        <v>193</v>
      </c>
    </row>
    <row r="18" spans="1:19" x14ac:dyDescent="0.15">
      <c r="A18" s="1320" t="s">
        <v>16</v>
      </c>
      <c r="B18" s="1318">
        <f t="shared" si="0"/>
        <v>0</v>
      </c>
      <c r="C18" s="1321" t="s">
        <v>193</v>
      </c>
      <c r="D18" s="1321" t="s">
        <v>193</v>
      </c>
    </row>
    <row r="19" spans="1:19" x14ac:dyDescent="0.15">
      <c r="A19" s="1320" t="s">
        <v>17</v>
      </c>
      <c r="B19" s="1318">
        <f t="shared" si="0"/>
        <v>0</v>
      </c>
      <c r="C19" s="1321" t="s">
        <v>193</v>
      </c>
      <c r="D19" s="1321" t="s">
        <v>193</v>
      </c>
    </row>
    <row r="20" spans="1:19" x14ac:dyDescent="0.15">
      <c r="A20" s="1320" t="s">
        <v>18</v>
      </c>
      <c r="B20" s="1318">
        <f t="shared" si="0"/>
        <v>0</v>
      </c>
      <c r="C20" s="1321" t="s">
        <v>193</v>
      </c>
      <c r="D20" s="1321" t="s">
        <v>193</v>
      </c>
    </row>
    <row r="21" spans="1:19" x14ac:dyDescent="0.15">
      <c r="A21" s="1320" t="s">
        <v>19</v>
      </c>
      <c r="B21" s="1318">
        <f t="shared" si="0"/>
        <v>0</v>
      </c>
      <c r="C21" s="1321" t="s">
        <v>193</v>
      </c>
      <c r="D21" s="1321" t="s">
        <v>193</v>
      </c>
    </row>
    <row r="22" spans="1:19" ht="8.25" customHeight="1" x14ac:dyDescent="0.15">
      <c r="A22" s="1322"/>
      <c r="B22" s="1322"/>
      <c r="C22" s="1318"/>
      <c r="D22" s="1318"/>
    </row>
    <row r="23" spans="1:19" s="378" customFormat="1" ht="11.25" customHeight="1" x14ac:dyDescent="0.15">
      <c r="A23" s="3222" t="s">
        <v>20</v>
      </c>
      <c r="B23" s="3222"/>
      <c r="C23" s="3222"/>
      <c r="D23" s="3222"/>
      <c r="E23" s="1323"/>
      <c r="F23" s="1323"/>
      <c r="G23" s="1323"/>
      <c r="I23" s="1324"/>
      <c r="J23" s="387"/>
      <c r="K23" s="377"/>
      <c r="L23" s="377"/>
      <c r="M23" s="377"/>
      <c r="N23" s="377"/>
      <c r="O23" s="377"/>
      <c r="P23" s="377"/>
      <c r="Q23" s="377"/>
      <c r="R23" s="377"/>
      <c r="S23" s="377"/>
    </row>
    <row r="24" spans="1:19" x14ac:dyDescent="0.15">
      <c r="A24" s="3217" t="s">
        <v>2754</v>
      </c>
      <c r="B24" s="3217"/>
      <c r="C24" s="3217"/>
      <c r="D24" s="3217"/>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Q25"/>
  <sheetViews>
    <sheetView zoomScaleNormal="100" workbookViewId="0">
      <selection sqref="A1:XFD1048576"/>
    </sheetView>
  </sheetViews>
  <sheetFormatPr baseColWidth="10" defaultColWidth="11.42578125" defaultRowHeight="10.5" x14ac:dyDescent="0.15"/>
  <cols>
    <col min="1" max="1" width="28.7109375" style="1211" customWidth="1"/>
    <col min="2" max="2" width="7.140625" style="1211" customWidth="1"/>
    <col min="3" max="4" width="12.28515625" style="1211" customWidth="1"/>
    <col min="5" max="5" width="8.5703125" style="1211" customWidth="1"/>
    <col min="6" max="16384" width="11.42578125" style="1211"/>
  </cols>
  <sheetData>
    <row r="1" spans="1:5" x14ac:dyDescent="0.15">
      <c r="A1" s="1325"/>
    </row>
    <row r="2" spans="1:5" ht="25.5" customHeight="1" x14ac:dyDescent="0.15">
      <c r="A2" s="3223" t="s">
        <v>2755</v>
      </c>
      <c r="B2" s="3223"/>
      <c r="C2" s="3223"/>
      <c r="D2" s="3223"/>
      <c r="E2" s="1326"/>
    </row>
    <row r="3" spans="1:5" ht="9.75" customHeight="1" x14ac:dyDescent="0.15"/>
    <row r="4" spans="1:5" ht="12.75" customHeight="1" x14ac:dyDescent="0.15">
      <c r="A4" s="3224" t="s">
        <v>1</v>
      </c>
      <c r="B4" s="3227" t="s">
        <v>69</v>
      </c>
      <c r="C4" s="3229" t="s">
        <v>2756</v>
      </c>
      <c r="D4" s="3229"/>
    </row>
    <row r="5" spans="1:5" x14ac:dyDescent="0.15">
      <c r="A5" s="3225"/>
      <c r="B5" s="3228"/>
      <c r="C5" s="3230" t="s">
        <v>1377</v>
      </c>
      <c r="D5" s="3231"/>
    </row>
    <row r="6" spans="1:5" x14ac:dyDescent="0.15">
      <c r="A6" s="3226"/>
      <c r="B6" s="3156"/>
      <c r="C6" s="2117" t="s">
        <v>2757</v>
      </c>
      <c r="D6" s="2117" t="s">
        <v>2758</v>
      </c>
    </row>
    <row r="7" spans="1:5" x14ac:dyDescent="0.15">
      <c r="A7" s="1327" t="s">
        <v>141</v>
      </c>
      <c r="B7" s="1328">
        <f>SUM(C7:D7)</f>
        <v>72</v>
      </c>
      <c r="C7" s="1328">
        <f>SUM(C8:C22)</f>
        <v>31</v>
      </c>
      <c r="D7" s="1328">
        <f>SUM(D8:D22)</f>
        <v>41</v>
      </c>
    </row>
    <row r="8" spans="1:5" x14ac:dyDescent="0.15">
      <c r="A8" s="1329" t="s">
        <v>5</v>
      </c>
      <c r="B8" s="1328">
        <f t="shared" ref="B8:B22" si="0">SUM(C8:D8)</f>
        <v>0</v>
      </c>
      <c r="C8" s="1328">
        <v>0</v>
      </c>
      <c r="D8" s="1328">
        <v>0</v>
      </c>
    </row>
    <row r="9" spans="1:5" x14ac:dyDescent="0.15">
      <c r="A9" s="1329" t="s">
        <v>6</v>
      </c>
      <c r="B9" s="1328">
        <f t="shared" si="0"/>
        <v>0</v>
      </c>
      <c r="C9" s="1328">
        <v>0</v>
      </c>
      <c r="D9" s="1328">
        <v>0</v>
      </c>
    </row>
    <row r="10" spans="1:5" x14ac:dyDescent="0.15">
      <c r="A10" s="1329" t="s">
        <v>7</v>
      </c>
      <c r="B10" s="1328">
        <f>SUM(C10:D10)</f>
        <v>0</v>
      </c>
      <c r="C10" s="1328">
        <v>0</v>
      </c>
      <c r="D10" s="1328">
        <v>0</v>
      </c>
    </row>
    <row r="11" spans="1:5" x14ac:dyDescent="0.15">
      <c r="A11" s="1329" t="s">
        <v>8</v>
      </c>
      <c r="B11" s="1328">
        <f t="shared" si="0"/>
        <v>0</v>
      </c>
      <c r="C11" s="1328">
        <v>0</v>
      </c>
      <c r="D11" s="1328">
        <v>0</v>
      </c>
    </row>
    <row r="12" spans="1:5" x14ac:dyDescent="0.15">
      <c r="A12" s="1329" t="s">
        <v>9</v>
      </c>
      <c r="B12" s="1328">
        <f t="shared" si="0"/>
        <v>1</v>
      </c>
      <c r="C12" s="1328">
        <v>0</v>
      </c>
      <c r="D12" s="1328">
        <v>1</v>
      </c>
    </row>
    <row r="13" spans="1:5" x14ac:dyDescent="0.15">
      <c r="A13" s="1329" t="s">
        <v>10</v>
      </c>
      <c r="B13" s="1328">
        <f t="shared" si="0"/>
        <v>0</v>
      </c>
      <c r="C13" s="1328">
        <v>0</v>
      </c>
      <c r="D13" s="1328">
        <v>0</v>
      </c>
    </row>
    <row r="14" spans="1:5" x14ac:dyDescent="0.15">
      <c r="A14" s="1329" t="s">
        <v>11</v>
      </c>
      <c r="B14" s="1328">
        <f>SUM(C14:D14)</f>
        <v>70</v>
      </c>
      <c r="C14" s="1328">
        <v>31</v>
      </c>
      <c r="D14" s="1328">
        <v>39</v>
      </c>
    </row>
    <row r="15" spans="1:5" x14ac:dyDescent="0.15">
      <c r="A15" s="1329" t="s">
        <v>12</v>
      </c>
      <c r="B15" s="1328">
        <f t="shared" si="0"/>
        <v>1</v>
      </c>
      <c r="C15" s="1328">
        <v>0</v>
      </c>
      <c r="D15" s="1328">
        <v>1</v>
      </c>
    </row>
    <row r="16" spans="1:5" x14ac:dyDescent="0.15">
      <c r="A16" s="1329" t="s">
        <v>13</v>
      </c>
      <c r="B16" s="1328">
        <f t="shared" si="0"/>
        <v>0</v>
      </c>
      <c r="C16" s="1328">
        <v>0</v>
      </c>
      <c r="D16" s="1328">
        <v>0</v>
      </c>
    </row>
    <row r="17" spans="1:17" x14ac:dyDescent="0.15">
      <c r="A17" s="1329" t="s">
        <v>14</v>
      </c>
      <c r="B17" s="1328">
        <f t="shared" si="0"/>
        <v>0</v>
      </c>
      <c r="C17" s="1328">
        <v>0</v>
      </c>
      <c r="D17" s="1328">
        <v>0</v>
      </c>
    </row>
    <row r="18" spans="1:17" x14ac:dyDescent="0.15">
      <c r="A18" s="1329" t="s">
        <v>15</v>
      </c>
      <c r="B18" s="1328">
        <f t="shared" si="0"/>
        <v>0</v>
      </c>
      <c r="C18" s="1328">
        <v>0</v>
      </c>
      <c r="D18" s="1328">
        <v>0</v>
      </c>
    </row>
    <row r="19" spans="1:17" x14ac:dyDescent="0.15">
      <c r="A19" s="1329" t="s">
        <v>16</v>
      </c>
      <c r="B19" s="1328">
        <f t="shared" si="0"/>
        <v>0</v>
      </c>
      <c r="C19" s="1328">
        <v>0</v>
      </c>
      <c r="D19" s="1328">
        <v>0</v>
      </c>
      <c r="E19" s="1330"/>
    </row>
    <row r="20" spans="1:17" x14ac:dyDescent="0.15">
      <c r="A20" s="1329" t="s">
        <v>17</v>
      </c>
      <c r="B20" s="1328">
        <f t="shared" si="0"/>
        <v>0</v>
      </c>
      <c r="C20" s="1328">
        <v>0</v>
      </c>
      <c r="D20" s="1328">
        <v>0</v>
      </c>
    </row>
    <row r="21" spans="1:17" x14ac:dyDescent="0.15">
      <c r="A21" s="1329" t="s">
        <v>18</v>
      </c>
      <c r="B21" s="1328">
        <f t="shared" si="0"/>
        <v>0</v>
      </c>
      <c r="C21" s="1328">
        <v>0</v>
      </c>
      <c r="D21" s="1328">
        <v>0</v>
      </c>
    </row>
    <row r="22" spans="1:17" x14ac:dyDescent="0.15">
      <c r="A22" s="1329" t="s">
        <v>19</v>
      </c>
      <c r="B22" s="1328">
        <f t="shared" si="0"/>
        <v>0</v>
      </c>
      <c r="C22" s="1328">
        <v>0</v>
      </c>
      <c r="D22" s="1328">
        <v>0</v>
      </c>
    </row>
    <row r="23" spans="1:17" ht="6.75" customHeight="1" x14ac:dyDescent="0.15">
      <c r="A23" s="1331"/>
      <c r="B23" s="1331"/>
      <c r="C23" s="1328"/>
      <c r="D23" s="1328"/>
    </row>
    <row r="24" spans="1:17" s="378" customFormat="1" ht="12" customHeight="1" x14ac:dyDescent="0.15">
      <c r="A24" s="3222" t="s">
        <v>20</v>
      </c>
      <c r="B24" s="3222"/>
      <c r="C24" s="3222"/>
      <c r="D24" s="3222"/>
      <c r="E24" s="3222"/>
      <c r="F24" s="1323"/>
      <c r="G24" s="1323"/>
      <c r="H24" s="387"/>
      <c r="I24" s="377"/>
      <c r="J24" s="377"/>
      <c r="K24" s="377"/>
      <c r="L24" s="377"/>
      <c r="M24" s="377"/>
      <c r="N24" s="377"/>
      <c r="O24" s="377"/>
      <c r="P24" s="377"/>
      <c r="Q24" s="377"/>
    </row>
    <row r="25" spans="1:17" x14ac:dyDescent="0.15">
      <c r="A25" s="3217" t="s">
        <v>2754</v>
      </c>
      <c r="B25" s="3217"/>
      <c r="C25" s="3217"/>
      <c r="D25" s="3217"/>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2:B17"/>
  <sheetViews>
    <sheetView workbookViewId="0">
      <selection sqref="A1:XFD1048576"/>
    </sheetView>
  </sheetViews>
  <sheetFormatPr baseColWidth="10" defaultRowHeight="10.5" x14ac:dyDescent="0.15"/>
  <cols>
    <col min="1" max="1" width="35.7109375" style="2140" customWidth="1"/>
    <col min="2" max="2" width="28.5703125" style="2140" customWidth="1"/>
    <col min="3" max="16384" width="11.42578125" style="2140"/>
  </cols>
  <sheetData>
    <row r="2" spans="1:2" ht="22.5" customHeight="1" x14ac:dyDescent="0.15">
      <c r="A2" s="3232" t="s">
        <v>2759</v>
      </c>
      <c r="B2" s="3232"/>
    </row>
    <row r="3" spans="1:2" ht="10.5" customHeight="1" x14ac:dyDescent="0.15">
      <c r="A3" s="752"/>
    </row>
    <row r="4" spans="1:2" ht="11.25" x14ac:dyDescent="0.15">
      <c r="A4" s="2190" t="s">
        <v>4260</v>
      </c>
      <c r="B4" s="2189" t="s">
        <v>2760</v>
      </c>
    </row>
    <row r="5" spans="1:2" x14ac:dyDescent="0.15">
      <c r="A5" s="732" t="s">
        <v>2742</v>
      </c>
      <c r="B5" s="733">
        <v>83790243008</v>
      </c>
    </row>
    <row r="6" spans="1:2" x14ac:dyDescent="0.15">
      <c r="A6" s="737" t="s">
        <v>114</v>
      </c>
      <c r="B6" s="736">
        <v>1018445734</v>
      </c>
    </row>
    <row r="7" spans="1:2" ht="11.25" x14ac:dyDescent="0.15">
      <c r="A7" s="737" t="s">
        <v>4261</v>
      </c>
      <c r="B7" s="736">
        <v>187858478</v>
      </c>
    </row>
    <row r="8" spans="1:2" x14ac:dyDescent="0.15">
      <c r="A8" s="737" t="s">
        <v>1890</v>
      </c>
      <c r="B8" s="736">
        <v>2487586749</v>
      </c>
    </row>
    <row r="9" spans="1:2" x14ac:dyDescent="0.15">
      <c r="A9" s="737" t="s">
        <v>2744</v>
      </c>
      <c r="B9" s="736">
        <v>75194922772</v>
      </c>
    </row>
    <row r="10" spans="1:2" x14ac:dyDescent="0.15">
      <c r="A10" s="737" t="s">
        <v>115</v>
      </c>
      <c r="B10" s="736">
        <v>4358210200</v>
      </c>
    </row>
    <row r="11" spans="1:2" x14ac:dyDescent="0.15">
      <c r="A11" s="737" t="s">
        <v>2745</v>
      </c>
      <c r="B11" s="736">
        <v>475812780</v>
      </c>
    </row>
    <row r="12" spans="1:2" x14ac:dyDescent="0.15">
      <c r="A12" s="737" t="s">
        <v>2746</v>
      </c>
      <c r="B12" s="736">
        <v>67406295</v>
      </c>
    </row>
    <row r="14" spans="1:2" ht="22.5" customHeight="1" x14ac:dyDescent="0.15">
      <c r="A14" s="3216" t="s">
        <v>2747</v>
      </c>
      <c r="B14" s="3216"/>
    </row>
    <row r="15" spans="1:2" ht="21.75" customHeight="1" x14ac:dyDescent="0.15">
      <c r="A15" s="3216" t="s">
        <v>2748</v>
      </c>
      <c r="B15" s="3216"/>
    </row>
    <row r="16" spans="1:2" ht="45" customHeight="1" x14ac:dyDescent="0.15">
      <c r="A16" s="3216" t="s">
        <v>2761</v>
      </c>
      <c r="B16" s="3216"/>
    </row>
    <row r="17" spans="1:2" x14ac:dyDescent="0.15">
      <c r="A17" s="3216" t="s">
        <v>2762</v>
      </c>
      <c r="B17" s="3216"/>
    </row>
  </sheetData>
  <mergeCells count="5">
    <mergeCell ref="A2:B2"/>
    <mergeCell ref="A14:B14"/>
    <mergeCell ref="A15:B15"/>
    <mergeCell ref="A16:B16"/>
    <mergeCell ref="A17:B17"/>
  </mergeCell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2:R30"/>
  <sheetViews>
    <sheetView workbookViewId="0">
      <selection sqref="A1:XFD1048576"/>
    </sheetView>
  </sheetViews>
  <sheetFormatPr baseColWidth="10" defaultColWidth="8" defaultRowHeight="10.5" x14ac:dyDescent="0.15"/>
  <cols>
    <col min="1" max="1" width="29.85546875" style="2087" customWidth="1"/>
    <col min="2" max="2" width="15.5703125" style="2087" customWidth="1"/>
    <col min="3" max="3" width="17.140625" style="2087" customWidth="1"/>
    <col min="4" max="4" width="17.28515625" style="2087" customWidth="1"/>
    <col min="5" max="5" width="19.28515625" style="2087" customWidth="1"/>
    <col min="6" max="6" width="8" style="2087" customWidth="1"/>
    <col min="7" max="255" width="8" style="2087"/>
    <col min="256" max="256" width="29.85546875" style="2087" customWidth="1"/>
    <col min="257" max="257" width="15.5703125" style="2087" customWidth="1"/>
    <col min="258" max="258" width="17.140625" style="2087" customWidth="1"/>
    <col min="259" max="259" width="17.28515625" style="2087" customWidth="1"/>
    <col min="260" max="260" width="19.28515625" style="2087" customWidth="1"/>
    <col min="261" max="261" width="0" style="2087" hidden="1" customWidth="1"/>
    <col min="262" max="262" width="98.5703125" style="2087" customWidth="1"/>
    <col min="263" max="511" width="8" style="2087"/>
    <col min="512" max="512" width="29.85546875" style="2087" customWidth="1"/>
    <col min="513" max="513" width="15.5703125" style="2087" customWidth="1"/>
    <col min="514" max="514" width="17.140625" style="2087" customWidth="1"/>
    <col min="515" max="515" width="17.28515625" style="2087" customWidth="1"/>
    <col min="516" max="516" width="19.28515625" style="2087" customWidth="1"/>
    <col min="517" max="517" width="0" style="2087" hidden="1" customWidth="1"/>
    <col min="518" max="518" width="98.5703125" style="2087" customWidth="1"/>
    <col min="519" max="767" width="8" style="2087"/>
    <col min="768" max="768" width="29.85546875" style="2087" customWidth="1"/>
    <col min="769" max="769" width="15.5703125" style="2087" customWidth="1"/>
    <col min="770" max="770" width="17.140625" style="2087" customWidth="1"/>
    <col min="771" max="771" width="17.28515625" style="2087" customWidth="1"/>
    <col min="772" max="772" width="19.28515625" style="2087" customWidth="1"/>
    <col min="773" max="773" width="0" style="2087" hidden="1" customWidth="1"/>
    <col min="774" max="774" width="98.5703125" style="2087" customWidth="1"/>
    <col min="775" max="1023" width="8" style="2087"/>
    <col min="1024" max="1024" width="29.85546875" style="2087" customWidth="1"/>
    <col min="1025" max="1025" width="15.5703125" style="2087" customWidth="1"/>
    <col min="1026" max="1026" width="17.140625" style="2087" customWidth="1"/>
    <col min="1027" max="1027" width="17.28515625" style="2087" customWidth="1"/>
    <col min="1028" max="1028" width="19.28515625" style="2087" customWidth="1"/>
    <col min="1029" max="1029" width="0" style="2087" hidden="1" customWidth="1"/>
    <col min="1030" max="1030" width="98.5703125" style="2087" customWidth="1"/>
    <col min="1031" max="1279" width="8" style="2087"/>
    <col min="1280" max="1280" width="29.85546875" style="2087" customWidth="1"/>
    <col min="1281" max="1281" width="15.5703125" style="2087" customWidth="1"/>
    <col min="1282" max="1282" width="17.140625" style="2087" customWidth="1"/>
    <col min="1283" max="1283" width="17.28515625" style="2087" customWidth="1"/>
    <col min="1284" max="1284" width="19.28515625" style="2087" customWidth="1"/>
    <col min="1285" max="1285" width="0" style="2087" hidden="1" customWidth="1"/>
    <col min="1286" max="1286" width="98.5703125" style="2087" customWidth="1"/>
    <col min="1287" max="1535" width="8" style="2087"/>
    <col min="1536" max="1536" width="29.85546875" style="2087" customWidth="1"/>
    <col min="1537" max="1537" width="15.5703125" style="2087" customWidth="1"/>
    <col min="1538" max="1538" width="17.140625" style="2087" customWidth="1"/>
    <col min="1539" max="1539" width="17.28515625" style="2087" customWidth="1"/>
    <col min="1540" max="1540" width="19.28515625" style="2087" customWidth="1"/>
    <col min="1541" max="1541" width="0" style="2087" hidden="1" customWidth="1"/>
    <col min="1542" max="1542" width="98.5703125" style="2087" customWidth="1"/>
    <col min="1543" max="1791" width="8" style="2087"/>
    <col min="1792" max="1792" width="29.85546875" style="2087" customWidth="1"/>
    <col min="1793" max="1793" width="15.5703125" style="2087" customWidth="1"/>
    <col min="1794" max="1794" width="17.140625" style="2087" customWidth="1"/>
    <col min="1795" max="1795" width="17.28515625" style="2087" customWidth="1"/>
    <col min="1796" max="1796" width="19.28515625" style="2087" customWidth="1"/>
    <col min="1797" max="1797" width="0" style="2087" hidden="1" customWidth="1"/>
    <col min="1798" max="1798" width="98.5703125" style="2087" customWidth="1"/>
    <col min="1799" max="2047" width="8" style="2087"/>
    <col min="2048" max="2048" width="29.85546875" style="2087" customWidth="1"/>
    <col min="2049" max="2049" width="15.5703125" style="2087" customWidth="1"/>
    <col min="2050" max="2050" width="17.140625" style="2087" customWidth="1"/>
    <col min="2051" max="2051" width="17.28515625" style="2087" customWidth="1"/>
    <col min="2052" max="2052" width="19.28515625" style="2087" customWidth="1"/>
    <col min="2053" max="2053" width="0" style="2087" hidden="1" customWidth="1"/>
    <col min="2054" max="2054" width="98.5703125" style="2087" customWidth="1"/>
    <col min="2055" max="2303" width="8" style="2087"/>
    <col min="2304" max="2304" width="29.85546875" style="2087" customWidth="1"/>
    <col min="2305" max="2305" width="15.5703125" style="2087" customWidth="1"/>
    <col min="2306" max="2306" width="17.140625" style="2087" customWidth="1"/>
    <col min="2307" max="2307" width="17.28515625" style="2087" customWidth="1"/>
    <col min="2308" max="2308" width="19.28515625" style="2087" customWidth="1"/>
    <col min="2309" max="2309" width="0" style="2087" hidden="1" customWidth="1"/>
    <col min="2310" max="2310" width="98.5703125" style="2087" customWidth="1"/>
    <col min="2311" max="2559" width="8" style="2087"/>
    <col min="2560" max="2560" width="29.85546875" style="2087" customWidth="1"/>
    <col min="2561" max="2561" width="15.5703125" style="2087" customWidth="1"/>
    <col min="2562" max="2562" width="17.140625" style="2087" customWidth="1"/>
    <col min="2563" max="2563" width="17.28515625" style="2087" customWidth="1"/>
    <col min="2564" max="2564" width="19.28515625" style="2087" customWidth="1"/>
    <col min="2565" max="2565" width="0" style="2087" hidden="1" customWidth="1"/>
    <col min="2566" max="2566" width="98.5703125" style="2087" customWidth="1"/>
    <col min="2567" max="2815" width="8" style="2087"/>
    <col min="2816" max="2816" width="29.85546875" style="2087" customWidth="1"/>
    <col min="2817" max="2817" width="15.5703125" style="2087" customWidth="1"/>
    <col min="2818" max="2818" width="17.140625" style="2087" customWidth="1"/>
    <col min="2819" max="2819" width="17.28515625" style="2087" customWidth="1"/>
    <col min="2820" max="2820" width="19.28515625" style="2087" customWidth="1"/>
    <col min="2821" max="2821" width="0" style="2087" hidden="1" customWidth="1"/>
    <col min="2822" max="2822" width="98.5703125" style="2087" customWidth="1"/>
    <col min="2823" max="3071" width="8" style="2087"/>
    <col min="3072" max="3072" width="29.85546875" style="2087" customWidth="1"/>
    <col min="3073" max="3073" width="15.5703125" style="2087" customWidth="1"/>
    <col min="3074" max="3074" width="17.140625" style="2087" customWidth="1"/>
    <col min="3075" max="3075" width="17.28515625" style="2087" customWidth="1"/>
    <col min="3076" max="3076" width="19.28515625" style="2087" customWidth="1"/>
    <col min="3077" max="3077" width="0" style="2087" hidden="1" customWidth="1"/>
    <col min="3078" max="3078" width="98.5703125" style="2087" customWidth="1"/>
    <col min="3079" max="3327" width="8" style="2087"/>
    <col min="3328" max="3328" width="29.85546875" style="2087" customWidth="1"/>
    <col min="3329" max="3329" width="15.5703125" style="2087" customWidth="1"/>
    <col min="3330" max="3330" width="17.140625" style="2087" customWidth="1"/>
    <col min="3331" max="3331" width="17.28515625" style="2087" customWidth="1"/>
    <col min="3332" max="3332" width="19.28515625" style="2087" customWidth="1"/>
    <col min="3333" max="3333" width="0" style="2087" hidden="1" customWidth="1"/>
    <col min="3334" max="3334" width="98.5703125" style="2087" customWidth="1"/>
    <col min="3335" max="3583" width="8" style="2087"/>
    <col min="3584" max="3584" width="29.85546875" style="2087" customWidth="1"/>
    <col min="3585" max="3585" width="15.5703125" style="2087" customWidth="1"/>
    <col min="3586" max="3586" width="17.140625" style="2087" customWidth="1"/>
    <col min="3587" max="3587" width="17.28515625" style="2087" customWidth="1"/>
    <col min="3588" max="3588" width="19.28515625" style="2087" customWidth="1"/>
    <col min="3589" max="3589" width="0" style="2087" hidden="1" customWidth="1"/>
    <col min="3590" max="3590" width="98.5703125" style="2087" customWidth="1"/>
    <col min="3591" max="3839" width="8" style="2087"/>
    <col min="3840" max="3840" width="29.85546875" style="2087" customWidth="1"/>
    <col min="3841" max="3841" width="15.5703125" style="2087" customWidth="1"/>
    <col min="3842" max="3842" width="17.140625" style="2087" customWidth="1"/>
    <col min="3843" max="3843" width="17.28515625" style="2087" customWidth="1"/>
    <col min="3844" max="3844" width="19.28515625" style="2087" customWidth="1"/>
    <col min="3845" max="3845" width="0" style="2087" hidden="1" customWidth="1"/>
    <col min="3846" max="3846" width="98.5703125" style="2087" customWidth="1"/>
    <col min="3847" max="4095" width="8" style="2087"/>
    <col min="4096" max="4096" width="29.85546875" style="2087" customWidth="1"/>
    <col min="4097" max="4097" width="15.5703125" style="2087" customWidth="1"/>
    <col min="4098" max="4098" width="17.140625" style="2087" customWidth="1"/>
    <col min="4099" max="4099" width="17.28515625" style="2087" customWidth="1"/>
    <col min="4100" max="4100" width="19.28515625" style="2087" customWidth="1"/>
    <col min="4101" max="4101" width="0" style="2087" hidden="1" customWidth="1"/>
    <col min="4102" max="4102" width="98.5703125" style="2087" customWidth="1"/>
    <col min="4103" max="4351" width="8" style="2087"/>
    <col min="4352" max="4352" width="29.85546875" style="2087" customWidth="1"/>
    <col min="4353" max="4353" width="15.5703125" style="2087" customWidth="1"/>
    <col min="4354" max="4354" width="17.140625" style="2087" customWidth="1"/>
    <col min="4355" max="4355" width="17.28515625" style="2087" customWidth="1"/>
    <col min="4356" max="4356" width="19.28515625" style="2087" customWidth="1"/>
    <col min="4357" max="4357" width="0" style="2087" hidden="1" customWidth="1"/>
    <col min="4358" max="4358" width="98.5703125" style="2087" customWidth="1"/>
    <col min="4359" max="4607" width="8" style="2087"/>
    <col min="4608" max="4608" width="29.85546875" style="2087" customWidth="1"/>
    <col min="4609" max="4609" width="15.5703125" style="2087" customWidth="1"/>
    <col min="4610" max="4610" width="17.140625" style="2087" customWidth="1"/>
    <col min="4611" max="4611" width="17.28515625" style="2087" customWidth="1"/>
    <col min="4612" max="4612" width="19.28515625" style="2087" customWidth="1"/>
    <col min="4613" max="4613" width="0" style="2087" hidden="1" customWidth="1"/>
    <col min="4614" max="4614" width="98.5703125" style="2087" customWidth="1"/>
    <col min="4615" max="4863" width="8" style="2087"/>
    <col min="4864" max="4864" width="29.85546875" style="2087" customWidth="1"/>
    <col min="4865" max="4865" width="15.5703125" style="2087" customWidth="1"/>
    <col min="4866" max="4866" width="17.140625" style="2087" customWidth="1"/>
    <col min="4867" max="4867" width="17.28515625" style="2087" customWidth="1"/>
    <col min="4868" max="4868" width="19.28515625" style="2087" customWidth="1"/>
    <col min="4869" max="4869" width="0" style="2087" hidden="1" customWidth="1"/>
    <col min="4870" max="4870" width="98.5703125" style="2087" customWidth="1"/>
    <col min="4871" max="5119" width="8" style="2087"/>
    <col min="5120" max="5120" width="29.85546875" style="2087" customWidth="1"/>
    <col min="5121" max="5121" width="15.5703125" style="2087" customWidth="1"/>
    <col min="5122" max="5122" width="17.140625" style="2087" customWidth="1"/>
    <col min="5123" max="5123" width="17.28515625" style="2087" customWidth="1"/>
    <col min="5124" max="5124" width="19.28515625" style="2087" customWidth="1"/>
    <col min="5125" max="5125" width="0" style="2087" hidden="1" customWidth="1"/>
    <col min="5126" max="5126" width="98.5703125" style="2087" customWidth="1"/>
    <col min="5127" max="5375" width="8" style="2087"/>
    <col min="5376" max="5376" width="29.85546875" style="2087" customWidth="1"/>
    <col min="5377" max="5377" width="15.5703125" style="2087" customWidth="1"/>
    <col min="5378" max="5378" width="17.140625" style="2087" customWidth="1"/>
    <col min="5379" max="5379" width="17.28515625" style="2087" customWidth="1"/>
    <col min="5380" max="5380" width="19.28515625" style="2087" customWidth="1"/>
    <col min="5381" max="5381" width="0" style="2087" hidden="1" customWidth="1"/>
    <col min="5382" max="5382" width="98.5703125" style="2087" customWidth="1"/>
    <col min="5383" max="5631" width="8" style="2087"/>
    <col min="5632" max="5632" width="29.85546875" style="2087" customWidth="1"/>
    <col min="5633" max="5633" width="15.5703125" style="2087" customWidth="1"/>
    <col min="5634" max="5634" width="17.140625" style="2087" customWidth="1"/>
    <col min="5635" max="5635" width="17.28515625" style="2087" customWidth="1"/>
    <col min="5636" max="5636" width="19.28515625" style="2087" customWidth="1"/>
    <col min="5637" max="5637" width="0" style="2087" hidden="1" customWidth="1"/>
    <col min="5638" max="5638" width="98.5703125" style="2087" customWidth="1"/>
    <col min="5639" max="5887" width="8" style="2087"/>
    <col min="5888" max="5888" width="29.85546875" style="2087" customWidth="1"/>
    <col min="5889" max="5889" width="15.5703125" style="2087" customWidth="1"/>
    <col min="5890" max="5890" width="17.140625" style="2087" customWidth="1"/>
    <col min="5891" max="5891" width="17.28515625" style="2087" customWidth="1"/>
    <col min="5892" max="5892" width="19.28515625" style="2087" customWidth="1"/>
    <col min="5893" max="5893" width="0" style="2087" hidden="1" customWidth="1"/>
    <col min="5894" max="5894" width="98.5703125" style="2087" customWidth="1"/>
    <col min="5895" max="6143" width="8" style="2087"/>
    <col min="6144" max="6144" width="29.85546875" style="2087" customWidth="1"/>
    <col min="6145" max="6145" width="15.5703125" style="2087" customWidth="1"/>
    <col min="6146" max="6146" width="17.140625" style="2087" customWidth="1"/>
    <col min="6147" max="6147" width="17.28515625" style="2087" customWidth="1"/>
    <col min="6148" max="6148" width="19.28515625" style="2087" customWidth="1"/>
    <col min="6149" max="6149" width="0" style="2087" hidden="1" customWidth="1"/>
    <col min="6150" max="6150" width="98.5703125" style="2087" customWidth="1"/>
    <col min="6151" max="6399" width="8" style="2087"/>
    <col min="6400" max="6400" width="29.85546875" style="2087" customWidth="1"/>
    <col min="6401" max="6401" width="15.5703125" style="2087" customWidth="1"/>
    <col min="6402" max="6402" width="17.140625" style="2087" customWidth="1"/>
    <col min="6403" max="6403" width="17.28515625" style="2087" customWidth="1"/>
    <col min="6404" max="6404" width="19.28515625" style="2087" customWidth="1"/>
    <col min="6405" max="6405" width="0" style="2087" hidden="1" customWidth="1"/>
    <col min="6406" max="6406" width="98.5703125" style="2087" customWidth="1"/>
    <col min="6407" max="6655" width="8" style="2087"/>
    <col min="6656" max="6656" width="29.85546875" style="2087" customWidth="1"/>
    <col min="6657" max="6657" width="15.5703125" style="2087" customWidth="1"/>
    <col min="6658" max="6658" width="17.140625" style="2087" customWidth="1"/>
    <col min="6659" max="6659" width="17.28515625" style="2087" customWidth="1"/>
    <col min="6660" max="6660" width="19.28515625" style="2087" customWidth="1"/>
    <col min="6661" max="6661" width="0" style="2087" hidden="1" customWidth="1"/>
    <col min="6662" max="6662" width="98.5703125" style="2087" customWidth="1"/>
    <col min="6663" max="6911" width="8" style="2087"/>
    <col min="6912" max="6912" width="29.85546875" style="2087" customWidth="1"/>
    <col min="6913" max="6913" width="15.5703125" style="2087" customWidth="1"/>
    <col min="6914" max="6914" width="17.140625" style="2087" customWidth="1"/>
    <col min="6915" max="6915" width="17.28515625" style="2087" customWidth="1"/>
    <col min="6916" max="6916" width="19.28515625" style="2087" customWidth="1"/>
    <col min="6917" max="6917" width="0" style="2087" hidden="1" customWidth="1"/>
    <col min="6918" max="6918" width="98.5703125" style="2087" customWidth="1"/>
    <col min="6919" max="7167" width="8" style="2087"/>
    <col min="7168" max="7168" width="29.85546875" style="2087" customWidth="1"/>
    <col min="7169" max="7169" width="15.5703125" style="2087" customWidth="1"/>
    <col min="7170" max="7170" width="17.140625" style="2087" customWidth="1"/>
    <col min="7171" max="7171" width="17.28515625" style="2087" customWidth="1"/>
    <col min="7172" max="7172" width="19.28515625" style="2087" customWidth="1"/>
    <col min="7173" max="7173" width="0" style="2087" hidden="1" customWidth="1"/>
    <col min="7174" max="7174" width="98.5703125" style="2087" customWidth="1"/>
    <col min="7175" max="7423" width="8" style="2087"/>
    <col min="7424" max="7424" width="29.85546875" style="2087" customWidth="1"/>
    <col min="7425" max="7425" width="15.5703125" style="2087" customWidth="1"/>
    <col min="7426" max="7426" width="17.140625" style="2087" customWidth="1"/>
    <col min="7427" max="7427" width="17.28515625" style="2087" customWidth="1"/>
    <col min="7428" max="7428" width="19.28515625" style="2087" customWidth="1"/>
    <col min="7429" max="7429" width="0" style="2087" hidden="1" customWidth="1"/>
    <col min="7430" max="7430" width="98.5703125" style="2087" customWidth="1"/>
    <col min="7431" max="7679" width="8" style="2087"/>
    <col min="7680" max="7680" width="29.85546875" style="2087" customWidth="1"/>
    <col min="7681" max="7681" width="15.5703125" style="2087" customWidth="1"/>
    <col min="7682" max="7682" width="17.140625" style="2087" customWidth="1"/>
    <col min="7683" max="7683" width="17.28515625" style="2087" customWidth="1"/>
    <col min="7684" max="7684" width="19.28515625" style="2087" customWidth="1"/>
    <col min="7685" max="7685" width="0" style="2087" hidden="1" customWidth="1"/>
    <col min="7686" max="7686" width="98.5703125" style="2087" customWidth="1"/>
    <col min="7687" max="7935" width="8" style="2087"/>
    <col min="7936" max="7936" width="29.85546875" style="2087" customWidth="1"/>
    <col min="7937" max="7937" width="15.5703125" style="2087" customWidth="1"/>
    <col min="7938" max="7938" width="17.140625" style="2087" customWidth="1"/>
    <col min="7939" max="7939" width="17.28515625" style="2087" customWidth="1"/>
    <col min="7940" max="7940" width="19.28515625" style="2087" customWidth="1"/>
    <col min="7941" max="7941" width="0" style="2087" hidden="1" customWidth="1"/>
    <col min="7942" max="7942" width="98.5703125" style="2087" customWidth="1"/>
    <col min="7943" max="8191" width="8" style="2087"/>
    <col min="8192" max="8192" width="29.85546875" style="2087" customWidth="1"/>
    <col min="8193" max="8193" width="15.5703125" style="2087" customWidth="1"/>
    <col min="8194" max="8194" width="17.140625" style="2087" customWidth="1"/>
    <col min="8195" max="8195" width="17.28515625" style="2087" customWidth="1"/>
    <col min="8196" max="8196" width="19.28515625" style="2087" customWidth="1"/>
    <col min="8197" max="8197" width="0" style="2087" hidden="1" customWidth="1"/>
    <col min="8198" max="8198" width="98.5703125" style="2087" customWidth="1"/>
    <col min="8199" max="8447" width="8" style="2087"/>
    <col min="8448" max="8448" width="29.85546875" style="2087" customWidth="1"/>
    <col min="8449" max="8449" width="15.5703125" style="2087" customWidth="1"/>
    <col min="8450" max="8450" width="17.140625" style="2087" customWidth="1"/>
    <col min="8451" max="8451" width="17.28515625" style="2087" customWidth="1"/>
    <col min="8452" max="8452" width="19.28515625" style="2087" customWidth="1"/>
    <col min="8453" max="8453" width="0" style="2087" hidden="1" customWidth="1"/>
    <col min="8454" max="8454" width="98.5703125" style="2087" customWidth="1"/>
    <col min="8455" max="8703" width="8" style="2087"/>
    <col min="8704" max="8704" width="29.85546875" style="2087" customWidth="1"/>
    <col min="8705" max="8705" width="15.5703125" style="2087" customWidth="1"/>
    <col min="8706" max="8706" width="17.140625" style="2087" customWidth="1"/>
    <col min="8707" max="8707" width="17.28515625" style="2087" customWidth="1"/>
    <col min="8708" max="8708" width="19.28515625" style="2087" customWidth="1"/>
    <col min="8709" max="8709" width="0" style="2087" hidden="1" customWidth="1"/>
    <col min="8710" max="8710" width="98.5703125" style="2087" customWidth="1"/>
    <col min="8711" max="8959" width="8" style="2087"/>
    <col min="8960" max="8960" width="29.85546875" style="2087" customWidth="1"/>
    <col min="8961" max="8961" width="15.5703125" style="2087" customWidth="1"/>
    <col min="8962" max="8962" width="17.140625" style="2087" customWidth="1"/>
    <col min="8963" max="8963" width="17.28515625" style="2087" customWidth="1"/>
    <col min="8964" max="8964" width="19.28515625" style="2087" customWidth="1"/>
    <col min="8965" max="8965" width="0" style="2087" hidden="1" customWidth="1"/>
    <col min="8966" max="8966" width="98.5703125" style="2087" customWidth="1"/>
    <col min="8967" max="9215" width="8" style="2087"/>
    <col min="9216" max="9216" width="29.85546875" style="2087" customWidth="1"/>
    <col min="9217" max="9217" width="15.5703125" style="2087" customWidth="1"/>
    <col min="9218" max="9218" width="17.140625" style="2087" customWidth="1"/>
    <col min="9219" max="9219" width="17.28515625" style="2087" customWidth="1"/>
    <col min="9220" max="9220" width="19.28515625" style="2087" customWidth="1"/>
    <col min="9221" max="9221" width="0" style="2087" hidden="1" customWidth="1"/>
    <col min="9222" max="9222" width="98.5703125" style="2087" customWidth="1"/>
    <col min="9223" max="9471" width="8" style="2087"/>
    <col min="9472" max="9472" width="29.85546875" style="2087" customWidth="1"/>
    <col min="9473" max="9473" width="15.5703125" style="2087" customWidth="1"/>
    <col min="9474" max="9474" width="17.140625" style="2087" customWidth="1"/>
    <col min="9475" max="9475" width="17.28515625" style="2087" customWidth="1"/>
    <col min="9476" max="9476" width="19.28515625" style="2087" customWidth="1"/>
    <col min="9477" max="9477" width="0" style="2087" hidden="1" customWidth="1"/>
    <col min="9478" max="9478" width="98.5703125" style="2087" customWidth="1"/>
    <col min="9479" max="9727" width="8" style="2087"/>
    <col min="9728" max="9728" width="29.85546875" style="2087" customWidth="1"/>
    <col min="9729" max="9729" width="15.5703125" style="2087" customWidth="1"/>
    <col min="9730" max="9730" width="17.140625" style="2087" customWidth="1"/>
    <col min="9731" max="9731" width="17.28515625" style="2087" customWidth="1"/>
    <col min="9732" max="9732" width="19.28515625" style="2087" customWidth="1"/>
    <col min="9733" max="9733" width="0" style="2087" hidden="1" customWidth="1"/>
    <col min="9734" max="9734" width="98.5703125" style="2087" customWidth="1"/>
    <col min="9735" max="9983" width="8" style="2087"/>
    <col min="9984" max="9984" width="29.85546875" style="2087" customWidth="1"/>
    <col min="9985" max="9985" width="15.5703125" style="2087" customWidth="1"/>
    <col min="9986" max="9986" width="17.140625" style="2087" customWidth="1"/>
    <col min="9987" max="9987" width="17.28515625" style="2087" customWidth="1"/>
    <col min="9988" max="9988" width="19.28515625" style="2087" customWidth="1"/>
    <col min="9989" max="9989" width="0" style="2087" hidden="1" customWidth="1"/>
    <col min="9990" max="9990" width="98.5703125" style="2087" customWidth="1"/>
    <col min="9991" max="10239" width="8" style="2087"/>
    <col min="10240" max="10240" width="29.85546875" style="2087" customWidth="1"/>
    <col min="10241" max="10241" width="15.5703125" style="2087" customWidth="1"/>
    <col min="10242" max="10242" width="17.140625" style="2087" customWidth="1"/>
    <col min="10243" max="10243" width="17.28515625" style="2087" customWidth="1"/>
    <col min="10244" max="10244" width="19.28515625" style="2087" customWidth="1"/>
    <col min="10245" max="10245" width="0" style="2087" hidden="1" customWidth="1"/>
    <col min="10246" max="10246" width="98.5703125" style="2087" customWidth="1"/>
    <col min="10247" max="10495" width="8" style="2087"/>
    <col min="10496" max="10496" width="29.85546875" style="2087" customWidth="1"/>
    <col min="10497" max="10497" width="15.5703125" style="2087" customWidth="1"/>
    <col min="10498" max="10498" width="17.140625" style="2087" customWidth="1"/>
    <col min="10499" max="10499" width="17.28515625" style="2087" customWidth="1"/>
    <col min="10500" max="10500" width="19.28515625" style="2087" customWidth="1"/>
    <col min="10501" max="10501" width="0" style="2087" hidden="1" customWidth="1"/>
    <col min="10502" max="10502" width="98.5703125" style="2087" customWidth="1"/>
    <col min="10503" max="10751" width="8" style="2087"/>
    <col min="10752" max="10752" width="29.85546875" style="2087" customWidth="1"/>
    <col min="10753" max="10753" width="15.5703125" style="2087" customWidth="1"/>
    <col min="10754" max="10754" width="17.140625" style="2087" customWidth="1"/>
    <col min="10755" max="10755" width="17.28515625" style="2087" customWidth="1"/>
    <col min="10756" max="10756" width="19.28515625" style="2087" customWidth="1"/>
    <col min="10757" max="10757" width="0" style="2087" hidden="1" customWidth="1"/>
    <col min="10758" max="10758" width="98.5703125" style="2087" customWidth="1"/>
    <col min="10759" max="11007" width="8" style="2087"/>
    <col min="11008" max="11008" width="29.85546875" style="2087" customWidth="1"/>
    <col min="11009" max="11009" width="15.5703125" style="2087" customWidth="1"/>
    <col min="11010" max="11010" width="17.140625" style="2087" customWidth="1"/>
    <col min="11011" max="11011" width="17.28515625" style="2087" customWidth="1"/>
    <col min="11012" max="11012" width="19.28515625" style="2087" customWidth="1"/>
    <col min="11013" max="11013" width="0" style="2087" hidden="1" customWidth="1"/>
    <col min="11014" max="11014" width="98.5703125" style="2087" customWidth="1"/>
    <col min="11015" max="11263" width="8" style="2087"/>
    <col min="11264" max="11264" width="29.85546875" style="2087" customWidth="1"/>
    <col min="11265" max="11265" width="15.5703125" style="2087" customWidth="1"/>
    <col min="11266" max="11266" width="17.140625" style="2087" customWidth="1"/>
    <col min="11267" max="11267" width="17.28515625" style="2087" customWidth="1"/>
    <col min="11268" max="11268" width="19.28515625" style="2087" customWidth="1"/>
    <col min="11269" max="11269" width="0" style="2087" hidden="1" customWidth="1"/>
    <col min="11270" max="11270" width="98.5703125" style="2087" customWidth="1"/>
    <col min="11271" max="11519" width="8" style="2087"/>
    <col min="11520" max="11520" width="29.85546875" style="2087" customWidth="1"/>
    <col min="11521" max="11521" width="15.5703125" style="2087" customWidth="1"/>
    <col min="11522" max="11522" width="17.140625" style="2087" customWidth="1"/>
    <col min="11523" max="11523" width="17.28515625" style="2087" customWidth="1"/>
    <col min="11524" max="11524" width="19.28515625" style="2087" customWidth="1"/>
    <col min="11525" max="11525" width="0" style="2087" hidden="1" customWidth="1"/>
    <col min="11526" max="11526" width="98.5703125" style="2087" customWidth="1"/>
    <col min="11527" max="11775" width="8" style="2087"/>
    <col min="11776" max="11776" width="29.85546875" style="2087" customWidth="1"/>
    <col min="11777" max="11777" width="15.5703125" style="2087" customWidth="1"/>
    <col min="11778" max="11778" width="17.140625" style="2087" customWidth="1"/>
    <col min="11779" max="11779" width="17.28515625" style="2087" customWidth="1"/>
    <col min="11780" max="11780" width="19.28515625" style="2087" customWidth="1"/>
    <col min="11781" max="11781" width="0" style="2087" hidden="1" customWidth="1"/>
    <col min="11782" max="11782" width="98.5703125" style="2087" customWidth="1"/>
    <col min="11783" max="12031" width="8" style="2087"/>
    <col min="12032" max="12032" width="29.85546875" style="2087" customWidth="1"/>
    <col min="12033" max="12033" width="15.5703125" style="2087" customWidth="1"/>
    <col min="12034" max="12034" width="17.140625" style="2087" customWidth="1"/>
    <col min="12035" max="12035" width="17.28515625" style="2087" customWidth="1"/>
    <col min="12036" max="12036" width="19.28515625" style="2087" customWidth="1"/>
    <col min="12037" max="12037" width="0" style="2087" hidden="1" customWidth="1"/>
    <col min="12038" max="12038" width="98.5703125" style="2087" customWidth="1"/>
    <col min="12039" max="12287" width="8" style="2087"/>
    <col min="12288" max="12288" width="29.85546875" style="2087" customWidth="1"/>
    <col min="12289" max="12289" width="15.5703125" style="2087" customWidth="1"/>
    <col min="12290" max="12290" width="17.140625" style="2087" customWidth="1"/>
    <col min="12291" max="12291" width="17.28515625" style="2087" customWidth="1"/>
    <col min="12292" max="12292" width="19.28515625" style="2087" customWidth="1"/>
    <col min="12293" max="12293" width="0" style="2087" hidden="1" customWidth="1"/>
    <col min="12294" max="12294" width="98.5703125" style="2087" customWidth="1"/>
    <col min="12295" max="12543" width="8" style="2087"/>
    <col min="12544" max="12544" width="29.85546875" style="2087" customWidth="1"/>
    <col min="12545" max="12545" width="15.5703125" style="2087" customWidth="1"/>
    <col min="12546" max="12546" width="17.140625" style="2087" customWidth="1"/>
    <col min="12547" max="12547" width="17.28515625" style="2087" customWidth="1"/>
    <col min="12548" max="12548" width="19.28515625" style="2087" customWidth="1"/>
    <col min="12549" max="12549" width="0" style="2087" hidden="1" customWidth="1"/>
    <col min="12550" max="12550" width="98.5703125" style="2087" customWidth="1"/>
    <col min="12551" max="12799" width="8" style="2087"/>
    <col min="12800" max="12800" width="29.85546875" style="2087" customWidth="1"/>
    <col min="12801" max="12801" width="15.5703125" style="2087" customWidth="1"/>
    <col min="12802" max="12802" width="17.140625" style="2087" customWidth="1"/>
    <col min="12803" max="12803" width="17.28515625" style="2087" customWidth="1"/>
    <col min="12804" max="12804" width="19.28515625" style="2087" customWidth="1"/>
    <col min="12805" max="12805" width="0" style="2087" hidden="1" customWidth="1"/>
    <col min="12806" max="12806" width="98.5703125" style="2087" customWidth="1"/>
    <col min="12807" max="13055" width="8" style="2087"/>
    <col min="13056" max="13056" width="29.85546875" style="2087" customWidth="1"/>
    <col min="13057" max="13057" width="15.5703125" style="2087" customWidth="1"/>
    <col min="13058" max="13058" width="17.140625" style="2087" customWidth="1"/>
    <col min="13059" max="13059" width="17.28515625" style="2087" customWidth="1"/>
    <col min="13060" max="13060" width="19.28515625" style="2087" customWidth="1"/>
    <col min="13061" max="13061" width="0" style="2087" hidden="1" customWidth="1"/>
    <col min="13062" max="13062" width="98.5703125" style="2087" customWidth="1"/>
    <col min="13063" max="13311" width="8" style="2087"/>
    <col min="13312" max="13312" width="29.85546875" style="2087" customWidth="1"/>
    <col min="13313" max="13313" width="15.5703125" style="2087" customWidth="1"/>
    <col min="13314" max="13314" width="17.140625" style="2087" customWidth="1"/>
    <col min="13315" max="13315" width="17.28515625" style="2087" customWidth="1"/>
    <col min="13316" max="13316" width="19.28515625" style="2087" customWidth="1"/>
    <col min="13317" max="13317" width="0" style="2087" hidden="1" customWidth="1"/>
    <col min="13318" max="13318" width="98.5703125" style="2087" customWidth="1"/>
    <col min="13319" max="13567" width="8" style="2087"/>
    <col min="13568" max="13568" width="29.85546875" style="2087" customWidth="1"/>
    <col min="13569" max="13569" width="15.5703125" style="2087" customWidth="1"/>
    <col min="13570" max="13570" width="17.140625" style="2087" customWidth="1"/>
    <col min="13571" max="13571" width="17.28515625" style="2087" customWidth="1"/>
    <col min="13572" max="13572" width="19.28515625" style="2087" customWidth="1"/>
    <col min="13573" max="13573" width="0" style="2087" hidden="1" customWidth="1"/>
    <col min="13574" max="13574" width="98.5703125" style="2087" customWidth="1"/>
    <col min="13575" max="13823" width="8" style="2087"/>
    <col min="13824" max="13824" width="29.85546875" style="2087" customWidth="1"/>
    <col min="13825" max="13825" width="15.5703125" style="2087" customWidth="1"/>
    <col min="13826" max="13826" width="17.140625" style="2087" customWidth="1"/>
    <col min="13827" max="13827" width="17.28515625" style="2087" customWidth="1"/>
    <col min="13828" max="13828" width="19.28515625" style="2087" customWidth="1"/>
    <col min="13829" max="13829" width="0" style="2087" hidden="1" customWidth="1"/>
    <col min="13830" max="13830" width="98.5703125" style="2087" customWidth="1"/>
    <col min="13831" max="14079" width="8" style="2087"/>
    <col min="14080" max="14080" width="29.85546875" style="2087" customWidth="1"/>
    <col min="14081" max="14081" width="15.5703125" style="2087" customWidth="1"/>
    <col min="14082" max="14082" width="17.140625" style="2087" customWidth="1"/>
    <col min="14083" max="14083" width="17.28515625" style="2087" customWidth="1"/>
    <col min="14084" max="14084" width="19.28515625" style="2087" customWidth="1"/>
    <col min="14085" max="14085" width="0" style="2087" hidden="1" customWidth="1"/>
    <col min="14086" max="14086" width="98.5703125" style="2087" customWidth="1"/>
    <col min="14087" max="14335" width="8" style="2087"/>
    <col min="14336" max="14336" width="29.85546875" style="2087" customWidth="1"/>
    <col min="14337" max="14337" width="15.5703125" style="2087" customWidth="1"/>
    <col min="14338" max="14338" width="17.140625" style="2087" customWidth="1"/>
    <col min="14339" max="14339" width="17.28515625" style="2087" customWidth="1"/>
    <col min="14340" max="14340" width="19.28515625" style="2087" customWidth="1"/>
    <col min="14341" max="14341" width="0" style="2087" hidden="1" customWidth="1"/>
    <col min="14342" max="14342" width="98.5703125" style="2087" customWidth="1"/>
    <col min="14343" max="14591" width="8" style="2087"/>
    <col min="14592" max="14592" width="29.85546875" style="2087" customWidth="1"/>
    <col min="14593" max="14593" width="15.5703125" style="2087" customWidth="1"/>
    <col min="14594" max="14594" width="17.140625" style="2087" customWidth="1"/>
    <col min="14595" max="14595" width="17.28515625" style="2087" customWidth="1"/>
    <col min="14596" max="14596" width="19.28515625" style="2087" customWidth="1"/>
    <col min="14597" max="14597" width="0" style="2087" hidden="1" customWidth="1"/>
    <col min="14598" max="14598" width="98.5703125" style="2087" customWidth="1"/>
    <col min="14599" max="14847" width="8" style="2087"/>
    <col min="14848" max="14848" width="29.85546875" style="2087" customWidth="1"/>
    <col min="14849" max="14849" width="15.5703125" style="2087" customWidth="1"/>
    <col min="14850" max="14850" width="17.140625" style="2087" customWidth="1"/>
    <col min="14851" max="14851" width="17.28515625" style="2087" customWidth="1"/>
    <col min="14852" max="14852" width="19.28515625" style="2087" customWidth="1"/>
    <col min="14853" max="14853" width="0" style="2087" hidden="1" customWidth="1"/>
    <col min="14854" max="14854" width="98.5703125" style="2087" customWidth="1"/>
    <col min="14855" max="15103" width="8" style="2087"/>
    <col min="15104" max="15104" width="29.85546875" style="2087" customWidth="1"/>
    <col min="15105" max="15105" width="15.5703125" style="2087" customWidth="1"/>
    <col min="15106" max="15106" width="17.140625" style="2087" customWidth="1"/>
    <col min="15107" max="15107" width="17.28515625" style="2087" customWidth="1"/>
    <col min="15108" max="15108" width="19.28515625" style="2087" customWidth="1"/>
    <col min="15109" max="15109" width="0" style="2087" hidden="1" customWidth="1"/>
    <col min="15110" max="15110" width="98.5703125" style="2087" customWidth="1"/>
    <col min="15111" max="15359" width="8" style="2087"/>
    <col min="15360" max="15360" width="29.85546875" style="2087" customWidth="1"/>
    <col min="15361" max="15361" width="15.5703125" style="2087" customWidth="1"/>
    <col min="15362" max="15362" width="17.140625" style="2087" customWidth="1"/>
    <col min="15363" max="15363" width="17.28515625" style="2087" customWidth="1"/>
    <col min="15364" max="15364" width="19.28515625" style="2087" customWidth="1"/>
    <col min="15365" max="15365" width="0" style="2087" hidden="1" customWidth="1"/>
    <col min="15366" max="15366" width="98.5703125" style="2087" customWidth="1"/>
    <col min="15367" max="15615" width="8" style="2087"/>
    <col min="15616" max="15616" width="29.85546875" style="2087" customWidth="1"/>
    <col min="15617" max="15617" width="15.5703125" style="2087" customWidth="1"/>
    <col min="15618" max="15618" width="17.140625" style="2087" customWidth="1"/>
    <col min="15619" max="15619" width="17.28515625" style="2087" customWidth="1"/>
    <col min="15620" max="15620" width="19.28515625" style="2087" customWidth="1"/>
    <col min="15621" max="15621" width="0" style="2087" hidden="1" customWidth="1"/>
    <col min="15622" max="15622" width="98.5703125" style="2087" customWidth="1"/>
    <col min="15623" max="15871" width="8" style="2087"/>
    <col min="15872" max="15872" width="29.85546875" style="2087" customWidth="1"/>
    <col min="15873" max="15873" width="15.5703125" style="2087" customWidth="1"/>
    <col min="15874" max="15874" width="17.140625" style="2087" customWidth="1"/>
    <col min="15875" max="15875" width="17.28515625" style="2087" customWidth="1"/>
    <col min="15876" max="15876" width="19.28515625" style="2087" customWidth="1"/>
    <col min="15877" max="15877" width="0" style="2087" hidden="1" customWidth="1"/>
    <col min="15878" max="15878" width="98.5703125" style="2087" customWidth="1"/>
    <col min="15879" max="16127" width="8" style="2087"/>
    <col min="16128" max="16128" width="29.85546875" style="2087" customWidth="1"/>
    <col min="16129" max="16129" width="15.5703125" style="2087" customWidth="1"/>
    <col min="16130" max="16130" width="17.140625" style="2087" customWidth="1"/>
    <col min="16131" max="16131" width="17.28515625" style="2087" customWidth="1"/>
    <col min="16132" max="16132" width="19.28515625" style="2087" customWidth="1"/>
    <col min="16133" max="16133" width="0" style="2087" hidden="1" customWidth="1"/>
    <col min="16134" max="16134" width="98.5703125" style="2087" customWidth="1"/>
    <col min="16135" max="16384" width="8" style="2087"/>
  </cols>
  <sheetData>
    <row r="2" spans="1:18" x14ac:dyDescent="0.15">
      <c r="A2" s="3234" t="s">
        <v>2763</v>
      </c>
      <c r="B2" s="2803"/>
      <c r="C2" s="2803"/>
      <c r="D2" s="2803"/>
      <c r="E2" s="2803"/>
    </row>
    <row r="3" spans="1:18" ht="12" customHeight="1" x14ac:dyDescent="0.15">
      <c r="A3" s="3163"/>
      <c r="B3" s="2315"/>
      <c r="C3" s="2315"/>
      <c r="D3" s="2315"/>
      <c r="E3" s="2315"/>
    </row>
    <row r="4" spans="1:18" x14ac:dyDescent="0.15">
      <c r="A4" s="3235" t="s">
        <v>1</v>
      </c>
      <c r="B4" s="3235" t="s">
        <v>1472</v>
      </c>
      <c r="C4" s="3237" t="s">
        <v>2334</v>
      </c>
      <c r="D4" s="3238"/>
      <c r="E4" s="3239"/>
    </row>
    <row r="5" spans="1:18" ht="31.5" x14ac:dyDescent="0.15">
      <c r="A5" s="3236"/>
      <c r="B5" s="3236"/>
      <c r="C5" s="1332" t="s">
        <v>2764</v>
      </c>
      <c r="D5" s="1333" t="s">
        <v>2335</v>
      </c>
      <c r="E5" s="1333" t="s">
        <v>2336</v>
      </c>
    </row>
    <row r="6" spans="1:18" x14ac:dyDescent="0.15">
      <c r="A6" s="1334" t="s">
        <v>141</v>
      </c>
      <c r="B6" s="477">
        <f>SUM(B7:B21)</f>
        <v>2596</v>
      </c>
      <c r="C6" s="477">
        <f>SUM(C7:C21)</f>
        <v>281117</v>
      </c>
      <c r="D6" s="477">
        <f>SUM(D7:D21)</f>
        <v>40423</v>
      </c>
      <c r="E6" s="477">
        <f>SUM(E7:E21)</f>
        <v>240694</v>
      </c>
    </row>
    <row r="7" spans="1:18" x14ac:dyDescent="0.15">
      <c r="A7" s="2114" t="s">
        <v>5</v>
      </c>
      <c r="B7" s="478">
        <v>26</v>
      </c>
      <c r="C7" s="477">
        <f>SUM(D7:E7)</f>
        <v>5750</v>
      </c>
      <c r="D7" s="478">
        <v>0</v>
      </c>
      <c r="E7" s="478">
        <v>5750</v>
      </c>
    </row>
    <row r="8" spans="1:18" x14ac:dyDescent="0.15">
      <c r="A8" s="2114" t="s">
        <v>6</v>
      </c>
      <c r="B8" s="478">
        <v>18</v>
      </c>
      <c r="C8" s="477">
        <f t="shared" ref="C8:C21" si="0">SUM(D8:E8)</f>
        <v>2600</v>
      </c>
      <c r="D8" s="478">
        <v>0</v>
      </c>
      <c r="E8" s="478">
        <v>2600</v>
      </c>
      <c r="I8" s="2115"/>
      <c r="J8" s="2115"/>
      <c r="K8" s="2115"/>
      <c r="L8" s="2115"/>
      <c r="M8" s="2115"/>
      <c r="N8" s="2115"/>
      <c r="O8" s="2115"/>
      <c r="P8" s="2115"/>
      <c r="Q8" s="2115"/>
      <c r="R8" s="2115"/>
    </row>
    <row r="9" spans="1:18" x14ac:dyDescent="0.15">
      <c r="A9" s="2114" t="s">
        <v>1501</v>
      </c>
      <c r="B9" s="478">
        <v>64</v>
      </c>
      <c r="C9" s="477">
        <f t="shared" si="0"/>
        <v>2060</v>
      </c>
      <c r="D9" s="478">
        <v>0</v>
      </c>
      <c r="E9" s="478">
        <v>2060</v>
      </c>
      <c r="I9" s="2115"/>
      <c r="J9" s="2115"/>
      <c r="K9" s="2115"/>
      <c r="L9" s="2115"/>
      <c r="M9" s="2115"/>
      <c r="N9" s="2115"/>
      <c r="O9" s="2115"/>
      <c r="P9" s="2115"/>
      <c r="Q9" s="2115"/>
      <c r="R9" s="2115"/>
    </row>
    <row r="10" spans="1:18" x14ac:dyDescent="0.15">
      <c r="A10" s="2114" t="s">
        <v>1502</v>
      </c>
      <c r="B10" s="478">
        <v>135</v>
      </c>
      <c r="C10" s="477">
        <f t="shared" si="0"/>
        <v>18070</v>
      </c>
      <c r="D10" s="478">
        <v>0</v>
      </c>
      <c r="E10" s="478">
        <v>18070</v>
      </c>
      <c r="I10" s="2115"/>
      <c r="J10" s="2115"/>
      <c r="K10" s="2115"/>
      <c r="L10" s="2115"/>
      <c r="M10" s="2115"/>
      <c r="N10" s="2115"/>
      <c r="O10" s="2115"/>
      <c r="P10" s="2115"/>
      <c r="Q10" s="2115"/>
      <c r="R10" s="2115"/>
    </row>
    <row r="11" spans="1:18" x14ac:dyDescent="0.15">
      <c r="A11" s="2114" t="s">
        <v>1503</v>
      </c>
      <c r="B11" s="478">
        <v>52</v>
      </c>
      <c r="C11" s="477">
        <f t="shared" si="0"/>
        <v>7858</v>
      </c>
      <c r="D11" s="478">
        <v>880</v>
      </c>
      <c r="E11" s="478">
        <v>6978</v>
      </c>
      <c r="I11" s="2115"/>
      <c r="J11" s="2115"/>
      <c r="K11" s="2115"/>
      <c r="L11" s="2115"/>
      <c r="M11" s="2115"/>
      <c r="N11" s="2115"/>
      <c r="O11" s="2115"/>
      <c r="P11" s="2115"/>
      <c r="Q11" s="2115"/>
      <c r="R11" s="2115"/>
    </row>
    <row r="12" spans="1:18" x14ac:dyDescent="0.15">
      <c r="A12" s="2114" t="s">
        <v>1504</v>
      </c>
      <c r="B12" s="478">
        <v>214</v>
      </c>
      <c r="C12" s="477">
        <f t="shared" si="0"/>
        <v>26161</v>
      </c>
      <c r="D12" s="478">
        <v>4085</v>
      </c>
      <c r="E12" s="478">
        <v>22076</v>
      </c>
      <c r="I12" s="2115"/>
      <c r="J12" s="2115"/>
      <c r="K12" s="2115"/>
      <c r="L12" s="2115"/>
      <c r="M12" s="2115"/>
      <c r="N12" s="2115"/>
      <c r="O12" s="2115"/>
      <c r="P12" s="2115"/>
      <c r="Q12" s="2115"/>
      <c r="R12" s="2115"/>
    </row>
    <row r="13" spans="1:18" x14ac:dyDescent="0.15">
      <c r="A13" s="2114" t="s">
        <v>11</v>
      </c>
      <c r="B13" s="478">
        <v>875</v>
      </c>
      <c r="C13" s="477">
        <f t="shared" si="0"/>
        <v>60976</v>
      </c>
      <c r="D13" s="478">
        <v>4372</v>
      </c>
      <c r="E13" s="478">
        <v>56604</v>
      </c>
      <c r="I13" s="2115"/>
      <c r="J13" s="2115"/>
      <c r="K13" s="2115"/>
      <c r="L13" s="2115"/>
      <c r="M13" s="2115"/>
      <c r="N13" s="2115"/>
      <c r="O13" s="2115"/>
      <c r="P13" s="2115"/>
      <c r="Q13" s="2115"/>
      <c r="R13" s="2115"/>
    </row>
    <row r="14" spans="1:18" x14ac:dyDescent="0.15">
      <c r="A14" s="2114" t="s">
        <v>12</v>
      </c>
      <c r="B14" s="478">
        <v>88</v>
      </c>
      <c r="C14" s="477">
        <f t="shared" si="0"/>
        <v>22135</v>
      </c>
      <c r="D14" s="478">
        <v>967</v>
      </c>
      <c r="E14" s="478">
        <v>21168</v>
      </c>
      <c r="F14" s="2115"/>
      <c r="G14" s="2115"/>
      <c r="H14" s="2115"/>
      <c r="I14" s="2115"/>
      <c r="J14" s="2115"/>
      <c r="K14" s="2115"/>
      <c r="L14" s="2115"/>
      <c r="M14" s="2115"/>
      <c r="N14" s="2115"/>
      <c r="O14" s="2115"/>
      <c r="P14" s="2115"/>
      <c r="Q14" s="2115"/>
      <c r="R14" s="2115"/>
    </row>
    <row r="15" spans="1:18" x14ac:dyDescent="0.15">
      <c r="A15" s="2114" t="s">
        <v>13</v>
      </c>
      <c r="B15" s="478">
        <v>191</v>
      </c>
      <c r="C15" s="477">
        <f t="shared" si="0"/>
        <v>45855</v>
      </c>
      <c r="D15" s="478">
        <v>884</v>
      </c>
      <c r="E15" s="478">
        <v>44971</v>
      </c>
      <c r="F15" s="2115"/>
      <c r="G15" s="2115"/>
      <c r="H15" s="2115"/>
      <c r="I15" s="2115"/>
      <c r="J15" s="2115"/>
      <c r="K15" s="2115"/>
      <c r="L15" s="2115"/>
      <c r="M15" s="2115"/>
      <c r="N15" s="2115"/>
      <c r="O15" s="2115"/>
      <c r="P15" s="2115"/>
      <c r="Q15" s="2115"/>
      <c r="R15" s="2115"/>
    </row>
    <row r="16" spans="1:18" x14ac:dyDescent="0.15">
      <c r="A16" s="2114" t="s">
        <v>14</v>
      </c>
      <c r="B16" s="478">
        <v>302</v>
      </c>
      <c r="C16" s="477">
        <f t="shared" si="0"/>
        <v>38277</v>
      </c>
      <c r="D16" s="478">
        <v>22503</v>
      </c>
      <c r="E16" s="478">
        <v>15774</v>
      </c>
      <c r="F16" s="2115"/>
      <c r="G16" s="2115"/>
      <c r="H16" s="2115"/>
      <c r="I16" s="2115"/>
      <c r="J16" s="2115"/>
      <c r="K16" s="2115"/>
      <c r="L16" s="2115"/>
      <c r="M16" s="2115"/>
      <c r="N16" s="2115"/>
      <c r="O16" s="2115"/>
      <c r="P16" s="2115"/>
      <c r="Q16" s="2115"/>
      <c r="R16" s="2115"/>
    </row>
    <row r="17" spans="1:18" x14ac:dyDescent="0.15">
      <c r="A17" s="2114" t="s">
        <v>15</v>
      </c>
      <c r="B17" s="478">
        <v>229</v>
      </c>
      <c r="C17" s="477">
        <f t="shared" si="0"/>
        <v>14566</v>
      </c>
      <c r="D17" s="478">
        <v>300</v>
      </c>
      <c r="E17" s="478">
        <v>14266</v>
      </c>
      <c r="F17" s="2115"/>
      <c r="G17" s="2115"/>
      <c r="H17" s="2115"/>
      <c r="I17" s="2115"/>
      <c r="J17" s="2115"/>
      <c r="K17" s="2115"/>
      <c r="L17" s="2115"/>
      <c r="M17" s="2115"/>
      <c r="N17" s="2115"/>
      <c r="O17" s="2115"/>
      <c r="P17" s="2115"/>
      <c r="Q17" s="2115"/>
      <c r="R17" s="2115"/>
    </row>
    <row r="18" spans="1:18" x14ac:dyDescent="0.15">
      <c r="A18" s="2114" t="s">
        <v>16</v>
      </c>
      <c r="B18" s="478">
        <v>115</v>
      </c>
      <c r="C18" s="477">
        <f t="shared" si="0"/>
        <v>21065</v>
      </c>
      <c r="D18" s="478">
        <v>5188</v>
      </c>
      <c r="E18" s="478">
        <v>15877</v>
      </c>
      <c r="F18" s="2115"/>
      <c r="G18" s="2115"/>
      <c r="H18" s="2115"/>
      <c r="I18" s="2115"/>
      <c r="J18" s="2115"/>
      <c r="K18" s="2115"/>
      <c r="L18" s="2115"/>
      <c r="M18" s="2115"/>
      <c r="N18" s="2115"/>
      <c r="O18" s="2115"/>
      <c r="P18" s="2115"/>
      <c r="Q18" s="2115"/>
      <c r="R18" s="2115"/>
    </row>
    <row r="19" spans="1:18" x14ac:dyDescent="0.15">
      <c r="A19" s="2114" t="s">
        <v>17</v>
      </c>
      <c r="B19" s="478">
        <v>160</v>
      </c>
      <c r="C19" s="477">
        <f t="shared" si="0"/>
        <v>6821</v>
      </c>
      <c r="D19" s="478">
        <v>193</v>
      </c>
      <c r="E19" s="478">
        <v>6628</v>
      </c>
      <c r="F19" s="2115"/>
      <c r="G19" s="2115"/>
      <c r="H19" s="2115"/>
      <c r="I19" s="2115"/>
      <c r="J19" s="2115"/>
      <c r="K19" s="2115"/>
      <c r="L19" s="2115"/>
      <c r="M19" s="2115"/>
      <c r="N19" s="2115"/>
      <c r="O19" s="2115"/>
      <c r="P19" s="2115"/>
      <c r="Q19" s="2115"/>
      <c r="R19" s="2115"/>
    </row>
    <row r="20" spans="1:18" x14ac:dyDescent="0.15">
      <c r="A20" s="2114" t="s">
        <v>18</v>
      </c>
      <c r="B20" s="478">
        <v>127</v>
      </c>
      <c r="C20" s="477">
        <f t="shared" si="0"/>
        <v>8923</v>
      </c>
      <c r="D20" s="478">
        <v>1051</v>
      </c>
      <c r="E20" s="478">
        <v>7872</v>
      </c>
      <c r="F20" s="2115"/>
      <c r="G20" s="2115"/>
      <c r="H20" s="2115"/>
      <c r="I20" s="2115"/>
      <c r="J20" s="2115"/>
      <c r="K20" s="2115"/>
      <c r="L20" s="2115"/>
      <c r="M20" s="2115"/>
      <c r="N20" s="2115"/>
      <c r="O20" s="2115"/>
      <c r="P20" s="2115"/>
      <c r="Q20" s="2115"/>
      <c r="R20" s="2115"/>
    </row>
    <row r="21" spans="1:18" x14ac:dyDescent="0.15">
      <c r="A21" s="2114" t="s">
        <v>19</v>
      </c>
      <c r="B21" s="478">
        <v>0</v>
      </c>
      <c r="C21" s="477">
        <f t="shared" si="0"/>
        <v>0</v>
      </c>
      <c r="D21" s="478">
        <v>0</v>
      </c>
      <c r="E21" s="478">
        <v>0</v>
      </c>
      <c r="F21" s="2115"/>
      <c r="G21" s="2115"/>
      <c r="H21" s="2115"/>
      <c r="I21" s="2115"/>
      <c r="J21" s="2115"/>
      <c r="K21" s="2115"/>
      <c r="L21" s="2115"/>
      <c r="M21" s="2115"/>
      <c r="N21" s="2115"/>
      <c r="O21" s="2115"/>
      <c r="P21" s="2115"/>
      <c r="Q21" s="2115"/>
      <c r="R21" s="2115"/>
    </row>
    <row r="22" spans="1:18" ht="11.25" customHeight="1" x14ac:dyDescent="0.15">
      <c r="A22" s="3174"/>
      <c r="B22" s="3175"/>
      <c r="C22" s="3175"/>
      <c r="D22" s="3175"/>
      <c r="E22" s="3175"/>
      <c r="F22" s="2115"/>
      <c r="G22" s="2115"/>
      <c r="H22" s="2115"/>
      <c r="I22" s="2115"/>
      <c r="J22" s="2115"/>
      <c r="K22" s="2115"/>
      <c r="L22" s="2115"/>
      <c r="M22" s="2115"/>
      <c r="N22" s="2115"/>
      <c r="O22" s="2115"/>
      <c r="P22" s="2115"/>
      <c r="Q22" s="2115"/>
      <c r="R22" s="2115"/>
    </row>
    <row r="23" spans="1:18" ht="35.85" customHeight="1" x14ac:dyDescent="0.15">
      <c r="A23" s="3176" t="s">
        <v>2765</v>
      </c>
      <c r="B23" s="3233"/>
      <c r="C23" s="3233"/>
      <c r="D23" s="3233"/>
      <c r="E23" s="3233"/>
      <c r="F23" s="2115"/>
      <c r="G23" s="2115"/>
      <c r="H23" s="2115"/>
      <c r="I23" s="2115"/>
      <c r="J23" s="2115"/>
      <c r="K23" s="2115"/>
      <c r="L23" s="2115"/>
      <c r="M23" s="2115"/>
      <c r="N23" s="2115"/>
      <c r="O23" s="2115"/>
      <c r="P23" s="2115"/>
      <c r="Q23" s="2115"/>
      <c r="R23" s="2115"/>
    </row>
    <row r="24" spans="1:18" ht="10.5" customHeight="1" x14ac:dyDescent="0.15">
      <c r="A24" s="3161" t="s">
        <v>1489</v>
      </c>
      <c r="B24" s="3161"/>
      <c r="C24" s="3161"/>
      <c r="D24" s="3161"/>
      <c r="E24" s="3161"/>
      <c r="F24" s="2198"/>
      <c r="G24" s="2198"/>
      <c r="H24" s="2198"/>
      <c r="I24" s="2198"/>
      <c r="J24" s="2198"/>
      <c r="K24" s="2198"/>
      <c r="L24" s="2198"/>
      <c r="M24" s="2198"/>
      <c r="N24" s="2115"/>
      <c r="O24" s="2115"/>
      <c r="P24" s="2115"/>
      <c r="Q24" s="2115"/>
      <c r="R24" s="2115"/>
    </row>
    <row r="25" spans="1:18" ht="10.5" customHeight="1" x14ac:dyDescent="0.15">
      <c r="A25" s="3161" t="s">
        <v>1747</v>
      </c>
      <c r="B25" s="3233"/>
      <c r="C25" s="3233"/>
      <c r="D25" s="3233"/>
      <c r="E25" s="3233"/>
      <c r="F25" s="2115"/>
      <c r="G25" s="2115"/>
      <c r="H25" s="2115"/>
      <c r="I25" s="2115"/>
      <c r="J25" s="2115"/>
      <c r="K25" s="2115"/>
      <c r="L25" s="2115"/>
      <c r="M25" s="2115"/>
      <c r="N25" s="2115"/>
      <c r="O25" s="2115"/>
      <c r="P25" s="2115"/>
      <c r="Q25" s="2115"/>
      <c r="R25" s="2115"/>
    </row>
    <row r="26" spans="1:18" ht="10.5" customHeight="1" x14ac:dyDescent="0.15">
      <c r="A26" s="3161" t="s">
        <v>1483</v>
      </c>
      <c r="B26" s="3233"/>
      <c r="C26" s="3233"/>
      <c r="D26" s="3233"/>
      <c r="E26" s="3233"/>
      <c r="F26" s="2115"/>
      <c r="G26" s="2115"/>
      <c r="H26" s="2115"/>
      <c r="I26" s="2115"/>
      <c r="J26" s="2115"/>
      <c r="K26" s="2115"/>
      <c r="L26" s="2115"/>
      <c r="M26" s="2115"/>
      <c r="N26" s="2115"/>
      <c r="O26" s="2115"/>
      <c r="P26" s="2115"/>
      <c r="Q26" s="2115"/>
      <c r="R26" s="2115"/>
    </row>
    <row r="27" spans="1:18" x14ac:dyDescent="0.15">
      <c r="A27" s="2115"/>
      <c r="B27" s="2115"/>
      <c r="C27" s="2115"/>
      <c r="D27" s="2115"/>
      <c r="E27" s="2115"/>
      <c r="F27" s="2115"/>
      <c r="G27" s="2115"/>
      <c r="H27" s="2115"/>
      <c r="I27" s="2115"/>
      <c r="J27" s="2115"/>
      <c r="K27" s="2115"/>
      <c r="L27" s="2115"/>
      <c r="M27" s="2115"/>
      <c r="N27" s="2115"/>
      <c r="O27" s="2115"/>
      <c r="P27" s="2115"/>
      <c r="Q27" s="2115"/>
      <c r="R27" s="2115"/>
    </row>
    <row r="28" spans="1:18" x14ac:dyDescent="0.15">
      <c r="A28" s="2115"/>
      <c r="B28" s="2115"/>
      <c r="C28" s="2115"/>
      <c r="D28" s="2115"/>
      <c r="E28" s="2115"/>
      <c r="I28" s="2115"/>
      <c r="J28" s="2115"/>
      <c r="K28" s="2115"/>
      <c r="L28" s="2115"/>
      <c r="M28" s="2115"/>
      <c r="N28" s="2115"/>
      <c r="O28" s="2115"/>
      <c r="P28" s="2115"/>
      <c r="Q28" s="2115"/>
      <c r="R28" s="2115"/>
    </row>
    <row r="29" spans="1:18" x14ac:dyDescent="0.15">
      <c r="A29" s="2115"/>
      <c r="B29" s="2115"/>
      <c r="C29" s="2115"/>
      <c r="D29" s="2115"/>
      <c r="E29" s="2115"/>
    </row>
    <row r="30" spans="1:18" x14ac:dyDescent="0.15">
      <c r="A30" s="2115"/>
      <c r="B30" s="2115"/>
      <c r="C30" s="2115"/>
      <c r="D30" s="2115"/>
      <c r="E30" s="2115"/>
    </row>
  </sheetData>
  <mergeCells count="10">
    <mergeCell ref="A23:E23"/>
    <mergeCell ref="A24:E24"/>
    <mergeCell ref="A25:E25"/>
    <mergeCell ref="A26:E26"/>
    <mergeCell ref="A2:E2"/>
    <mergeCell ref="A3:E3"/>
    <mergeCell ref="A4:A5"/>
    <mergeCell ref="B4:B5"/>
    <mergeCell ref="C4:E4"/>
    <mergeCell ref="A22:E2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E23"/>
  <sheetViews>
    <sheetView workbookViewId="0">
      <selection activeCell="H24" sqref="H24"/>
    </sheetView>
  </sheetViews>
  <sheetFormatPr baseColWidth="10" defaultRowHeight="10.5" x14ac:dyDescent="0.15"/>
  <cols>
    <col min="1" max="1" width="28.5703125" style="2140" customWidth="1"/>
    <col min="2" max="3" width="14.28515625" style="2140" customWidth="1"/>
    <col min="4" max="16384" width="11.42578125" style="2140"/>
  </cols>
  <sheetData>
    <row r="2" spans="1:3" ht="22.5" customHeight="1" x14ac:dyDescent="0.15">
      <c r="A2" s="3242" t="s">
        <v>5046</v>
      </c>
      <c r="B2" s="3242"/>
      <c r="C2" s="3242"/>
    </row>
    <row r="3" spans="1:3" ht="10.5" customHeight="1" x14ac:dyDescent="0.15"/>
    <row r="4" spans="1:3" s="296" customFormat="1" x14ac:dyDescent="0.15">
      <c r="A4" s="1335" t="s">
        <v>1</v>
      </c>
      <c r="B4" s="1335" t="s">
        <v>2766</v>
      </c>
      <c r="C4" s="1335" t="s">
        <v>2767</v>
      </c>
    </row>
    <row r="5" spans="1:3" x14ac:dyDescent="0.15">
      <c r="A5" s="1336" t="s">
        <v>141</v>
      </c>
      <c r="B5" s="1336">
        <f>SUM(B6:B19)</f>
        <v>386</v>
      </c>
      <c r="C5" s="1337">
        <f>SUM(C6:C19)</f>
        <v>79280</v>
      </c>
    </row>
    <row r="6" spans="1:3" x14ac:dyDescent="0.15">
      <c r="A6" s="2140" t="s">
        <v>5</v>
      </c>
      <c r="B6" s="2140">
        <v>1</v>
      </c>
      <c r="C6" s="727">
        <v>476</v>
      </c>
    </row>
    <row r="7" spans="1:3" x14ac:dyDescent="0.15">
      <c r="A7" s="2140" t="s">
        <v>6</v>
      </c>
      <c r="B7" s="2140">
        <v>6</v>
      </c>
      <c r="C7" s="727">
        <v>1477</v>
      </c>
    </row>
    <row r="8" spans="1:3" x14ac:dyDescent="0.15">
      <c r="A8" s="2140" t="s">
        <v>7</v>
      </c>
      <c r="B8" s="2140">
        <v>18</v>
      </c>
      <c r="C8" s="727">
        <v>3881</v>
      </c>
    </row>
    <row r="9" spans="1:3" x14ac:dyDescent="0.15">
      <c r="A9" s="2140" t="s">
        <v>8</v>
      </c>
      <c r="B9" s="2140">
        <v>9</v>
      </c>
      <c r="C9" s="727">
        <v>2514</v>
      </c>
    </row>
    <row r="10" spans="1:3" x14ac:dyDescent="0.15">
      <c r="A10" s="2140" t="s">
        <v>9</v>
      </c>
      <c r="B10" s="2140">
        <v>9</v>
      </c>
      <c r="C10" s="727">
        <v>1853</v>
      </c>
    </row>
    <row r="11" spans="1:3" x14ac:dyDescent="0.15">
      <c r="A11" s="2140" t="s">
        <v>10</v>
      </c>
      <c r="B11" s="2140">
        <v>34</v>
      </c>
      <c r="C11" s="727">
        <v>7019</v>
      </c>
    </row>
    <row r="12" spans="1:3" x14ac:dyDescent="0.15">
      <c r="A12" s="2140" t="s">
        <v>11</v>
      </c>
      <c r="B12" s="2140">
        <v>219</v>
      </c>
      <c r="C12" s="727">
        <v>43258</v>
      </c>
    </row>
    <row r="13" spans="1:3" x14ac:dyDescent="0.15">
      <c r="A13" s="2140" t="s">
        <v>12</v>
      </c>
      <c r="B13" s="2140">
        <v>12</v>
      </c>
      <c r="C13" s="727">
        <v>2806</v>
      </c>
    </row>
    <row r="14" spans="1:3" x14ac:dyDescent="0.15">
      <c r="A14" s="2140" t="s">
        <v>13</v>
      </c>
      <c r="B14" s="2140">
        <v>9</v>
      </c>
      <c r="C14" s="727">
        <v>2173</v>
      </c>
    </row>
    <row r="15" spans="1:3" x14ac:dyDescent="0.15">
      <c r="A15" s="2140" t="s">
        <v>14</v>
      </c>
      <c r="B15" s="2140">
        <v>35</v>
      </c>
      <c r="C15" s="727">
        <v>6859</v>
      </c>
    </row>
    <row r="16" spans="1:3" x14ac:dyDescent="0.15">
      <c r="A16" s="2140" t="s">
        <v>350</v>
      </c>
      <c r="B16" s="2140">
        <v>12</v>
      </c>
      <c r="C16" s="727">
        <v>2632</v>
      </c>
    </row>
    <row r="17" spans="1:5" x14ac:dyDescent="0.15">
      <c r="A17" s="2140" t="s">
        <v>301</v>
      </c>
      <c r="B17" s="2140">
        <v>6</v>
      </c>
      <c r="C17" s="727">
        <v>1218</v>
      </c>
    </row>
    <row r="18" spans="1:5" x14ac:dyDescent="0.15">
      <c r="A18" s="2140" t="s">
        <v>303</v>
      </c>
      <c r="B18" s="2140">
        <v>11</v>
      </c>
      <c r="C18" s="727">
        <v>2499</v>
      </c>
    </row>
    <row r="19" spans="1:5" x14ac:dyDescent="0.15">
      <c r="A19" s="2140" t="s">
        <v>2768</v>
      </c>
      <c r="B19" s="2140">
        <v>5</v>
      </c>
      <c r="C19" s="727">
        <v>615</v>
      </c>
    </row>
    <row r="20" spans="1:5" ht="10.5" customHeight="1" x14ac:dyDescent="0.15"/>
    <row r="21" spans="1:5" ht="54" customHeight="1" x14ac:dyDescent="0.15">
      <c r="A21" s="3240" t="s">
        <v>2769</v>
      </c>
      <c r="B21" s="3240"/>
      <c r="C21" s="3240"/>
      <c r="D21" s="753"/>
      <c r="E21" s="753"/>
    </row>
    <row r="22" spans="1:5" ht="22.5" customHeight="1" x14ac:dyDescent="0.15">
      <c r="A22" s="3241" t="s">
        <v>2770</v>
      </c>
      <c r="B22" s="3241"/>
      <c r="C22" s="3241"/>
    </row>
    <row r="23" spans="1:5" x14ac:dyDescent="0.15">
      <c r="A23" s="3240" t="s">
        <v>2750</v>
      </c>
      <c r="B23" s="3240"/>
      <c r="C23" s="3240"/>
    </row>
  </sheetData>
  <mergeCells count="4">
    <mergeCell ref="A21:C21"/>
    <mergeCell ref="A22:C22"/>
    <mergeCell ref="A23:C23"/>
    <mergeCell ref="A2:C2"/>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I28"/>
  <sheetViews>
    <sheetView workbookViewId="0"/>
  </sheetViews>
  <sheetFormatPr baseColWidth="10" defaultColWidth="9.140625" defaultRowHeight="10.5" x14ac:dyDescent="0.15"/>
  <cols>
    <col min="1" max="1" width="23.5703125" style="97" customWidth="1"/>
    <col min="2" max="6" width="13.42578125" style="97" customWidth="1"/>
    <col min="7" max="16384" width="9.140625" style="97"/>
  </cols>
  <sheetData>
    <row r="1" spans="1:9" ht="15" customHeight="1" x14ac:dyDescent="0.15"/>
    <row r="2" spans="1:9" ht="22.5" customHeight="1" x14ac:dyDescent="0.15">
      <c r="A2" s="2377" t="s">
        <v>222</v>
      </c>
      <c r="B2" s="2378"/>
      <c r="C2" s="2378"/>
      <c r="D2" s="2378"/>
      <c r="E2" s="2378"/>
      <c r="F2" s="2378"/>
    </row>
    <row r="3" spans="1:9" ht="11.25" customHeight="1" x14ac:dyDescent="0.15">
      <c r="A3" s="2347"/>
      <c r="B3" s="2348"/>
      <c r="C3" s="2348"/>
      <c r="D3" s="2348"/>
      <c r="E3" s="2348"/>
      <c r="F3" s="2348"/>
    </row>
    <row r="4" spans="1:9" ht="15" customHeight="1" x14ac:dyDescent="0.15">
      <c r="A4" s="2379" t="s">
        <v>1</v>
      </c>
      <c r="B4" s="2381" t="s">
        <v>223</v>
      </c>
      <c r="C4" s="2382"/>
      <c r="D4" s="2382"/>
      <c r="E4" s="2382"/>
      <c r="F4" s="2383"/>
    </row>
    <row r="5" spans="1:9" ht="31.5" x14ac:dyDescent="0.15">
      <c r="A5" s="2380"/>
      <c r="B5" s="1995" t="s">
        <v>224</v>
      </c>
      <c r="C5" s="1995" t="s">
        <v>225</v>
      </c>
      <c r="D5" s="1995" t="s">
        <v>217</v>
      </c>
      <c r="E5" s="1995" t="s">
        <v>218</v>
      </c>
      <c r="F5" s="1995" t="s">
        <v>226</v>
      </c>
    </row>
    <row r="6" spans="1:9" x14ac:dyDescent="0.15">
      <c r="A6" s="146" t="s">
        <v>141</v>
      </c>
      <c r="B6" s="1527">
        <f>SUM(B7:B21)</f>
        <v>60</v>
      </c>
      <c r="C6" s="718">
        <f t="shared" ref="C6:F6" si="0">SUM(C7:C21)</f>
        <v>15</v>
      </c>
      <c r="D6" s="718">
        <f t="shared" si="0"/>
        <v>34</v>
      </c>
      <c r="E6" s="718">
        <f t="shared" si="0"/>
        <v>2</v>
      </c>
      <c r="F6" s="718">
        <f t="shared" si="0"/>
        <v>9</v>
      </c>
      <c r="I6" s="112"/>
    </row>
    <row r="7" spans="1:9" x14ac:dyDescent="0.15">
      <c r="A7" s="2002" t="s">
        <v>5</v>
      </c>
      <c r="B7" s="438">
        <f t="shared" ref="B7:B21" si="1">SUM(C7:F7)</f>
        <v>10</v>
      </c>
      <c r="C7" s="438" t="s">
        <v>193</v>
      </c>
      <c r="D7" s="438">
        <v>10</v>
      </c>
      <c r="E7" s="438" t="s">
        <v>193</v>
      </c>
      <c r="F7" s="438" t="s">
        <v>193</v>
      </c>
      <c r="G7" s="113"/>
    </row>
    <row r="8" spans="1:9" x14ac:dyDescent="0.15">
      <c r="A8" s="2002" t="s">
        <v>6</v>
      </c>
      <c r="B8" s="438">
        <f t="shared" si="1"/>
        <v>0</v>
      </c>
      <c r="C8" s="438" t="s">
        <v>193</v>
      </c>
      <c r="D8" s="438" t="s">
        <v>193</v>
      </c>
      <c r="E8" s="438" t="s">
        <v>193</v>
      </c>
      <c r="F8" s="438" t="s">
        <v>193</v>
      </c>
    </row>
    <row r="9" spans="1:9" x14ac:dyDescent="0.15">
      <c r="A9" s="2002" t="s">
        <v>7</v>
      </c>
      <c r="B9" s="438">
        <f t="shared" si="1"/>
        <v>19</v>
      </c>
      <c r="C9" s="438">
        <v>11</v>
      </c>
      <c r="D9" s="438">
        <v>7</v>
      </c>
      <c r="E9" s="438" t="s">
        <v>193</v>
      </c>
      <c r="F9" s="438">
        <v>1</v>
      </c>
    </row>
    <row r="10" spans="1:9" x14ac:dyDescent="0.15">
      <c r="A10" s="2002" t="s">
        <v>8</v>
      </c>
      <c r="B10" s="438">
        <f t="shared" si="1"/>
        <v>0</v>
      </c>
      <c r="C10" s="438" t="s">
        <v>193</v>
      </c>
      <c r="D10" s="438" t="s">
        <v>193</v>
      </c>
      <c r="E10" s="438" t="s">
        <v>193</v>
      </c>
      <c r="F10" s="438" t="s">
        <v>193</v>
      </c>
    </row>
    <row r="11" spans="1:9" x14ac:dyDescent="0.15">
      <c r="A11" s="2002" t="s">
        <v>9</v>
      </c>
      <c r="B11" s="438">
        <f t="shared" si="1"/>
        <v>2</v>
      </c>
      <c r="C11" s="438" t="s">
        <v>193</v>
      </c>
      <c r="D11" s="438">
        <v>1</v>
      </c>
      <c r="E11" s="438">
        <v>1</v>
      </c>
      <c r="F11" s="438" t="s">
        <v>193</v>
      </c>
    </row>
    <row r="12" spans="1:9" x14ac:dyDescent="0.15">
      <c r="A12" s="2002" t="s">
        <v>10</v>
      </c>
      <c r="B12" s="438">
        <f t="shared" si="1"/>
        <v>5</v>
      </c>
      <c r="C12" s="438" t="s">
        <v>193</v>
      </c>
      <c r="D12" s="438">
        <v>4</v>
      </c>
      <c r="E12" s="438" t="s">
        <v>193</v>
      </c>
      <c r="F12" s="438">
        <v>1</v>
      </c>
    </row>
    <row r="13" spans="1:9" x14ac:dyDescent="0.15">
      <c r="A13" s="2002" t="s">
        <v>11</v>
      </c>
      <c r="B13" s="438">
        <f t="shared" si="1"/>
        <v>11</v>
      </c>
      <c r="C13" s="438">
        <v>3</v>
      </c>
      <c r="D13" s="438">
        <v>6</v>
      </c>
      <c r="E13" s="438" t="s">
        <v>193</v>
      </c>
      <c r="F13" s="438">
        <v>2</v>
      </c>
    </row>
    <row r="14" spans="1:9" x14ac:dyDescent="0.15">
      <c r="A14" s="2002" t="s">
        <v>12</v>
      </c>
      <c r="B14" s="438">
        <f t="shared" si="1"/>
        <v>0</v>
      </c>
      <c r="C14" s="438" t="s">
        <v>193</v>
      </c>
      <c r="D14" s="438" t="s">
        <v>193</v>
      </c>
      <c r="E14" s="438" t="s">
        <v>193</v>
      </c>
      <c r="F14" s="438" t="s">
        <v>193</v>
      </c>
    </row>
    <row r="15" spans="1:9" x14ac:dyDescent="0.15">
      <c r="A15" s="2002" t="s">
        <v>13</v>
      </c>
      <c r="B15" s="438">
        <f t="shared" si="1"/>
        <v>1</v>
      </c>
      <c r="C15" s="438" t="s">
        <v>193</v>
      </c>
      <c r="D15" s="438" t="s">
        <v>193</v>
      </c>
      <c r="E15" s="438">
        <v>1</v>
      </c>
      <c r="F15" s="438" t="s">
        <v>193</v>
      </c>
    </row>
    <row r="16" spans="1:9" x14ac:dyDescent="0.15">
      <c r="A16" s="2002" t="s">
        <v>14</v>
      </c>
      <c r="B16" s="438">
        <f t="shared" si="1"/>
        <v>5</v>
      </c>
      <c r="C16" s="438">
        <v>1</v>
      </c>
      <c r="D16" s="438">
        <v>3</v>
      </c>
      <c r="E16" s="438" t="s">
        <v>193</v>
      </c>
      <c r="F16" s="438">
        <v>1</v>
      </c>
    </row>
    <row r="17" spans="1:6" x14ac:dyDescent="0.15">
      <c r="A17" s="2002" t="s">
        <v>15</v>
      </c>
      <c r="B17" s="438">
        <f t="shared" si="1"/>
        <v>2</v>
      </c>
      <c r="C17" s="438" t="s">
        <v>193</v>
      </c>
      <c r="D17" s="438">
        <v>1</v>
      </c>
      <c r="E17" s="438" t="s">
        <v>193</v>
      </c>
      <c r="F17" s="438">
        <v>1</v>
      </c>
    </row>
    <row r="18" spans="1:6" x14ac:dyDescent="0.15">
      <c r="A18" s="2002" t="s">
        <v>16</v>
      </c>
      <c r="B18" s="438">
        <f t="shared" si="1"/>
        <v>1</v>
      </c>
      <c r="C18" s="438" t="s">
        <v>193</v>
      </c>
      <c r="D18" s="438">
        <v>1</v>
      </c>
      <c r="E18" s="438" t="s">
        <v>193</v>
      </c>
      <c r="F18" s="438" t="s">
        <v>193</v>
      </c>
    </row>
    <row r="19" spans="1:6" x14ac:dyDescent="0.15">
      <c r="A19" s="2002" t="s">
        <v>17</v>
      </c>
      <c r="B19" s="438">
        <f t="shared" si="1"/>
        <v>4</v>
      </c>
      <c r="C19" s="438" t="s">
        <v>193</v>
      </c>
      <c r="D19" s="438">
        <v>1</v>
      </c>
      <c r="E19" s="438" t="s">
        <v>193</v>
      </c>
      <c r="F19" s="438">
        <v>3</v>
      </c>
    </row>
    <row r="20" spans="1:6" x14ac:dyDescent="0.15">
      <c r="A20" s="2002" t="s">
        <v>18</v>
      </c>
      <c r="B20" s="438">
        <f t="shared" si="1"/>
        <v>0</v>
      </c>
      <c r="C20" s="438" t="s">
        <v>193</v>
      </c>
      <c r="D20" s="438" t="s">
        <v>193</v>
      </c>
      <c r="E20" s="438" t="s">
        <v>193</v>
      </c>
      <c r="F20" s="438" t="s">
        <v>193</v>
      </c>
    </row>
    <row r="21" spans="1:6" x14ac:dyDescent="0.15">
      <c r="A21" s="2002" t="s">
        <v>19</v>
      </c>
      <c r="B21" s="438">
        <f t="shared" si="1"/>
        <v>0</v>
      </c>
      <c r="C21" s="438" t="s">
        <v>193</v>
      </c>
      <c r="D21" s="438" t="s">
        <v>193</v>
      </c>
      <c r="E21" s="438" t="s">
        <v>193</v>
      </c>
      <c r="F21" s="438" t="s">
        <v>193</v>
      </c>
    </row>
    <row r="22" spans="1:6" ht="11.25" customHeight="1" x14ac:dyDescent="0.15">
      <c r="A22" s="2356"/>
      <c r="B22" s="2357"/>
      <c r="C22" s="2357"/>
      <c r="D22" s="2357"/>
      <c r="E22" s="2357"/>
      <c r="F22" s="2357"/>
    </row>
    <row r="23" spans="1:6" s="114" customFormat="1" ht="36.75" customHeight="1" x14ac:dyDescent="0.25">
      <c r="A23" s="2384" t="s">
        <v>227</v>
      </c>
      <c r="B23" s="2385"/>
      <c r="C23" s="2385"/>
      <c r="D23" s="2385"/>
      <c r="E23" s="2385"/>
      <c r="F23" s="2385"/>
    </row>
    <row r="24" spans="1:6" ht="11.25" customHeight="1" x14ac:dyDescent="0.15">
      <c r="A24" s="2364" t="s">
        <v>20</v>
      </c>
      <c r="B24" s="2365"/>
      <c r="C24" s="2365"/>
      <c r="D24" s="2365"/>
      <c r="E24" s="2365"/>
      <c r="F24" s="2365"/>
    </row>
    <row r="25" spans="1:6" ht="16.5" customHeight="1" x14ac:dyDescent="0.15">
      <c r="A25" s="2032" t="s">
        <v>199</v>
      </c>
      <c r="B25" s="2031"/>
      <c r="C25" s="2031"/>
      <c r="D25" s="2031"/>
      <c r="E25" s="2031"/>
      <c r="F25" s="2031"/>
    </row>
    <row r="26" spans="1:6" x14ac:dyDescent="0.15">
      <c r="A26" s="2009"/>
      <c r="B26" s="2009"/>
      <c r="C26" s="2009"/>
      <c r="D26" s="2009"/>
      <c r="E26" s="2009"/>
      <c r="F26" s="2009"/>
    </row>
    <row r="28" spans="1:6" x14ac:dyDescent="0.15">
      <c r="B28" s="112"/>
      <c r="D28" s="112"/>
    </row>
  </sheetData>
  <mergeCells count="7">
    <mergeCell ref="A24:F24"/>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2:K14"/>
  <sheetViews>
    <sheetView workbookViewId="0">
      <selection activeCell="A2" sqref="A2:I2"/>
    </sheetView>
  </sheetViews>
  <sheetFormatPr baseColWidth="10" defaultRowHeight="10.5" x14ac:dyDescent="0.15"/>
  <cols>
    <col min="1" max="1" width="22.140625" style="2140" customWidth="1"/>
    <col min="2" max="2" width="19.140625" style="2140" customWidth="1"/>
    <col min="3" max="3" width="11.42578125" style="2140"/>
    <col min="4" max="4" width="14.28515625" style="2140" customWidth="1"/>
    <col min="5" max="5" width="11.42578125" style="2140"/>
    <col min="6" max="6" width="14.7109375" style="2140" customWidth="1"/>
    <col min="7" max="7" width="18.140625" style="2140" customWidth="1"/>
    <col min="8" max="16384" width="11.42578125" style="2140"/>
  </cols>
  <sheetData>
    <row r="2" spans="1:11" x14ac:dyDescent="0.15">
      <c r="A2" s="3243" t="s">
        <v>5047</v>
      </c>
      <c r="B2" s="3243"/>
      <c r="C2" s="3243"/>
      <c r="D2" s="3243"/>
      <c r="E2" s="3243"/>
      <c r="F2" s="3243"/>
      <c r="G2" s="3243"/>
      <c r="H2" s="3243"/>
      <c r="I2" s="3243"/>
    </row>
    <row r="3" spans="1:11" ht="11.25" customHeight="1" x14ac:dyDescent="0.15">
      <c r="A3" s="732"/>
    </row>
    <row r="4" spans="1:11" s="1342" customFormat="1" x14ac:dyDescent="0.15">
      <c r="A4" s="3244" t="s">
        <v>1442</v>
      </c>
      <c r="B4" s="3245" t="s">
        <v>2771</v>
      </c>
      <c r="C4" s="3245"/>
      <c r="D4" s="3245"/>
      <c r="E4" s="3245"/>
      <c r="F4" s="3245"/>
      <c r="G4" s="3245"/>
      <c r="H4" s="3245"/>
      <c r="I4" s="3245"/>
    </row>
    <row r="5" spans="1:11" s="1342" customFormat="1" x14ac:dyDescent="0.15">
      <c r="A5" s="3244"/>
      <c r="B5" s="3246" t="s">
        <v>215</v>
      </c>
      <c r="C5" s="3244" t="s">
        <v>2772</v>
      </c>
      <c r="D5" s="3244"/>
      <c r="E5" s="3244"/>
      <c r="F5" s="3244"/>
      <c r="G5" s="3244"/>
      <c r="H5" s="3244"/>
      <c r="I5" s="3244"/>
    </row>
    <row r="6" spans="1:11" s="1342" customFormat="1" ht="29.25" customHeight="1" x14ac:dyDescent="0.15">
      <c r="A6" s="3244"/>
      <c r="B6" s="3244"/>
      <c r="C6" s="2119" t="s">
        <v>1890</v>
      </c>
      <c r="D6" s="2119" t="s">
        <v>2773</v>
      </c>
      <c r="E6" s="2119" t="s">
        <v>115</v>
      </c>
      <c r="F6" s="2199" t="s">
        <v>2745</v>
      </c>
      <c r="G6" s="2199" t="s">
        <v>4262</v>
      </c>
      <c r="H6" s="2199" t="s">
        <v>114</v>
      </c>
      <c r="I6" s="2199" t="s">
        <v>2774</v>
      </c>
    </row>
    <row r="7" spans="1:11" s="1342" customFormat="1" x14ac:dyDescent="0.15">
      <c r="A7" s="2200">
        <v>2015</v>
      </c>
      <c r="B7" s="2201">
        <f>SUM(C7:I7)</f>
        <v>25804651</v>
      </c>
      <c r="C7" s="727">
        <v>871938</v>
      </c>
      <c r="D7" s="727">
        <v>22921286</v>
      </c>
      <c r="E7" s="727">
        <v>1435708</v>
      </c>
      <c r="F7" s="727">
        <v>156431</v>
      </c>
      <c r="G7" s="727">
        <v>72432</v>
      </c>
      <c r="H7" s="727">
        <v>324691</v>
      </c>
      <c r="I7" s="727">
        <v>22165</v>
      </c>
      <c r="K7" s="1347"/>
    </row>
    <row r="8" spans="1:11" s="1342" customFormat="1" x14ac:dyDescent="0.15">
      <c r="A8" s="2202"/>
      <c r="B8" s="2201"/>
      <c r="C8" s="2203"/>
      <c r="D8" s="2203"/>
      <c r="E8" s="2203"/>
      <c r="F8" s="2203"/>
      <c r="G8" s="2203"/>
      <c r="H8" s="2203"/>
      <c r="I8" s="1347"/>
    </row>
    <row r="9" spans="1:11" x14ac:dyDescent="0.15">
      <c r="A9" s="3240" t="s">
        <v>2747</v>
      </c>
      <c r="B9" s="3240"/>
      <c r="C9" s="3240"/>
      <c r="D9" s="3240"/>
      <c r="E9" s="3240"/>
      <c r="F9" s="3240"/>
      <c r="G9" s="3240"/>
      <c r="H9" s="3240"/>
      <c r="I9" s="3240"/>
    </row>
    <row r="10" spans="1:11" x14ac:dyDescent="0.15">
      <c r="A10" s="3240" t="s">
        <v>2748</v>
      </c>
      <c r="B10" s="3240"/>
      <c r="C10" s="3240"/>
      <c r="D10" s="3240"/>
      <c r="E10" s="3240"/>
      <c r="F10" s="3240"/>
      <c r="G10" s="3240"/>
      <c r="H10" s="3240"/>
      <c r="I10" s="3240"/>
    </row>
    <row r="11" spans="1:11" ht="23.25" customHeight="1" x14ac:dyDescent="0.15">
      <c r="A11" s="3247" t="s">
        <v>4336</v>
      </c>
      <c r="B11" s="3247"/>
      <c r="C11" s="3247"/>
      <c r="D11" s="3247"/>
      <c r="E11" s="3247"/>
      <c r="F11" s="3247"/>
      <c r="G11" s="3247"/>
      <c r="H11" s="3247"/>
      <c r="I11" s="3247"/>
    </row>
    <row r="12" spans="1:11" x14ac:dyDescent="0.15">
      <c r="A12" s="3240" t="s">
        <v>2762</v>
      </c>
      <c r="B12" s="3240"/>
      <c r="C12" s="3240"/>
      <c r="D12" s="3240"/>
      <c r="E12" s="3240"/>
      <c r="F12" s="3240"/>
      <c r="G12" s="3240"/>
      <c r="H12" s="3240"/>
      <c r="I12" s="3240"/>
    </row>
    <row r="14" spans="1:11" x14ac:dyDescent="0.15">
      <c r="G14" s="727"/>
    </row>
  </sheetData>
  <mergeCells count="9">
    <mergeCell ref="A12:I12"/>
    <mergeCell ref="A2:I2"/>
    <mergeCell ref="A4:A6"/>
    <mergeCell ref="B4:I4"/>
    <mergeCell ref="B5:B6"/>
    <mergeCell ref="C5:I5"/>
    <mergeCell ref="A11:I11"/>
    <mergeCell ref="A9:I9"/>
    <mergeCell ref="A10:I10"/>
  </mergeCell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2:Q33"/>
  <sheetViews>
    <sheetView zoomScaleNormal="100" workbookViewId="0">
      <selection activeCell="E34" sqref="E34"/>
    </sheetView>
  </sheetViews>
  <sheetFormatPr baseColWidth="10" defaultRowHeight="10.5" x14ac:dyDescent="0.15"/>
  <cols>
    <col min="1" max="1" width="22.28515625" style="2140" customWidth="1"/>
    <col min="2" max="2" width="16.42578125" style="2140" customWidth="1"/>
    <col min="3" max="3" width="10.5703125" style="2140" bestFit="1" customWidth="1"/>
    <col min="4" max="4" width="16.5703125" style="2140" customWidth="1"/>
    <col min="5" max="5" width="14.140625" style="2140" bestFit="1" customWidth="1"/>
    <col min="6" max="6" width="10.5703125" style="2140" bestFit="1" customWidth="1"/>
    <col min="7" max="7" width="14.140625" style="2140" customWidth="1"/>
    <col min="8" max="8" width="10.5703125" style="2140" bestFit="1" customWidth="1"/>
    <col min="9" max="9" width="13.5703125" style="2140" bestFit="1" customWidth="1"/>
    <col min="10" max="10" width="11.42578125" style="2140"/>
    <col min="11" max="12" width="15.5703125" style="2140" bestFit="1" customWidth="1"/>
    <col min="13" max="16384" width="11.42578125" style="2140"/>
  </cols>
  <sheetData>
    <row r="2" spans="1:17" ht="15" customHeight="1" x14ac:dyDescent="0.15">
      <c r="A2" s="3242" t="s">
        <v>2775</v>
      </c>
      <c r="B2" s="3242"/>
      <c r="C2" s="3242"/>
      <c r="D2" s="3242"/>
      <c r="E2" s="3242"/>
      <c r="F2" s="3242"/>
      <c r="G2" s="3242"/>
      <c r="H2" s="3242"/>
      <c r="I2" s="3242"/>
      <c r="J2" s="296"/>
      <c r="K2" s="296"/>
      <c r="L2" s="296"/>
      <c r="M2" s="296"/>
      <c r="N2" s="296"/>
      <c r="O2" s="296"/>
      <c r="P2" s="296"/>
      <c r="Q2" s="296"/>
    </row>
    <row r="3" spans="1:17" ht="9" customHeight="1" x14ac:dyDescent="0.15">
      <c r="A3" s="752"/>
    </row>
    <row r="4" spans="1:17" x14ac:dyDescent="0.15">
      <c r="A4" s="3249" t="s">
        <v>1</v>
      </c>
      <c r="B4" s="3250" t="s">
        <v>2776</v>
      </c>
      <c r="C4" s="3251"/>
      <c r="D4" s="3251"/>
      <c r="E4" s="3251"/>
      <c r="F4" s="3251"/>
      <c r="G4" s="3251"/>
      <c r="H4" s="3251"/>
      <c r="I4" s="3251"/>
    </row>
    <row r="5" spans="1:17" x14ac:dyDescent="0.15">
      <c r="A5" s="3249"/>
      <c r="B5" s="3249" t="s">
        <v>2742</v>
      </c>
      <c r="C5" s="3250" t="s">
        <v>2579</v>
      </c>
      <c r="D5" s="3250"/>
      <c r="E5" s="3250"/>
      <c r="F5" s="3250"/>
      <c r="G5" s="3250"/>
      <c r="H5" s="3250"/>
      <c r="I5" s="3250"/>
    </row>
    <row r="6" spans="1:17" ht="21.75" x14ac:dyDescent="0.15">
      <c r="A6" s="3249"/>
      <c r="B6" s="3249"/>
      <c r="C6" s="2118" t="s">
        <v>1890</v>
      </c>
      <c r="D6" s="2205" t="s">
        <v>2777</v>
      </c>
      <c r="E6" s="2118" t="s">
        <v>2744</v>
      </c>
      <c r="F6" s="2118" t="s">
        <v>115</v>
      </c>
      <c r="G6" s="2118" t="s">
        <v>2745</v>
      </c>
      <c r="H6" s="2118" t="s">
        <v>114</v>
      </c>
      <c r="I6" s="2205" t="s">
        <v>2746</v>
      </c>
    </row>
    <row r="7" spans="1:17" x14ac:dyDescent="0.15">
      <c r="A7" s="732" t="s">
        <v>141</v>
      </c>
      <c r="B7" s="1340">
        <f>SUM(B8:B21)</f>
        <v>25804651</v>
      </c>
      <c r="C7" s="1340">
        <f t="shared" ref="C7:I7" si="0">SUM(C8:C21)</f>
        <v>871938</v>
      </c>
      <c r="D7" s="1340">
        <f t="shared" si="0"/>
        <v>72432</v>
      </c>
      <c r="E7" s="1340">
        <f t="shared" si="0"/>
        <v>22929376</v>
      </c>
      <c r="F7" s="1340">
        <f t="shared" si="0"/>
        <v>1436108</v>
      </c>
      <c r="G7" s="1340">
        <f t="shared" si="0"/>
        <v>148341</v>
      </c>
      <c r="H7" s="1340">
        <f t="shared" si="0"/>
        <v>324691</v>
      </c>
      <c r="I7" s="1340">
        <f t="shared" si="0"/>
        <v>21765</v>
      </c>
      <c r="J7" s="727"/>
    </row>
    <row r="8" spans="1:17" x14ac:dyDescent="0.15">
      <c r="A8" s="737" t="s">
        <v>5</v>
      </c>
      <c r="B8" s="733">
        <v>203475</v>
      </c>
      <c r="C8" s="736">
        <v>3516</v>
      </c>
      <c r="D8" s="2204" t="s">
        <v>181</v>
      </c>
      <c r="E8" s="736">
        <v>191835</v>
      </c>
      <c r="F8" s="736">
        <v>5037</v>
      </c>
      <c r="G8" s="2204" t="s">
        <v>181</v>
      </c>
      <c r="H8" s="736">
        <v>3087</v>
      </c>
      <c r="I8" s="2204" t="s">
        <v>181</v>
      </c>
      <c r="K8" s="727"/>
    </row>
    <row r="9" spans="1:17" x14ac:dyDescent="0.15">
      <c r="A9" s="737" t="s">
        <v>6</v>
      </c>
      <c r="B9" s="733">
        <v>603189</v>
      </c>
      <c r="C9" s="736">
        <v>14846</v>
      </c>
      <c r="D9" s="736">
        <v>3126</v>
      </c>
      <c r="E9" s="736">
        <v>551511</v>
      </c>
      <c r="F9" s="736">
        <v>24124</v>
      </c>
      <c r="G9" s="736">
        <v>761</v>
      </c>
      <c r="H9" s="736">
        <v>7882</v>
      </c>
      <c r="I9" s="736">
        <v>939</v>
      </c>
      <c r="K9" s="727"/>
    </row>
    <row r="10" spans="1:17" x14ac:dyDescent="0.15">
      <c r="A10" s="737" t="s">
        <v>7</v>
      </c>
      <c r="B10" s="733">
        <v>1144827</v>
      </c>
      <c r="C10" s="736">
        <v>27645</v>
      </c>
      <c r="D10" s="736">
        <v>2442</v>
      </c>
      <c r="E10" s="736">
        <v>1052787</v>
      </c>
      <c r="F10" s="736">
        <v>43733</v>
      </c>
      <c r="G10" s="736">
        <v>1263</v>
      </c>
      <c r="H10" s="736">
        <v>15877</v>
      </c>
      <c r="I10" s="736">
        <v>1080</v>
      </c>
      <c r="K10" s="727"/>
    </row>
    <row r="11" spans="1:17" x14ac:dyDescent="0.15">
      <c r="A11" s="737" t="s">
        <v>8</v>
      </c>
      <c r="B11" s="733">
        <v>55461</v>
      </c>
      <c r="C11" s="736">
        <v>1227</v>
      </c>
      <c r="D11" s="736">
        <v>1058</v>
      </c>
      <c r="E11" s="736">
        <v>49244</v>
      </c>
      <c r="F11" s="736">
        <v>3926</v>
      </c>
      <c r="G11" s="736">
        <v>6</v>
      </c>
      <c r="H11" s="2204" t="s">
        <v>181</v>
      </c>
      <c r="I11" s="2204" t="s">
        <v>181</v>
      </c>
      <c r="K11" s="727"/>
    </row>
    <row r="12" spans="1:17" x14ac:dyDescent="0.15">
      <c r="A12" s="737" t="s">
        <v>9</v>
      </c>
      <c r="B12" s="733">
        <v>845969</v>
      </c>
      <c r="C12" s="736">
        <v>22626</v>
      </c>
      <c r="D12" s="736">
        <v>1098</v>
      </c>
      <c r="E12" s="736">
        <v>767802</v>
      </c>
      <c r="F12" s="736">
        <v>38855</v>
      </c>
      <c r="G12" s="736">
        <v>1874</v>
      </c>
      <c r="H12" s="736">
        <v>13249</v>
      </c>
      <c r="I12" s="736">
        <v>465</v>
      </c>
      <c r="K12" s="727"/>
    </row>
    <row r="13" spans="1:17" x14ac:dyDescent="0.15">
      <c r="A13" s="737" t="s">
        <v>10</v>
      </c>
      <c r="B13" s="733">
        <v>2154844</v>
      </c>
      <c r="C13" s="736">
        <v>71292</v>
      </c>
      <c r="D13" s="736">
        <v>4641</v>
      </c>
      <c r="E13" s="736">
        <v>1928962</v>
      </c>
      <c r="F13" s="736">
        <v>112631</v>
      </c>
      <c r="G13" s="736">
        <v>6036</v>
      </c>
      <c r="H13" s="736">
        <v>30371</v>
      </c>
      <c r="I13" s="736">
        <v>911</v>
      </c>
      <c r="K13" s="727"/>
    </row>
    <row r="14" spans="1:17" x14ac:dyDescent="0.15">
      <c r="A14" s="737" t="s">
        <v>11</v>
      </c>
      <c r="B14" s="733">
        <v>14914797</v>
      </c>
      <c r="C14" s="736">
        <v>562697</v>
      </c>
      <c r="D14" s="736">
        <v>44441</v>
      </c>
      <c r="E14" s="736">
        <v>13058611</v>
      </c>
      <c r="F14" s="736">
        <v>924736</v>
      </c>
      <c r="G14" s="736">
        <v>127944</v>
      </c>
      <c r="H14" s="736">
        <v>181047</v>
      </c>
      <c r="I14" s="736">
        <v>15321</v>
      </c>
      <c r="K14" s="727"/>
    </row>
    <row r="15" spans="1:17" x14ac:dyDescent="0.15">
      <c r="A15" s="737" t="s">
        <v>12</v>
      </c>
      <c r="B15" s="733">
        <v>777122</v>
      </c>
      <c r="C15" s="736">
        <v>24034</v>
      </c>
      <c r="D15" s="736">
        <v>1631</v>
      </c>
      <c r="E15" s="736">
        <v>713657</v>
      </c>
      <c r="F15" s="736">
        <v>28447</v>
      </c>
      <c r="G15" s="736">
        <v>822</v>
      </c>
      <c r="H15" s="736">
        <v>8157</v>
      </c>
      <c r="I15" s="736">
        <v>374</v>
      </c>
      <c r="K15" s="727"/>
    </row>
    <row r="16" spans="1:17" x14ac:dyDescent="0.15">
      <c r="A16" s="737" t="s">
        <v>13</v>
      </c>
      <c r="B16" s="733">
        <v>570016</v>
      </c>
      <c r="C16" s="736">
        <v>14709</v>
      </c>
      <c r="D16" s="736">
        <v>2023</v>
      </c>
      <c r="E16" s="736">
        <v>520647</v>
      </c>
      <c r="F16" s="736">
        <v>24514</v>
      </c>
      <c r="G16" s="736">
        <v>620</v>
      </c>
      <c r="H16" s="736">
        <v>7503</v>
      </c>
      <c r="I16" s="2204" t="s">
        <v>181</v>
      </c>
      <c r="K16" s="727"/>
    </row>
    <row r="17" spans="1:11" x14ac:dyDescent="0.15">
      <c r="A17" s="737" t="s">
        <v>14</v>
      </c>
      <c r="B17" s="733">
        <v>2458669</v>
      </c>
      <c r="C17" s="736">
        <v>70803</v>
      </c>
      <c r="D17" s="736">
        <v>7453</v>
      </c>
      <c r="E17" s="736">
        <v>2211086</v>
      </c>
      <c r="F17" s="736">
        <v>137000</v>
      </c>
      <c r="G17" s="736">
        <v>5251</v>
      </c>
      <c r="H17" s="736">
        <v>25400</v>
      </c>
      <c r="I17" s="736">
        <v>1676</v>
      </c>
      <c r="K17" s="727"/>
    </row>
    <row r="18" spans="1:11" x14ac:dyDescent="0.15">
      <c r="A18" s="737" t="s">
        <v>15</v>
      </c>
      <c r="B18" s="733">
        <v>763395</v>
      </c>
      <c r="C18" s="736">
        <v>17829</v>
      </c>
      <c r="D18" s="736">
        <v>2156</v>
      </c>
      <c r="E18" s="736">
        <v>696667</v>
      </c>
      <c r="F18" s="736">
        <v>33892</v>
      </c>
      <c r="G18" s="736">
        <v>882</v>
      </c>
      <c r="H18" s="736">
        <v>11524</v>
      </c>
      <c r="I18" s="736">
        <v>445</v>
      </c>
      <c r="K18" s="727"/>
    </row>
    <row r="19" spans="1:11" x14ac:dyDescent="0.15">
      <c r="A19" s="737" t="s">
        <v>301</v>
      </c>
      <c r="B19" s="733">
        <v>319050</v>
      </c>
      <c r="C19" s="736">
        <v>10586</v>
      </c>
      <c r="D19" s="2204" t="s">
        <v>181</v>
      </c>
      <c r="E19" s="736">
        <v>290908</v>
      </c>
      <c r="F19" s="736">
        <v>11667</v>
      </c>
      <c r="G19" s="736">
        <v>405</v>
      </c>
      <c r="H19" s="736">
        <v>4930</v>
      </c>
      <c r="I19" s="736">
        <v>554</v>
      </c>
      <c r="K19" s="727"/>
    </row>
    <row r="20" spans="1:11" x14ac:dyDescent="0.15">
      <c r="A20" s="737" t="s">
        <v>303</v>
      </c>
      <c r="B20" s="733">
        <v>775969</v>
      </c>
      <c r="C20" s="736">
        <v>25330</v>
      </c>
      <c r="D20" s="736">
        <v>1831</v>
      </c>
      <c r="E20" s="736">
        <v>698143</v>
      </c>
      <c r="F20" s="736">
        <v>37014</v>
      </c>
      <c r="G20" s="736">
        <v>1494</v>
      </c>
      <c r="H20" s="736">
        <v>12157</v>
      </c>
      <c r="I20" s="2204" t="s">
        <v>181</v>
      </c>
      <c r="K20" s="727"/>
    </row>
    <row r="21" spans="1:11" x14ac:dyDescent="0.15">
      <c r="A21" s="737" t="s">
        <v>19</v>
      </c>
      <c r="B21" s="733">
        <v>217868</v>
      </c>
      <c r="C21" s="736">
        <v>4798</v>
      </c>
      <c r="D21" s="736">
        <v>532</v>
      </c>
      <c r="E21" s="736">
        <v>197516</v>
      </c>
      <c r="F21" s="736">
        <v>10532</v>
      </c>
      <c r="G21" s="736">
        <v>983</v>
      </c>
      <c r="H21" s="736">
        <v>3507</v>
      </c>
      <c r="I21" s="2204" t="s">
        <v>181</v>
      </c>
      <c r="K21" s="727"/>
    </row>
    <row r="22" spans="1:11" x14ac:dyDescent="0.15">
      <c r="A22" s="737"/>
      <c r="B22" s="737"/>
      <c r="C22" s="737"/>
      <c r="D22" s="737"/>
      <c r="E22" s="737"/>
      <c r="F22" s="737"/>
      <c r="G22" s="737"/>
      <c r="H22" s="737"/>
      <c r="I22" s="737"/>
    </row>
    <row r="23" spans="1:11" x14ac:dyDescent="0.15">
      <c r="A23" s="3248" t="s">
        <v>2778</v>
      </c>
      <c r="B23" s="3248"/>
      <c r="C23" s="3248"/>
      <c r="D23" s="3248"/>
      <c r="E23" s="3248"/>
      <c r="F23" s="3248"/>
      <c r="G23" s="3248"/>
      <c r="H23" s="3248"/>
      <c r="I23" s="3248"/>
    </row>
    <row r="24" spans="1:11" x14ac:dyDescent="0.15">
      <c r="A24" s="3248" t="s">
        <v>2747</v>
      </c>
      <c r="B24" s="3248"/>
      <c r="C24" s="3248"/>
      <c r="D24" s="3248"/>
      <c r="E24" s="3248"/>
      <c r="F24" s="3248"/>
      <c r="G24" s="3248"/>
      <c r="H24" s="3248"/>
      <c r="I24" s="3248"/>
    </row>
    <row r="25" spans="1:11" x14ac:dyDescent="0.15">
      <c r="A25" s="3248" t="s">
        <v>2748</v>
      </c>
      <c r="B25" s="3248"/>
      <c r="C25" s="3248"/>
      <c r="D25" s="3248"/>
      <c r="E25" s="3248"/>
      <c r="F25" s="3248"/>
      <c r="G25" s="3248"/>
      <c r="H25" s="3248"/>
      <c r="I25" s="3248"/>
    </row>
    <row r="26" spans="1:11" ht="22.5" customHeight="1" x14ac:dyDescent="0.15">
      <c r="A26" s="3248" t="s">
        <v>4207</v>
      </c>
      <c r="B26" s="3248"/>
      <c r="C26" s="3248"/>
      <c r="D26" s="3248"/>
      <c r="E26" s="3248"/>
      <c r="F26" s="3248"/>
      <c r="G26" s="3248"/>
      <c r="H26" s="3248"/>
      <c r="I26" s="3248"/>
    </row>
    <row r="27" spans="1:11" x14ac:dyDescent="0.15">
      <c r="A27" s="3248" t="s">
        <v>2762</v>
      </c>
      <c r="B27" s="3248"/>
      <c r="C27" s="3248"/>
      <c r="D27" s="3248"/>
      <c r="E27" s="3248"/>
      <c r="F27" s="3248"/>
      <c r="G27" s="3248"/>
      <c r="H27" s="3248"/>
      <c r="I27" s="3248"/>
    </row>
    <row r="28" spans="1:11" x14ac:dyDescent="0.15">
      <c r="A28" s="737"/>
      <c r="B28" s="737"/>
      <c r="C28" s="737"/>
      <c r="D28" s="737"/>
      <c r="E28" s="737"/>
      <c r="F28" s="737"/>
      <c r="G28" s="737"/>
      <c r="H28" s="737"/>
      <c r="I28" s="737"/>
    </row>
    <row r="29" spans="1:11" x14ac:dyDescent="0.15">
      <c r="A29" s="737"/>
    </row>
    <row r="30" spans="1:11" x14ac:dyDescent="0.15">
      <c r="A30" s="737"/>
    </row>
    <row r="31" spans="1:11" x14ac:dyDescent="0.15">
      <c r="A31" s="737"/>
    </row>
    <row r="32" spans="1:11" x14ac:dyDescent="0.15">
      <c r="A32" s="737"/>
    </row>
    <row r="33" spans="1:1" x14ac:dyDescent="0.15">
      <c r="A33" s="737"/>
    </row>
  </sheetData>
  <mergeCells count="10">
    <mergeCell ref="A24:I24"/>
    <mergeCell ref="A25:I25"/>
    <mergeCell ref="A26:I26"/>
    <mergeCell ref="A27:I27"/>
    <mergeCell ref="A2:I2"/>
    <mergeCell ref="A4:A6"/>
    <mergeCell ref="B4:I4"/>
    <mergeCell ref="B5:B6"/>
    <mergeCell ref="C5:I5"/>
    <mergeCell ref="A23:I23"/>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2:I25"/>
  <sheetViews>
    <sheetView zoomScaleNormal="100" workbookViewId="0">
      <selection activeCell="A2" sqref="A2"/>
    </sheetView>
  </sheetViews>
  <sheetFormatPr baseColWidth="10" defaultRowHeight="10.5" x14ac:dyDescent="0.15"/>
  <cols>
    <col min="1" max="1" width="22.140625" style="2140" customWidth="1"/>
    <col min="2" max="2" width="12.28515625" style="2140" customWidth="1"/>
    <col min="3" max="3" width="12" style="2140" bestFit="1" customWidth="1"/>
    <col min="4" max="4" width="11.140625" style="2140" bestFit="1" customWidth="1"/>
    <col min="5" max="5" width="13.42578125" style="2140" bestFit="1" customWidth="1"/>
    <col min="6" max="6" width="15.85546875" style="2140" customWidth="1"/>
    <col min="7" max="7" width="11.7109375" style="2140" customWidth="1"/>
    <col min="8" max="8" width="18.7109375" style="2140" customWidth="1"/>
    <col min="9" max="16384" width="11.42578125" style="2140"/>
  </cols>
  <sheetData>
    <row r="2" spans="1:9" ht="15" customHeight="1" x14ac:dyDescent="0.15">
      <c r="A2" s="2019" t="s">
        <v>5048</v>
      </c>
    </row>
    <row r="3" spans="1:9" ht="10.5" customHeight="1" x14ac:dyDescent="0.15">
      <c r="A3" s="752"/>
    </row>
    <row r="4" spans="1:9" x14ac:dyDescent="0.15">
      <c r="A4" s="3249" t="s">
        <v>1</v>
      </c>
      <c r="B4" s="3250" t="s">
        <v>2776</v>
      </c>
      <c r="C4" s="3250"/>
      <c r="D4" s="3250"/>
      <c r="E4" s="3250"/>
      <c r="F4" s="3250"/>
      <c r="G4" s="3250"/>
      <c r="H4" s="3250"/>
    </row>
    <row r="5" spans="1:9" ht="22.5" customHeight="1" x14ac:dyDescent="0.15">
      <c r="A5" s="3249"/>
      <c r="B5" s="3252" t="s">
        <v>2779</v>
      </c>
      <c r="C5" s="3252"/>
      <c r="D5" s="3252"/>
      <c r="E5" s="3252"/>
      <c r="F5" s="3252"/>
      <c r="G5" s="3252"/>
      <c r="H5" s="3252"/>
    </row>
    <row r="6" spans="1:9" ht="30.75" customHeight="1" x14ac:dyDescent="0.15">
      <c r="A6" s="3249"/>
      <c r="B6" s="2205" t="s">
        <v>2742</v>
      </c>
      <c r="C6" s="2205" t="s">
        <v>2780</v>
      </c>
      <c r="D6" s="2205" t="s">
        <v>2781</v>
      </c>
      <c r="E6" s="2205" t="s">
        <v>2782</v>
      </c>
      <c r="F6" s="2205" t="s">
        <v>2783</v>
      </c>
      <c r="G6" s="2205" t="s">
        <v>2784</v>
      </c>
      <c r="H6" s="2205" t="s">
        <v>2785</v>
      </c>
    </row>
    <row r="7" spans="1:9" x14ac:dyDescent="0.15">
      <c r="A7" s="732" t="s">
        <v>141</v>
      </c>
      <c r="B7" s="1340">
        <f>SUM(B8:B21)</f>
        <v>25804651</v>
      </c>
      <c r="C7" s="733">
        <f t="shared" ref="C7:H7" si="0">SUM(C8:C21)</f>
        <v>5954963</v>
      </c>
      <c r="D7" s="733">
        <f t="shared" si="0"/>
        <v>1457</v>
      </c>
      <c r="E7" s="733">
        <f t="shared" si="0"/>
        <v>6492209</v>
      </c>
      <c r="F7" s="733">
        <f t="shared" si="0"/>
        <v>754931</v>
      </c>
      <c r="G7" s="733">
        <f t="shared" si="0"/>
        <v>12597619</v>
      </c>
      <c r="H7" s="733">
        <f t="shared" si="0"/>
        <v>3472</v>
      </c>
    </row>
    <row r="8" spans="1:9" x14ac:dyDescent="0.15">
      <c r="A8" s="737" t="s">
        <v>5</v>
      </c>
      <c r="B8" s="733">
        <f>SUM(C8:H8)</f>
        <v>203475</v>
      </c>
      <c r="C8" s="736">
        <v>38213</v>
      </c>
      <c r="D8" s="2204" t="s">
        <v>181</v>
      </c>
      <c r="E8" s="736">
        <v>38535</v>
      </c>
      <c r="F8" s="736">
        <v>9142</v>
      </c>
      <c r="G8" s="736">
        <v>117585</v>
      </c>
      <c r="H8" s="2204" t="s">
        <v>181</v>
      </c>
    </row>
    <row r="9" spans="1:9" x14ac:dyDescent="0.15">
      <c r="A9" s="737" t="s">
        <v>6</v>
      </c>
      <c r="B9" s="733">
        <f t="shared" ref="B9:B21" si="1">SUM(C9:H9)</f>
        <v>603189</v>
      </c>
      <c r="C9" s="736">
        <v>141274</v>
      </c>
      <c r="D9" s="2204" t="s">
        <v>181</v>
      </c>
      <c r="E9" s="736">
        <v>143010</v>
      </c>
      <c r="F9" s="736">
        <v>16081</v>
      </c>
      <c r="G9" s="736">
        <v>302771</v>
      </c>
      <c r="H9" s="736">
        <v>53</v>
      </c>
    </row>
    <row r="10" spans="1:9" x14ac:dyDescent="0.15">
      <c r="A10" s="737" t="s">
        <v>7</v>
      </c>
      <c r="B10" s="733">
        <f t="shared" si="1"/>
        <v>1144827</v>
      </c>
      <c r="C10" s="736">
        <v>253910</v>
      </c>
      <c r="D10" s="2204" t="s">
        <v>181</v>
      </c>
      <c r="E10" s="736">
        <v>281398</v>
      </c>
      <c r="F10" s="736">
        <v>30868</v>
      </c>
      <c r="G10" s="736">
        <v>578632</v>
      </c>
      <c r="H10" s="736">
        <v>19</v>
      </c>
      <c r="I10" s="727"/>
    </row>
    <row r="11" spans="1:9" x14ac:dyDescent="0.15">
      <c r="A11" s="737" t="s">
        <v>8</v>
      </c>
      <c r="B11" s="733">
        <f t="shared" si="1"/>
        <v>55461</v>
      </c>
      <c r="C11" s="736">
        <v>8675</v>
      </c>
      <c r="D11" s="2204" t="s">
        <v>181</v>
      </c>
      <c r="E11" s="736">
        <v>9560</v>
      </c>
      <c r="F11" s="736">
        <v>97</v>
      </c>
      <c r="G11" s="736">
        <v>37114</v>
      </c>
      <c r="H11" s="736">
        <v>15</v>
      </c>
    </row>
    <row r="12" spans="1:9" x14ac:dyDescent="0.15">
      <c r="A12" s="737" t="s">
        <v>9</v>
      </c>
      <c r="B12" s="733">
        <f t="shared" si="1"/>
        <v>845969</v>
      </c>
      <c r="C12" s="736">
        <v>191316</v>
      </c>
      <c r="D12" s="2204" t="s">
        <v>181</v>
      </c>
      <c r="E12" s="736">
        <v>196179</v>
      </c>
      <c r="F12" s="736">
        <v>28486</v>
      </c>
      <c r="G12" s="736">
        <v>429880</v>
      </c>
      <c r="H12" s="736">
        <v>108</v>
      </c>
    </row>
    <row r="13" spans="1:9" x14ac:dyDescent="0.15">
      <c r="A13" s="737" t="s">
        <v>10</v>
      </c>
      <c r="B13" s="733">
        <f t="shared" si="1"/>
        <v>2154844</v>
      </c>
      <c r="C13" s="736">
        <v>500903</v>
      </c>
      <c r="D13" s="2204" t="s">
        <v>181</v>
      </c>
      <c r="E13" s="736">
        <v>525450</v>
      </c>
      <c r="F13" s="736">
        <v>67599</v>
      </c>
      <c r="G13" s="736">
        <v>1060756</v>
      </c>
      <c r="H13" s="736">
        <v>136</v>
      </c>
    </row>
    <row r="14" spans="1:9" x14ac:dyDescent="0.15">
      <c r="A14" s="737" t="s">
        <v>11</v>
      </c>
      <c r="B14" s="733">
        <f t="shared" si="1"/>
        <v>14914797</v>
      </c>
      <c r="C14" s="736">
        <v>3492652</v>
      </c>
      <c r="D14" s="736">
        <v>1300</v>
      </c>
      <c r="E14" s="736">
        <v>3835865</v>
      </c>
      <c r="F14" s="736">
        <v>414623</v>
      </c>
      <c r="G14" s="736">
        <v>7168048</v>
      </c>
      <c r="H14" s="736">
        <v>2309</v>
      </c>
    </row>
    <row r="15" spans="1:9" x14ac:dyDescent="0.15">
      <c r="A15" s="737" t="s">
        <v>12</v>
      </c>
      <c r="B15" s="733">
        <f t="shared" si="1"/>
        <v>777122</v>
      </c>
      <c r="C15" s="736">
        <v>171736</v>
      </c>
      <c r="D15" s="736">
        <v>80</v>
      </c>
      <c r="E15" s="736">
        <v>187325</v>
      </c>
      <c r="F15" s="736">
        <v>29129</v>
      </c>
      <c r="G15" s="736">
        <v>388768</v>
      </c>
      <c r="H15" s="736">
        <v>84</v>
      </c>
    </row>
    <row r="16" spans="1:9" x14ac:dyDescent="0.15">
      <c r="A16" s="737" t="s">
        <v>13</v>
      </c>
      <c r="B16" s="733">
        <f t="shared" si="1"/>
        <v>570016</v>
      </c>
      <c r="C16" s="736">
        <v>132918</v>
      </c>
      <c r="D16" s="2204" t="s">
        <v>181</v>
      </c>
      <c r="E16" s="736">
        <v>131626</v>
      </c>
      <c r="F16" s="736">
        <v>22894</v>
      </c>
      <c r="G16" s="736">
        <v>282519</v>
      </c>
      <c r="H16" s="736">
        <v>59</v>
      </c>
    </row>
    <row r="17" spans="1:8" x14ac:dyDescent="0.15">
      <c r="A17" s="737" t="s">
        <v>14</v>
      </c>
      <c r="B17" s="733">
        <f t="shared" si="1"/>
        <v>2458669</v>
      </c>
      <c r="C17" s="736">
        <v>580642</v>
      </c>
      <c r="D17" s="736">
        <v>77</v>
      </c>
      <c r="E17" s="736">
        <v>633304</v>
      </c>
      <c r="F17" s="736">
        <v>71442</v>
      </c>
      <c r="G17" s="736">
        <v>1172777</v>
      </c>
      <c r="H17" s="736">
        <v>427</v>
      </c>
    </row>
    <row r="18" spans="1:8" x14ac:dyDescent="0.15">
      <c r="A18" s="737" t="s">
        <v>15</v>
      </c>
      <c r="B18" s="733">
        <f t="shared" si="1"/>
        <v>763395</v>
      </c>
      <c r="C18" s="736">
        <v>165504</v>
      </c>
      <c r="D18" s="2204" t="s">
        <v>181</v>
      </c>
      <c r="E18" s="736">
        <v>183975</v>
      </c>
      <c r="F18" s="736">
        <v>24539</v>
      </c>
      <c r="G18" s="736">
        <v>389322</v>
      </c>
      <c r="H18" s="736">
        <v>55</v>
      </c>
    </row>
    <row r="19" spans="1:8" x14ac:dyDescent="0.15">
      <c r="A19" s="737" t="s">
        <v>301</v>
      </c>
      <c r="B19" s="733">
        <f t="shared" si="1"/>
        <v>319050</v>
      </c>
      <c r="C19" s="736">
        <v>67762</v>
      </c>
      <c r="D19" s="2204" t="s">
        <v>181</v>
      </c>
      <c r="E19" s="736">
        <v>81819</v>
      </c>
      <c r="F19" s="736">
        <v>9638</v>
      </c>
      <c r="G19" s="736">
        <v>159775</v>
      </c>
      <c r="H19" s="736">
        <v>56</v>
      </c>
    </row>
    <row r="20" spans="1:8" x14ac:dyDescent="0.15">
      <c r="A20" s="737" t="s">
        <v>303</v>
      </c>
      <c r="B20" s="733">
        <f t="shared" si="1"/>
        <v>775969</v>
      </c>
      <c r="C20" s="736">
        <v>168177</v>
      </c>
      <c r="D20" s="2204" t="s">
        <v>181</v>
      </c>
      <c r="E20" s="736">
        <v>188342</v>
      </c>
      <c r="F20" s="736">
        <v>23500</v>
      </c>
      <c r="G20" s="736">
        <v>395826</v>
      </c>
      <c r="H20" s="736">
        <v>124</v>
      </c>
    </row>
    <row r="21" spans="1:8" x14ac:dyDescent="0.15">
      <c r="A21" s="737" t="s">
        <v>19</v>
      </c>
      <c r="B21" s="733">
        <f t="shared" si="1"/>
        <v>217868</v>
      </c>
      <c r="C21" s="736">
        <v>41281</v>
      </c>
      <c r="D21" s="2204" t="s">
        <v>181</v>
      </c>
      <c r="E21" s="736">
        <v>55821</v>
      </c>
      <c r="F21" s="736">
        <v>6893</v>
      </c>
      <c r="G21" s="736">
        <v>113846</v>
      </c>
      <c r="H21" s="736">
        <v>27</v>
      </c>
    </row>
    <row r="22" spans="1:8" x14ac:dyDescent="0.15">
      <c r="A22" s="737"/>
      <c r="B22" s="736"/>
      <c r="C22" s="736"/>
      <c r="D22" s="736"/>
      <c r="E22" s="736"/>
      <c r="F22" s="736"/>
      <c r="G22" s="736"/>
      <c r="H22" s="736"/>
    </row>
    <row r="23" spans="1:8" ht="22.5" customHeight="1" x14ac:dyDescent="0.15">
      <c r="A23" s="3248" t="s">
        <v>4336</v>
      </c>
      <c r="B23" s="3248"/>
      <c r="C23" s="3248"/>
      <c r="D23" s="3248"/>
      <c r="E23" s="3248"/>
      <c r="F23" s="3248"/>
      <c r="G23" s="3248"/>
      <c r="H23" s="3248"/>
    </row>
    <row r="24" spans="1:8" x14ac:dyDescent="0.15">
      <c r="A24" s="3248" t="s">
        <v>2778</v>
      </c>
      <c r="B24" s="3248"/>
      <c r="C24" s="3248"/>
      <c r="D24" s="3248"/>
      <c r="E24" s="3248"/>
      <c r="F24" s="3248"/>
      <c r="G24" s="3248"/>
      <c r="H24" s="3248"/>
    </row>
    <row r="25" spans="1:8" x14ac:dyDescent="0.15">
      <c r="A25" s="3240" t="s">
        <v>2786</v>
      </c>
      <c r="B25" s="3240"/>
      <c r="C25" s="3240"/>
      <c r="D25" s="3240"/>
      <c r="E25" s="3240"/>
      <c r="F25" s="3240"/>
      <c r="G25" s="3240"/>
      <c r="H25" s="3240"/>
    </row>
  </sheetData>
  <mergeCells count="6">
    <mergeCell ref="A25:H25"/>
    <mergeCell ref="A4:A6"/>
    <mergeCell ref="B4:H4"/>
    <mergeCell ref="B5:H5"/>
    <mergeCell ref="A23:H23"/>
    <mergeCell ref="A24:H24"/>
  </mergeCells>
  <pageMargins left="0.7" right="0.7" top="0.75" bottom="0.75" header="0.3" footer="0.3"/>
  <pageSetup paperSize="9" orientation="portrait" horizontalDpi="300" verticalDpi="300"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1:S28"/>
  <sheetViews>
    <sheetView zoomScaleNormal="100" zoomScaleSheetLayoutView="150" workbookViewId="0">
      <selection activeCell="E33" sqref="E33"/>
    </sheetView>
  </sheetViews>
  <sheetFormatPr baseColWidth="10" defaultColWidth="11.42578125" defaultRowHeight="10.5" x14ac:dyDescent="0.15"/>
  <cols>
    <col min="1" max="2" width="16.140625" style="1342" customWidth="1"/>
    <col min="3" max="3" width="13" style="1342" customWidth="1"/>
    <col min="4" max="15" width="11.85546875" style="1342" customWidth="1"/>
    <col min="16" max="16" width="6.28515625" style="1342" customWidth="1"/>
    <col min="17" max="16384" width="11.42578125" style="1342"/>
  </cols>
  <sheetData>
    <row r="1" spans="1:16" x14ac:dyDescent="0.15">
      <c r="A1" s="1341"/>
      <c r="B1" s="1341"/>
    </row>
    <row r="2" spans="1:16" s="1343" customFormat="1" ht="12" customHeight="1" x14ac:dyDescent="0.15">
      <c r="A2" s="3253" t="s">
        <v>2787</v>
      </c>
      <c r="B2" s="3253"/>
      <c r="C2" s="3253"/>
      <c r="D2" s="3253"/>
      <c r="E2" s="3253"/>
      <c r="F2" s="3253"/>
      <c r="G2" s="3253"/>
      <c r="H2" s="3253"/>
      <c r="I2" s="3253"/>
      <c r="J2" s="3253"/>
      <c r="K2" s="3253"/>
      <c r="L2" s="3253"/>
      <c r="M2" s="3253"/>
      <c r="N2" s="3253"/>
      <c r="O2" s="3253"/>
    </row>
    <row r="3" spans="1:16" s="1343" customFormat="1" x14ac:dyDescent="0.15">
      <c r="A3" s="1344"/>
      <c r="B3" s="1344"/>
      <c r="C3" s="1344"/>
      <c r="D3" s="1344"/>
      <c r="E3" s="1344"/>
      <c r="F3" s="1344"/>
      <c r="G3" s="1344"/>
      <c r="H3" s="1344"/>
      <c r="I3" s="1344"/>
      <c r="J3" s="1344"/>
      <c r="K3" s="1344"/>
      <c r="L3" s="1344"/>
      <c r="M3" s="1344"/>
      <c r="N3" s="1344"/>
      <c r="O3" s="1344"/>
    </row>
    <row r="4" spans="1:16" s="1345" customFormat="1" x14ac:dyDescent="0.15">
      <c r="A4" s="3244" t="s">
        <v>1</v>
      </c>
      <c r="B4" s="3254" t="s">
        <v>69</v>
      </c>
      <c r="C4" s="3255" t="s">
        <v>2788</v>
      </c>
      <c r="D4" s="3255"/>
      <c r="E4" s="3255"/>
      <c r="F4" s="3255"/>
      <c r="G4" s="3255"/>
      <c r="H4" s="3255"/>
      <c r="I4" s="3255"/>
      <c r="J4" s="3255"/>
      <c r="K4" s="3255"/>
      <c r="L4" s="3255"/>
      <c r="M4" s="3255"/>
      <c r="N4" s="3255"/>
    </row>
    <row r="5" spans="1:16" s="1345" customFormat="1" ht="19.5" customHeight="1" x14ac:dyDescent="0.15">
      <c r="A5" s="3244"/>
      <c r="B5" s="3254"/>
      <c r="C5" s="1346" t="s">
        <v>1586</v>
      </c>
      <c r="D5" s="1346" t="s">
        <v>1587</v>
      </c>
      <c r="E5" s="1346" t="s">
        <v>1588</v>
      </c>
      <c r="F5" s="1346" t="s">
        <v>1589</v>
      </c>
      <c r="G5" s="1346" t="s">
        <v>1590</v>
      </c>
      <c r="H5" s="1346" t="s">
        <v>1591</v>
      </c>
      <c r="I5" s="1346" t="s">
        <v>1592</v>
      </c>
      <c r="J5" s="1346" t="s">
        <v>1593</v>
      </c>
      <c r="K5" s="1346" t="s">
        <v>1594</v>
      </c>
      <c r="L5" s="1346" t="s">
        <v>1595</v>
      </c>
      <c r="M5" s="1346" t="s">
        <v>1596</v>
      </c>
      <c r="N5" s="1346" t="s">
        <v>1597</v>
      </c>
    </row>
    <row r="6" spans="1:16" x14ac:dyDescent="0.15">
      <c r="A6" s="369" t="s">
        <v>141</v>
      </c>
      <c r="B6" s="2207">
        <v>25804651</v>
      </c>
      <c r="C6" s="2208">
        <v>2239108</v>
      </c>
      <c r="D6" s="2208">
        <v>2257319</v>
      </c>
      <c r="E6" s="2208">
        <v>1504696</v>
      </c>
      <c r="F6" s="2208">
        <v>2370050</v>
      </c>
      <c r="G6" s="2208">
        <v>2251775</v>
      </c>
      <c r="H6" s="2208">
        <v>2496536</v>
      </c>
      <c r="I6" s="2208">
        <v>4041602</v>
      </c>
      <c r="J6" s="2208">
        <v>2213654</v>
      </c>
      <c r="K6" s="2208">
        <v>1280322</v>
      </c>
      <c r="L6" s="2208">
        <v>1820252</v>
      </c>
      <c r="M6" s="2208">
        <v>1396530</v>
      </c>
      <c r="N6" s="2208">
        <v>1932807</v>
      </c>
      <c r="O6" s="2203"/>
      <c r="P6" s="2209"/>
    </row>
    <row r="7" spans="1:16" x14ac:dyDescent="0.15">
      <c r="A7" s="2210" t="s">
        <v>5</v>
      </c>
      <c r="B7" s="2207">
        <v>203475</v>
      </c>
      <c r="C7" s="2208">
        <v>16823</v>
      </c>
      <c r="D7" s="2208">
        <v>16490</v>
      </c>
      <c r="E7" s="2208">
        <v>9080</v>
      </c>
      <c r="F7" s="2208">
        <v>21843</v>
      </c>
      <c r="G7" s="2208">
        <v>16030</v>
      </c>
      <c r="H7" s="2208">
        <v>24528</v>
      </c>
      <c r="I7" s="2208">
        <v>33188</v>
      </c>
      <c r="J7" s="2208">
        <v>19386</v>
      </c>
      <c r="K7" s="2208">
        <v>8421</v>
      </c>
      <c r="L7" s="2208">
        <v>12536</v>
      </c>
      <c r="M7" s="2208">
        <v>8552</v>
      </c>
      <c r="N7" s="2208">
        <v>16598</v>
      </c>
      <c r="O7" s="2211"/>
      <c r="P7" s="2209"/>
    </row>
    <row r="8" spans="1:16" x14ac:dyDescent="0.15">
      <c r="A8" s="2210" t="s">
        <v>6</v>
      </c>
      <c r="B8" s="2207">
        <v>603189</v>
      </c>
      <c r="C8" s="2208">
        <v>51321</v>
      </c>
      <c r="D8" s="2208">
        <v>52308</v>
      </c>
      <c r="E8" s="2208">
        <v>34829</v>
      </c>
      <c r="F8" s="2208">
        <v>55725</v>
      </c>
      <c r="G8" s="2208">
        <v>51434</v>
      </c>
      <c r="H8" s="2208">
        <v>65555</v>
      </c>
      <c r="I8" s="2208">
        <v>81514</v>
      </c>
      <c r="J8" s="2208">
        <v>55772</v>
      </c>
      <c r="K8" s="2208">
        <v>30724</v>
      </c>
      <c r="L8" s="2208">
        <v>47085</v>
      </c>
      <c r="M8" s="2208">
        <v>31405</v>
      </c>
      <c r="N8" s="2208">
        <v>45517</v>
      </c>
      <c r="O8" s="2211"/>
      <c r="P8" s="2209"/>
    </row>
    <row r="9" spans="1:16" x14ac:dyDescent="0.15">
      <c r="A9" s="2210" t="s">
        <v>7</v>
      </c>
      <c r="B9" s="2207">
        <v>1144827</v>
      </c>
      <c r="C9" s="2208">
        <v>104917</v>
      </c>
      <c r="D9" s="2208">
        <v>96686</v>
      </c>
      <c r="E9" s="2208">
        <v>55893</v>
      </c>
      <c r="F9" s="2208">
        <v>113609</v>
      </c>
      <c r="G9" s="2208">
        <v>99127</v>
      </c>
      <c r="H9" s="2208">
        <v>121007</v>
      </c>
      <c r="I9" s="2208">
        <v>169194</v>
      </c>
      <c r="J9" s="2208">
        <v>109619</v>
      </c>
      <c r="K9" s="2208">
        <v>55640</v>
      </c>
      <c r="L9" s="2208">
        <v>76393</v>
      </c>
      <c r="M9" s="2208">
        <v>60112</v>
      </c>
      <c r="N9" s="2208">
        <v>82630</v>
      </c>
      <c r="O9" s="2211"/>
      <c r="P9" s="2209"/>
    </row>
    <row r="10" spans="1:16" x14ac:dyDescent="0.15">
      <c r="A10" s="2210" t="s">
        <v>8</v>
      </c>
      <c r="B10" s="2207">
        <v>55461</v>
      </c>
      <c r="C10" s="2208">
        <v>0</v>
      </c>
      <c r="D10" s="2208">
        <v>0</v>
      </c>
      <c r="E10" s="2208">
        <v>0</v>
      </c>
      <c r="F10" s="2208">
        <v>0</v>
      </c>
      <c r="G10" s="2208">
        <v>0</v>
      </c>
      <c r="H10" s="2208">
        <v>0</v>
      </c>
      <c r="I10" s="2208">
        <v>0</v>
      </c>
      <c r="J10" s="2208">
        <v>0</v>
      </c>
      <c r="K10" s="2208">
        <v>3294</v>
      </c>
      <c r="L10" s="2208">
        <v>20132</v>
      </c>
      <c r="M10" s="2208">
        <v>12705</v>
      </c>
      <c r="N10" s="2208">
        <v>19330</v>
      </c>
      <c r="O10" s="2211"/>
      <c r="P10" s="2209"/>
    </row>
    <row r="11" spans="1:16" x14ac:dyDescent="0.15">
      <c r="A11" s="2210" t="s">
        <v>9</v>
      </c>
      <c r="B11" s="2207">
        <v>845969</v>
      </c>
      <c r="C11" s="2208">
        <v>82149</v>
      </c>
      <c r="D11" s="2208">
        <v>89589</v>
      </c>
      <c r="E11" s="2208">
        <v>51573</v>
      </c>
      <c r="F11" s="2208">
        <v>79754</v>
      </c>
      <c r="G11" s="2208">
        <v>69222</v>
      </c>
      <c r="H11" s="2208">
        <v>85483</v>
      </c>
      <c r="I11" s="2208">
        <v>125563</v>
      </c>
      <c r="J11" s="2208">
        <v>78118</v>
      </c>
      <c r="K11" s="2208">
        <v>33537</v>
      </c>
      <c r="L11" s="2208">
        <v>41031</v>
      </c>
      <c r="M11" s="2208">
        <v>41718</v>
      </c>
      <c r="N11" s="2208">
        <v>68232</v>
      </c>
      <c r="O11" s="2211"/>
      <c r="P11" s="2209"/>
    </row>
    <row r="12" spans="1:16" x14ac:dyDescent="0.15">
      <c r="A12" s="2210" t="s">
        <v>10</v>
      </c>
      <c r="B12" s="2207">
        <v>2154844</v>
      </c>
      <c r="C12" s="2208">
        <v>210220</v>
      </c>
      <c r="D12" s="2208">
        <v>209265</v>
      </c>
      <c r="E12" s="2208">
        <v>121451</v>
      </c>
      <c r="F12" s="2208">
        <v>197357</v>
      </c>
      <c r="G12" s="2208">
        <v>186263</v>
      </c>
      <c r="H12" s="2208">
        <v>211093</v>
      </c>
      <c r="I12" s="2208">
        <v>349521</v>
      </c>
      <c r="J12" s="2208">
        <v>172945</v>
      </c>
      <c r="K12" s="2208">
        <v>93016</v>
      </c>
      <c r="L12" s="2208">
        <v>136288</v>
      </c>
      <c r="M12" s="2208">
        <v>105287</v>
      </c>
      <c r="N12" s="2208">
        <v>162138</v>
      </c>
      <c r="O12" s="2211"/>
      <c r="P12" s="2209"/>
    </row>
    <row r="13" spans="1:16" x14ac:dyDescent="0.15">
      <c r="A13" s="2210" t="s">
        <v>11</v>
      </c>
      <c r="B13" s="2207">
        <v>14914797</v>
      </c>
      <c r="C13" s="2208">
        <v>1327683</v>
      </c>
      <c r="D13" s="2208">
        <v>1286263</v>
      </c>
      <c r="E13" s="2208">
        <v>903721</v>
      </c>
      <c r="F13" s="2208">
        <v>1345043</v>
      </c>
      <c r="G13" s="2208">
        <v>1351354</v>
      </c>
      <c r="H13" s="2208">
        <v>1406017</v>
      </c>
      <c r="I13" s="2208">
        <v>2297268</v>
      </c>
      <c r="J13" s="2208">
        <v>1218471</v>
      </c>
      <c r="K13" s="2208">
        <v>767660</v>
      </c>
      <c r="L13" s="2208">
        <v>1086915</v>
      </c>
      <c r="M13" s="2208">
        <v>824797</v>
      </c>
      <c r="N13" s="2208">
        <v>1099605</v>
      </c>
      <c r="O13" s="2211"/>
      <c r="P13" s="2209"/>
    </row>
    <row r="14" spans="1:16" x14ac:dyDescent="0.15">
      <c r="A14" s="2210" t="s">
        <v>12</v>
      </c>
      <c r="B14" s="2207">
        <v>777122</v>
      </c>
      <c r="C14" s="2208">
        <v>59107</v>
      </c>
      <c r="D14" s="2208">
        <v>66473</v>
      </c>
      <c r="E14" s="2208">
        <v>42284</v>
      </c>
      <c r="F14" s="2208">
        <v>79997</v>
      </c>
      <c r="G14" s="2208">
        <v>67450</v>
      </c>
      <c r="H14" s="2208">
        <v>84328</v>
      </c>
      <c r="I14" s="2208">
        <v>133530</v>
      </c>
      <c r="J14" s="2208">
        <v>65986</v>
      </c>
      <c r="K14" s="2208">
        <v>35576</v>
      </c>
      <c r="L14" s="2208">
        <v>52396</v>
      </c>
      <c r="M14" s="2208">
        <v>36423</v>
      </c>
      <c r="N14" s="2208">
        <v>53572</v>
      </c>
      <c r="O14" s="2211"/>
      <c r="P14" s="2209"/>
    </row>
    <row r="15" spans="1:16" x14ac:dyDescent="0.15">
      <c r="A15" s="2210" t="s">
        <v>13</v>
      </c>
      <c r="B15" s="2207">
        <v>570016</v>
      </c>
      <c r="C15" s="2208">
        <v>40852</v>
      </c>
      <c r="D15" s="2208">
        <v>49193</v>
      </c>
      <c r="E15" s="2208">
        <v>31288</v>
      </c>
      <c r="F15" s="2208">
        <v>60905</v>
      </c>
      <c r="G15" s="2208">
        <v>46630</v>
      </c>
      <c r="H15" s="2208">
        <v>58111</v>
      </c>
      <c r="I15" s="2208">
        <v>101541</v>
      </c>
      <c r="J15" s="2208">
        <v>51957</v>
      </c>
      <c r="K15" s="2208">
        <v>23852</v>
      </c>
      <c r="L15" s="2208">
        <v>37617</v>
      </c>
      <c r="M15" s="2208">
        <v>28470</v>
      </c>
      <c r="N15" s="2208">
        <v>39600</v>
      </c>
      <c r="O15" s="2211"/>
      <c r="P15" s="2209"/>
    </row>
    <row r="16" spans="1:16" x14ac:dyDescent="0.15">
      <c r="A16" s="2210" t="s">
        <v>14</v>
      </c>
      <c r="B16" s="2207">
        <v>2458669</v>
      </c>
      <c r="C16" s="2208">
        <v>190742</v>
      </c>
      <c r="D16" s="2208">
        <v>216315</v>
      </c>
      <c r="E16" s="2208">
        <v>135533</v>
      </c>
      <c r="F16" s="2208">
        <v>216839</v>
      </c>
      <c r="G16" s="2208">
        <v>196518</v>
      </c>
      <c r="H16" s="2208">
        <v>231961</v>
      </c>
      <c r="I16" s="2208">
        <v>399285</v>
      </c>
      <c r="J16" s="2208">
        <v>241172</v>
      </c>
      <c r="K16" s="2208">
        <v>127807</v>
      </c>
      <c r="L16" s="2208">
        <v>178156</v>
      </c>
      <c r="M16" s="2208">
        <v>138595</v>
      </c>
      <c r="N16" s="2208">
        <v>185746</v>
      </c>
      <c r="O16" s="2211"/>
      <c r="P16" s="2209"/>
    </row>
    <row r="17" spans="1:19" x14ac:dyDescent="0.15">
      <c r="A17" s="2210" t="s">
        <v>15</v>
      </c>
      <c r="B17" s="2207">
        <v>763395</v>
      </c>
      <c r="C17" s="2208">
        <v>53453</v>
      </c>
      <c r="D17" s="2208">
        <v>63611</v>
      </c>
      <c r="E17" s="2208">
        <v>43701</v>
      </c>
      <c r="F17" s="2208">
        <v>75844</v>
      </c>
      <c r="G17" s="2208">
        <v>61761</v>
      </c>
      <c r="H17" s="2208">
        <v>72803</v>
      </c>
      <c r="I17" s="2208">
        <v>135062</v>
      </c>
      <c r="J17" s="2208">
        <v>75199</v>
      </c>
      <c r="K17" s="2208">
        <v>38692</v>
      </c>
      <c r="L17" s="2208">
        <v>49246</v>
      </c>
      <c r="M17" s="2208">
        <v>38748</v>
      </c>
      <c r="N17" s="2208">
        <v>55275</v>
      </c>
      <c r="O17" s="2211"/>
      <c r="P17" s="2209"/>
    </row>
    <row r="18" spans="1:19" x14ac:dyDescent="0.15">
      <c r="A18" s="2210" t="s">
        <v>301</v>
      </c>
      <c r="B18" s="2207">
        <v>319050</v>
      </c>
      <c r="C18" s="2208">
        <v>21676</v>
      </c>
      <c r="D18" s="2208">
        <v>25585</v>
      </c>
      <c r="E18" s="2208">
        <v>19824</v>
      </c>
      <c r="F18" s="2208">
        <v>31976</v>
      </c>
      <c r="G18" s="2208">
        <v>28829</v>
      </c>
      <c r="H18" s="2208">
        <v>35203</v>
      </c>
      <c r="I18" s="2208">
        <v>51844</v>
      </c>
      <c r="J18" s="2208">
        <v>29825</v>
      </c>
      <c r="K18" s="2208">
        <v>14627</v>
      </c>
      <c r="L18" s="2208">
        <v>17546</v>
      </c>
      <c r="M18" s="2208">
        <v>17073</v>
      </c>
      <c r="N18" s="2208">
        <v>25042</v>
      </c>
      <c r="O18" s="2211"/>
      <c r="P18" s="2209"/>
    </row>
    <row r="19" spans="1:19" x14ac:dyDescent="0.15">
      <c r="A19" s="2210" t="s">
        <v>17</v>
      </c>
      <c r="B19" s="2207">
        <v>775969</v>
      </c>
      <c r="C19" s="2208">
        <v>60790</v>
      </c>
      <c r="D19" s="2208">
        <v>67207</v>
      </c>
      <c r="E19" s="2208">
        <v>42646</v>
      </c>
      <c r="F19" s="2208">
        <v>70211</v>
      </c>
      <c r="G19" s="2208">
        <v>60499</v>
      </c>
      <c r="H19" s="2208">
        <v>80050</v>
      </c>
      <c r="I19" s="2208">
        <v>128011</v>
      </c>
      <c r="J19" s="2208">
        <v>75401</v>
      </c>
      <c r="K19" s="2208">
        <v>37488</v>
      </c>
      <c r="L19" s="2208">
        <v>51928</v>
      </c>
      <c r="M19" s="2208">
        <v>40709</v>
      </c>
      <c r="N19" s="2208">
        <v>61029</v>
      </c>
      <c r="O19" s="2211"/>
      <c r="P19" s="2209"/>
    </row>
    <row r="20" spans="1:19" x14ac:dyDescent="0.15">
      <c r="A20" s="2210" t="s">
        <v>19</v>
      </c>
      <c r="B20" s="2207">
        <v>217868</v>
      </c>
      <c r="C20" s="2208">
        <v>19375</v>
      </c>
      <c r="D20" s="2208">
        <v>18334</v>
      </c>
      <c r="E20" s="2208">
        <v>12873</v>
      </c>
      <c r="F20" s="2208">
        <v>20947</v>
      </c>
      <c r="G20" s="2208">
        <v>16658</v>
      </c>
      <c r="H20" s="2208">
        <v>20397</v>
      </c>
      <c r="I20" s="2208">
        <v>36081</v>
      </c>
      <c r="J20" s="2208">
        <v>19803</v>
      </c>
      <c r="K20" s="2208">
        <v>9988</v>
      </c>
      <c r="L20" s="2208">
        <v>12983</v>
      </c>
      <c r="M20" s="2208">
        <v>11936</v>
      </c>
      <c r="N20" s="2208">
        <v>18493</v>
      </c>
      <c r="O20" s="2211"/>
      <c r="P20" s="2209"/>
    </row>
    <row r="21" spans="1:19" x14ac:dyDescent="0.15">
      <c r="A21" s="2212"/>
      <c r="B21" s="2212"/>
      <c r="C21" s="2213"/>
      <c r="D21" s="2211"/>
      <c r="E21" s="2211"/>
      <c r="F21" s="2211"/>
      <c r="G21" s="2211"/>
      <c r="H21" s="2211"/>
      <c r="I21" s="2211"/>
      <c r="J21" s="2211"/>
      <c r="K21" s="2211"/>
      <c r="L21" s="2211"/>
      <c r="M21" s="2211"/>
      <c r="N21" s="2211"/>
      <c r="O21" s="2211"/>
      <c r="P21" s="2211"/>
    </row>
    <row r="22" spans="1:19" s="1348" customFormat="1" ht="11.25" customHeight="1" x14ac:dyDescent="0.15">
      <c r="A22" s="737" t="s">
        <v>2786</v>
      </c>
      <c r="B22" s="737"/>
      <c r="C22" s="2215"/>
      <c r="D22" s="2215"/>
      <c r="E22" s="2215"/>
      <c r="F22" s="2215"/>
      <c r="G22" s="2215"/>
      <c r="H22" s="2215"/>
      <c r="I22" s="2215"/>
      <c r="J22" s="2215"/>
      <c r="K22" s="2215"/>
      <c r="L22" s="2215"/>
      <c r="M22" s="2215"/>
      <c r="N22" s="2215"/>
      <c r="O22" s="2215"/>
      <c r="P22" s="2214"/>
    </row>
    <row r="23" spans="1:19" s="1348" customFormat="1" ht="11.25" customHeight="1" x14ac:dyDescent="0.15">
      <c r="A23" s="2215"/>
      <c r="B23" s="2215"/>
      <c r="C23" s="2215"/>
      <c r="D23" s="2215"/>
      <c r="E23" s="2215"/>
      <c r="F23" s="2215"/>
      <c r="G23" s="2215"/>
      <c r="H23" s="2215"/>
      <c r="I23" s="2215"/>
      <c r="J23" s="2215"/>
      <c r="K23" s="2215"/>
      <c r="L23" s="2215"/>
      <c r="M23" s="2215"/>
      <c r="N23" s="2215"/>
      <c r="O23" s="2215"/>
      <c r="P23" s="2214"/>
    </row>
    <row r="24" spans="1:19" s="1348" customFormat="1" ht="11.25" customHeight="1" x14ac:dyDescent="0.15">
      <c r="A24" s="2215"/>
      <c r="B24" s="2215"/>
      <c r="C24" s="2215"/>
      <c r="D24" s="2215"/>
      <c r="E24" s="2215"/>
      <c r="F24" s="2215"/>
      <c r="G24" s="2215"/>
      <c r="H24" s="2215"/>
      <c r="I24" s="2215"/>
      <c r="J24" s="2215"/>
      <c r="K24" s="2215"/>
      <c r="L24" s="2215"/>
      <c r="M24" s="2215"/>
      <c r="N24" s="2215"/>
      <c r="O24" s="2215"/>
      <c r="P24" s="2214"/>
    </row>
    <row r="25" spans="1:19" s="1348" customFormat="1" ht="11.25" customHeight="1" x14ac:dyDescent="0.15">
      <c r="A25" s="2215"/>
      <c r="B25" s="2215"/>
      <c r="C25" s="2215"/>
      <c r="D25" s="2215"/>
      <c r="E25" s="2215"/>
      <c r="F25" s="2215"/>
      <c r="G25" s="2215"/>
      <c r="H25" s="2215"/>
      <c r="I25" s="2215"/>
      <c r="J25" s="2215"/>
      <c r="K25" s="2215"/>
      <c r="L25" s="2215"/>
      <c r="M25" s="2215"/>
      <c r="N25" s="2215"/>
      <c r="O25" s="2215"/>
      <c r="P25" s="387"/>
      <c r="Q25" s="387"/>
      <c r="R25" s="387"/>
      <c r="S25" s="387"/>
    </row>
    <row r="26" spans="1:19" s="1349" customFormat="1" ht="11.25" customHeight="1" x14ac:dyDescent="0.15">
      <c r="A26" s="399"/>
      <c r="B26" s="399"/>
      <c r="C26" s="399"/>
      <c r="D26" s="399"/>
      <c r="E26" s="399"/>
      <c r="F26" s="399"/>
      <c r="G26" s="399"/>
      <c r="H26" s="399"/>
      <c r="I26" s="399"/>
      <c r="J26" s="399"/>
      <c r="K26" s="399"/>
      <c r="L26" s="399"/>
      <c r="M26" s="399"/>
      <c r="N26" s="399"/>
      <c r="O26" s="399"/>
      <c r="P26" s="2216"/>
    </row>
    <row r="27" spans="1:19" s="1349" customFormat="1" ht="15" x14ac:dyDescent="0.25">
      <c r="A27" s="2216"/>
      <c r="B27" s="1338"/>
      <c r="C27" s="2217"/>
      <c r="D27" s="2218"/>
      <c r="E27" s="2216"/>
      <c r="F27" s="2216"/>
      <c r="G27" s="2216"/>
      <c r="H27" s="2216"/>
      <c r="I27" s="2216"/>
      <c r="J27" s="2216"/>
      <c r="K27" s="2216"/>
      <c r="L27" s="2216"/>
      <c r="M27" s="2216"/>
      <c r="N27" s="2216"/>
      <c r="O27" s="2216"/>
      <c r="P27" s="2216"/>
    </row>
    <row r="28" spans="1:19" x14ac:dyDescent="0.15">
      <c r="A28" s="2209"/>
      <c r="B28" s="2219"/>
      <c r="C28" s="2209"/>
      <c r="D28" s="2209"/>
      <c r="E28" s="2209"/>
      <c r="F28" s="2209"/>
      <c r="G28" s="2209"/>
      <c r="H28" s="2209"/>
      <c r="I28" s="2209"/>
      <c r="J28" s="2209"/>
      <c r="K28" s="2209"/>
      <c r="L28" s="2209"/>
      <c r="M28" s="2209"/>
      <c r="N28" s="2209"/>
      <c r="O28" s="2209"/>
      <c r="P28" s="2209"/>
    </row>
  </sheetData>
  <mergeCells count="4">
    <mergeCell ref="A2:O2"/>
    <mergeCell ref="A4:A5"/>
    <mergeCell ref="B4:B5"/>
    <mergeCell ref="C4:N4"/>
  </mergeCells>
  <pageMargins left="0.7" right="0.7" top="0.75" bottom="0.75" header="0.3" footer="0.3"/>
  <pageSetup paperSize="14" scale="79"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2:K29"/>
  <sheetViews>
    <sheetView workbookViewId="0">
      <selection activeCell="F32" sqref="F32"/>
    </sheetView>
  </sheetViews>
  <sheetFormatPr baseColWidth="10" defaultRowHeight="10.5" x14ac:dyDescent="0.15"/>
  <cols>
    <col min="1" max="1" width="40.140625" style="2140" customWidth="1"/>
    <col min="2" max="2" width="15" style="2140" customWidth="1"/>
    <col min="3" max="3" width="13.5703125" style="2140" customWidth="1"/>
    <col min="4" max="4" width="11.85546875" style="2140" customWidth="1"/>
    <col min="5" max="5" width="9.140625" style="2140" customWidth="1"/>
    <col min="6" max="6" width="12.85546875" style="2140" customWidth="1"/>
    <col min="7" max="7" width="13.42578125" style="2140" customWidth="1"/>
    <col min="8" max="8" width="11.140625" style="2140" bestFit="1" customWidth="1"/>
    <col min="9" max="9" width="14.28515625" style="2140" customWidth="1"/>
    <col min="10" max="10" width="15.7109375" style="2140" customWidth="1"/>
    <col min="11" max="11" width="16.140625" style="2140" customWidth="1"/>
    <col min="12" max="16384" width="11.42578125" style="2140"/>
  </cols>
  <sheetData>
    <row r="2" spans="1:11" ht="30" customHeight="1" x14ac:dyDescent="0.15">
      <c r="A2" s="3215" t="s">
        <v>2789</v>
      </c>
      <c r="B2" s="3215"/>
      <c r="C2" s="3215"/>
      <c r="D2" s="3215"/>
      <c r="E2" s="3215"/>
      <c r="F2" s="3215"/>
      <c r="G2" s="3215"/>
      <c r="H2" s="3215"/>
      <c r="I2" s="3215"/>
      <c r="J2" s="3215"/>
      <c r="K2" s="3215"/>
    </row>
    <row r="3" spans="1:11" ht="10.5" customHeight="1" x14ac:dyDescent="0.15"/>
    <row r="4" spans="1:11" s="753" customFormat="1" ht="31.5" x14ac:dyDescent="0.15">
      <c r="A4" s="2206" t="s">
        <v>2790</v>
      </c>
      <c r="B4" s="2205" t="s">
        <v>2791</v>
      </c>
      <c r="C4" s="2205" t="s">
        <v>2792</v>
      </c>
      <c r="D4" s="2205" t="s">
        <v>2793</v>
      </c>
      <c r="E4" s="2205" t="s">
        <v>2794</v>
      </c>
      <c r="F4" s="2205" t="s">
        <v>2795</v>
      </c>
      <c r="G4" s="2205" t="s">
        <v>2796</v>
      </c>
      <c r="H4" s="2205" t="s">
        <v>2797</v>
      </c>
      <c r="I4" s="2205" t="s">
        <v>2760</v>
      </c>
      <c r="J4" s="2205" t="s">
        <v>2798</v>
      </c>
      <c r="K4" s="2205" t="s">
        <v>2799</v>
      </c>
    </row>
    <row r="5" spans="1:11" x14ac:dyDescent="0.15">
      <c r="A5" s="737" t="s">
        <v>2800</v>
      </c>
      <c r="B5" s="755">
        <v>1</v>
      </c>
      <c r="C5" s="736">
        <v>2076255</v>
      </c>
      <c r="D5" s="2220">
        <v>42194</v>
      </c>
      <c r="E5" s="2221" t="s">
        <v>181</v>
      </c>
      <c r="F5" s="2222" t="s">
        <v>2801</v>
      </c>
      <c r="G5" s="1299">
        <v>172</v>
      </c>
      <c r="H5" s="1299">
        <v>14</v>
      </c>
      <c r="I5" s="736">
        <v>6870953617</v>
      </c>
      <c r="J5" s="737" t="s">
        <v>2802</v>
      </c>
      <c r="K5" s="1299">
        <v>2015</v>
      </c>
    </row>
    <row r="6" spans="1:11" x14ac:dyDescent="0.15">
      <c r="A6" s="737" t="s">
        <v>2803</v>
      </c>
      <c r="B6" s="755">
        <v>2</v>
      </c>
      <c r="C6" s="736">
        <v>1569389</v>
      </c>
      <c r="D6" s="2220">
        <v>42173</v>
      </c>
      <c r="E6" s="2221" t="s">
        <v>181</v>
      </c>
      <c r="F6" s="2222" t="s">
        <v>2801</v>
      </c>
      <c r="G6" s="1299">
        <v>139</v>
      </c>
      <c r="H6" s="1299">
        <v>17</v>
      </c>
      <c r="I6" s="736">
        <v>4753503217</v>
      </c>
      <c r="J6" s="737" t="s">
        <v>2802</v>
      </c>
      <c r="K6" s="1299">
        <v>2015</v>
      </c>
    </row>
    <row r="7" spans="1:11" x14ac:dyDescent="0.15">
      <c r="A7" s="737" t="s">
        <v>2804</v>
      </c>
      <c r="B7" s="755">
        <v>3</v>
      </c>
      <c r="C7" s="736">
        <v>1530969</v>
      </c>
      <c r="D7" s="2220">
        <v>42096</v>
      </c>
      <c r="E7" s="2221" t="s">
        <v>181</v>
      </c>
      <c r="F7" s="2222">
        <v>14</v>
      </c>
      <c r="G7" s="1299">
        <v>213</v>
      </c>
      <c r="H7" s="1299">
        <v>11</v>
      </c>
      <c r="I7" s="736">
        <v>5782840066</v>
      </c>
      <c r="J7" s="737" t="s">
        <v>2805</v>
      </c>
      <c r="K7" s="1299">
        <v>2015</v>
      </c>
    </row>
    <row r="8" spans="1:11" x14ac:dyDescent="0.15">
      <c r="A8" s="737" t="s">
        <v>2806</v>
      </c>
      <c r="B8" s="755">
        <v>4</v>
      </c>
      <c r="C8" s="736">
        <v>1217500</v>
      </c>
      <c r="D8" s="2220">
        <v>42124</v>
      </c>
      <c r="E8" s="2221" t="s">
        <v>181</v>
      </c>
      <c r="F8" s="2222" t="s">
        <v>2807</v>
      </c>
      <c r="G8" s="1299">
        <v>251</v>
      </c>
      <c r="H8" s="1299">
        <v>8</v>
      </c>
      <c r="I8" s="736">
        <v>4518840820</v>
      </c>
      <c r="J8" s="737" t="s">
        <v>2802</v>
      </c>
      <c r="K8" s="1299">
        <v>2014</v>
      </c>
    </row>
    <row r="9" spans="1:11" x14ac:dyDescent="0.15">
      <c r="A9" s="737" t="s">
        <v>2808</v>
      </c>
      <c r="B9" s="755">
        <v>5</v>
      </c>
      <c r="C9" s="736">
        <v>1046423</v>
      </c>
      <c r="D9" s="2220">
        <v>42222</v>
      </c>
      <c r="E9" s="2221" t="s">
        <v>181</v>
      </c>
      <c r="F9" s="2222" t="s">
        <v>2801</v>
      </c>
      <c r="G9" s="1299">
        <v>183</v>
      </c>
      <c r="H9" s="1299">
        <v>13</v>
      </c>
      <c r="I9" s="736">
        <v>3409887207</v>
      </c>
      <c r="J9" s="737" t="s">
        <v>2802</v>
      </c>
      <c r="K9" s="1299">
        <v>2015</v>
      </c>
    </row>
    <row r="10" spans="1:11" x14ac:dyDescent="0.15">
      <c r="A10" s="737" t="s">
        <v>2809</v>
      </c>
      <c r="B10" s="755">
        <v>6</v>
      </c>
      <c r="C10" s="736">
        <v>1025374</v>
      </c>
      <c r="D10" s="2220">
        <v>42166</v>
      </c>
      <c r="E10" s="2221" t="s">
        <v>181</v>
      </c>
      <c r="F10" s="2222" t="s">
        <v>2807</v>
      </c>
      <c r="G10" s="1299">
        <v>196</v>
      </c>
      <c r="H10" s="1299">
        <v>13</v>
      </c>
      <c r="I10" s="736">
        <v>3846774368</v>
      </c>
      <c r="J10" s="737" t="s">
        <v>2802</v>
      </c>
      <c r="K10" s="1299">
        <v>2015</v>
      </c>
    </row>
    <row r="11" spans="1:11" x14ac:dyDescent="0.15">
      <c r="A11" s="737" t="s">
        <v>2810</v>
      </c>
      <c r="B11" s="755">
        <v>7</v>
      </c>
      <c r="C11" s="736">
        <v>990033</v>
      </c>
      <c r="D11" s="2220">
        <v>42152</v>
      </c>
      <c r="E11" s="2221" t="s">
        <v>181</v>
      </c>
      <c r="F11" s="2222" t="s">
        <v>2807</v>
      </c>
      <c r="G11" s="1299">
        <v>207</v>
      </c>
      <c r="H11" s="1299">
        <v>14</v>
      </c>
      <c r="I11" s="736">
        <v>3593667876</v>
      </c>
      <c r="J11" s="737" t="s">
        <v>2802</v>
      </c>
      <c r="K11" s="1299">
        <v>2015</v>
      </c>
    </row>
    <row r="12" spans="1:11" x14ac:dyDescent="0.15">
      <c r="A12" s="737" t="s">
        <v>2811</v>
      </c>
      <c r="B12" s="755">
        <v>8</v>
      </c>
      <c r="C12" s="736">
        <v>934463</v>
      </c>
      <c r="D12" s="2220">
        <v>42271</v>
      </c>
      <c r="E12" s="2221" t="s">
        <v>181</v>
      </c>
      <c r="F12" s="2222" t="s">
        <v>2801</v>
      </c>
      <c r="G12" s="1299">
        <v>155</v>
      </c>
      <c r="H12" s="1299">
        <v>13</v>
      </c>
      <c r="I12" s="736">
        <v>2742331732</v>
      </c>
      <c r="J12" s="737" t="s">
        <v>2802</v>
      </c>
      <c r="K12" s="1299">
        <v>2015</v>
      </c>
    </row>
    <row r="13" spans="1:11" x14ac:dyDescent="0.15">
      <c r="A13" s="737" t="s">
        <v>2812</v>
      </c>
      <c r="B13" s="755">
        <v>9</v>
      </c>
      <c r="C13" s="736">
        <v>800145</v>
      </c>
      <c r="D13" s="2220">
        <v>42355</v>
      </c>
      <c r="E13" s="2221" t="s">
        <v>181</v>
      </c>
      <c r="F13" s="2222" t="s">
        <v>2801</v>
      </c>
      <c r="G13" s="1299">
        <v>300</v>
      </c>
      <c r="H13" s="1299">
        <v>3</v>
      </c>
      <c r="I13" s="736">
        <v>3687298073</v>
      </c>
      <c r="J13" s="737" t="s">
        <v>2802</v>
      </c>
      <c r="K13" s="1299">
        <v>2015</v>
      </c>
    </row>
    <row r="14" spans="1:11" x14ac:dyDescent="0.15">
      <c r="A14" s="737" t="s">
        <v>2813</v>
      </c>
      <c r="B14" s="755">
        <v>10</v>
      </c>
      <c r="C14" s="736">
        <v>682657</v>
      </c>
      <c r="D14" s="2220">
        <v>42047</v>
      </c>
      <c r="E14" s="2221" t="s">
        <v>181</v>
      </c>
      <c r="F14" s="2223">
        <v>18</v>
      </c>
      <c r="G14" s="2105">
        <v>115</v>
      </c>
      <c r="H14" s="2105">
        <v>10</v>
      </c>
      <c r="I14" s="736">
        <v>2161421879</v>
      </c>
      <c r="J14" s="737" t="s">
        <v>2802</v>
      </c>
      <c r="K14" s="2105">
        <v>2014</v>
      </c>
    </row>
    <row r="15" spans="1:11" x14ac:dyDescent="0.15">
      <c r="A15" s="737" t="s">
        <v>2814</v>
      </c>
      <c r="B15" s="755">
        <v>11</v>
      </c>
      <c r="C15" s="736">
        <v>627722</v>
      </c>
      <c r="D15" s="2220">
        <v>42327</v>
      </c>
      <c r="E15" s="2221" t="s">
        <v>181</v>
      </c>
      <c r="F15" s="2222">
        <v>14</v>
      </c>
      <c r="G15" s="1299">
        <v>231</v>
      </c>
      <c r="H15" s="1299">
        <v>7</v>
      </c>
      <c r="I15" s="736">
        <v>2255978434</v>
      </c>
      <c r="J15" s="737" t="s">
        <v>2802</v>
      </c>
      <c r="K15" s="1299">
        <v>2015</v>
      </c>
    </row>
    <row r="16" spans="1:11" x14ac:dyDescent="0.15">
      <c r="A16" s="737" t="s">
        <v>2815</v>
      </c>
      <c r="B16" s="755">
        <v>12</v>
      </c>
      <c r="C16" s="736">
        <v>540820</v>
      </c>
      <c r="D16" s="2220">
        <v>42334</v>
      </c>
      <c r="E16" s="2221" t="s">
        <v>181</v>
      </c>
      <c r="F16" s="2222" t="s">
        <v>2801</v>
      </c>
      <c r="G16" s="1299">
        <v>132</v>
      </c>
      <c r="H16" s="1299">
        <v>6</v>
      </c>
      <c r="I16" s="736">
        <v>1569532429</v>
      </c>
      <c r="J16" s="737" t="s">
        <v>2802</v>
      </c>
      <c r="K16" s="1299">
        <v>2015</v>
      </c>
    </row>
    <row r="17" spans="1:11" x14ac:dyDescent="0.15">
      <c r="A17" s="737" t="s">
        <v>2816</v>
      </c>
      <c r="B17" s="755">
        <v>13</v>
      </c>
      <c r="C17" s="736">
        <v>529748</v>
      </c>
      <c r="D17" s="2220">
        <v>42019</v>
      </c>
      <c r="E17" s="2221" t="s">
        <v>181</v>
      </c>
      <c r="F17" s="2222" t="s">
        <v>2801</v>
      </c>
      <c r="G17" s="1299">
        <v>134</v>
      </c>
      <c r="H17" s="1299">
        <v>12</v>
      </c>
      <c r="I17" s="736">
        <v>1512200427</v>
      </c>
      <c r="J17" s="737" t="s">
        <v>2802</v>
      </c>
      <c r="K17" s="1299">
        <v>2014</v>
      </c>
    </row>
    <row r="18" spans="1:11" x14ac:dyDescent="0.15">
      <c r="A18" s="737" t="s">
        <v>2817</v>
      </c>
      <c r="B18" s="755">
        <v>14</v>
      </c>
      <c r="C18" s="736">
        <v>498453</v>
      </c>
      <c r="D18" s="2220">
        <v>42089</v>
      </c>
      <c r="E18" s="2221" t="s">
        <v>181</v>
      </c>
      <c r="F18" s="2222" t="s">
        <v>2801</v>
      </c>
      <c r="G18" s="1299">
        <v>109</v>
      </c>
      <c r="H18" s="1299">
        <v>14</v>
      </c>
      <c r="I18" s="736">
        <v>1423993635</v>
      </c>
      <c r="J18" s="737" t="s">
        <v>2802</v>
      </c>
      <c r="K18" s="1299">
        <v>2015</v>
      </c>
    </row>
    <row r="19" spans="1:11" x14ac:dyDescent="0.15">
      <c r="A19" s="737" t="s">
        <v>2818</v>
      </c>
      <c r="B19" s="755">
        <v>15</v>
      </c>
      <c r="C19" s="736">
        <v>423698</v>
      </c>
      <c r="D19" s="2220">
        <v>42257</v>
      </c>
      <c r="E19" s="2221" t="s">
        <v>181</v>
      </c>
      <c r="F19" s="2222">
        <v>14</v>
      </c>
      <c r="G19" s="1299">
        <v>170</v>
      </c>
      <c r="H19" s="1299">
        <v>11</v>
      </c>
      <c r="I19" s="736">
        <v>1287664624</v>
      </c>
      <c r="J19" s="737" t="s">
        <v>2802</v>
      </c>
      <c r="K19" s="1299">
        <v>2015</v>
      </c>
    </row>
    <row r="20" spans="1:11" x14ac:dyDescent="0.15">
      <c r="A20" s="737" t="s">
        <v>2819</v>
      </c>
      <c r="B20" s="755">
        <v>16</v>
      </c>
      <c r="C20" s="736">
        <v>385541</v>
      </c>
      <c r="D20" s="2220">
        <v>42082</v>
      </c>
      <c r="E20" s="2221" t="s">
        <v>181</v>
      </c>
      <c r="F20" s="2222" t="s">
        <v>2801</v>
      </c>
      <c r="G20" s="1299">
        <v>104</v>
      </c>
      <c r="H20" s="1299">
        <v>10</v>
      </c>
      <c r="I20" s="736">
        <v>1087877727</v>
      </c>
      <c r="J20" s="737" t="s">
        <v>2802</v>
      </c>
      <c r="K20" s="1299">
        <v>2014</v>
      </c>
    </row>
    <row r="21" spans="1:11" x14ac:dyDescent="0.15">
      <c r="A21" s="737" t="s">
        <v>2820</v>
      </c>
      <c r="B21" s="755">
        <v>17</v>
      </c>
      <c r="C21" s="736">
        <v>373289</v>
      </c>
      <c r="D21" s="2220">
        <v>42040</v>
      </c>
      <c r="E21" s="2221" t="s">
        <v>181</v>
      </c>
      <c r="F21" s="2222" t="s">
        <v>2801</v>
      </c>
      <c r="G21" s="1299">
        <v>126</v>
      </c>
      <c r="H21" s="1299">
        <v>10</v>
      </c>
      <c r="I21" s="736">
        <v>1103727443</v>
      </c>
      <c r="J21" s="737" t="s">
        <v>2802</v>
      </c>
      <c r="K21" s="1299">
        <v>2014</v>
      </c>
    </row>
    <row r="22" spans="1:11" x14ac:dyDescent="0.15">
      <c r="A22" s="737" t="s">
        <v>2821</v>
      </c>
      <c r="B22" s="755">
        <v>18</v>
      </c>
      <c r="C22" s="736">
        <v>357109</v>
      </c>
      <c r="D22" s="2220">
        <v>42033</v>
      </c>
      <c r="E22" s="2221" t="s">
        <v>181</v>
      </c>
      <c r="F22" s="2222">
        <v>14</v>
      </c>
      <c r="G22" s="1299">
        <v>95</v>
      </c>
      <c r="H22" s="1299">
        <v>9</v>
      </c>
      <c r="I22" s="736">
        <v>1032447837</v>
      </c>
      <c r="J22" s="737" t="s">
        <v>2802</v>
      </c>
      <c r="K22" s="1299">
        <v>2014</v>
      </c>
    </row>
    <row r="23" spans="1:11" x14ac:dyDescent="0.15">
      <c r="A23" s="737" t="s">
        <v>2822</v>
      </c>
      <c r="B23" s="755">
        <v>19</v>
      </c>
      <c r="C23" s="736">
        <v>343444</v>
      </c>
      <c r="D23" s="2220">
        <v>42278</v>
      </c>
      <c r="E23" s="2221" t="s">
        <v>181</v>
      </c>
      <c r="F23" s="2222" t="s">
        <v>2801</v>
      </c>
      <c r="G23" s="1299">
        <v>138</v>
      </c>
      <c r="H23" s="1299">
        <v>11</v>
      </c>
      <c r="I23" s="736">
        <v>1094462421</v>
      </c>
      <c r="J23" s="737" t="s">
        <v>2802</v>
      </c>
      <c r="K23" s="1299">
        <v>2015</v>
      </c>
    </row>
    <row r="24" spans="1:11" x14ac:dyDescent="0.15">
      <c r="A24" s="737" t="s">
        <v>2823</v>
      </c>
      <c r="B24" s="755">
        <v>20</v>
      </c>
      <c r="C24" s="736">
        <v>324467</v>
      </c>
      <c r="D24" s="2220">
        <v>42082</v>
      </c>
      <c r="E24" s="2221" t="s">
        <v>181</v>
      </c>
      <c r="F24" s="2222">
        <v>14</v>
      </c>
      <c r="G24" s="1299">
        <v>187</v>
      </c>
      <c r="H24" s="1299">
        <v>8</v>
      </c>
      <c r="I24" s="736">
        <v>1039510603</v>
      </c>
      <c r="J24" s="737" t="s">
        <v>2802</v>
      </c>
      <c r="K24" s="1299">
        <v>2015</v>
      </c>
    </row>
    <row r="26" spans="1:11" x14ac:dyDescent="0.15">
      <c r="A26" s="2140" t="s">
        <v>2824</v>
      </c>
    </row>
    <row r="27" spans="1:11" x14ac:dyDescent="0.15">
      <c r="A27" s="2140" t="s">
        <v>2825</v>
      </c>
    </row>
    <row r="28" spans="1:11" x14ac:dyDescent="0.15">
      <c r="A28" s="2140" t="s">
        <v>2778</v>
      </c>
    </row>
    <row r="29" spans="1:11" x14ac:dyDescent="0.15">
      <c r="A29" s="2140" t="s">
        <v>2750</v>
      </c>
    </row>
  </sheetData>
  <mergeCells count="1">
    <mergeCell ref="A2:K2"/>
  </mergeCell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2:I11"/>
  <sheetViews>
    <sheetView workbookViewId="0">
      <selection activeCell="D25" sqref="D25"/>
    </sheetView>
  </sheetViews>
  <sheetFormatPr baseColWidth="10" defaultRowHeight="10.5" x14ac:dyDescent="0.15"/>
  <cols>
    <col min="1" max="1" width="26.42578125" style="2140" customWidth="1"/>
    <col min="2" max="2" width="20.42578125" style="2140" customWidth="1"/>
    <col min="3" max="3" width="16.42578125" style="2140" customWidth="1"/>
    <col min="4" max="4" width="14.5703125" style="2140" customWidth="1"/>
    <col min="5" max="5" width="12.7109375" style="2140" customWidth="1"/>
    <col min="6" max="6" width="21.5703125" style="2140" customWidth="1"/>
    <col min="7" max="7" width="10.7109375" style="2140" customWidth="1"/>
    <col min="8" max="8" width="16.42578125" style="2140" customWidth="1"/>
    <col min="9" max="9" width="18" style="2140" customWidth="1"/>
    <col min="10" max="10" width="16.5703125" style="2140" customWidth="1"/>
    <col min="11" max="16384" width="11.42578125" style="2140"/>
  </cols>
  <sheetData>
    <row r="2" spans="1:9" ht="22.5" customHeight="1" x14ac:dyDescent="0.15">
      <c r="A2" s="3215" t="s">
        <v>2826</v>
      </c>
      <c r="B2" s="3215"/>
      <c r="C2" s="3215"/>
      <c r="D2" s="3215"/>
      <c r="E2" s="3215"/>
      <c r="F2" s="3215"/>
      <c r="G2" s="3215"/>
      <c r="H2" s="3215"/>
      <c r="I2" s="3215"/>
    </row>
    <row r="3" spans="1:9" ht="10.5" customHeight="1" x14ac:dyDescent="0.15"/>
    <row r="4" spans="1:9" ht="11.25" x14ac:dyDescent="0.15">
      <c r="A4" s="1339" t="s">
        <v>2790</v>
      </c>
      <c r="B4" s="1339" t="s">
        <v>4264</v>
      </c>
      <c r="C4" s="1339" t="s">
        <v>2793</v>
      </c>
      <c r="D4" s="1339" t="s">
        <v>2798</v>
      </c>
      <c r="E4" s="1339" t="s">
        <v>4263</v>
      </c>
      <c r="F4" s="1339" t="s">
        <v>2797</v>
      </c>
      <c r="G4" s="1339" t="s">
        <v>2796</v>
      </c>
      <c r="H4" s="1339" t="s">
        <v>2792</v>
      </c>
      <c r="I4" s="1339" t="s">
        <v>2760</v>
      </c>
    </row>
    <row r="5" spans="1:9" x14ac:dyDescent="0.15">
      <c r="A5" s="737" t="s">
        <v>2827</v>
      </c>
      <c r="B5" s="755">
        <v>1</v>
      </c>
      <c r="C5" s="2220">
        <v>42117</v>
      </c>
      <c r="D5" s="737" t="s">
        <v>1890</v>
      </c>
      <c r="E5" s="2222">
        <v>14</v>
      </c>
      <c r="F5" s="1299">
        <v>13</v>
      </c>
      <c r="G5" s="1299">
        <v>55</v>
      </c>
      <c r="H5" s="736">
        <v>306209</v>
      </c>
      <c r="I5" s="736">
        <v>875243741</v>
      </c>
    </row>
    <row r="6" spans="1:9" x14ac:dyDescent="0.15">
      <c r="A6" s="737" t="s">
        <v>2828</v>
      </c>
      <c r="B6" s="755">
        <v>2</v>
      </c>
      <c r="C6" s="2220">
        <v>42257</v>
      </c>
      <c r="D6" s="737" t="s">
        <v>2829</v>
      </c>
      <c r="E6" s="2222">
        <v>14</v>
      </c>
      <c r="F6" s="1299">
        <v>11</v>
      </c>
      <c r="G6" s="1299">
        <v>54</v>
      </c>
      <c r="H6" s="736">
        <v>198429</v>
      </c>
      <c r="I6" s="736">
        <v>536303510</v>
      </c>
    </row>
    <row r="7" spans="1:9" ht="33" customHeight="1" x14ac:dyDescent="0.15">
      <c r="A7" s="737" t="s">
        <v>2830</v>
      </c>
      <c r="B7" s="755">
        <v>3</v>
      </c>
      <c r="C7" s="2220">
        <v>42243</v>
      </c>
      <c r="D7" s="2224" t="s">
        <v>2831</v>
      </c>
      <c r="E7" s="2222">
        <v>14</v>
      </c>
      <c r="F7" s="1299">
        <v>8</v>
      </c>
      <c r="G7" s="1299">
        <v>50</v>
      </c>
      <c r="H7" s="736">
        <v>87246</v>
      </c>
      <c r="I7" s="736">
        <v>260984791</v>
      </c>
    </row>
    <row r="9" spans="1:9" x14ac:dyDescent="0.15">
      <c r="A9" s="2140" t="s">
        <v>2824</v>
      </c>
    </row>
    <row r="10" spans="1:9" x14ac:dyDescent="0.15">
      <c r="A10" s="2140" t="s">
        <v>2825</v>
      </c>
    </row>
    <row r="11" spans="1:9" x14ac:dyDescent="0.15">
      <c r="A11" s="2140" t="s">
        <v>2750</v>
      </c>
    </row>
  </sheetData>
  <mergeCells count="1">
    <mergeCell ref="A2:I2"/>
  </mergeCell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E97"/>
  <sheetViews>
    <sheetView zoomScaleNormal="100" workbookViewId="0">
      <selection activeCell="A3" sqref="A3"/>
    </sheetView>
  </sheetViews>
  <sheetFormatPr baseColWidth="10" defaultColWidth="11.42578125" defaultRowHeight="10.5" x14ac:dyDescent="0.15"/>
  <cols>
    <col min="1" max="1" width="23.5703125" style="2104" customWidth="1"/>
    <col min="2" max="2" width="30.28515625" style="2104" customWidth="1"/>
    <col min="3" max="3" width="23.140625" style="2104" customWidth="1"/>
    <col min="4" max="4" width="40.28515625" style="2104" customWidth="1"/>
    <col min="5" max="5" width="24.140625" style="2104" customWidth="1"/>
    <col min="6" max="16384" width="11.42578125" style="2104"/>
  </cols>
  <sheetData>
    <row r="1" spans="1:5" x14ac:dyDescent="0.15">
      <c r="A1" s="3257"/>
      <c r="B1" s="3257"/>
      <c r="C1" s="3257"/>
      <c r="D1" s="3257"/>
      <c r="E1" s="3257"/>
    </row>
    <row r="2" spans="1:5" ht="22.5" customHeight="1" x14ac:dyDescent="0.15">
      <c r="A2" s="3258" t="s">
        <v>2832</v>
      </c>
      <c r="B2" s="3258"/>
      <c r="C2" s="3258"/>
      <c r="D2" s="3258"/>
      <c r="E2" s="3258"/>
    </row>
    <row r="3" spans="1:5" ht="10.5" customHeight="1" x14ac:dyDescent="0.15">
      <c r="A3" s="1350"/>
      <c r="B3" s="1350"/>
      <c r="C3" s="1350"/>
      <c r="D3" s="1350"/>
      <c r="E3" s="1350"/>
    </row>
    <row r="4" spans="1:5" ht="32.25" x14ac:dyDescent="0.15">
      <c r="A4" s="2126" t="s">
        <v>1</v>
      </c>
      <c r="B4" s="2126" t="s">
        <v>2833</v>
      </c>
      <c r="C4" s="2126" t="s">
        <v>2834</v>
      </c>
      <c r="D4" s="2126" t="s">
        <v>2835</v>
      </c>
      <c r="E4" s="2126" t="s">
        <v>2836</v>
      </c>
    </row>
    <row r="5" spans="1:5" x14ac:dyDescent="0.15">
      <c r="A5" s="1352" t="s">
        <v>141</v>
      </c>
      <c r="B5" s="1353">
        <f>SUM(B6:B20)</f>
        <v>3360</v>
      </c>
      <c r="C5" s="1353">
        <f t="shared" ref="C5:E5" si="0">SUM(C6:C20)</f>
        <v>255188</v>
      </c>
      <c r="D5" s="1353">
        <f t="shared" si="0"/>
        <v>67</v>
      </c>
      <c r="E5" s="1353">
        <f t="shared" si="0"/>
        <v>998</v>
      </c>
    </row>
    <row r="6" spans="1:5" x14ac:dyDescent="0.15">
      <c r="A6" s="2120" t="s">
        <v>5</v>
      </c>
      <c r="B6" s="1354">
        <v>9</v>
      </c>
      <c r="C6" s="237">
        <v>4333</v>
      </c>
      <c r="D6" s="237">
        <v>0</v>
      </c>
      <c r="E6" s="237">
        <v>15</v>
      </c>
    </row>
    <row r="7" spans="1:5" x14ac:dyDescent="0.15">
      <c r="A7" s="2120" t="s">
        <v>6</v>
      </c>
      <c r="B7" s="1354">
        <v>57</v>
      </c>
      <c r="C7" s="237">
        <v>6126</v>
      </c>
      <c r="D7" s="237">
        <v>1</v>
      </c>
      <c r="E7" s="237">
        <v>31</v>
      </c>
    </row>
    <row r="8" spans="1:5" x14ac:dyDescent="0.15">
      <c r="A8" s="2120" t="s">
        <v>7</v>
      </c>
      <c r="B8" s="1354">
        <v>210</v>
      </c>
      <c r="C8" s="237">
        <v>11409</v>
      </c>
      <c r="D8" s="237">
        <v>3</v>
      </c>
      <c r="E8" s="237">
        <v>22</v>
      </c>
    </row>
    <row r="9" spans="1:5" x14ac:dyDescent="0.15">
      <c r="A9" s="2120" t="s">
        <v>8</v>
      </c>
      <c r="B9" s="1354">
        <v>65</v>
      </c>
      <c r="C9" s="237">
        <v>7233</v>
      </c>
      <c r="D9" s="237">
        <v>2</v>
      </c>
      <c r="E9" s="237">
        <v>23</v>
      </c>
    </row>
    <row r="10" spans="1:5" x14ac:dyDescent="0.15">
      <c r="A10" s="2120" t="s">
        <v>9</v>
      </c>
      <c r="B10" s="1354">
        <v>228</v>
      </c>
      <c r="C10" s="237">
        <v>10484</v>
      </c>
      <c r="D10" s="237">
        <v>5</v>
      </c>
      <c r="E10" s="237">
        <v>42</v>
      </c>
    </row>
    <row r="11" spans="1:5" x14ac:dyDescent="0.15">
      <c r="A11" s="2120" t="s">
        <v>10</v>
      </c>
      <c r="B11" s="1354">
        <v>221</v>
      </c>
      <c r="C11" s="237">
        <v>23406</v>
      </c>
      <c r="D11" s="237">
        <v>5</v>
      </c>
      <c r="E11" s="237">
        <v>99</v>
      </c>
    </row>
    <row r="12" spans="1:5" x14ac:dyDescent="0.15">
      <c r="A12" s="2120" t="s">
        <v>11</v>
      </c>
      <c r="B12" s="1354">
        <v>1829</v>
      </c>
      <c r="C12" s="237">
        <v>83731</v>
      </c>
      <c r="D12" s="237">
        <v>25</v>
      </c>
      <c r="E12" s="237">
        <v>307</v>
      </c>
    </row>
    <row r="13" spans="1:5" x14ac:dyDescent="0.15">
      <c r="A13" s="2120" t="s">
        <v>512</v>
      </c>
      <c r="B13" s="1354">
        <v>219</v>
      </c>
      <c r="C13" s="237">
        <v>12174</v>
      </c>
      <c r="D13" s="237">
        <v>7</v>
      </c>
      <c r="E13" s="237">
        <v>49</v>
      </c>
    </row>
    <row r="14" spans="1:5" x14ac:dyDescent="0.15">
      <c r="A14" s="2120" t="s">
        <v>13</v>
      </c>
      <c r="B14" s="1354">
        <v>233</v>
      </c>
      <c r="C14" s="237">
        <v>20618</v>
      </c>
      <c r="D14" s="237">
        <v>7</v>
      </c>
      <c r="E14" s="237">
        <v>74</v>
      </c>
    </row>
    <row r="15" spans="1:5" x14ac:dyDescent="0.15">
      <c r="A15" s="2120" t="s">
        <v>14</v>
      </c>
      <c r="B15" s="1354">
        <v>118</v>
      </c>
      <c r="C15" s="237">
        <v>31627</v>
      </c>
      <c r="D15" s="237">
        <v>5</v>
      </c>
      <c r="E15" s="237">
        <v>131</v>
      </c>
    </row>
    <row r="16" spans="1:5" x14ac:dyDescent="0.15">
      <c r="A16" s="2120" t="s">
        <v>15</v>
      </c>
      <c r="B16" s="1354">
        <v>162</v>
      </c>
      <c r="C16" s="237">
        <v>19536</v>
      </c>
      <c r="D16" s="237">
        <v>5</v>
      </c>
      <c r="E16" s="237">
        <v>84</v>
      </c>
    </row>
    <row r="17" spans="1:5" x14ac:dyDescent="0.15">
      <c r="A17" s="2120" t="s">
        <v>301</v>
      </c>
      <c r="B17" s="237">
        <v>0</v>
      </c>
      <c r="C17" s="237">
        <v>7362</v>
      </c>
      <c r="D17" s="237">
        <v>1</v>
      </c>
      <c r="E17" s="237">
        <v>37</v>
      </c>
    </row>
    <row r="18" spans="1:5" x14ac:dyDescent="0.15">
      <c r="A18" s="2120" t="s">
        <v>303</v>
      </c>
      <c r="B18" s="1354">
        <v>9</v>
      </c>
      <c r="C18" s="237">
        <v>13514</v>
      </c>
      <c r="D18" s="237">
        <v>1</v>
      </c>
      <c r="E18" s="237">
        <v>67</v>
      </c>
    </row>
    <row r="19" spans="1:5" x14ac:dyDescent="0.15">
      <c r="A19" s="2120" t="s">
        <v>18</v>
      </c>
      <c r="B19" s="237">
        <v>0</v>
      </c>
      <c r="C19" s="237">
        <v>1201</v>
      </c>
      <c r="D19" s="237">
        <v>0</v>
      </c>
      <c r="E19" s="237">
        <v>8</v>
      </c>
    </row>
    <row r="20" spans="1:5" x14ac:dyDescent="0.15">
      <c r="A20" s="2120" t="s">
        <v>19</v>
      </c>
      <c r="B20" s="237">
        <v>0</v>
      </c>
      <c r="C20" s="237">
        <v>2434</v>
      </c>
      <c r="D20" s="237">
        <v>0</v>
      </c>
      <c r="E20" s="237">
        <v>9</v>
      </c>
    </row>
    <row r="21" spans="1:5" x14ac:dyDescent="0.15">
      <c r="A21" s="2120"/>
      <c r="B21" s="237"/>
      <c r="C21" s="237"/>
      <c r="D21" s="237"/>
      <c r="E21" s="237"/>
    </row>
    <row r="22" spans="1:5" x14ac:dyDescent="0.15">
      <c r="A22" s="3259" t="s">
        <v>2837</v>
      </c>
      <c r="B22" s="3259"/>
      <c r="C22" s="3259"/>
      <c r="D22" s="3259"/>
      <c r="E22" s="3259"/>
    </row>
    <row r="23" spans="1:5" x14ac:dyDescent="0.15">
      <c r="A23" s="3259" t="s">
        <v>2838</v>
      </c>
      <c r="B23" s="3259"/>
      <c r="C23" s="3259"/>
      <c r="D23" s="3259"/>
      <c r="E23" s="3259"/>
    </row>
    <row r="24" spans="1:5" ht="12" customHeight="1" x14ac:dyDescent="0.15">
      <c r="A24" s="3260" t="s">
        <v>20</v>
      </c>
      <c r="B24" s="3260"/>
      <c r="C24" s="3260"/>
      <c r="D24" s="3260"/>
      <c r="E24" s="3260"/>
    </row>
    <row r="25" spans="1:5" x14ac:dyDescent="0.15">
      <c r="A25" s="3256" t="s">
        <v>2839</v>
      </c>
      <c r="B25" s="3256"/>
      <c r="C25" s="3256"/>
      <c r="D25" s="3256"/>
      <c r="E25" s="3256"/>
    </row>
    <row r="26" spans="1:5" ht="12.75" customHeight="1" x14ac:dyDescent="0.15">
      <c r="A26" s="2099"/>
      <c r="B26" s="2099"/>
      <c r="C26" s="2099"/>
      <c r="D26" s="2099"/>
      <c r="E26" s="2099"/>
    </row>
    <row r="27" spans="1:5" x14ac:dyDescent="0.15">
      <c r="A27" s="2099"/>
      <c r="B27" s="2099"/>
      <c r="C27" s="2099"/>
      <c r="D27" s="2099"/>
      <c r="E27" s="2099"/>
    </row>
    <row r="97" ht="13.5" customHeight="1" x14ac:dyDescent="0.15"/>
  </sheetData>
  <mergeCells count="6">
    <mergeCell ref="A25:E25"/>
    <mergeCell ref="A1:E1"/>
    <mergeCell ref="A2:E2"/>
    <mergeCell ref="A22:E22"/>
    <mergeCell ref="A23:E23"/>
    <mergeCell ref="A24:E24"/>
  </mergeCells>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2:E97"/>
  <sheetViews>
    <sheetView zoomScaleNormal="100" workbookViewId="0">
      <selection activeCell="A2" activeCellId="1" sqref="A22:E26 A2:E2"/>
    </sheetView>
  </sheetViews>
  <sheetFormatPr baseColWidth="10" defaultColWidth="11.42578125" defaultRowHeight="10.5" x14ac:dyDescent="0.15"/>
  <cols>
    <col min="1" max="1" width="16" style="2104" customWidth="1"/>
    <col min="2" max="2" width="29.85546875" style="2104" customWidth="1"/>
    <col min="3" max="3" width="22.140625" style="2104" customWidth="1"/>
    <col min="4" max="4" width="37.140625" style="2104" customWidth="1"/>
    <col min="5" max="5" width="23.42578125" style="2104" customWidth="1"/>
    <col min="6" max="16384" width="11.42578125" style="2104"/>
  </cols>
  <sheetData>
    <row r="2" spans="1:5" ht="22.5" customHeight="1" x14ac:dyDescent="0.15">
      <c r="A2" s="3261" t="s">
        <v>2840</v>
      </c>
      <c r="B2" s="3261"/>
      <c r="C2" s="3261"/>
      <c r="D2" s="3261"/>
      <c r="E2" s="3261"/>
    </row>
    <row r="3" spans="1:5" ht="12" customHeight="1" x14ac:dyDescent="0.15">
      <c r="A3" s="2121"/>
      <c r="B3" s="2121"/>
      <c r="C3" s="2121"/>
      <c r="D3" s="2121"/>
      <c r="E3" s="2121"/>
    </row>
    <row r="4" spans="1:5" ht="32.25" x14ac:dyDescent="0.15">
      <c r="A4" s="2126" t="s">
        <v>1</v>
      </c>
      <c r="B4" s="2126" t="s">
        <v>2833</v>
      </c>
      <c r="C4" s="2126" t="s">
        <v>2841</v>
      </c>
      <c r="D4" s="2126" t="s">
        <v>2835</v>
      </c>
      <c r="E4" s="2126" t="s">
        <v>2842</v>
      </c>
    </row>
    <row r="5" spans="1:5" x14ac:dyDescent="0.15">
      <c r="A5" s="1355" t="s">
        <v>141</v>
      </c>
      <c r="B5" s="236">
        <f>SUM(B6:B20)</f>
        <v>3439</v>
      </c>
      <c r="C5" s="236">
        <f t="shared" ref="C5:E5" si="0">SUM(C6:C20)</f>
        <v>265592</v>
      </c>
      <c r="D5" s="236">
        <f t="shared" si="0"/>
        <v>70</v>
      </c>
      <c r="E5" s="236">
        <f t="shared" si="0"/>
        <v>995</v>
      </c>
    </row>
    <row r="6" spans="1:5" x14ac:dyDescent="0.15">
      <c r="A6" s="2120" t="s">
        <v>5</v>
      </c>
      <c r="B6" s="217">
        <v>8</v>
      </c>
      <c r="C6" s="217">
        <v>4365</v>
      </c>
      <c r="D6" s="217">
        <v>1</v>
      </c>
      <c r="E6" s="217">
        <v>15</v>
      </c>
    </row>
    <row r="7" spans="1:5" x14ac:dyDescent="0.15">
      <c r="A7" s="2120" t="s">
        <v>6</v>
      </c>
      <c r="B7" s="217">
        <v>61</v>
      </c>
      <c r="C7" s="217">
        <v>6072</v>
      </c>
      <c r="D7" s="217">
        <v>1</v>
      </c>
      <c r="E7" s="217">
        <v>29</v>
      </c>
    </row>
    <row r="8" spans="1:5" x14ac:dyDescent="0.15">
      <c r="A8" s="2120" t="s">
        <v>7</v>
      </c>
      <c r="B8" s="217">
        <v>173</v>
      </c>
      <c r="C8" s="217">
        <v>11291</v>
      </c>
      <c r="D8" s="217">
        <v>3</v>
      </c>
      <c r="E8" s="217">
        <v>21</v>
      </c>
    </row>
    <row r="9" spans="1:5" x14ac:dyDescent="0.15">
      <c r="A9" s="2120" t="s">
        <v>8</v>
      </c>
      <c r="B9" s="217">
        <v>84</v>
      </c>
      <c r="C9" s="217">
        <v>7525</v>
      </c>
      <c r="D9" s="217">
        <v>2</v>
      </c>
      <c r="E9" s="217">
        <v>23</v>
      </c>
    </row>
    <row r="10" spans="1:5" x14ac:dyDescent="0.15">
      <c r="A10" s="2120" t="s">
        <v>9</v>
      </c>
      <c r="B10" s="217">
        <v>233</v>
      </c>
      <c r="C10" s="217">
        <v>10670</v>
      </c>
      <c r="D10" s="217">
        <v>5</v>
      </c>
      <c r="E10" s="217">
        <v>42</v>
      </c>
    </row>
    <row r="11" spans="1:5" x14ac:dyDescent="0.15">
      <c r="A11" s="2120" t="s">
        <v>10</v>
      </c>
      <c r="B11" s="217">
        <v>251</v>
      </c>
      <c r="C11" s="217">
        <v>23864</v>
      </c>
      <c r="D11" s="217">
        <v>5</v>
      </c>
      <c r="E11" s="217">
        <v>98</v>
      </c>
    </row>
    <row r="12" spans="1:5" x14ac:dyDescent="0.15">
      <c r="A12" s="2120" t="s">
        <v>11</v>
      </c>
      <c r="B12" s="217">
        <v>1761</v>
      </c>
      <c r="C12" s="217">
        <v>88823</v>
      </c>
      <c r="D12" s="217">
        <v>26</v>
      </c>
      <c r="E12" s="217">
        <v>312</v>
      </c>
    </row>
    <row r="13" spans="1:5" x14ac:dyDescent="0.15">
      <c r="A13" s="2120" t="s">
        <v>512</v>
      </c>
      <c r="B13" s="217">
        <v>185</v>
      </c>
      <c r="C13" s="217">
        <v>12353</v>
      </c>
      <c r="D13" s="217">
        <v>6</v>
      </c>
      <c r="E13" s="217">
        <v>46</v>
      </c>
    </row>
    <row r="14" spans="1:5" x14ac:dyDescent="0.15">
      <c r="A14" s="2120" t="s">
        <v>13</v>
      </c>
      <c r="B14" s="217">
        <v>246</v>
      </c>
      <c r="C14" s="217">
        <v>21466</v>
      </c>
      <c r="D14" s="217">
        <v>7</v>
      </c>
      <c r="E14" s="217">
        <v>73</v>
      </c>
    </row>
    <row r="15" spans="1:5" x14ac:dyDescent="0.15">
      <c r="A15" s="2120" t="s">
        <v>14</v>
      </c>
      <c r="B15" s="217">
        <v>158</v>
      </c>
      <c r="C15" s="217">
        <v>32830</v>
      </c>
      <c r="D15" s="217">
        <v>6</v>
      </c>
      <c r="E15" s="217">
        <v>129</v>
      </c>
    </row>
    <row r="16" spans="1:5" x14ac:dyDescent="0.15">
      <c r="A16" s="2120" t="s">
        <v>15</v>
      </c>
      <c r="B16" s="217">
        <v>228</v>
      </c>
      <c r="C16" s="217">
        <v>20706</v>
      </c>
      <c r="D16" s="217">
        <v>6</v>
      </c>
      <c r="E16" s="217">
        <v>84</v>
      </c>
    </row>
    <row r="17" spans="1:5" x14ac:dyDescent="0.15">
      <c r="A17" s="2120" t="s">
        <v>301</v>
      </c>
      <c r="B17" s="217">
        <v>0</v>
      </c>
      <c r="C17" s="217">
        <v>7641</v>
      </c>
      <c r="D17" s="217">
        <v>0</v>
      </c>
      <c r="E17" s="217">
        <v>37</v>
      </c>
    </row>
    <row r="18" spans="1:5" x14ac:dyDescent="0.15">
      <c r="A18" s="2120" t="s">
        <v>303</v>
      </c>
      <c r="B18" s="217">
        <v>35</v>
      </c>
      <c r="C18" s="217">
        <v>14105</v>
      </c>
      <c r="D18" s="217">
        <v>1</v>
      </c>
      <c r="E18" s="217">
        <v>68</v>
      </c>
    </row>
    <row r="19" spans="1:5" x14ac:dyDescent="0.15">
      <c r="A19" s="2120" t="s">
        <v>18</v>
      </c>
      <c r="B19" s="217">
        <v>0</v>
      </c>
      <c r="C19" s="217">
        <v>1286</v>
      </c>
      <c r="D19" s="217">
        <v>0</v>
      </c>
      <c r="E19" s="217">
        <v>9</v>
      </c>
    </row>
    <row r="20" spans="1:5" x14ac:dyDescent="0.15">
      <c r="A20" s="2120" t="s">
        <v>19</v>
      </c>
      <c r="B20" s="217">
        <v>16</v>
      </c>
      <c r="C20" s="217">
        <v>2595</v>
      </c>
      <c r="D20" s="217">
        <v>1</v>
      </c>
      <c r="E20" s="217">
        <v>9</v>
      </c>
    </row>
    <row r="21" spans="1:5" x14ac:dyDescent="0.15">
      <c r="A21" s="2120"/>
      <c r="B21" s="217"/>
      <c r="C21" s="217"/>
      <c r="D21" s="217"/>
      <c r="E21" s="217"/>
    </row>
    <row r="22" spans="1:5" x14ac:dyDescent="0.15">
      <c r="A22" s="3259" t="s">
        <v>2837</v>
      </c>
      <c r="B22" s="3259"/>
      <c r="C22" s="3259"/>
      <c r="D22" s="3259"/>
      <c r="E22" s="3259"/>
    </row>
    <row r="23" spans="1:5" x14ac:dyDescent="0.15">
      <c r="A23" s="3259" t="s">
        <v>2838</v>
      </c>
      <c r="B23" s="3259"/>
      <c r="C23" s="3259"/>
      <c r="D23" s="3259"/>
      <c r="E23" s="3259"/>
    </row>
    <row r="24" spans="1:5" ht="12" customHeight="1" x14ac:dyDescent="0.15">
      <c r="A24" s="3260" t="s">
        <v>20</v>
      </c>
      <c r="B24" s="3260"/>
      <c r="C24" s="3260"/>
      <c r="D24" s="3260"/>
      <c r="E24" s="3260"/>
    </row>
    <row r="25" spans="1:5" x14ac:dyDescent="0.15">
      <c r="A25" s="3262" t="s">
        <v>2843</v>
      </c>
      <c r="B25" s="3262"/>
      <c r="C25" s="3262"/>
      <c r="D25" s="3262"/>
      <c r="E25" s="3262"/>
    </row>
    <row r="26" spans="1:5" x14ac:dyDescent="0.15">
      <c r="A26" s="3256" t="s">
        <v>2839</v>
      </c>
      <c r="B26" s="3256"/>
      <c r="C26" s="3256"/>
      <c r="D26" s="3256"/>
      <c r="E26" s="3256"/>
    </row>
    <row r="97" ht="13.5" customHeight="1" x14ac:dyDescent="0.15"/>
  </sheetData>
  <mergeCells count="6">
    <mergeCell ref="A26:E26"/>
    <mergeCell ref="A2:E2"/>
    <mergeCell ref="A22:E22"/>
    <mergeCell ref="A23:E23"/>
    <mergeCell ref="A24:E24"/>
    <mergeCell ref="A25:E25"/>
  </mergeCells>
  <pageMargins left="0.7" right="0.7" top="0.7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D15"/>
  <sheetViews>
    <sheetView zoomScaleNormal="100" workbookViewId="0">
      <selection activeCell="B20" sqref="B20"/>
    </sheetView>
  </sheetViews>
  <sheetFormatPr baseColWidth="10" defaultColWidth="11.42578125" defaultRowHeight="10.5" x14ac:dyDescent="0.15"/>
  <cols>
    <col min="1" max="1" width="38.5703125" style="2140" customWidth="1"/>
    <col min="2" max="2" width="24.5703125" style="2140" customWidth="1"/>
    <col min="3" max="3" width="20.5703125" style="2140" customWidth="1"/>
    <col min="4" max="16384" width="11.42578125" style="2140"/>
  </cols>
  <sheetData>
    <row r="1" spans="1:4" x14ac:dyDescent="0.15">
      <c r="A1" s="2225"/>
      <c r="B1" s="2225"/>
    </row>
    <row r="2" spans="1:4" ht="22.5" customHeight="1" x14ac:dyDescent="0.15">
      <c r="A2" s="3243" t="s">
        <v>2844</v>
      </c>
      <c r="B2" s="3243"/>
      <c r="C2" s="3243"/>
    </row>
    <row r="3" spans="1:4" s="737" customFormat="1" x14ac:dyDescent="0.15">
      <c r="A3" s="1372"/>
      <c r="B3" s="1372"/>
      <c r="C3" s="1372"/>
    </row>
    <row r="4" spans="1:4" s="737" customFormat="1" ht="24" customHeight="1" x14ac:dyDescent="0.15">
      <c r="A4" s="2229" t="s">
        <v>2845</v>
      </c>
      <c r="B4" s="2230" t="s">
        <v>2599</v>
      </c>
      <c r="C4" s="2230" t="s">
        <v>727</v>
      </c>
      <c r="D4" s="2140"/>
    </row>
    <row r="5" spans="1:4" s="737" customFormat="1" x14ac:dyDescent="0.15">
      <c r="A5" s="752" t="s">
        <v>69</v>
      </c>
      <c r="B5" s="746">
        <v>3360</v>
      </c>
      <c r="C5" s="2226">
        <f t="shared" ref="C5:C12" si="0">+B5/$B$5</f>
        <v>1</v>
      </c>
    </row>
    <row r="6" spans="1:4" s="737" customFormat="1" x14ac:dyDescent="0.15">
      <c r="A6" s="2140" t="s">
        <v>2846</v>
      </c>
      <c r="B6" s="67">
        <v>1247</v>
      </c>
      <c r="C6" s="2227">
        <f>+B6/$B$5</f>
        <v>0.37113095238095239</v>
      </c>
    </row>
    <row r="7" spans="1:4" s="737" customFormat="1" x14ac:dyDescent="0.15">
      <c r="A7" s="756" t="s">
        <v>2847</v>
      </c>
      <c r="B7" s="67">
        <v>1162</v>
      </c>
      <c r="C7" s="2227">
        <f t="shared" si="0"/>
        <v>0.34583333333333333</v>
      </c>
    </row>
    <row r="8" spans="1:4" s="737" customFormat="1" x14ac:dyDescent="0.15">
      <c r="A8" s="756" t="s">
        <v>2848</v>
      </c>
      <c r="B8" s="67">
        <v>46</v>
      </c>
      <c r="C8" s="2227">
        <f t="shared" si="0"/>
        <v>1.369047619047619E-2</v>
      </c>
    </row>
    <row r="9" spans="1:4" s="737" customFormat="1" x14ac:dyDescent="0.15">
      <c r="A9" s="756" t="s">
        <v>2849</v>
      </c>
      <c r="B9" s="67">
        <v>823</v>
      </c>
      <c r="C9" s="2227">
        <f t="shared" si="0"/>
        <v>0.24494047619047618</v>
      </c>
    </row>
    <row r="10" spans="1:4" s="737" customFormat="1" x14ac:dyDescent="0.15">
      <c r="A10" s="756" t="s">
        <v>2850</v>
      </c>
      <c r="B10" s="67">
        <v>5</v>
      </c>
      <c r="C10" s="2227">
        <f t="shared" si="0"/>
        <v>1.488095238095238E-3</v>
      </c>
    </row>
    <row r="11" spans="1:4" s="737" customFormat="1" x14ac:dyDescent="0.15">
      <c r="A11" s="2140" t="s">
        <v>2851</v>
      </c>
      <c r="B11" s="67">
        <v>44</v>
      </c>
      <c r="C11" s="2227">
        <f t="shared" si="0"/>
        <v>1.3095238095238096E-2</v>
      </c>
    </row>
    <row r="12" spans="1:4" s="737" customFormat="1" x14ac:dyDescent="0.15">
      <c r="A12" s="756" t="s">
        <v>2852</v>
      </c>
      <c r="B12" s="67">
        <v>33</v>
      </c>
      <c r="C12" s="2227">
        <f t="shared" si="0"/>
        <v>9.8214285714285712E-3</v>
      </c>
    </row>
    <row r="13" spans="1:4" s="737" customFormat="1" x14ac:dyDescent="0.15">
      <c r="A13" s="2140"/>
      <c r="B13" s="2228"/>
    </row>
    <row r="14" spans="1:4" s="737" customFormat="1" ht="55.5" customHeight="1" x14ac:dyDescent="0.15">
      <c r="A14" s="3263" t="s">
        <v>2853</v>
      </c>
      <c r="B14" s="3263"/>
      <c r="C14" s="3263"/>
    </row>
    <row r="15" spans="1:4" ht="23.25" customHeight="1" x14ac:dyDescent="0.15">
      <c r="A15" s="3256" t="s">
        <v>2839</v>
      </c>
      <c r="B15" s="3256"/>
      <c r="C15" s="3256"/>
    </row>
  </sheetData>
  <mergeCells count="3">
    <mergeCell ref="A2:C2"/>
    <mergeCell ref="A14:C14"/>
    <mergeCell ref="A15:C15"/>
  </mergeCells>
  <pageMargins left="0.7" right="0.7" top="0.75" bottom="0.75" header="0.3" footer="0.3"/>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2:F13"/>
  <sheetViews>
    <sheetView zoomScaleNormal="100" workbookViewId="0">
      <selection activeCell="E21" sqref="E21"/>
    </sheetView>
  </sheetViews>
  <sheetFormatPr baseColWidth="10" defaultColWidth="11.42578125" defaultRowHeight="10.5" x14ac:dyDescent="0.15"/>
  <cols>
    <col min="1" max="1" width="23.42578125" style="296" customWidth="1"/>
    <col min="2" max="2" width="14.28515625" style="296" customWidth="1"/>
    <col min="3" max="3" width="15.7109375" style="296" customWidth="1"/>
    <col min="4" max="4" width="14.28515625" style="296" customWidth="1"/>
    <col min="5" max="5" width="15.7109375" style="296" customWidth="1"/>
    <col min="6" max="16384" width="11.42578125" style="296"/>
  </cols>
  <sheetData>
    <row r="2" spans="1:6" ht="22.5" customHeight="1" x14ac:dyDescent="0.15">
      <c r="A2" s="3242" t="s">
        <v>2854</v>
      </c>
      <c r="B2" s="3242"/>
      <c r="C2" s="3242"/>
      <c r="D2" s="3242"/>
      <c r="E2" s="3242"/>
    </row>
    <row r="3" spans="1:6" ht="10.5" customHeight="1" x14ac:dyDescent="0.15"/>
    <row r="4" spans="1:6" ht="11.25" x14ac:dyDescent="0.15">
      <c r="A4" s="3264" t="s">
        <v>2855</v>
      </c>
      <c r="B4" s="3265" t="s">
        <v>427</v>
      </c>
      <c r="C4" s="3265"/>
      <c r="D4" s="3265">
        <v>2015</v>
      </c>
      <c r="E4" s="3265"/>
    </row>
    <row r="5" spans="1:6" ht="17.25" customHeight="1" x14ac:dyDescent="0.15">
      <c r="A5" s="3264"/>
      <c r="B5" s="2123" t="s">
        <v>2599</v>
      </c>
      <c r="C5" s="2123" t="s">
        <v>727</v>
      </c>
      <c r="D5" s="2123" t="s">
        <v>2599</v>
      </c>
      <c r="E5" s="2123" t="s">
        <v>727</v>
      </c>
    </row>
    <row r="6" spans="1:6" x14ac:dyDescent="0.15">
      <c r="A6" s="1384" t="s">
        <v>141</v>
      </c>
      <c r="B6" s="1340">
        <f>SUM(B7:B8)</f>
        <v>847400</v>
      </c>
      <c r="C6" s="2231">
        <f>B6/$B$6</f>
        <v>1</v>
      </c>
      <c r="D6" s="1340">
        <f>SUM(D7:D8)</f>
        <v>841034</v>
      </c>
      <c r="E6" s="2231">
        <v>1</v>
      </c>
    </row>
    <row r="7" spans="1:6" ht="17.25" customHeight="1" x14ac:dyDescent="0.15">
      <c r="A7" s="1366" t="s">
        <v>2856</v>
      </c>
      <c r="B7" s="739">
        <v>843961</v>
      </c>
      <c r="C7" s="2232">
        <f>B7/$B$6</f>
        <v>0.99594170403587445</v>
      </c>
      <c r="D7" s="739">
        <v>837674</v>
      </c>
      <c r="E7" s="2232">
        <f>D7/D6</f>
        <v>0.99600491775600031</v>
      </c>
    </row>
    <row r="8" spans="1:6" ht="20.25" customHeight="1" x14ac:dyDescent="0.15">
      <c r="A8" s="1366" t="s">
        <v>4265</v>
      </c>
      <c r="B8" s="739">
        <v>3439</v>
      </c>
      <c r="C8" s="2232">
        <f>B8/$B$6</f>
        <v>4.0582959641255606E-3</v>
      </c>
      <c r="D8" s="739">
        <v>3360</v>
      </c>
      <c r="E8" s="2232">
        <f>D8/$B$6</f>
        <v>3.9650696247344819E-3</v>
      </c>
    </row>
    <row r="9" spans="1:6" x14ac:dyDescent="0.15">
      <c r="A9" s="1891"/>
      <c r="B9" s="2100"/>
      <c r="C9" s="2100"/>
      <c r="D9" s="2100"/>
      <c r="E9" s="2100"/>
      <c r="F9" s="2100"/>
    </row>
    <row r="10" spans="1:6" ht="55.5" customHeight="1" x14ac:dyDescent="0.15">
      <c r="A10" s="3266" t="s">
        <v>2853</v>
      </c>
      <c r="B10" s="3266"/>
      <c r="C10" s="3266"/>
      <c r="D10" s="3266"/>
      <c r="E10" s="3266"/>
      <c r="F10" s="2100"/>
    </row>
    <row r="11" spans="1:6" s="2104" customFormat="1" x14ac:dyDescent="0.15">
      <c r="A11" s="3262" t="s">
        <v>2843</v>
      </c>
      <c r="B11" s="3262"/>
      <c r="C11" s="3262"/>
      <c r="D11" s="3262"/>
      <c r="E11" s="3262"/>
    </row>
    <row r="12" spans="1:6" ht="22.5" customHeight="1" x14ac:dyDescent="0.15">
      <c r="A12" s="3256" t="s">
        <v>2839</v>
      </c>
      <c r="B12" s="3256"/>
      <c r="C12" s="3256"/>
      <c r="D12" s="3256"/>
      <c r="E12" s="3256"/>
    </row>
    <row r="13" spans="1:6" x14ac:dyDescent="0.15">
      <c r="D13" s="2231"/>
    </row>
  </sheetData>
  <mergeCells count="7">
    <mergeCell ref="A12:E12"/>
    <mergeCell ref="A2:E2"/>
    <mergeCell ref="A4:A5"/>
    <mergeCell ref="B4:C4"/>
    <mergeCell ref="D4:E4"/>
    <mergeCell ref="A11:E11"/>
    <mergeCell ref="A10:E1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F28"/>
  <sheetViews>
    <sheetView workbookViewId="0">
      <selection activeCell="K14" sqref="K14"/>
    </sheetView>
  </sheetViews>
  <sheetFormatPr baseColWidth="10" defaultColWidth="9.140625" defaultRowHeight="10.5" x14ac:dyDescent="0.15"/>
  <cols>
    <col min="1" max="1" width="22.85546875" style="97" customWidth="1"/>
    <col min="2" max="6" width="13.42578125" style="97" customWidth="1"/>
    <col min="7" max="16384" width="9.140625" style="97"/>
  </cols>
  <sheetData>
    <row r="1" spans="1:6" ht="15" customHeight="1" x14ac:dyDescent="0.15"/>
    <row r="2" spans="1:6" ht="21.75" customHeight="1" x14ac:dyDescent="0.15">
      <c r="A2" s="2377" t="s">
        <v>228</v>
      </c>
      <c r="B2" s="2387"/>
      <c r="C2" s="2387"/>
      <c r="D2" s="2387"/>
      <c r="E2" s="2387"/>
      <c r="F2" s="2387"/>
    </row>
    <row r="3" spans="1:6" ht="11.25" customHeight="1" x14ac:dyDescent="0.15">
      <c r="A3" s="2347"/>
      <c r="B3" s="2348"/>
      <c r="C3" s="2348"/>
      <c r="D3" s="2348"/>
      <c r="E3" s="2348"/>
      <c r="F3" s="2348"/>
    </row>
    <row r="4" spans="1:6" ht="12.75" customHeight="1" x14ac:dyDescent="0.15">
      <c r="A4" s="2351" t="s">
        <v>1</v>
      </c>
      <c r="B4" s="2374" t="s">
        <v>223</v>
      </c>
      <c r="C4" s="2375"/>
      <c r="D4" s="2375"/>
      <c r="E4" s="2375"/>
      <c r="F4" s="2375"/>
    </row>
    <row r="5" spans="1:6" ht="31.5" x14ac:dyDescent="0.15">
      <c r="A5" s="2351"/>
      <c r="B5" s="1995" t="s">
        <v>224</v>
      </c>
      <c r="C5" s="1997" t="s">
        <v>225</v>
      </c>
      <c r="D5" s="1997" t="s">
        <v>217</v>
      </c>
      <c r="E5" s="1997" t="s">
        <v>218</v>
      </c>
      <c r="F5" s="1997" t="s">
        <v>219</v>
      </c>
    </row>
    <row r="6" spans="1:6" x14ac:dyDescent="0.15">
      <c r="A6" s="146" t="s">
        <v>141</v>
      </c>
      <c r="B6" s="1527">
        <f>SUM(B7:B22)</f>
        <v>1486</v>
      </c>
      <c r="C6" s="718">
        <f t="shared" ref="C6:F6" si="0">SUM(C7:C22)</f>
        <v>351</v>
      </c>
      <c r="D6" s="718">
        <f t="shared" si="0"/>
        <v>958</v>
      </c>
      <c r="E6" s="718">
        <f t="shared" si="0"/>
        <v>45</v>
      </c>
      <c r="F6" s="718">
        <f t="shared" si="0"/>
        <v>132</v>
      </c>
    </row>
    <row r="7" spans="1:6" x14ac:dyDescent="0.15">
      <c r="A7" s="2002" t="s">
        <v>5</v>
      </c>
      <c r="B7" s="438">
        <f>SUM(C7:F7)</f>
        <v>46</v>
      </c>
      <c r="C7" s="438">
        <v>2</v>
      </c>
      <c r="D7" s="438">
        <v>42</v>
      </c>
      <c r="E7" s="438">
        <v>1</v>
      </c>
      <c r="F7" s="438">
        <v>1</v>
      </c>
    </row>
    <row r="8" spans="1:6" x14ac:dyDescent="0.15">
      <c r="A8" s="2002" t="s">
        <v>6</v>
      </c>
      <c r="B8" s="438">
        <f t="shared" ref="B8:B22" si="1">SUM(C8:F8)</f>
        <v>73</v>
      </c>
      <c r="C8" s="438">
        <v>6</v>
      </c>
      <c r="D8" s="438">
        <v>60</v>
      </c>
      <c r="E8" s="438">
        <v>3</v>
      </c>
      <c r="F8" s="438">
        <v>4</v>
      </c>
    </row>
    <row r="9" spans="1:6" x14ac:dyDescent="0.15">
      <c r="A9" s="2002" t="s">
        <v>7</v>
      </c>
      <c r="B9" s="438">
        <f t="shared" si="1"/>
        <v>102</v>
      </c>
      <c r="C9" s="438">
        <v>30</v>
      </c>
      <c r="D9" s="438">
        <v>61</v>
      </c>
      <c r="E9" s="438">
        <v>1</v>
      </c>
      <c r="F9" s="438">
        <v>10</v>
      </c>
    </row>
    <row r="10" spans="1:6" x14ac:dyDescent="0.15">
      <c r="A10" s="2002" t="s">
        <v>8</v>
      </c>
      <c r="B10" s="438">
        <f t="shared" si="1"/>
        <v>41</v>
      </c>
      <c r="C10" s="438">
        <v>2</v>
      </c>
      <c r="D10" s="438">
        <v>37</v>
      </c>
      <c r="E10" s="438">
        <v>1</v>
      </c>
      <c r="F10" s="438">
        <v>1</v>
      </c>
    </row>
    <row r="11" spans="1:6" x14ac:dyDescent="0.15">
      <c r="A11" s="2002" t="s">
        <v>9</v>
      </c>
      <c r="B11" s="438">
        <f t="shared" si="1"/>
        <v>57</v>
      </c>
      <c r="C11" s="438">
        <v>5</v>
      </c>
      <c r="D11" s="438">
        <v>45</v>
      </c>
      <c r="E11" s="438">
        <v>2</v>
      </c>
      <c r="F11" s="438">
        <v>5</v>
      </c>
    </row>
    <row r="12" spans="1:6" x14ac:dyDescent="0.15">
      <c r="A12" s="2002" t="s">
        <v>10</v>
      </c>
      <c r="B12" s="438">
        <f t="shared" si="1"/>
        <v>178</v>
      </c>
      <c r="C12" s="438">
        <v>33</v>
      </c>
      <c r="D12" s="438">
        <v>111</v>
      </c>
      <c r="E12" s="438">
        <v>12</v>
      </c>
      <c r="F12" s="438">
        <v>22</v>
      </c>
    </row>
    <row r="13" spans="1:6" x14ac:dyDescent="0.15">
      <c r="A13" s="2002" t="s">
        <v>11</v>
      </c>
      <c r="B13" s="438">
        <f t="shared" si="1"/>
        <v>433</v>
      </c>
      <c r="C13" s="438">
        <v>145</v>
      </c>
      <c r="D13" s="438">
        <v>238</v>
      </c>
      <c r="E13" s="438">
        <v>9</v>
      </c>
      <c r="F13" s="438">
        <v>41</v>
      </c>
    </row>
    <row r="14" spans="1:6" x14ac:dyDescent="0.15">
      <c r="A14" s="2002" t="s">
        <v>12</v>
      </c>
      <c r="B14" s="438">
        <f t="shared" si="1"/>
        <v>71</v>
      </c>
      <c r="C14" s="438">
        <v>3</v>
      </c>
      <c r="D14" s="438">
        <v>56</v>
      </c>
      <c r="E14" s="438">
        <v>1</v>
      </c>
      <c r="F14" s="438">
        <v>11</v>
      </c>
    </row>
    <row r="15" spans="1:6" x14ac:dyDescent="0.15">
      <c r="A15" s="2002" t="s">
        <v>13</v>
      </c>
      <c r="B15" s="438">
        <f t="shared" si="1"/>
        <v>100</v>
      </c>
      <c r="C15" s="438">
        <v>8</v>
      </c>
      <c r="D15" s="438">
        <v>78</v>
      </c>
      <c r="E15" s="438">
        <v>6</v>
      </c>
      <c r="F15" s="438">
        <v>8</v>
      </c>
    </row>
    <row r="16" spans="1:6" x14ac:dyDescent="0.15">
      <c r="A16" s="2002" t="s">
        <v>14</v>
      </c>
      <c r="B16" s="438">
        <f t="shared" si="1"/>
        <v>84</v>
      </c>
      <c r="C16" s="438">
        <v>14</v>
      </c>
      <c r="D16" s="438">
        <v>62</v>
      </c>
      <c r="E16" s="438">
        <v>3</v>
      </c>
      <c r="F16" s="438">
        <v>5</v>
      </c>
    </row>
    <row r="17" spans="1:6" x14ac:dyDescent="0.15">
      <c r="A17" s="2002" t="s">
        <v>15</v>
      </c>
      <c r="B17" s="438">
        <f t="shared" si="1"/>
        <v>100</v>
      </c>
      <c r="C17" s="438">
        <v>70</v>
      </c>
      <c r="D17" s="438">
        <v>29</v>
      </c>
      <c r="E17" s="438" t="s">
        <v>193</v>
      </c>
      <c r="F17" s="438">
        <v>1</v>
      </c>
    </row>
    <row r="18" spans="1:6" x14ac:dyDescent="0.15">
      <c r="A18" s="2002" t="s">
        <v>16</v>
      </c>
      <c r="B18" s="438">
        <f t="shared" si="1"/>
        <v>42</v>
      </c>
      <c r="C18" s="438">
        <v>12</v>
      </c>
      <c r="D18" s="438">
        <v>24</v>
      </c>
      <c r="E18" s="438">
        <v>1</v>
      </c>
      <c r="F18" s="438">
        <v>5</v>
      </c>
    </row>
    <row r="19" spans="1:6" x14ac:dyDescent="0.15">
      <c r="A19" s="2002" t="s">
        <v>17</v>
      </c>
      <c r="B19" s="438">
        <f t="shared" si="1"/>
        <v>76</v>
      </c>
      <c r="C19" s="438">
        <v>12</v>
      </c>
      <c r="D19" s="438">
        <v>47</v>
      </c>
      <c r="E19" s="438">
        <v>3</v>
      </c>
      <c r="F19" s="438">
        <v>14</v>
      </c>
    </row>
    <row r="20" spans="1:6" x14ac:dyDescent="0.15">
      <c r="A20" s="2002" t="s">
        <v>18</v>
      </c>
      <c r="B20" s="438">
        <f t="shared" si="1"/>
        <v>21</v>
      </c>
      <c r="C20" s="438" t="s">
        <v>193</v>
      </c>
      <c r="D20" s="438">
        <v>18</v>
      </c>
      <c r="E20" s="438">
        <v>2</v>
      </c>
      <c r="F20" s="438">
        <v>1</v>
      </c>
    </row>
    <row r="21" spans="1:6" x14ac:dyDescent="0.15">
      <c r="A21" s="2002" t="s">
        <v>19</v>
      </c>
      <c r="B21" s="438">
        <f t="shared" si="1"/>
        <v>61</v>
      </c>
      <c r="C21" s="438">
        <v>8</v>
      </c>
      <c r="D21" s="438">
        <v>50</v>
      </c>
      <c r="E21" s="438" t="s">
        <v>193</v>
      </c>
      <c r="F21" s="438">
        <v>3</v>
      </c>
    </row>
    <row r="22" spans="1:6" ht="11.25" x14ac:dyDescent="0.15">
      <c r="A22" s="2000" t="s">
        <v>229</v>
      </c>
      <c r="B22" s="438">
        <f t="shared" si="1"/>
        <v>1</v>
      </c>
      <c r="C22" s="438">
        <v>1</v>
      </c>
      <c r="D22" s="438">
        <v>0</v>
      </c>
      <c r="E22" s="438">
        <v>0</v>
      </c>
      <c r="F22" s="438">
        <v>0</v>
      </c>
    </row>
    <row r="23" spans="1:6" ht="11.25" customHeight="1" x14ac:dyDescent="0.15">
      <c r="A23" s="2356"/>
      <c r="B23" s="2357"/>
      <c r="C23" s="2357"/>
      <c r="D23" s="2357"/>
      <c r="E23" s="2357"/>
      <c r="F23" s="2357"/>
    </row>
    <row r="24" spans="1:6" ht="48" customHeight="1" x14ac:dyDescent="0.15">
      <c r="A24" s="2388" t="s">
        <v>230</v>
      </c>
      <c r="B24" s="2388"/>
      <c r="C24" s="2388"/>
      <c r="D24" s="2388"/>
      <c r="E24" s="2388"/>
      <c r="F24" s="2388"/>
    </row>
    <row r="25" spans="1:6" ht="24.75" customHeight="1" x14ac:dyDescent="0.15">
      <c r="A25" s="2386" t="s">
        <v>231</v>
      </c>
      <c r="B25" s="2386"/>
      <c r="C25" s="2386"/>
      <c r="D25" s="2386"/>
      <c r="E25" s="2386"/>
      <c r="F25" s="2386"/>
    </row>
    <row r="26" spans="1:6" ht="11.25" customHeight="1" x14ac:dyDescent="0.15">
      <c r="A26" s="2353" t="s">
        <v>20</v>
      </c>
      <c r="B26" s="2353"/>
      <c r="C26" s="2353"/>
      <c r="D26" s="2353"/>
      <c r="E26" s="2353"/>
      <c r="F26" s="2353"/>
    </row>
    <row r="27" spans="1:6" ht="11.25" customHeight="1" x14ac:dyDescent="0.15">
      <c r="A27" s="2364" t="s">
        <v>199</v>
      </c>
      <c r="B27" s="2365"/>
      <c r="C27" s="2365"/>
      <c r="D27" s="2365"/>
      <c r="E27" s="2365"/>
      <c r="F27" s="2365"/>
    </row>
    <row r="28" spans="1:6" x14ac:dyDescent="0.15">
      <c r="A28" s="2009"/>
      <c r="B28" s="2009"/>
      <c r="C28" s="2009"/>
      <c r="D28" s="2009"/>
      <c r="E28" s="2009"/>
      <c r="F28" s="2009"/>
    </row>
  </sheetData>
  <mergeCells count="9">
    <mergeCell ref="A25:F25"/>
    <mergeCell ref="A26:F26"/>
    <mergeCell ref="A27:F27"/>
    <mergeCell ref="A2:F2"/>
    <mergeCell ref="A3:F3"/>
    <mergeCell ref="A4:A5"/>
    <mergeCell ref="B4:F4"/>
    <mergeCell ref="A23:F23"/>
    <mergeCell ref="A24:F2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pageSetUpPr fitToPage="1"/>
  </sheetPr>
  <dimension ref="A1:K67"/>
  <sheetViews>
    <sheetView zoomScaleNormal="100" workbookViewId="0">
      <selection sqref="A1:XFD1048576"/>
    </sheetView>
  </sheetViews>
  <sheetFormatPr baseColWidth="10" defaultColWidth="11.42578125" defaultRowHeight="10.5" x14ac:dyDescent="0.15"/>
  <cols>
    <col min="1" max="1" width="40.7109375" style="1356" customWidth="1"/>
    <col min="2" max="2" width="16.42578125" style="1356" customWidth="1"/>
    <col min="3" max="3" width="19" style="1356" customWidth="1"/>
    <col min="4" max="4" width="25.7109375" style="1356" customWidth="1"/>
    <col min="5" max="5" width="18.42578125" style="1356" customWidth="1"/>
    <col min="6" max="7" width="11.42578125" style="1356"/>
    <col min="8" max="8" width="25.5703125" style="1356" customWidth="1"/>
    <col min="9" max="16384" width="11.42578125" style="1356"/>
  </cols>
  <sheetData>
    <row r="1" spans="1:11" s="738" customFormat="1" ht="17.25" customHeight="1" x14ac:dyDescent="0.15"/>
    <row r="2" spans="1:11" s="738" customFormat="1" ht="22.5" customHeight="1" x14ac:dyDescent="0.15">
      <c r="A2" s="3268" t="s">
        <v>2857</v>
      </c>
      <c r="B2" s="3268"/>
      <c r="C2" s="3268"/>
      <c r="D2" s="3268"/>
      <c r="E2" s="3268"/>
    </row>
    <row r="3" spans="1:11" s="738" customFormat="1" ht="10.5" customHeight="1" x14ac:dyDescent="0.15"/>
    <row r="4" spans="1:11" s="738" customFormat="1" ht="15" customHeight="1" x14ac:dyDescent="0.15">
      <c r="A4" s="3269" t="s">
        <v>2858</v>
      </c>
      <c r="B4" s="3265" t="s">
        <v>2859</v>
      </c>
      <c r="C4" s="3265"/>
      <c r="D4" s="3265"/>
      <c r="E4" s="3265"/>
      <c r="H4" s="296"/>
      <c r="I4" s="296"/>
      <c r="J4" s="296"/>
      <c r="K4" s="296"/>
    </row>
    <row r="5" spans="1:11" s="738" customFormat="1" ht="15" customHeight="1" x14ac:dyDescent="0.15">
      <c r="A5" s="3270"/>
      <c r="B5" s="3272" t="s">
        <v>2860</v>
      </c>
      <c r="C5" s="3265" t="s">
        <v>2861</v>
      </c>
      <c r="D5" s="3265"/>
      <c r="E5" s="3265"/>
      <c r="H5" s="2233"/>
      <c r="I5" s="2234"/>
      <c r="J5" s="2234"/>
      <c r="K5" s="2234"/>
    </row>
    <row r="6" spans="1:11" ht="43.5" customHeight="1" x14ac:dyDescent="0.15">
      <c r="A6" s="3271"/>
      <c r="B6" s="3272"/>
      <c r="C6" s="2124" t="s">
        <v>2862</v>
      </c>
      <c r="D6" s="2124" t="s">
        <v>2863</v>
      </c>
      <c r="E6" s="2124" t="s">
        <v>2864</v>
      </c>
      <c r="H6" s="2235"/>
      <c r="I6" s="2234"/>
      <c r="J6" s="2234"/>
      <c r="K6" s="2234"/>
    </row>
    <row r="7" spans="1:11" x14ac:dyDescent="0.15">
      <c r="A7" s="1357" t="s">
        <v>141</v>
      </c>
      <c r="B7" s="1358">
        <f>SUM(B8,B14,B19,B22,B27,B30,B32,B41,B46,B48,B52,B58)</f>
        <v>1542</v>
      </c>
      <c r="C7" s="1358">
        <f>SUM(C8,C14,C19,C22,C27,C30,C32,C41,C46,C48,C52,C58)</f>
        <v>689</v>
      </c>
      <c r="D7" s="1358">
        <f>SUM(D8,D14,D19,D22,D27,D30,D32,D41,D46,D48,D52,D58)</f>
        <v>708</v>
      </c>
      <c r="E7" s="1358">
        <f>SUM(E8,E14,E19,E22,E27,E30,E32,E41,E46,E48,E52,E58)</f>
        <v>145</v>
      </c>
      <c r="H7" s="2235"/>
      <c r="I7" s="2234"/>
      <c r="J7" s="2234"/>
      <c r="K7" s="2234"/>
    </row>
    <row r="8" spans="1:11" x14ac:dyDescent="0.15">
      <c r="A8" s="1357" t="s">
        <v>2865</v>
      </c>
      <c r="B8" s="1358">
        <f>SUM(B9:B13)</f>
        <v>407</v>
      </c>
      <c r="C8" s="1358">
        <f>SUM(C9:C13)</f>
        <v>313</v>
      </c>
      <c r="D8" s="1358">
        <f>SUM(D9:D13)</f>
        <v>70</v>
      </c>
      <c r="E8" s="1358">
        <f>SUM(E9:E13)</f>
        <v>24</v>
      </c>
      <c r="H8" s="2235"/>
      <c r="I8" s="2234"/>
      <c r="J8" s="2234"/>
      <c r="K8" s="2234"/>
    </row>
    <row r="9" spans="1:11" ht="11.25" customHeight="1" x14ac:dyDescent="0.15">
      <c r="A9" s="1359" t="s">
        <v>2866</v>
      </c>
      <c r="B9" s="1360">
        <f>SUM(C9:E9)</f>
        <v>88</v>
      </c>
      <c r="C9" s="1360">
        <v>51</v>
      </c>
      <c r="D9" s="1360">
        <v>13</v>
      </c>
      <c r="E9" s="1360">
        <v>24</v>
      </c>
      <c r="H9" s="2235"/>
      <c r="I9" s="2234"/>
      <c r="J9" s="2234"/>
      <c r="K9" s="2234"/>
    </row>
    <row r="10" spans="1:11" ht="11.25" customHeight="1" x14ac:dyDescent="0.15">
      <c r="A10" s="1359" t="s">
        <v>2847</v>
      </c>
      <c r="B10" s="1360">
        <f>SUM(C10:E10)</f>
        <v>35</v>
      </c>
      <c r="C10" s="1360">
        <v>0</v>
      </c>
      <c r="D10" s="1360">
        <v>35</v>
      </c>
      <c r="E10" s="1360">
        <v>0</v>
      </c>
      <c r="H10" s="2235"/>
      <c r="I10" s="2234"/>
      <c r="J10" s="2234"/>
      <c r="K10" s="2234"/>
    </row>
    <row r="11" spans="1:11" ht="11.25" customHeight="1" x14ac:dyDescent="0.15">
      <c r="A11" s="1359" t="s">
        <v>2867</v>
      </c>
      <c r="B11" s="1360">
        <f>SUM(C11:E11)</f>
        <v>221</v>
      </c>
      <c r="C11" s="1360">
        <v>210</v>
      </c>
      <c r="D11" s="1360">
        <v>11</v>
      </c>
      <c r="E11" s="1360">
        <v>0</v>
      </c>
      <c r="H11" s="2233"/>
      <c r="I11" s="2234"/>
      <c r="J11" s="2234"/>
      <c r="K11" s="2234"/>
    </row>
    <row r="12" spans="1:11" ht="11.25" customHeight="1" x14ac:dyDescent="0.15">
      <c r="A12" s="1359" t="s">
        <v>2543</v>
      </c>
      <c r="B12" s="1360">
        <f>SUM(C12:E12)</f>
        <v>44</v>
      </c>
      <c r="C12" s="1360">
        <v>40</v>
      </c>
      <c r="D12" s="1360">
        <v>4</v>
      </c>
      <c r="E12" s="1360">
        <v>0</v>
      </c>
      <c r="H12" s="2235"/>
      <c r="I12" s="2234"/>
      <c r="J12" s="2234"/>
      <c r="K12" s="2234"/>
    </row>
    <row r="13" spans="1:11" ht="11.25" customHeight="1" x14ac:dyDescent="0.15">
      <c r="A13" s="1359" t="s">
        <v>2868</v>
      </c>
      <c r="B13" s="1360">
        <f>SUM(C13:E13)</f>
        <v>19</v>
      </c>
      <c r="C13" s="1360">
        <v>12</v>
      </c>
      <c r="D13" s="1360">
        <v>7</v>
      </c>
      <c r="E13" s="1360">
        <v>0</v>
      </c>
      <c r="H13" s="2235"/>
      <c r="I13" s="2234"/>
      <c r="J13" s="2234"/>
      <c r="K13" s="2234"/>
    </row>
    <row r="14" spans="1:11" ht="11.25" customHeight="1" x14ac:dyDescent="0.15">
      <c r="A14" s="1357" t="s">
        <v>2869</v>
      </c>
      <c r="B14" s="1358">
        <f>SUM(B15:B18)</f>
        <v>35</v>
      </c>
      <c r="C14" s="1358">
        <f>SUM(C15:C18)</f>
        <v>30</v>
      </c>
      <c r="D14" s="1358">
        <f>SUM(D15:D18)</f>
        <v>4</v>
      </c>
      <c r="E14" s="1358">
        <f>SUM(E15:E18)</f>
        <v>1</v>
      </c>
      <c r="H14" s="2235"/>
      <c r="I14" s="2234"/>
      <c r="J14" s="2234"/>
      <c r="K14" s="2234"/>
    </row>
    <row r="15" spans="1:11" ht="11.25" customHeight="1" x14ac:dyDescent="0.15">
      <c r="A15" s="1359" t="s">
        <v>2870</v>
      </c>
      <c r="B15" s="1360">
        <f>SUM(C15:E15)</f>
        <v>1</v>
      </c>
      <c r="C15" s="1360">
        <v>1</v>
      </c>
      <c r="D15" s="1360">
        <v>0</v>
      </c>
      <c r="E15" s="1360">
        <v>0</v>
      </c>
      <c r="H15" s="2235"/>
      <c r="I15" s="2234"/>
      <c r="J15" s="2234"/>
      <c r="K15" s="2234"/>
    </row>
    <row r="16" spans="1:11" ht="11.25" customHeight="1" x14ac:dyDescent="0.15">
      <c r="A16" s="1359" t="s">
        <v>2871</v>
      </c>
      <c r="B16" s="1360">
        <f>SUM(C16:E16)</f>
        <v>1</v>
      </c>
      <c r="C16" s="1360">
        <v>0</v>
      </c>
      <c r="D16" s="1360">
        <v>0</v>
      </c>
      <c r="E16" s="1360">
        <v>1</v>
      </c>
      <c r="H16" s="2233"/>
      <c r="I16" s="2234"/>
      <c r="J16" s="2234"/>
      <c r="K16" s="2234"/>
    </row>
    <row r="17" spans="1:11" ht="12.75" customHeight="1" x14ac:dyDescent="0.15">
      <c r="A17" s="1359" t="s">
        <v>2872</v>
      </c>
      <c r="B17" s="1360">
        <f>SUM(C17:E17)</f>
        <v>6</v>
      </c>
      <c r="C17" s="1360">
        <v>6</v>
      </c>
      <c r="D17" s="1360">
        <v>0</v>
      </c>
      <c r="E17" s="1360">
        <v>0</v>
      </c>
      <c r="H17" s="2235"/>
      <c r="I17" s="2234"/>
      <c r="J17" s="2234"/>
      <c r="K17" s="2234"/>
    </row>
    <row r="18" spans="1:11" ht="11.25" customHeight="1" x14ac:dyDescent="0.15">
      <c r="A18" s="1359" t="s">
        <v>2673</v>
      </c>
      <c r="B18" s="1360">
        <f>SUM(C18:E18)</f>
        <v>27</v>
      </c>
      <c r="C18" s="1360">
        <v>23</v>
      </c>
      <c r="D18" s="1360">
        <v>4</v>
      </c>
      <c r="E18" s="1360">
        <v>0</v>
      </c>
      <c r="H18" s="2235"/>
      <c r="I18" s="2234"/>
      <c r="J18" s="2234"/>
      <c r="K18" s="2234"/>
    </row>
    <row r="19" spans="1:11" ht="11.25" customHeight="1" x14ac:dyDescent="0.15">
      <c r="A19" s="1357" t="s">
        <v>2873</v>
      </c>
      <c r="B19" s="1358">
        <f>SUM(B20:B21)</f>
        <v>62</v>
      </c>
      <c r="C19" s="1358">
        <f>SUM(C20:C21)</f>
        <v>5</v>
      </c>
      <c r="D19" s="1358">
        <f>SUM(D20:D21)</f>
        <v>17</v>
      </c>
      <c r="E19" s="1358">
        <f>SUM(E20:E21)</f>
        <v>40</v>
      </c>
      <c r="H19" s="2233"/>
      <c r="I19" s="2234"/>
      <c r="J19" s="2234"/>
      <c r="K19" s="2234"/>
    </row>
    <row r="20" spans="1:11" ht="11.25" customHeight="1" x14ac:dyDescent="0.15">
      <c r="A20" s="1359" t="s">
        <v>2874</v>
      </c>
      <c r="B20" s="1360">
        <f>SUM(C20:E20)</f>
        <v>14</v>
      </c>
      <c r="C20" s="1360">
        <v>1</v>
      </c>
      <c r="D20" s="1360">
        <v>12</v>
      </c>
      <c r="E20" s="1360">
        <v>1</v>
      </c>
      <c r="H20" s="2235"/>
      <c r="I20" s="2234"/>
      <c r="J20" s="2234"/>
      <c r="K20" s="2234"/>
    </row>
    <row r="21" spans="1:11" ht="11.25" customHeight="1" x14ac:dyDescent="0.15">
      <c r="A21" s="1359" t="s">
        <v>2048</v>
      </c>
      <c r="B21" s="1360">
        <f>SUM(C21:E21)</f>
        <v>48</v>
      </c>
      <c r="C21" s="1360">
        <v>4</v>
      </c>
      <c r="D21" s="1360">
        <v>5</v>
      </c>
      <c r="E21" s="1360">
        <v>39</v>
      </c>
      <c r="H21" s="2235"/>
      <c r="I21" s="2234"/>
      <c r="J21" s="2234"/>
      <c r="K21" s="2234"/>
    </row>
    <row r="22" spans="1:11" ht="11.25" customHeight="1" x14ac:dyDescent="0.15">
      <c r="A22" s="1357" t="s">
        <v>2875</v>
      </c>
      <c r="B22" s="1358">
        <f>SUM(B23:B26)</f>
        <v>120</v>
      </c>
      <c r="C22" s="1358">
        <f>SUM(C23:C26)</f>
        <v>70</v>
      </c>
      <c r="D22" s="1358">
        <f>SUM(D23:D26)</f>
        <v>45</v>
      </c>
      <c r="E22" s="1358">
        <f>SUM(E23:E26)</f>
        <v>5</v>
      </c>
      <c r="H22" s="2235"/>
      <c r="I22" s="2234"/>
      <c r="J22" s="2234"/>
      <c r="K22" s="2234"/>
    </row>
    <row r="23" spans="1:11" ht="11.25" customHeight="1" x14ac:dyDescent="0.15">
      <c r="A23" s="1359" t="s">
        <v>2540</v>
      </c>
      <c r="B23" s="1360">
        <f>SUM(C23:E23)</f>
        <v>75</v>
      </c>
      <c r="C23" s="1360">
        <v>69</v>
      </c>
      <c r="D23" s="1360">
        <v>5</v>
      </c>
      <c r="E23" s="1360">
        <v>1</v>
      </c>
      <c r="H23" s="2235"/>
      <c r="I23" s="2234"/>
      <c r="J23" s="2234"/>
      <c r="K23" s="2234"/>
    </row>
    <row r="24" spans="1:11" ht="11.25" customHeight="1" x14ac:dyDescent="0.15">
      <c r="A24" s="1359" t="s">
        <v>2876</v>
      </c>
      <c r="B24" s="1360">
        <f>SUM(C24:E24)</f>
        <v>4</v>
      </c>
      <c r="C24" s="1360">
        <v>0</v>
      </c>
      <c r="D24" s="1360">
        <v>0</v>
      </c>
      <c r="E24" s="1360">
        <v>4</v>
      </c>
      <c r="H24" s="2233"/>
      <c r="I24" s="2234"/>
      <c r="J24" s="2234"/>
      <c r="K24" s="2234"/>
    </row>
    <row r="25" spans="1:11" ht="11.25" customHeight="1" x14ac:dyDescent="0.15">
      <c r="A25" s="1359" t="s">
        <v>2877</v>
      </c>
      <c r="B25" s="1360">
        <f>SUM(C25:E25)</f>
        <v>4</v>
      </c>
      <c r="C25" s="1360">
        <v>1</v>
      </c>
      <c r="D25" s="1360">
        <v>3</v>
      </c>
      <c r="E25" s="1360">
        <v>0</v>
      </c>
      <c r="H25" s="2235"/>
      <c r="I25" s="2234"/>
      <c r="J25" s="2234"/>
      <c r="K25" s="2234"/>
    </row>
    <row r="26" spans="1:11" ht="11.25" customHeight="1" x14ac:dyDescent="0.15">
      <c r="A26" s="1359" t="s">
        <v>2878</v>
      </c>
      <c r="B26" s="1360">
        <f>SUM(C26:E26)</f>
        <v>37</v>
      </c>
      <c r="C26" s="1360">
        <v>0</v>
      </c>
      <c r="D26" s="1360">
        <v>37</v>
      </c>
      <c r="E26" s="1360">
        <v>0</v>
      </c>
      <c r="H26" s="2235"/>
      <c r="I26" s="2234"/>
      <c r="J26" s="2234"/>
      <c r="K26" s="2234"/>
    </row>
    <row r="27" spans="1:11" ht="11.25" customHeight="1" x14ac:dyDescent="0.15">
      <c r="A27" s="1357" t="s">
        <v>2879</v>
      </c>
      <c r="B27" s="1358">
        <f>SUM(B28:B29)</f>
        <v>60</v>
      </c>
      <c r="C27" s="1358">
        <f>SUM(C28:C29)</f>
        <v>48</v>
      </c>
      <c r="D27" s="1358">
        <f>SUM(D28:D29)</f>
        <v>1</v>
      </c>
      <c r="E27" s="1358">
        <f>SUM(E28:E29)</f>
        <v>11</v>
      </c>
      <c r="H27" s="2233"/>
      <c r="I27" s="2234"/>
      <c r="J27" s="2234"/>
      <c r="K27" s="2234"/>
    </row>
    <row r="28" spans="1:11" ht="11.25" customHeight="1" x14ac:dyDescent="0.15">
      <c r="A28" s="1359" t="s">
        <v>2880</v>
      </c>
      <c r="B28" s="1360">
        <f>SUM(C28:E28)</f>
        <v>40</v>
      </c>
      <c r="C28" s="1360">
        <v>29</v>
      </c>
      <c r="D28" s="1360">
        <v>1</v>
      </c>
      <c r="E28" s="1360">
        <v>10</v>
      </c>
      <c r="H28" s="2235"/>
      <c r="I28" s="2234"/>
      <c r="J28" s="2234"/>
      <c r="K28" s="2234"/>
    </row>
    <row r="29" spans="1:11" ht="11.25" customHeight="1" x14ac:dyDescent="0.15">
      <c r="A29" s="1359" t="s">
        <v>2881</v>
      </c>
      <c r="B29" s="1360">
        <f>SUM(C29:E29)</f>
        <v>20</v>
      </c>
      <c r="C29" s="1360">
        <v>19</v>
      </c>
      <c r="D29" s="1360">
        <v>0</v>
      </c>
      <c r="E29" s="1360">
        <v>1</v>
      </c>
      <c r="H29" s="2233"/>
      <c r="I29" s="2234"/>
      <c r="J29" s="2234"/>
      <c r="K29" s="2234"/>
    </row>
    <row r="30" spans="1:11" ht="11.25" customHeight="1" x14ac:dyDescent="0.15">
      <c r="A30" s="1357" t="s">
        <v>2882</v>
      </c>
      <c r="B30" s="1358">
        <f>SUM(B31)</f>
        <v>3</v>
      </c>
      <c r="C30" s="1358">
        <f>SUM(C31)</f>
        <v>3</v>
      </c>
      <c r="D30" s="1358">
        <f>SUM(D31)</f>
        <v>0</v>
      </c>
      <c r="E30" s="1358">
        <f>SUM(E31)</f>
        <v>0</v>
      </c>
      <c r="H30" s="2235"/>
      <c r="I30" s="2234"/>
      <c r="J30" s="2234"/>
      <c r="K30" s="2234"/>
    </row>
    <row r="31" spans="1:11" ht="11.25" customHeight="1" x14ac:dyDescent="0.15">
      <c r="A31" s="1359" t="s">
        <v>2882</v>
      </c>
      <c r="B31" s="1360">
        <f>SUM(C31:E31)</f>
        <v>3</v>
      </c>
      <c r="C31" s="1360">
        <v>3</v>
      </c>
      <c r="D31" s="1360">
        <v>0</v>
      </c>
      <c r="E31" s="1360">
        <v>0</v>
      </c>
      <c r="H31" s="2235"/>
      <c r="I31" s="2234"/>
      <c r="J31" s="2234"/>
      <c r="K31" s="2234"/>
    </row>
    <row r="32" spans="1:11" ht="11.25" customHeight="1" x14ac:dyDescent="0.15">
      <c r="A32" s="1357" t="s">
        <v>2883</v>
      </c>
      <c r="B32" s="1358">
        <f>SUM(B33:B40)</f>
        <v>60</v>
      </c>
      <c r="C32" s="1358">
        <f>SUM(C33:C40)</f>
        <v>1</v>
      </c>
      <c r="D32" s="1358">
        <f>SUM(D33:D40)</f>
        <v>57</v>
      </c>
      <c r="E32" s="1358">
        <f>SUM(E33:E40)</f>
        <v>2</v>
      </c>
      <c r="H32" s="2235"/>
      <c r="I32" s="2234"/>
      <c r="J32" s="2234"/>
      <c r="K32" s="2234"/>
    </row>
    <row r="33" spans="1:11" ht="11.25" customHeight="1" x14ac:dyDescent="0.15">
      <c r="A33" s="1359" t="s">
        <v>2884</v>
      </c>
      <c r="B33" s="1360">
        <f t="shared" ref="B33:B40" si="0">SUM(C33:E33)</f>
        <v>5</v>
      </c>
      <c r="C33" s="1360">
        <v>0</v>
      </c>
      <c r="D33" s="1360">
        <v>5</v>
      </c>
      <c r="E33" s="1360">
        <v>0</v>
      </c>
      <c r="H33" s="2235"/>
      <c r="I33" s="2234"/>
      <c r="J33" s="2234"/>
      <c r="K33" s="2234"/>
    </row>
    <row r="34" spans="1:11" ht="11.25" customHeight="1" x14ac:dyDescent="0.15">
      <c r="A34" s="1359" t="s">
        <v>2885</v>
      </c>
      <c r="B34" s="1360">
        <f t="shared" si="0"/>
        <v>15</v>
      </c>
      <c r="C34" s="1360">
        <v>0</v>
      </c>
      <c r="D34" s="1360">
        <v>14</v>
      </c>
      <c r="E34" s="1360">
        <v>1</v>
      </c>
      <c r="H34" s="2235"/>
      <c r="I34" s="2234"/>
      <c r="J34" s="2234"/>
      <c r="K34" s="2234"/>
    </row>
    <row r="35" spans="1:11" ht="11.25" customHeight="1" x14ac:dyDescent="0.15">
      <c r="A35" s="1359" t="s">
        <v>2886</v>
      </c>
      <c r="B35" s="1360">
        <f>SUM(C35:E35)</f>
        <v>11</v>
      </c>
      <c r="C35" s="1360">
        <v>0</v>
      </c>
      <c r="D35" s="1360">
        <v>10</v>
      </c>
      <c r="E35" s="1360">
        <v>1</v>
      </c>
      <c r="H35" s="2235"/>
      <c r="I35" s="2234"/>
      <c r="J35" s="2234"/>
      <c r="K35" s="2234"/>
    </row>
    <row r="36" spans="1:11" ht="11.25" customHeight="1" x14ac:dyDescent="0.15">
      <c r="A36" s="1359" t="s">
        <v>2887</v>
      </c>
      <c r="B36" s="1360">
        <f t="shared" si="0"/>
        <v>3</v>
      </c>
      <c r="C36" s="1360">
        <v>1</v>
      </c>
      <c r="D36" s="1360">
        <v>2</v>
      </c>
      <c r="E36" s="1360">
        <v>0</v>
      </c>
      <c r="H36" s="2235"/>
      <c r="I36" s="2234"/>
      <c r="J36" s="2234"/>
      <c r="K36" s="2234"/>
    </row>
    <row r="37" spans="1:11" ht="11.25" customHeight="1" x14ac:dyDescent="0.15">
      <c r="A37" s="1359" t="s">
        <v>2888</v>
      </c>
      <c r="B37" s="1360">
        <f t="shared" si="0"/>
        <v>1</v>
      </c>
      <c r="C37" s="1360">
        <v>0</v>
      </c>
      <c r="D37" s="1360">
        <v>1</v>
      </c>
      <c r="E37" s="1360">
        <v>0</v>
      </c>
      <c r="H37" s="2235"/>
      <c r="I37" s="2234"/>
      <c r="J37" s="2234"/>
      <c r="K37" s="2234"/>
    </row>
    <row r="38" spans="1:11" ht="11.25" customHeight="1" x14ac:dyDescent="0.15">
      <c r="A38" s="1359" t="s">
        <v>2889</v>
      </c>
      <c r="B38" s="1360">
        <v>20</v>
      </c>
      <c r="C38" s="1360">
        <v>0</v>
      </c>
      <c r="D38" s="1360">
        <v>20</v>
      </c>
      <c r="E38" s="1360">
        <v>0</v>
      </c>
      <c r="H38" s="2233"/>
      <c r="I38" s="2234"/>
      <c r="J38" s="2234"/>
      <c r="K38" s="2234"/>
    </row>
    <row r="39" spans="1:11" ht="11.25" customHeight="1" x14ac:dyDescent="0.15">
      <c r="A39" s="1359" t="s">
        <v>2890</v>
      </c>
      <c r="B39" s="1360">
        <f t="shared" si="0"/>
        <v>4</v>
      </c>
      <c r="C39" s="1360">
        <v>0</v>
      </c>
      <c r="D39" s="1360">
        <v>4</v>
      </c>
      <c r="E39" s="1360">
        <v>0</v>
      </c>
      <c r="H39" s="2235"/>
      <c r="I39" s="2234"/>
      <c r="J39" s="2234"/>
      <c r="K39" s="2234"/>
    </row>
    <row r="40" spans="1:11" ht="11.25" customHeight="1" x14ac:dyDescent="0.15">
      <c r="A40" s="1359" t="s">
        <v>2891</v>
      </c>
      <c r="B40" s="1360">
        <f t="shared" si="0"/>
        <v>1</v>
      </c>
      <c r="C40" s="1360">
        <v>0</v>
      </c>
      <c r="D40" s="1360">
        <v>1</v>
      </c>
      <c r="E40" s="1360">
        <v>0</v>
      </c>
      <c r="H40" s="2235"/>
      <c r="I40" s="2234"/>
      <c r="J40" s="2234"/>
      <c r="K40" s="2234"/>
    </row>
    <row r="41" spans="1:11" ht="9.75" customHeight="1" x14ac:dyDescent="0.15">
      <c r="A41" s="1357" t="s">
        <v>2892</v>
      </c>
      <c r="B41" s="1358">
        <f>SUM(B42:B45)</f>
        <v>57</v>
      </c>
      <c r="C41" s="1358">
        <f>SUM(C42:C45)</f>
        <v>1</v>
      </c>
      <c r="D41" s="1358">
        <f>SUM(D42:D45)</f>
        <v>10</v>
      </c>
      <c r="E41" s="1358">
        <f>SUM(E42:E45)</f>
        <v>46</v>
      </c>
      <c r="H41" s="2235"/>
      <c r="I41" s="2234"/>
      <c r="J41" s="2234"/>
      <c r="K41" s="2234"/>
    </row>
    <row r="42" spans="1:11" x14ac:dyDescent="0.15">
      <c r="A42" s="1359" t="s">
        <v>2893</v>
      </c>
      <c r="B42" s="1360">
        <f>SUM(C42:E42)</f>
        <v>8</v>
      </c>
      <c r="C42" s="1360">
        <v>1</v>
      </c>
      <c r="D42" s="1360">
        <v>0</v>
      </c>
      <c r="E42" s="1360">
        <v>7</v>
      </c>
      <c r="H42" s="2235"/>
      <c r="I42" s="2234"/>
      <c r="J42" s="2234"/>
      <c r="K42" s="2234"/>
    </row>
    <row r="43" spans="1:11" x14ac:dyDescent="0.15">
      <c r="A43" s="1359" t="s">
        <v>2894</v>
      </c>
      <c r="B43" s="1360">
        <f>SUM(C43:E43)</f>
        <v>39</v>
      </c>
      <c r="C43" s="1360">
        <v>0</v>
      </c>
      <c r="D43" s="1360">
        <v>0</v>
      </c>
      <c r="E43" s="1360">
        <v>39</v>
      </c>
      <c r="F43" s="1361"/>
      <c r="H43" s="2233"/>
      <c r="I43" s="2234"/>
      <c r="J43" s="2234"/>
      <c r="K43" s="2234"/>
    </row>
    <row r="44" spans="1:11" ht="11.25" customHeight="1" x14ac:dyDescent="0.15">
      <c r="A44" s="1359" t="s">
        <v>2895</v>
      </c>
      <c r="B44" s="1360">
        <f>SUM(C44:E44)</f>
        <v>8</v>
      </c>
      <c r="C44" s="1360">
        <v>0</v>
      </c>
      <c r="D44" s="1360">
        <v>8</v>
      </c>
      <c r="E44" s="1360">
        <v>0</v>
      </c>
      <c r="H44" s="2235"/>
      <c r="I44" s="2234"/>
      <c r="J44" s="2234"/>
      <c r="K44" s="2234"/>
    </row>
    <row r="45" spans="1:11" ht="11.25" customHeight="1" x14ac:dyDescent="0.15">
      <c r="A45" s="1359" t="s">
        <v>2896</v>
      </c>
      <c r="B45" s="1360">
        <f>SUM(C45:E45)</f>
        <v>2</v>
      </c>
      <c r="C45" s="1360">
        <v>0</v>
      </c>
      <c r="D45" s="1360">
        <v>2</v>
      </c>
      <c r="E45" s="1360">
        <v>0</v>
      </c>
      <c r="H45" s="2233"/>
      <c r="I45" s="2234"/>
      <c r="J45" s="2234"/>
      <c r="K45" s="2234"/>
    </row>
    <row r="46" spans="1:11" ht="11.25" customHeight="1" x14ac:dyDescent="0.15">
      <c r="A46" s="1357" t="s">
        <v>432</v>
      </c>
      <c r="B46" s="1358">
        <f>SUM(B47)</f>
        <v>157</v>
      </c>
      <c r="C46" s="1358">
        <f>SUM(C47)</f>
        <v>137</v>
      </c>
      <c r="D46" s="1358">
        <f>SUM(D47)</f>
        <v>20</v>
      </c>
      <c r="E46" s="1358">
        <f>SUM(E47)</f>
        <v>0</v>
      </c>
      <c r="H46" s="2235"/>
      <c r="I46" s="2234"/>
      <c r="J46" s="2234"/>
      <c r="K46" s="2234"/>
    </row>
    <row r="47" spans="1:11" ht="11.25" customHeight="1" x14ac:dyDescent="0.15">
      <c r="A47" s="1359" t="s">
        <v>432</v>
      </c>
      <c r="B47" s="1360">
        <f>SUM(C47:E47)</f>
        <v>157</v>
      </c>
      <c r="C47" s="1360">
        <v>137</v>
      </c>
      <c r="D47" s="1360">
        <v>20</v>
      </c>
      <c r="E47" s="1360">
        <v>0</v>
      </c>
      <c r="H47" s="2235"/>
      <c r="I47" s="2234"/>
      <c r="J47" s="2234"/>
      <c r="K47" s="2234"/>
    </row>
    <row r="48" spans="1:11" ht="11.25" customHeight="1" x14ac:dyDescent="0.15">
      <c r="A48" s="1357" t="s">
        <v>2897</v>
      </c>
      <c r="B48" s="1358">
        <f>SUM(B49:B51)</f>
        <v>464</v>
      </c>
      <c r="C48" s="1358">
        <f>SUM(C49:C51)</f>
        <v>19</v>
      </c>
      <c r="D48" s="1358">
        <f>SUM(D49:D51)</f>
        <v>444</v>
      </c>
      <c r="E48" s="1358">
        <f>SUM(E49:E51)</f>
        <v>1</v>
      </c>
      <c r="H48" s="2235"/>
      <c r="I48" s="2234"/>
      <c r="J48" s="2234"/>
      <c r="K48" s="2234"/>
    </row>
    <row r="49" spans="1:11" ht="11.25" customHeight="1" x14ac:dyDescent="0.15">
      <c r="A49" s="1359" t="s">
        <v>2898</v>
      </c>
      <c r="B49" s="1360">
        <f>SUM(C49:E49)</f>
        <v>445</v>
      </c>
      <c r="C49" s="1360">
        <v>3</v>
      </c>
      <c r="D49" s="1360">
        <v>441</v>
      </c>
      <c r="E49" s="1360">
        <v>1</v>
      </c>
      <c r="H49" s="2233"/>
      <c r="I49" s="2234"/>
      <c r="J49" s="2234"/>
      <c r="K49" s="2234"/>
    </row>
    <row r="50" spans="1:11" ht="11.25" customHeight="1" x14ac:dyDescent="0.15">
      <c r="A50" s="1359" t="s">
        <v>2899</v>
      </c>
      <c r="B50" s="1360">
        <f>SUM(C50:E50)</f>
        <v>16</v>
      </c>
      <c r="C50" s="1360">
        <v>16</v>
      </c>
      <c r="D50" s="1360">
        <v>0</v>
      </c>
      <c r="E50" s="1360">
        <v>0</v>
      </c>
      <c r="H50" s="2235"/>
      <c r="I50" s="2234"/>
      <c r="J50" s="2234"/>
      <c r="K50" s="2234"/>
    </row>
    <row r="51" spans="1:11" ht="11.25" customHeight="1" x14ac:dyDescent="0.15">
      <c r="A51" s="1359" t="s">
        <v>2900</v>
      </c>
      <c r="B51" s="1360">
        <f>SUM(C51:E51)</f>
        <v>3</v>
      </c>
      <c r="C51" s="1360">
        <v>0</v>
      </c>
      <c r="D51" s="1360">
        <v>3</v>
      </c>
      <c r="E51" s="1360">
        <v>0</v>
      </c>
      <c r="H51" s="2235"/>
      <c r="I51" s="2234"/>
      <c r="J51" s="2234"/>
      <c r="K51" s="2234"/>
    </row>
    <row r="52" spans="1:11" ht="11.25" customHeight="1" x14ac:dyDescent="0.15">
      <c r="A52" s="1357" t="s">
        <v>2901</v>
      </c>
      <c r="B52" s="1358">
        <f>SUM(B53:B57)</f>
        <v>79</v>
      </c>
      <c r="C52" s="1358">
        <f>SUM(C53:C57)</f>
        <v>56</v>
      </c>
      <c r="D52" s="1358">
        <f>SUM(D53:D57)</f>
        <v>20</v>
      </c>
      <c r="E52" s="1358">
        <f>SUM(E53:E57)</f>
        <v>3</v>
      </c>
      <c r="H52" s="2235"/>
      <c r="I52" s="2234"/>
      <c r="J52" s="2234"/>
      <c r="K52" s="2234"/>
    </row>
    <row r="53" spans="1:11" ht="11.25" customHeight="1" x14ac:dyDescent="0.15">
      <c r="A53" s="1359" t="s">
        <v>2902</v>
      </c>
      <c r="B53" s="1360">
        <f>SUM(C53:E53)</f>
        <v>11</v>
      </c>
      <c r="C53" s="1360">
        <v>11</v>
      </c>
      <c r="D53" s="1360">
        <v>0</v>
      </c>
      <c r="E53" s="1360">
        <v>0</v>
      </c>
      <c r="H53" s="2235"/>
      <c r="I53" s="2234"/>
      <c r="J53" s="2234"/>
      <c r="K53" s="2234"/>
    </row>
    <row r="54" spans="1:11" ht="11.25" customHeight="1" x14ac:dyDescent="0.15">
      <c r="A54" s="1359" t="s">
        <v>2416</v>
      </c>
      <c r="B54" s="1360">
        <f>SUM(C54:E54)</f>
        <v>17</v>
      </c>
      <c r="C54" s="1360">
        <v>13</v>
      </c>
      <c r="D54" s="1360">
        <v>1</v>
      </c>
      <c r="E54" s="1360">
        <v>3</v>
      </c>
      <c r="H54" s="2235"/>
      <c r="I54" s="2234"/>
      <c r="J54" s="2234"/>
      <c r="K54" s="2234"/>
    </row>
    <row r="55" spans="1:11" ht="11.25" customHeight="1" x14ac:dyDescent="0.15">
      <c r="A55" s="1359" t="s">
        <v>2903</v>
      </c>
      <c r="B55" s="1360">
        <f>SUM(C55:E55)</f>
        <v>38</v>
      </c>
      <c r="C55" s="1360">
        <v>30</v>
      </c>
      <c r="D55" s="1360">
        <v>8</v>
      </c>
      <c r="E55" s="1360">
        <v>0</v>
      </c>
      <c r="H55" s="2233"/>
      <c r="I55" s="2234"/>
      <c r="J55" s="2234"/>
      <c r="K55" s="2234"/>
    </row>
    <row r="56" spans="1:11" ht="11.25" customHeight="1" x14ac:dyDescent="0.15">
      <c r="A56" s="1359" t="s">
        <v>2904</v>
      </c>
      <c r="B56" s="1360">
        <f>SUM(C56:E56)</f>
        <v>2</v>
      </c>
      <c r="C56" s="1360">
        <v>0</v>
      </c>
      <c r="D56" s="1360">
        <v>2</v>
      </c>
      <c r="E56" s="1360">
        <v>0</v>
      </c>
      <c r="H56" s="2235"/>
      <c r="I56" s="2234"/>
      <c r="J56" s="2234"/>
      <c r="K56" s="2234"/>
    </row>
    <row r="57" spans="1:11" ht="11.25" customHeight="1" x14ac:dyDescent="0.15">
      <c r="A57" s="1359" t="s">
        <v>2905</v>
      </c>
      <c r="B57" s="1360">
        <f>SUM(C57:E57)</f>
        <v>11</v>
      </c>
      <c r="C57" s="1360">
        <v>2</v>
      </c>
      <c r="D57" s="1360">
        <v>9</v>
      </c>
      <c r="E57" s="1360">
        <v>0</v>
      </c>
      <c r="H57" s="2235"/>
      <c r="I57" s="2234"/>
      <c r="J57" s="2234"/>
      <c r="K57" s="2234"/>
    </row>
    <row r="58" spans="1:11" ht="11.25" customHeight="1" x14ac:dyDescent="0.15">
      <c r="A58" s="1357" t="s">
        <v>2906</v>
      </c>
      <c r="B58" s="1358">
        <f>SUM(B59:B63)</f>
        <v>38</v>
      </c>
      <c r="C58" s="1358">
        <f>SUM(C59:C63)</f>
        <v>6</v>
      </c>
      <c r="D58" s="1358">
        <f>SUM(D59:D63)</f>
        <v>20</v>
      </c>
      <c r="E58" s="1358">
        <f>SUM(E59:E63)</f>
        <v>12</v>
      </c>
      <c r="H58" s="2235"/>
      <c r="I58" s="2234"/>
      <c r="J58" s="2234"/>
      <c r="K58" s="2234"/>
    </row>
    <row r="59" spans="1:11" ht="11.25" customHeight="1" x14ac:dyDescent="0.15">
      <c r="A59" s="1359" t="s">
        <v>2907</v>
      </c>
      <c r="B59" s="1360">
        <f>SUM(C59:E59)</f>
        <v>3</v>
      </c>
      <c r="C59" s="1360">
        <v>0</v>
      </c>
      <c r="D59" s="1360">
        <v>0</v>
      </c>
      <c r="E59" s="1360">
        <v>3</v>
      </c>
      <c r="H59" s="2235"/>
      <c r="I59" s="2234"/>
      <c r="J59" s="2234"/>
      <c r="K59" s="2234"/>
    </row>
    <row r="60" spans="1:11" ht="11.25" customHeight="1" x14ac:dyDescent="0.15">
      <c r="A60" s="1359" t="s">
        <v>2908</v>
      </c>
      <c r="B60" s="1360">
        <f>SUM(C60:E60)</f>
        <v>14</v>
      </c>
      <c r="C60" s="1360">
        <v>0</v>
      </c>
      <c r="D60" s="1360">
        <v>14</v>
      </c>
      <c r="E60" s="1360">
        <v>0</v>
      </c>
      <c r="H60" s="2235"/>
      <c r="I60" s="2234"/>
      <c r="J60" s="2234"/>
      <c r="K60" s="2234"/>
    </row>
    <row r="61" spans="1:11" ht="11.25" customHeight="1" x14ac:dyDescent="0.15">
      <c r="A61" s="1359" t="s">
        <v>2909</v>
      </c>
      <c r="B61" s="1360">
        <f>SUM(C61:E61)</f>
        <v>14</v>
      </c>
      <c r="C61" s="1360">
        <v>6</v>
      </c>
      <c r="D61" s="1360">
        <v>4</v>
      </c>
      <c r="E61" s="1360">
        <v>4</v>
      </c>
      <c r="H61" s="2233"/>
      <c r="I61" s="2234"/>
      <c r="J61" s="2234"/>
      <c r="K61" s="2234"/>
    </row>
    <row r="62" spans="1:11" ht="11.25" customHeight="1" x14ac:dyDescent="0.15">
      <c r="A62" s="1359" t="s">
        <v>2910</v>
      </c>
      <c r="B62" s="1360">
        <f>SUM(C62:E62)</f>
        <v>3</v>
      </c>
      <c r="C62" s="1360">
        <v>0</v>
      </c>
      <c r="D62" s="1360">
        <v>1</v>
      </c>
      <c r="E62" s="1360">
        <v>2</v>
      </c>
    </row>
    <row r="63" spans="1:11" ht="11.25" customHeight="1" x14ac:dyDescent="0.15">
      <c r="A63" s="1359" t="s">
        <v>2911</v>
      </c>
      <c r="B63" s="1360">
        <f>SUM(C63:E63)</f>
        <v>4</v>
      </c>
      <c r="C63" s="1360">
        <v>0</v>
      </c>
      <c r="D63" s="1360">
        <v>1</v>
      </c>
      <c r="E63" s="1360">
        <v>3</v>
      </c>
    </row>
    <row r="64" spans="1:11" ht="11.25" customHeight="1" x14ac:dyDescent="0.15"/>
    <row r="65" spans="1:5" x14ac:dyDescent="0.15">
      <c r="A65" s="1356" t="s">
        <v>2912</v>
      </c>
    </row>
    <row r="66" spans="1:5" x14ac:dyDescent="0.15">
      <c r="A66" s="1356" t="s">
        <v>44</v>
      </c>
    </row>
    <row r="67" spans="1:5" ht="22.5" customHeight="1" x14ac:dyDescent="0.15">
      <c r="A67" s="3267" t="s">
        <v>2913</v>
      </c>
      <c r="B67" s="3267"/>
      <c r="C67" s="3267"/>
      <c r="D67" s="3267"/>
      <c r="E67" s="3267"/>
    </row>
  </sheetData>
  <mergeCells count="6">
    <mergeCell ref="A67:E67"/>
    <mergeCell ref="A2:E2"/>
    <mergeCell ref="A4:A6"/>
    <mergeCell ref="B4:E4"/>
    <mergeCell ref="B5:B6"/>
    <mergeCell ref="C5:E5"/>
  </mergeCells>
  <pageMargins left="0.41" right="0.48" top="0.52" bottom="0.74803149606299213" header="0.31496062992125984" footer="0.31496062992125984"/>
  <pageSetup paperSize="281" scale="91"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pageSetUpPr fitToPage="1"/>
  </sheetPr>
  <dimension ref="A1:D65"/>
  <sheetViews>
    <sheetView zoomScaleNormal="100" workbookViewId="0">
      <pane ySplit="4" topLeftCell="A5" activePane="bottomLeft" state="frozen"/>
      <selection pane="bottomLeft" activeCell="E28" sqref="E28"/>
    </sheetView>
  </sheetViews>
  <sheetFormatPr baseColWidth="10" defaultColWidth="11.42578125" defaultRowHeight="10.5" x14ac:dyDescent="0.15"/>
  <cols>
    <col min="1" max="1" width="40.42578125" style="1362" customWidth="1"/>
    <col min="2" max="2" width="13.28515625" style="1362" customWidth="1"/>
    <col min="3" max="3" width="15" style="1362" customWidth="1"/>
    <col min="4" max="4" width="13.5703125" style="1362" customWidth="1"/>
    <col min="5" max="16384" width="11.42578125" style="1362"/>
  </cols>
  <sheetData>
    <row r="1" spans="1:4" ht="11.25" customHeight="1" x14ac:dyDescent="0.15"/>
    <row r="2" spans="1:4" s="1356" customFormat="1" ht="22.5" customHeight="1" x14ac:dyDescent="0.15">
      <c r="A2" s="3273" t="s">
        <v>2914</v>
      </c>
      <c r="B2" s="3273"/>
      <c r="C2" s="3273"/>
      <c r="D2" s="3273"/>
    </row>
    <row r="3" spans="1:4" s="1363" customFormat="1" ht="11.25" customHeight="1" x14ac:dyDescent="0.15"/>
    <row r="4" spans="1:4" ht="21" x14ac:dyDescent="0.15">
      <c r="A4" s="1364" t="s">
        <v>2858</v>
      </c>
      <c r="B4" s="1364" t="s">
        <v>2915</v>
      </c>
      <c r="C4" s="1989" t="s">
        <v>2917</v>
      </c>
      <c r="D4" s="1989" t="s">
        <v>2916</v>
      </c>
    </row>
    <row r="5" spans="1:4" s="1366" customFormat="1" ht="16.5" customHeight="1" x14ac:dyDescent="0.15">
      <c r="A5" s="1357" t="s">
        <v>141</v>
      </c>
      <c r="B5" s="1365">
        <f>SUM(B6,B12,B17,B20,B25,B28,B30,B39,B44,B46,B50,B56)</f>
        <v>115334</v>
      </c>
      <c r="C5" s="1365">
        <f>SUM(C6,C12,C17,C20,C25,C28,C30,C39,C44,C46,C50,C56)</f>
        <v>68838</v>
      </c>
      <c r="D5" s="1365">
        <f>SUM(D6,D12,D17,D20,D25,D28,D30,D39,D44,D46,D50,D56)</f>
        <v>46496</v>
      </c>
    </row>
    <row r="6" spans="1:4" s="1366" customFormat="1" x14ac:dyDescent="0.15">
      <c r="A6" s="1357" t="s">
        <v>2865</v>
      </c>
      <c r="B6" s="1365">
        <f>SUM(B7:B11)</f>
        <v>38692</v>
      </c>
      <c r="C6" s="1365">
        <f>SUM(C7:C11)</f>
        <v>18895</v>
      </c>
      <c r="D6" s="1365">
        <f>SUM(D7:D11)</f>
        <v>19797</v>
      </c>
    </row>
    <row r="7" spans="1:4" ht="12" customHeight="1" x14ac:dyDescent="0.15">
      <c r="A7" s="1359" t="s">
        <v>2866</v>
      </c>
      <c r="B7" s="1367">
        <v>12787</v>
      </c>
      <c r="C7" s="1367">
        <v>6760</v>
      </c>
      <c r="D7" s="1367">
        <v>6027</v>
      </c>
    </row>
    <row r="8" spans="1:4" x14ac:dyDescent="0.15">
      <c r="A8" s="1359" t="s">
        <v>2847</v>
      </c>
      <c r="B8" s="1367">
        <v>2237</v>
      </c>
      <c r="C8" s="1367">
        <v>1467</v>
      </c>
      <c r="D8" s="1367">
        <v>770</v>
      </c>
    </row>
    <row r="9" spans="1:4" x14ac:dyDescent="0.15">
      <c r="A9" s="1359" t="s">
        <v>2867</v>
      </c>
      <c r="B9" s="1368">
        <v>18754</v>
      </c>
      <c r="C9" s="1368">
        <v>7835</v>
      </c>
      <c r="D9" s="1368">
        <v>10919</v>
      </c>
    </row>
    <row r="10" spans="1:4" s="1366" customFormat="1" ht="11.25" customHeight="1" x14ac:dyDescent="0.15">
      <c r="A10" s="1359" t="s">
        <v>2543</v>
      </c>
      <c r="B10" s="1367">
        <v>4376</v>
      </c>
      <c r="C10" s="1367">
        <v>2473</v>
      </c>
      <c r="D10" s="1367">
        <v>1903</v>
      </c>
    </row>
    <row r="11" spans="1:4" ht="14.25" customHeight="1" x14ac:dyDescent="0.15">
      <c r="A11" s="1359" t="s">
        <v>2868</v>
      </c>
      <c r="B11" s="1367">
        <v>538</v>
      </c>
      <c r="C11" s="1367">
        <v>360</v>
      </c>
      <c r="D11" s="1367">
        <v>178</v>
      </c>
    </row>
    <row r="12" spans="1:4" s="1366" customFormat="1" ht="16.5" customHeight="1" x14ac:dyDescent="0.15">
      <c r="A12" s="1357" t="s">
        <v>2869</v>
      </c>
      <c r="B12" s="1365">
        <f>SUM(B13:B16)</f>
        <v>2860</v>
      </c>
      <c r="C12" s="1365">
        <f>SUM(C13:C16)</f>
        <v>913</v>
      </c>
      <c r="D12" s="1365">
        <f>SUM(D13:D16)</f>
        <v>1947</v>
      </c>
    </row>
    <row r="13" spans="1:4" x14ac:dyDescent="0.15">
      <c r="A13" s="1359" t="s">
        <v>2870</v>
      </c>
      <c r="B13" s="1367">
        <v>20</v>
      </c>
      <c r="C13" s="1367">
        <v>8</v>
      </c>
      <c r="D13" s="1367">
        <v>12</v>
      </c>
    </row>
    <row r="14" spans="1:4" x14ac:dyDescent="0.15">
      <c r="A14" s="1359" t="s">
        <v>2871</v>
      </c>
      <c r="B14" s="1367">
        <v>2</v>
      </c>
      <c r="C14" s="1367">
        <v>1</v>
      </c>
      <c r="D14" s="1367">
        <v>1</v>
      </c>
    </row>
    <row r="15" spans="1:4" s="1366" customFormat="1" x14ac:dyDescent="0.15">
      <c r="A15" s="1359" t="s">
        <v>2872</v>
      </c>
      <c r="B15" s="1367">
        <v>733</v>
      </c>
      <c r="C15" s="1367">
        <v>134</v>
      </c>
      <c r="D15" s="1367">
        <v>599</v>
      </c>
    </row>
    <row r="16" spans="1:4" ht="21" customHeight="1" x14ac:dyDescent="0.15">
      <c r="A16" s="1359" t="s">
        <v>2673</v>
      </c>
      <c r="B16" s="1367">
        <v>2105</v>
      </c>
      <c r="C16" s="1367">
        <v>770</v>
      </c>
      <c r="D16" s="1367">
        <v>1335</v>
      </c>
    </row>
    <row r="17" spans="1:4" x14ac:dyDescent="0.15">
      <c r="A17" s="1357" t="s">
        <v>2873</v>
      </c>
      <c r="B17" s="1365">
        <f>SUM(B18:B19)</f>
        <v>2802</v>
      </c>
      <c r="C17" s="1365">
        <f>SUM(C18:C19)</f>
        <v>973</v>
      </c>
      <c r="D17" s="1365">
        <f>SUM(D18:D19)</f>
        <v>1829</v>
      </c>
    </row>
    <row r="18" spans="1:4" s="1366" customFormat="1" x14ac:dyDescent="0.15">
      <c r="A18" s="1359" t="s">
        <v>2874</v>
      </c>
      <c r="B18" s="1367">
        <v>148</v>
      </c>
      <c r="C18" s="1367">
        <v>80</v>
      </c>
      <c r="D18" s="1367">
        <v>68</v>
      </c>
    </row>
    <row r="19" spans="1:4" x14ac:dyDescent="0.15">
      <c r="A19" s="1359" t="s">
        <v>2048</v>
      </c>
      <c r="B19" s="1367">
        <v>2654</v>
      </c>
      <c r="C19" s="1367">
        <v>893</v>
      </c>
      <c r="D19" s="1367">
        <v>1761</v>
      </c>
    </row>
    <row r="20" spans="1:4" x14ac:dyDescent="0.15">
      <c r="A20" s="1357" t="s">
        <v>2875</v>
      </c>
      <c r="B20" s="1365">
        <f>SUM(B21:B24)</f>
        <v>6208</v>
      </c>
      <c r="C20" s="1365">
        <f>SUM(C21:C24)</f>
        <v>5142</v>
      </c>
      <c r="D20" s="1365">
        <f>SUM(D21:D24)</f>
        <v>1066</v>
      </c>
    </row>
    <row r="21" spans="1:4" ht="18" customHeight="1" x14ac:dyDescent="0.15">
      <c r="A21" s="1359" t="s">
        <v>2540</v>
      </c>
      <c r="B21" s="1367">
        <v>2994</v>
      </c>
      <c r="C21" s="1367">
        <v>2194</v>
      </c>
      <c r="D21" s="1367">
        <v>800</v>
      </c>
    </row>
    <row r="22" spans="1:4" ht="17.25" customHeight="1" x14ac:dyDescent="0.15">
      <c r="A22" s="1359" t="s">
        <v>2876</v>
      </c>
      <c r="B22" s="1367">
        <v>145</v>
      </c>
      <c r="C22" s="1367">
        <v>107</v>
      </c>
      <c r="D22" s="1367">
        <v>38</v>
      </c>
    </row>
    <row r="23" spans="1:4" s="1366" customFormat="1" ht="14.25" customHeight="1" x14ac:dyDescent="0.15">
      <c r="A23" s="1359" t="s">
        <v>2877</v>
      </c>
      <c r="B23" s="1367">
        <v>180</v>
      </c>
      <c r="C23" s="1367">
        <v>153</v>
      </c>
      <c r="D23" s="1367">
        <v>27</v>
      </c>
    </row>
    <row r="24" spans="1:4" ht="17.25" customHeight="1" x14ac:dyDescent="0.15">
      <c r="A24" s="1359" t="s">
        <v>2878</v>
      </c>
      <c r="B24" s="1367">
        <v>2889</v>
      </c>
      <c r="C24" s="1367">
        <v>2688</v>
      </c>
      <c r="D24" s="1367">
        <v>201</v>
      </c>
    </row>
    <row r="25" spans="1:4" ht="15" customHeight="1" x14ac:dyDescent="0.15">
      <c r="A25" s="1357" t="s">
        <v>2879</v>
      </c>
      <c r="B25" s="1365">
        <f>SUM(B26:B27)</f>
        <v>5071</v>
      </c>
      <c r="C25" s="1365">
        <f>SUM(C26:C27)</f>
        <v>1809</v>
      </c>
      <c r="D25" s="1365">
        <f>SUM(D26:D27)</f>
        <v>3262</v>
      </c>
    </row>
    <row r="26" spans="1:4" s="1366" customFormat="1" x14ac:dyDescent="0.15">
      <c r="A26" s="1359" t="s">
        <v>2880</v>
      </c>
      <c r="B26" s="1367">
        <v>3514</v>
      </c>
      <c r="C26" s="1367">
        <v>1158</v>
      </c>
      <c r="D26" s="1367">
        <v>2356</v>
      </c>
    </row>
    <row r="27" spans="1:4" x14ac:dyDescent="0.15">
      <c r="A27" s="1359" t="s">
        <v>2881</v>
      </c>
      <c r="B27" s="1367">
        <v>1557</v>
      </c>
      <c r="C27" s="1367">
        <v>651</v>
      </c>
      <c r="D27" s="1367">
        <v>906</v>
      </c>
    </row>
    <row r="28" spans="1:4" x14ac:dyDescent="0.15">
      <c r="A28" s="1357" t="s">
        <v>2882</v>
      </c>
      <c r="B28" s="1365">
        <f>SUM(B29)</f>
        <v>62</v>
      </c>
      <c r="C28" s="1365">
        <f>SUM(C29)</f>
        <v>12</v>
      </c>
      <c r="D28" s="1365">
        <f>SUM(D29)</f>
        <v>50</v>
      </c>
    </row>
    <row r="29" spans="1:4" x14ac:dyDescent="0.15">
      <c r="A29" s="1359" t="s">
        <v>2882</v>
      </c>
      <c r="B29" s="1367">
        <v>62</v>
      </c>
      <c r="C29" s="1367">
        <v>12</v>
      </c>
      <c r="D29" s="1367">
        <v>50</v>
      </c>
    </row>
    <row r="30" spans="1:4" ht="12.75" customHeight="1" x14ac:dyDescent="0.15">
      <c r="A30" s="1357" t="s">
        <v>2883</v>
      </c>
      <c r="B30" s="1365">
        <f>SUM(B31:B38)</f>
        <v>3883</v>
      </c>
      <c r="C30" s="1365">
        <f>SUM(C31:C38)</f>
        <v>1972</v>
      </c>
      <c r="D30" s="1365">
        <f>SUM(D31:D38)</f>
        <v>1911</v>
      </c>
    </row>
    <row r="31" spans="1:4" ht="18" customHeight="1" x14ac:dyDescent="0.15">
      <c r="A31" s="1359" t="s">
        <v>2884</v>
      </c>
      <c r="B31" s="1367">
        <v>27</v>
      </c>
      <c r="C31" s="1367">
        <v>5</v>
      </c>
      <c r="D31" s="1367">
        <v>22</v>
      </c>
    </row>
    <row r="32" spans="1:4" s="1366" customFormat="1" ht="16.5" customHeight="1" x14ac:dyDescent="0.15">
      <c r="A32" s="1359" t="s">
        <v>2885</v>
      </c>
      <c r="B32" s="1367">
        <v>863</v>
      </c>
      <c r="C32" s="1367">
        <v>275</v>
      </c>
      <c r="D32" s="1367">
        <v>588</v>
      </c>
    </row>
    <row r="33" spans="1:4" ht="16.5" customHeight="1" x14ac:dyDescent="0.15">
      <c r="A33" s="1359" t="s">
        <v>2886</v>
      </c>
      <c r="B33" s="1362">
        <v>411</v>
      </c>
      <c r="C33" s="1362">
        <v>25</v>
      </c>
      <c r="D33" s="1362">
        <v>386</v>
      </c>
    </row>
    <row r="34" spans="1:4" ht="12" customHeight="1" x14ac:dyDescent="0.15">
      <c r="A34" s="1359" t="s">
        <v>2887</v>
      </c>
      <c r="B34" s="1367">
        <v>13</v>
      </c>
      <c r="C34" s="1367">
        <v>8</v>
      </c>
      <c r="D34" s="1367">
        <v>5</v>
      </c>
    </row>
    <row r="35" spans="1:4" ht="14.25" customHeight="1" x14ac:dyDescent="0.15">
      <c r="A35" s="1359" t="s">
        <v>2888</v>
      </c>
      <c r="B35" s="1367">
        <v>40</v>
      </c>
      <c r="C35" s="1367">
        <v>21</v>
      </c>
      <c r="D35" s="1367">
        <v>19</v>
      </c>
    </row>
    <row r="36" spans="1:4" ht="15.75" customHeight="1" x14ac:dyDescent="0.15">
      <c r="A36" s="1359" t="s">
        <v>2889</v>
      </c>
      <c r="B36" s="1362">
        <v>2316</v>
      </c>
      <c r="C36" s="1362">
        <v>1599</v>
      </c>
      <c r="D36" s="1362">
        <v>717</v>
      </c>
    </row>
    <row r="37" spans="1:4" ht="17.25" customHeight="1" x14ac:dyDescent="0.15">
      <c r="A37" s="1359" t="s">
        <v>2890</v>
      </c>
      <c r="B37" s="1367">
        <v>176</v>
      </c>
      <c r="C37" s="1367">
        <v>27</v>
      </c>
      <c r="D37" s="1367">
        <v>149</v>
      </c>
    </row>
    <row r="38" spans="1:4" s="1366" customFormat="1" ht="12.75" customHeight="1" x14ac:dyDescent="0.15">
      <c r="A38" s="1359" t="s">
        <v>2891</v>
      </c>
      <c r="B38" s="1367">
        <v>37</v>
      </c>
      <c r="C38" s="1367">
        <v>12</v>
      </c>
      <c r="D38" s="1367">
        <v>25</v>
      </c>
    </row>
    <row r="39" spans="1:4" ht="18" customHeight="1" x14ac:dyDescent="0.15">
      <c r="A39" s="1357" t="s">
        <v>2892</v>
      </c>
      <c r="B39" s="1365">
        <f>SUM(B40:B43)</f>
        <v>3188</v>
      </c>
      <c r="C39" s="1365">
        <f>SUM(C40:C43)</f>
        <v>1328</v>
      </c>
      <c r="D39" s="1365">
        <f>SUM(D40:D43)</f>
        <v>1860</v>
      </c>
    </row>
    <row r="40" spans="1:4" ht="18.75" customHeight="1" x14ac:dyDescent="0.15">
      <c r="A40" s="1359" t="s">
        <v>2893</v>
      </c>
      <c r="B40" s="1367">
        <v>88</v>
      </c>
      <c r="C40" s="1367">
        <v>48</v>
      </c>
      <c r="D40" s="1367">
        <v>40</v>
      </c>
    </row>
    <row r="41" spans="1:4" s="1366" customFormat="1" ht="13.5" customHeight="1" x14ac:dyDescent="0.15">
      <c r="A41" s="1359" t="s">
        <v>2894</v>
      </c>
      <c r="B41" s="1367">
        <v>2625</v>
      </c>
      <c r="C41" s="1367">
        <v>1102</v>
      </c>
      <c r="D41" s="1367">
        <v>1523</v>
      </c>
    </row>
    <row r="42" spans="1:4" ht="16.5" customHeight="1" x14ac:dyDescent="0.15">
      <c r="A42" s="1359" t="s">
        <v>2895</v>
      </c>
      <c r="B42" s="1367">
        <v>313</v>
      </c>
      <c r="C42" s="1367">
        <v>132</v>
      </c>
      <c r="D42" s="1367">
        <v>181</v>
      </c>
    </row>
    <row r="43" spans="1:4" ht="14.25" customHeight="1" x14ac:dyDescent="0.15">
      <c r="A43" s="1359" t="s">
        <v>2896</v>
      </c>
      <c r="B43" s="1367">
        <v>162</v>
      </c>
      <c r="C43" s="1367">
        <v>46</v>
      </c>
      <c r="D43" s="1367">
        <v>116</v>
      </c>
    </row>
    <row r="44" spans="1:4" ht="18.75" customHeight="1" x14ac:dyDescent="0.15">
      <c r="A44" s="1357" t="s">
        <v>432</v>
      </c>
      <c r="B44" s="1365">
        <f>SUM(B45)</f>
        <v>14993</v>
      </c>
      <c r="C44" s="1365">
        <f>SUM(C45)</f>
        <v>6593</v>
      </c>
      <c r="D44" s="1365">
        <f>SUM(D45)</f>
        <v>8400</v>
      </c>
    </row>
    <row r="45" spans="1:4" ht="12.75" customHeight="1" x14ac:dyDescent="0.15">
      <c r="A45" s="1359" t="s">
        <v>432</v>
      </c>
      <c r="B45" s="1367">
        <v>14993</v>
      </c>
      <c r="C45" s="1367">
        <v>6593</v>
      </c>
      <c r="D45" s="1367">
        <v>8400</v>
      </c>
    </row>
    <row r="46" spans="1:4" ht="16.5" customHeight="1" x14ac:dyDescent="0.15">
      <c r="A46" s="1357" t="s">
        <v>2897</v>
      </c>
      <c r="B46" s="1365">
        <f>SUM(B47:B49)</f>
        <v>29583</v>
      </c>
      <c r="C46" s="1365">
        <f>SUM(C47:C49)</f>
        <v>26210</v>
      </c>
      <c r="D46" s="1365">
        <f>SUM(D47:D49)</f>
        <v>3373</v>
      </c>
    </row>
    <row r="47" spans="1:4" ht="14.25" customHeight="1" x14ac:dyDescent="0.15">
      <c r="A47" s="1359" t="s">
        <v>2898</v>
      </c>
      <c r="B47" s="1367">
        <v>28631</v>
      </c>
      <c r="C47" s="1367">
        <v>25567</v>
      </c>
      <c r="D47" s="1367">
        <v>3064</v>
      </c>
    </row>
    <row r="48" spans="1:4" s="1366" customFormat="1" ht="13.5" customHeight="1" x14ac:dyDescent="0.15">
      <c r="A48" s="1359" t="s">
        <v>2899</v>
      </c>
      <c r="B48" s="1367">
        <v>682</v>
      </c>
      <c r="C48" s="1367">
        <v>388</v>
      </c>
      <c r="D48" s="1367">
        <v>294</v>
      </c>
    </row>
    <row r="49" spans="1:4" ht="15" customHeight="1" x14ac:dyDescent="0.15">
      <c r="A49" s="1359" t="s">
        <v>2900</v>
      </c>
      <c r="B49" s="1367">
        <v>270</v>
      </c>
      <c r="C49" s="1367">
        <v>255</v>
      </c>
      <c r="D49" s="1367">
        <v>15</v>
      </c>
    </row>
    <row r="50" spans="1:4" ht="17.25" customHeight="1" x14ac:dyDescent="0.15">
      <c r="A50" s="1357" t="s">
        <v>2901</v>
      </c>
      <c r="B50" s="1365">
        <f>SUM(B51:B55)</f>
        <v>6622</v>
      </c>
      <c r="C50" s="1365">
        <f>SUM(C51:C55)</f>
        <v>4465</v>
      </c>
      <c r="D50" s="1365">
        <f>SUM(D51:D55)</f>
        <v>2157</v>
      </c>
    </row>
    <row r="51" spans="1:4" x14ac:dyDescent="0.15">
      <c r="A51" s="1359" t="s">
        <v>2902</v>
      </c>
      <c r="B51" s="1367">
        <v>1039</v>
      </c>
      <c r="C51" s="1367">
        <v>737</v>
      </c>
      <c r="D51" s="1367">
        <v>302</v>
      </c>
    </row>
    <row r="52" spans="1:4" ht="15" customHeight="1" x14ac:dyDescent="0.15">
      <c r="A52" s="1359" t="s">
        <v>2416</v>
      </c>
      <c r="B52" s="1367">
        <v>1068</v>
      </c>
      <c r="C52" s="1367">
        <v>636</v>
      </c>
      <c r="D52" s="1367">
        <v>432</v>
      </c>
    </row>
    <row r="53" spans="1:4" x14ac:dyDescent="0.15">
      <c r="A53" s="1359" t="s">
        <v>2903</v>
      </c>
      <c r="B53" s="1367">
        <v>3605</v>
      </c>
      <c r="C53" s="1367">
        <v>2403</v>
      </c>
      <c r="D53" s="1367">
        <v>1202</v>
      </c>
    </row>
    <row r="54" spans="1:4" ht="14.25" customHeight="1" x14ac:dyDescent="0.15">
      <c r="A54" s="1359" t="s">
        <v>2904</v>
      </c>
      <c r="B54" s="1367">
        <v>151</v>
      </c>
      <c r="C54" s="1367">
        <v>107</v>
      </c>
      <c r="D54" s="1367">
        <v>44</v>
      </c>
    </row>
    <row r="55" spans="1:4" x14ac:dyDescent="0.15">
      <c r="A55" s="1359" t="s">
        <v>2905</v>
      </c>
      <c r="B55" s="1367">
        <v>759</v>
      </c>
      <c r="C55" s="1367">
        <v>582</v>
      </c>
      <c r="D55" s="1367">
        <v>177</v>
      </c>
    </row>
    <row r="56" spans="1:4" ht="13.5" customHeight="1" x14ac:dyDescent="0.15">
      <c r="A56" s="1357" t="s">
        <v>2906</v>
      </c>
      <c r="B56" s="1365">
        <f>SUM(B57:B61)</f>
        <v>1370</v>
      </c>
      <c r="C56" s="1365">
        <f>SUM(C57:C61)</f>
        <v>526</v>
      </c>
      <c r="D56" s="1365">
        <f>SUM(D57:D61)</f>
        <v>844</v>
      </c>
    </row>
    <row r="57" spans="1:4" ht="14.25" customHeight="1" x14ac:dyDescent="0.15">
      <c r="A57" s="1359" t="s">
        <v>2907</v>
      </c>
      <c r="B57" s="1367">
        <v>173</v>
      </c>
      <c r="C57" s="1367">
        <v>92</v>
      </c>
      <c r="D57" s="1367">
        <v>81</v>
      </c>
    </row>
    <row r="58" spans="1:4" ht="17.25" customHeight="1" x14ac:dyDescent="0.15">
      <c r="A58" s="1359" t="s">
        <v>2908</v>
      </c>
      <c r="B58" s="1367">
        <v>756</v>
      </c>
      <c r="C58" s="1367">
        <v>270</v>
      </c>
      <c r="D58" s="1367">
        <v>486</v>
      </c>
    </row>
    <row r="59" spans="1:4" ht="15.75" customHeight="1" x14ac:dyDescent="0.15">
      <c r="A59" s="1359" t="s">
        <v>2909</v>
      </c>
      <c r="B59" s="1367">
        <v>327</v>
      </c>
      <c r="C59" s="1367">
        <v>102</v>
      </c>
      <c r="D59" s="1367">
        <v>225</v>
      </c>
    </row>
    <row r="60" spans="1:4" ht="15.75" customHeight="1" x14ac:dyDescent="0.15">
      <c r="A60" s="1359" t="s">
        <v>2910</v>
      </c>
      <c r="B60" s="1367">
        <v>15</v>
      </c>
      <c r="C60" s="1367">
        <v>7</v>
      </c>
      <c r="D60" s="1367">
        <v>8</v>
      </c>
    </row>
    <row r="61" spans="1:4" ht="15.75" customHeight="1" x14ac:dyDescent="0.15">
      <c r="A61" s="1359" t="s">
        <v>2911</v>
      </c>
      <c r="B61" s="1367">
        <v>99</v>
      </c>
      <c r="C61" s="1367">
        <v>55</v>
      </c>
      <c r="D61" s="1367">
        <v>44</v>
      </c>
    </row>
    <row r="62" spans="1:4" x14ac:dyDescent="0.15">
      <c r="B62" s="1369"/>
      <c r="C62" s="1369"/>
      <c r="D62" s="1369"/>
    </row>
    <row r="63" spans="1:4" ht="22.5" customHeight="1" x14ac:dyDescent="0.15">
      <c r="A63" s="3274" t="s">
        <v>2912</v>
      </c>
      <c r="B63" s="3274"/>
      <c r="C63" s="3274"/>
      <c r="D63" s="3274"/>
    </row>
    <row r="64" spans="1:4" x14ac:dyDescent="0.15">
      <c r="A64" s="3275" t="s">
        <v>44</v>
      </c>
      <c r="B64" s="3275"/>
      <c r="C64" s="3275"/>
      <c r="D64" s="3275"/>
    </row>
    <row r="65" spans="1:4" ht="22.5" customHeight="1" x14ac:dyDescent="0.15">
      <c r="A65" s="3275" t="s">
        <v>2913</v>
      </c>
      <c r="B65" s="3275"/>
      <c r="C65" s="3275"/>
      <c r="D65" s="3275"/>
    </row>
  </sheetData>
  <mergeCells count="4">
    <mergeCell ref="A2:D2"/>
    <mergeCell ref="A63:D63"/>
    <mergeCell ref="A64:D64"/>
    <mergeCell ref="A65:D65"/>
  </mergeCells>
  <pageMargins left="0.70866141732283472" right="0.70866141732283472" top="0.74803149606299213" bottom="0.74803149606299213" header="0.31496062992125984" footer="0.31496062992125984"/>
  <pageSetup paperSize="9" scale="76"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pageSetUpPr fitToPage="1"/>
  </sheetPr>
  <dimension ref="A1:AJ66"/>
  <sheetViews>
    <sheetView topLeftCell="D20" zoomScale="124" zoomScaleNormal="124" workbookViewId="0">
      <selection activeCell="F123" sqref="F123"/>
    </sheetView>
  </sheetViews>
  <sheetFormatPr baseColWidth="10" defaultColWidth="13" defaultRowHeight="10.5" x14ac:dyDescent="0.15"/>
  <cols>
    <col min="1" max="1" width="41.42578125" style="738" customWidth="1"/>
    <col min="2" max="2" width="9.7109375" style="738" bestFit="1" customWidth="1"/>
    <col min="3" max="3" width="13" style="738"/>
    <col min="4" max="4" width="9.7109375" style="738" bestFit="1" customWidth="1"/>
    <col min="5" max="5" width="13" style="738"/>
    <col min="6" max="6" width="9.7109375" style="738" bestFit="1" customWidth="1"/>
    <col min="7" max="7" width="13" style="738"/>
    <col min="8" max="8" width="9.7109375" style="738" bestFit="1" customWidth="1"/>
    <col min="9" max="9" width="13" style="738"/>
    <col min="10" max="10" width="9.7109375" style="738" bestFit="1" customWidth="1"/>
    <col min="11" max="11" width="13" style="738"/>
    <col min="12" max="12" width="9.7109375" style="738" bestFit="1" customWidth="1"/>
    <col min="13" max="13" width="13" style="738"/>
    <col min="14" max="14" width="9.7109375" style="738" bestFit="1" customWidth="1"/>
    <col min="15" max="15" width="13" style="738"/>
    <col min="16" max="16" width="9.7109375" style="738" bestFit="1" customWidth="1"/>
    <col min="17" max="17" width="13" style="738"/>
    <col min="18" max="18" width="9.7109375" style="738" bestFit="1" customWidth="1"/>
    <col min="19" max="19" width="13" style="738"/>
    <col min="20" max="20" width="9.7109375" style="738" bestFit="1" customWidth="1"/>
    <col min="21" max="21" width="13" style="738"/>
    <col min="22" max="22" width="9.7109375" style="738" bestFit="1" customWidth="1"/>
    <col min="23" max="23" width="13" style="738"/>
    <col min="24" max="24" width="9.7109375" style="738" bestFit="1" customWidth="1"/>
    <col min="25" max="25" width="13" style="738"/>
    <col min="26" max="26" width="9.7109375" style="738" bestFit="1" customWidth="1"/>
    <col min="27" max="27" width="13" style="738"/>
    <col min="28" max="28" width="9.7109375" style="738" bestFit="1" customWidth="1"/>
    <col min="29" max="29" width="13" style="738"/>
    <col min="30" max="30" width="9.7109375" style="738" bestFit="1" customWidth="1"/>
    <col min="31" max="31" width="13" style="738" customWidth="1"/>
    <col min="32" max="32" width="9.7109375" style="738" bestFit="1" customWidth="1"/>
    <col min="33" max="16384" width="13" style="738"/>
  </cols>
  <sheetData>
    <row r="1" spans="1:33" x14ac:dyDescent="0.15">
      <c r="O1" s="1370"/>
      <c r="P1" s="1370"/>
    </row>
    <row r="2" spans="1:33" ht="15" customHeight="1" x14ac:dyDescent="0.15">
      <c r="A2" s="1371" t="s">
        <v>2918</v>
      </c>
      <c r="B2" s="1371"/>
      <c r="O2" s="1370"/>
      <c r="P2" s="1370"/>
    </row>
    <row r="3" spans="1:33" s="1372" customFormat="1" ht="10.5" customHeight="1" x14ac:dyDescent="0.15"/>
    <row r="4" spans="1:33" ht="15" customHeight="1" x14ac:dyDescent="0.15">
      <c r="A4" s="3277" t="s">
        <v>2858</v>
      </c>
      <c r="B4" s="3276" t="s">
        <v>69</v>
      </c>
      <c r="C4" s="3276"/>
      <c r="D4" s="3276" t="s">
        <v>5</v>
      </c>
      <c r="E4" s="3276"/>
      <c r="F4" s="3276" t="s">
        <v>6</v>
      </c>
      <c r="G4" s="3276"/>
      <c r="H4" s="3276" t="s">
        <v>7</v>
      </c>
      <c r="I4" s="3276"/>
      <c r="J4" s="3276" t="s">
        <v>8</v>
      </c>
      <c r="K4" s="3276"/>
      <c r="L4" s="3276" t="s">
        <v>9</v>
      </c>
      <c r="M4" s="3276"/>
      <c r="N4" s="3276" t="s">
        <v>10</v>
      </c>
      <c r="O4" s="3276"/>
      <c r="P4" s="3276" t="s">
        <v>11</v>
      </c>
      <c r="Q4" s="3276"/>
      <c r="R4" s="3276" t="s">
        <v>12</v>
      </c>
      <c r="S4" s="3276"/>
      <c r="T4" s="3276" t="s">
        <v>13</v>
      </c>
      <c r="U4" s="3276"/>
      <c r="V4" s="3276" t="s">
        <v>14</v>
      </c>
      <c r="W4" s="3276"/>
      <c r="X4" s="3276" t="s">
        <v>15</v>
      </c>
      <c r="Y4" s="3276"/>
      <c r="Z4" s="3276" t="s">
        <v>301</v>
      </c>
      <c r="AA4" s="3276"/>
      <c r="AB4" s="3276" t="s">
        <v>303</v>
      </c>
      <c r="AC4" s="3276"/>
      <c r="AD4" s="3276" t="s">
        <v>18</v>
      </c>
      <c r="AE4" s="3276"/>
      <c r="AF4" s="3276" t="s">
        <v>19</v>
      </c>
      <c r="AG4" s="3276"/>
    </row>
    <row r="5" spans="1:33" ht="31.5" x14ac:dyDescent="0.15">
      <c r="A5" s="3277"/>
      <c r="B5" s="1373" t="s">
        <v>2919</v>
      </c>
      <c r="C5" s="1373" t="s">
        <v>2920</v>
      </c>
      <c r="D5" s="1373" t="s">
        <v>2919</v>
      </c>
      <c r="E5" s="1373" t="s">
        <v>2921</v>
      </c>
      <c r="F5" s="1373" t="s">
        <v>2919</v>
      </c>
      <c r="G5" s="1373" t="s">
        <v>2921</v>
      </c>
      <c r="H5" s="1373" t="s">
        <v>2919</v>
      </c>
      <c r="I5" s="1373" t="s">
        <v>2921</v>
      </c>
      <c r="J5" s="1373" t="s">
        <v>2919</v>
      </c>
      <c r="K5" s="1373" t="s">
        <v>2921</v>
      </c>
      <c r="L5" s="1373" t="s">
        <v>2919</v>
      </c>
      <c r="M5" s="1373" t="s">
        <v>2921</v>
      </c>
      <c r="N5" s="1373" t="s">
        <v>2919</v>
      </c>
      <c r="O5" s="1373" t="s">
        <v>2921</v>
      </c>
      <c r="P5" s="1373" t="s">
        <v>2919</v>
      </c>
      <c r="Q5" s="1373" t="s">
        <v>2921</v>
      </c>
      <c r="R5" s="1373" t="s">
        <v>2919</v>
      </c>
      <c r="S5" s="1373" t="s">
        <v>2921</v>
      </c>
      <c r="T5" s="1373" t="s">
        <v>2919</v>
      </c>
      <c r="U5" s="1373" t="s">
        <v>2921</v>
      </c>
      <c r="V5" s="1373" t="s">
        <v>2919</v>
      </c>
      <c r="W5" s="1373" t="s">
        <v>2921</v>
      </c>
      <c r="X5" s="1373" t="s">
        <v>2919</v>
      </c>
      <c r="Y5" s="1373" t="s">
        <v>2921</v>
      </c>
      <c r="Z5" s="1373" t="s">
        <v>2919</v>
      </c>
      <c r="AA5" s="1373" t="s">
        <v>2921</v>
      </c>
      <c r="AB5" s="1373" t="s">
        <v>2919</v>
      </c>
      <c r="AC5" s="1373" t="s">
        <v>2921</v>
      </c>
      <c r="AD5" s="1373" t="s">
        <v>2919</v>
      </c>
      <c r="AE5" s="1373" t="s">
        <v>2921</v>
      </c>
      <c r="AF5" s="1373" t="s">
        <v>2919</v>
      </c>
      <c r="AG5" s="1373" t="s">
        <v>2921</v>
      </c>
    </row>
    <row r="6" spans="1:33" x14ac:dyDescent="0.15">
      <c r="A6" s="1374" t="s">
        <v>141</v>
      </c>
      <c r="B6" s="1375">
        <f>SUM(B7,B13,B18,B21,B26,B29,B31,B40,B45,B47,B51,B57)</f>
        <v>1542</v>
      </c>
      <c r="C6" s="1376">
        <f t="shared" ref="C6:AG6" si="0">SUM(C7,C13,C18,C21,C26,C29,C31,C40,C45,C47,C51,C57)</f>
        <v>115334</v>
      </c>
      <c r="D6" s="1375">
        <f t="shared" si="0"/>
        <v>16</v>
      </c>
      <c r="E6" s="1376">
        <f t="shared" si="0"/>
        <v>1018</v>
      </c>
      <c r="F6" s="1375">
        <f t="shared" si="0"/>
        <v>25</v>
      </c>
      <c r="G6" s="1376">
        <f t="shared" si="0"/>
        <v>1291</v>
      </c>
      <c r="H6" s="1375">
        <f t="shared" si="0"/>
        <v>38</v>
      </c>
      <c r="I6" s="1376">
        <f t="shared" si="0"/>
        <v>2451</v>
      </c>
      <c r="J6" s="1375">
        <f t="shared" si="0"/>
        <v>11</v>
      </c>
      <c r="K6" s="1376">
        <f t="shared" si="0"/>
        <v>494</v>
      </c>
      <c r="L6" s="1375">
        <f t="shared" si="0"/>
        <v>42</v>
      </c>
      <c r="M6" s="1376">
        <f t="shared" si="0"/>
        <v>2826</v>
      </c>
      <c r="N6" s="1375">
        <f t="shared" si="0"/>
        <v>193</v>
      </c>
      <c r="O6" s="1376">
        <f t="shared" si="0"/>
        <v>14074</v>
      </c>
      <c r="P6" s="1375">
        <f t="shared" si="0"/>
        <v>829</v>
      </c>
      <c r="Q6" s="1376">
        <f t="shared" si="0"/>
        <v>69975</v>
      </c>
      <c r="R6" s="1375">
        <f t="shared" si="0"/>
        <v>33</v>
      </c>
      <c r="S6" s="1376">
        <f t="shared" si="0"/>
        <v>1674</v>
      </c>
      <c r="T6" s="1375">
        <f t="shared" si="0"/>
        <v>47</v>
      </c>
      <c r="U6" s="1376">
        <f t="shared" si="0"/>
        <v>3392</v>
      </c>
      <c r="V6" s="1375">
        <f t="shared" si="0"/>
        <v>152</v>
      </c>
      <c r="W6" s="1376">
        <f t="shared" si="0"/>
        <v>10363</v>
      </c>
      <c r="X6" s="1375">
        <f t="shared" si="0"/>
        <v>64</v>
      </c>
      <c r="Y6" s="1376">
        <f t="shared" si="0"/>
        <v>3270</v>
      </c>
      <c r="Z6" s="1375">
        <f t="shared" si="0"/>
        <v>22</v>
      </c>
      <c r="AA6" s="1376">
        <f t="shared" si="0"/>
        <v>1696</v>
      </c>
      <c r="AB6" s="1375">
        <f t="shared" si="0"/>
        <v>51</v>
      </c>
      <c r="AC6" s="1376">
        <f t="shared" si="0"/>
        <v>2280</v>
      </c>
      <c r="AD6" s="1375">
        <f t="shared" si="0"/>
        <v>4</v>
      </c>
      <c r="AE6" s="1376">
        <f t="shared" si="0"/>
        <v>74</v>
      </c>
      <c r="AF6" s="1375">
        <f t="shared" si="0"/>
        <v>15</v>
      </c>
      <c r="AG6" s="1377">
        <f t="shared" si="0"/>
        <v>456</v>
      </c>
    </row>
    <row r="7" spans="1:33" x14ac:dyDescent="0.15">
      <c r="A7" s="1374" t="s">
        <v>2865</v>
      </c>
      <c r="B7" s="1378">
        <f>SUM(B8:B12)</f>
        <v>407</v>
      </c>
      <c r="C7" s="236">
        <f>SUM(C8:C12)</f>
        <v>38692</v>
      </c>
      <c r="D7" s="1378">
        <f>SUM(D8:D12)</f>
        <v>4</v>
      </c>
      <c r="E7" s="236">
        <f>SUM(E8:E12)</f>
        <v>244</v>
      </c>
      <c r="F7" s="1378">
        <f t="shared" ref="F7:AG7" si="1">SUM(F8:F12)</f>
        <v>4</v>
      </c>
      <c r="G7" s="236">
        <f t="shared" si="1"/>
        <v>360</v>
      </c>
      <c r="H7" s="1378">
        <f t="shared" si="1"/>
        <v>12</v>
      </c>
      <c r="I7" s="236">
        <f t="shared" si="1"/>
        <v>814</v>
      </c>
      <c r="J7" s="1378">
        <f t="shared" si="1"/>
        <v>3</v>
      </c>
      <c r="K7" s="236">
        <f t="shared" si="1"/>
        <v>93</v>
      </c>
      <c r="L7" s="1378">
        <f t="shared" si="1"/>
        <v>14</v>
      </c>
      <c r="M7" s="236">
        <f t="shared" si="1"/>
        <v>1029</v>
      </c>
      <c r="N7" s="1378">
        <f t="shared" si="1"/>
        <v>48</v>
      </c>
      <c r="O7" s="236">
        <f t="shared" si="1"/>
        <v>4707</v>
      </c>
      <c r="P7" s="1378">
        <f t="shared" si="1"/>
        <v>227</v>
      </c>
      <c r="Q7" s="236">
        <f t="shared" si="1"/>
        <v>24487</v>
      </c>
      <c r="R7" s="1378">
        <f t="shared" si="1"/>
        <v>6</v>
      </c>
      <c r="S7" s="236">
        <f t="shared" si="1"/>
        <v>388</v>
      </c>
      <c r="T7" s="1378">
        <f t="shared" si="1"/>
        <v>8</v>
      </c>
      <c r="U7" s="236">
        <f t="shared" si="1"/>
        <v>893</v>
      </c>
      <c r="V7" s="1378">
        <f t="shared" si="1"/>
        <v>43</v>
      </c>
      <c r="W7" s="236">
        <f t="shared" si="1"/>
        <v>3470</v>
      </c>
      <c r="X7" s="1378">
        <f t="shared" si="1"/>
        <v>21</v>
      </c>
      <c r="Y7" s="236">
        <f t="shared" si="1"/>
        <v>987</v>
      </c>
      <c r="Z7" s="1378">
        <f t="shared" si="1"/>
        <v>3</v>
      </c>
      <c r="AA7" s="236">
        <f t="shared" si="1"/>
        <v>417</v>
      </c>
      <c r="AB7" s="1378">
        <f t="shared" si="1"/>
        <v>10</v>
      </c>
      <c r="AC7" s="236">
        <f t="shared" si="1"/>
        <v>615</v>
      </c>
      <c r="AD7" s="1378">
        <f t="shared" si="1"/>
        <v>0</v>
      </c>
      <c r="AE7" s="236">
        <f t="shared" si="1"/>
        <v>0</v>
      </c>
      <c r="AF7" s="1378">
        <f t="shared" si="1"/>
        <v>4</v>
      </c>
      <c r="AG7" s="1379">
        <f t="shared" si="1"/>
        <v>188</v>
      </c>
    </row>
    <row r="8" spans="1:33" x14ac:dyDescent="0.15">
      <c r="A8" s="1380" t="s">
        <v>2866</v>
      </c>
      <c r="B8" s="1381">
        <v>88</v>
      </c>
      <c r="C8" s="1382">
        <v>12787</v>
      </c>
      <c r="D8" s="1381">
        <v>1</v>
      </c>
      <c r="E8" s="1382">
        <v>1</v>
      </c>
      <c r="F8" s="1381">
        <v>2</v>
      </c>
      <c r="G8" s="1382">
        <v>182</v>
      </c>
      <c r="H8" s="1381">
        <v>1</v>
      </c>
      <c r="I8" s="1382">
        <v>402</v>
      </c>
      <c r="J8" s="1381">
        <v>0</v>
      </c>
      <c r="K8" s="1382">
        <v>0</v>
      </c>
      <c r="L8" s="1381">
        <v>3</v>
      </c>
      <c r="M8" s="1382">
        <v>429</v>
      </c>
      <c r="N8" s="1381">
        <v>10</v>
      </c>
      <c r="O8" s="1382">
        <v>1773</v>
      </c>
      <c r="P8" s="1381">
        <v>40</v>
      </c>
      <c r="Q8" s="1382">
        <v>6856</v>
      </c>
      <c r="R8" s="1381">
        <v>0</v>
      </c>
      <c r="S8" s="1382">
        <v>0</v>
      </c>
      <c r="T8" s="1381">
        <v>1</v>
      </c>
      <c r="U8" s="1382">
        <v>395</v>
      </c>
      <c r="V8" s="1381">
        <v>14</v>
      </c>
      <c r="W8" s="1382">
        <v>1646</v>
      </c>
      <c r="X8" s="1381">
        <v>10</v>
      </c>
      <c r="Y8" s="1382">
        <v>460</v>
      </c>
      <c r="Z8" s="1381">
        <v>2</v>
      </c>
      <c r="AA8" s="1382">
        <v>287</v>
      </c>
      <c r="AB8" s="1381">
        <v>3</v>
      </c>
      <c r="AC8" s="1382">
        <v>262</v>
      </c>
      <c r="AD8" s="1381">
        <v>0</v>
      </c>
      <c r="AE8" s="1382">
        <v>0</v>
      </c>
      <c r="AF8" s="1381">
        <v>1</v>
      </c>
      <c r="AG8" s="1382">
        <v>94</v>
      </c>
    </row>
    <row r="9" spans="1:33" x14ac:dyDescent="0.15">
      <c r="A9" s="1380" t="s">
        <v>2847</v>
      </c>
      <c r="B9" s="1381">
        <v>35</v>
      </c>
      <c r="C9" s="1382">
        <v>2237</v>
      </c>
      <c r="D9" s="1381">
        <v>0</v>
      </c>
      <c r="E9" s="1382">
        <v>0</v>
      </c>
      <c r="F9" s="1381">
        <v>0</v>
      </c>
      <c r="G9" s="1382">
        <v>0</v>
      </c>
      <c r="H9" s="1381">
        <v>2</v>
      </c>
      <c r="I9" s="1382">
        <v>69</v>
      </c>
      <c r="J9" s="1381">
        <v>1</v>
      </c>
      <c r="K9" s="1382">
        <v>21</v>
      </c>
      <c r="L9" s="1381">
        <v>1</v>
      </c>
      <c r="M9" s="1382">
        <v>7</v>
      </c>
      <c r="N9" s="1381">
        <v>5</v>
      </c>
      <c r="O9" s="1382">
        <v>287</v>
      </c>
      <c r="P9" s="1381">
        <v>18</v>
      </c>
      <c r="Q9" s="1382">
        <v>1397</v>
      </c>
      <c r="R9" s="1381">
        <v>2</v>
      </c>
      <c r="S9" s="1382">
        <v>81</v>
      </c>
      <c r="T9" s="1381">
        <v>1</v>
      </c>
      <c r="U9" s="1382">
        <v>47</v>
      </c>
      <c r="V9" s="1381">
        <v>4</v>
      </c>
      <c r="W9" s="1382">
        <v>266</v>
      </c>
      <c r="X9" s="1381">
        <v>0</v>
      </c>
      <c r="Y9" s="1382">
        <v>0</v>
      </c>
      <c r="Z9" s="1381">
        <v>0</v>
      </c>
      <c r="AA9" s="1382">
        <v>0</v>
      </c>
      <c r="AB9" s="1381">
        <v>1</v>
      </c>
      <c r="AC9" s="1382">
        <v>62</v>
      </c>
      <c r="AD9" s="1381">
        <v>0</v>
      </c>
      <c r="AE9" s="1382">
        <v>0</v>
      </c>
      <c r="AF9" s="1381">
        <v>0</v>
      </c>
      <c r="AG9" s="1382">
        <v>0</v>
      </c>
    </row>
    <row r="10" spans="1:33" x14ac:dyDescent="0.15">
      <c r="A10" s="1380" t="s">
        <v>2867</v>
      </c>
      <c r="B10" s="1381">
        <v>221</v>
      </c>
      <c r="C10" s="1382">
        <v>18754</v>
      </c>
      <c r="D10" s="1381">
        <v>3</v>
      </c>
      <c r="E10" s="1382">
        <v>243</v>
      </c>
      <c r="F10" s="1381">
        <v>2</v>
      </c>
      <c r="G10" s="1382">
        <v>178</v>
      </c>
      <c r="H10" s="1381">
        <v>7</v>
      </c>
      <c r="I10" s="1382">
        <v>279</v>
      </c>
      <c r="J10" s="1381">
        <v>0</v>
      </c>
      <c r="K10" s="1382">
        <v>0</v>
      </c>
      <c r="L10" s="1381">
        <v>9</v>
      </c>
      <c r="M10" s="1382">
        <v>579</v>
      </c>
      <c r="N10" s="1381">
        <v>27</v>
      </c>
      <c r="O10" s="1382">
        <v>2273</v>
      </c>
      <c r="P10" s="1381">
        <v>124</v>
      </c>
      <c r="Q10" s="1382">
        <v>12154</v>
      </c>
      <c r="R10" s="1381">
        <v>4</v>
      </c>
      <c r="S10" s="1382">
        <v>307</v>
      </c>
      <c r="T10" s="1381">
        <v>6</v>
      </c>
      <c r="U10" s="1382">
        <v>451</v>
      </c>
      <c r="V10" s="1381">
        <v>22</v>
      </c>
      <c r="W10" s="1382">
        <v>1356</v>
      </c>
      <c r="X10" s="1381">
        <v>8</v>
      </c>
      <c r="Y10" s="1382">
        <v>427</v>
      </c>
      <c r="Z10" s="1381">
        <v>1</v>
      </c>
      <c r="AA10" s="1382">
        <v>130</v>
      </c>
      <c r="AB10" s="1381">
        <v>6</v>
      </c>
      <c r="AC10" s="1382">
        <v>291</v>
      </c>
      <c r="AD10" s="1381">
        <v>0</v>
      </c>
      <c r="AE10" s="1382">
        <v>0</v>
      </c>
      <c r="AF10" s="1381">
        <v>2</v>
      </c>
      <c r="AG10" s="1382">
        <v>86</v>
      </c>
    </row>
    <row r="11" spans="1:33" x14ac:dyDescent="0.15">
      <c r="A11" s="1380" t="s">
        <v>2543</v>
      </c>
      <c r="B11" s="1381">
        <v>44</v>
      </c>
      <c r="C11" s="1382">
        <v>4376</v>
      </c>
      <c r="D11" s="1381">
        <v>0</v>
      </c>
      <c r="E11" s="1382">
        <v>0</v>
      </c>
      <c r="F11" s="1381">
        <v>0</v>
      </c>
      <c r="G11" s="1382">
        <v>0</v>
      </c>
      <c r="H11" s="1381">
        <v>1</v>
      </c>
      <c r="I11" s="1382">
        <v>17</v>
      </c>
      <c r="J11" s="1381">
        <v>1</v>
      </c>
      <c r="K11" s="1382">
        <v>18</v>
      </c>
      <c r="L11" s="1381">
        <v>1</v>
      </c>
      <c r="M11" s="1382">
        <v>14</v>
      </c>
      <c r="N11" s="1381">
        <v>3</v>
      </c>
      <c r="O11" s="1382">
        <v>333</v>
      </c>
      <c r="P11" s="1381">
        <v>35</v>
      </c>
      <c r="Q11" s="1382">
        <v>3770</v>
      </c>
      <c r="R11" s="1381">
        <v>0</v>
      </c>
      <c r="S11" s="1382">
        <v>0</v>
      </c>
      <c r="T11" s="1381">
        <v>0</v>
      </c>
      <c r="U11" s="1382">
        <v>0</v>
      </c>
      <c r="V11" s="1381">
        <v>1</v>
      </c>
      <c r="W11" s="1382">
        <v>187</v>
      </c>
      <c r="X11" s="1381">
        <v>2</v>
      </c>
      <c r="Y11" s="1382">
        <v>37</v>
      </c>
      <c r="Z11" s="1381">
        <v>0</v>
      </c>
      <c r="AA11" s="1382">
        <v>0</v>
      </c>
      <c r="AB11" s="1381">
        <v>0</v>
      </c>
      <c r="AC11" s="1382">
        <v>0</v>
      </c>
      <c r="AD11" s="1381">
        <v>0</v>
      </c>
      <c r="AE11" s="1382">
        <v>0</v>
      </c>
      <c r="AF11" s="1381">
        <v>0</v>
      </c>
      <c r="AG11" s="1382">
        <v>0</v>
      </c>
    </row>
    <row r="12" spans="1:33" x14ac:dyDescent="0.15">
      <c r="A12" s="1380" t="s">
        <v>2868</v>
      </c>
      <c r="B12" s="1381">
        <v>19</v>
      </c>
      <c r="C12" s="1382">
        <v>538</v>
      </c>
      <c r="D12" s="1381">
        <v>0</v>
      </c>
      <c r="E12" s="1382">
        <v>0</v>
      </c>
      <c r="F12" s="1381">
        <v>0</v>
      </c>
      <c r="G12" s="1382">
        <v>0</v>
      </c>
      <c r="H12" s="1381">
        <v>1</v>
      </c>
      <c r="I12" s="1382">
        <v>47</v>
      </c>
      <c r="J12" s="1381">
        <v>1</v>
      </c>
      <c r="K12" s="1382">
        <v>54</v>
      </c>
      <c r="L12" s="1381">
        <v>0</v>
      </c>
      <c r="M12" s="1382">
        <v>0</v>
      </c>
      <c r="N12" s="1381">
        <v>3</v>
      </c>
      <c r="O12" s="1382">
        <v>41</v>
      </c>
      <c r="P12" s="1381">
        <v>10</v>
      </c>
      <c r="Q12" s="1382">
        <v>310</v>
      </c>
      <c r="R12" s="1381">
        <v>0</v>
      </c>
      <c r="S12" s="1382">
        <v>0</v>
      </c>
      <c r="T12" s="1381">
        <v>0</v>
      </c>
      <c r="U12" s="1382">
        <v>0</v>
      </c>
      <c r="V12" s="1381">
        <v>2</v>
      </c>
      <c r="W12" s="1382">
        <v>15</v>
      </c>
      <c r="X12" s="1381">
        <v>1</v>
      </c>
      <c r="Y12" s="1382">
        <v>63</v>
      </c>
      <c r="Z12" s="1381">
        <v>0</v>
      </c>
      <c r="AA12" s="1382">
        <v>0</v>
      </c>
      <c r="AB12" s="1381">
        <v>0</v>
      </c>
      <c r="AC12" s="1382">
        <v>0</v>
      </c>
      <c r="AD12" s="1381">
        <v>0</v>
      </c>
      <c r="AE12" s="1382">
        <v>0</v>
      </c>
      <c r="AF12" s="1381">
        <v>1</v>
      </c>
      <c r="AG12" s="1382">
        <v>8</v>
      </c>
    </row>
    <row r="13" spans="1:33" x14ac:dyDescent="0.15">
      <c r="A13" s="1374" t="s">
        <v>2869</v>
      </c>
      <c r="B13" s="1378">
        <f>SUM(B14:B17)</f>
        <v>35</v>
      </c>
      <c r="C13" s="236">
        <f t="shared" ref="C13:AG13" si="2">SUM(C14:C17)</f>
        <v>2860</v>
      </c>
      <c r="D13" s="1378">
        <f t="shared" si="2"/>
        <v>0</v>
      </c>
      <c r="E13" s="236">
        <f t="shared" si="2"/>
        <v>0</v>
      </c>
      <c r="F13" s="1378">
        <f t="shared" si="2"/>
        <v>0</v>
      </c>
      <c r="G13" s="236">
        <f t="shared" si="2"/>
        <v>0</v>
      </c>
      <c r="H13" s="1378">
        <f t="shared" si="2"/>
        <v>1</v>
      </c>
      <c r="I13" s="236">
        <f t="shared" si="2"/>
        <v>20</v>
      </c>
      <c r="J13" s="1378">
        <f t="shared" si="2"/>
        <v>0</v>
      </c>
      <c r="K13" s="236">
        <f t="shared" si="2"/>
        <v>0</v>
      </c>
      <c r="L13" s="1378">
        <f t="shared" si="2"/>
        <v>0</v>
      </c>
      <c r="M13" s="236">
        <f t="shared" si="2"/>
        <v>0</v>
      </c>
      <c r="N13" s="1378">
        <f t="shared" si="2"/>
        <v>3</v>
      </c>
      <c r="O13" s="236">
        <f t="shared" si="2"/>
        <v>320</v>
      </c>
      <c r="P13" s="1378">
        <f t="shared" si="2"/>
        <v>30</v>
      </c>
      <c r="Q13" s="236">
        <f t="shared" si="2"/>
        <v>2516</v>
      </c>
      <c r="R13" s="1378">
        <f t="shared" si="2"/>
        <v>0</v>
      </c>
      <c r="S13" s="236">
        <f t="shared" si="2"/>
        <v>0</v>
      </c>
      <c r="T13" s="1378">
        <f t="shared" si="2"/>
        <v>0</v>
      </c>
      <c r="U13" s="236">
        <f t="shared" si="2"/>
        <v>0</v>
      </c>
      <c r="V13" s="1378">
        <f t="shared" si="2"/>
        <v>1</v>
      </c>
      <c r="W13" s="236">
        <f t="shared" si="2"/>
        <v>4</v>
      </c>
      <c r="X13" s="1378">
        <f t="shared" si="2"/>
        <v>0</v>
      </c>
      <c r="Y13" s="236">
        <f t="shared" si="2"/>
        <v>0</v>
      </c>
      <c r="Z13" s="1378">
        <f t="shared" si="2"/>
        <v>0</v>
      </c>
      <c r="AA13" s="236">
        <f t="shared" si="2"/>
        <v>0</v>
      </c>
      <c r="AB13" s="1378">
        <f t="shared" si="2"/>
        <v>0</v>
      </c>
      <c r="AC13" s="236">
        <f t="shared" si="2"/>
        <v>0</v>
      </c>
      <c r="AD13" s="1378">
        <f t="shared" si="2"/>
        <v>0</v>
      </c>
      <c r="AE13" s="236">
        <f t="shared" si="2"/>
        <v>0</v>
      </c>
      <c r="AF13" s="1378">
        <f t="shared" si="2"/>
        <v>0</v>
      </c>
      <c r="AG13" s="1379">
        <f t="shared" si="2"/>
        <v>0</v>
      </c>
    </row>
    <row r="14" spans="1:33" x14ac:dyDescent="0.15">
      <c r="A14" s="1380" t="s">
        <v>2870</v>
      </c>
      <c r="B14" s="1381">
        <v>1</v>
      </c>
      <c r="C14" s="1382">
        <v>20</v>
      </c>
      <c r="D14" s="1381">
        <v>0</v>
      </c>
      <c r="E14" s="1382">
        <v>0</v>
      </c>
      <c r="F14" s="1381">
        <v>0</v>
      </c>
      <c r="G14" s="1382">
        <v>0</v>
      </c>
      <c r="H14" s="1381">
        <v>1</v>
      </c>
      <c r="I14" s="1382">
        <v>20</v>
      </c>
      <c r="J14" s="1381">
        <v>0</v>
      </c>
      <c r="K14" s="1382">
        <v>0</v>
      </c>
      <c r="L14" s="1381">
        <v>0</v>
      </c>
      <c r="M14" s="1382">
        <v>0</v>
      </c>
      <c r="N14" s="1381">
        <v>0</v>
      </c>
      <c r="O14" s="1382">
        <v>0</v>
      </c>
      <c r="P14" s="1381">
        <v>0</v>
      </c>
      <c r="Q14" s="1382">
        <v>0</v>
      </c>
      <c r="R14" s="1381">
        <v>0</v>
      </c>
      <c r="S14" s="1382">
        <v>0</v>
      </c>
      <c r="T14" s="1381">
        <v>0</v>
      </c>
      <c r="U14" s="1382">
        <v>0</v>
      </c>
      <c r="V14" s="1381">
        <v>0</v>
      </c>
      <c r="W14" s="1382">
        <v>0</v>
      </c>
      <c r="X14" s="1381">
        <v>0</v>
      </c>
      <c r="Y14" s="1382">
        <v>0</v>
      </c>
      <c r="Z14" s="1381">
        <v>0</v>
      </c>
      <c r="AA14" s="1382">
        <v>0</v>
      </c>
      <c r="AB14" s="1381">
        <v>0</v>
      </c>
      <c r="AC14" s="1382">
        <v>0</v>
      </c>
      <c r="AD14" s="1381">
        <v>0</v>
      </c>
      <c r="AE14" s="1382">
        <v>0</v>
      </c>
      <c r="AF14" s="1381">
        <v>0</v>
      </c>
      <c r="AG14" s="1382">
        <v>0</v>
      </c>
    </row>
    <row r="15" spans="1:33" x14ac:dyDescent="0.15">
      <c r="A15" s="1380" t="s">
        <v>2871</v>
      </c>
      <c r="B15" s="1381">
        <v>1</v>
      </c>
      <c r="C15" s="1382">
        <v>2</v>
      </c>
      <c r="D15" s="1381">
        <v>0</v>
      </c>
      <c r="E15" s="1382">
        <v>0</v>
      </c>
      <c r="F15" s="1381">
        <v>0</v>
      </c>
      <c r="G15" s="1382">
        <v>0</v>
      </c>
      <c r="H15" s="1381">
        <v>0</v>
      </c>
      <c r="I15" s="1382">
        <v>0</v>
      </c>
      <c r="J15" s="1381">
        <v>0</v>
      </c>
      <c r="K15" s="1382">
        <v>0</v>
      </c>
      <c r="L15" s="1381">
        <v>0</v>
      </c>
      <c r="M15" s="1382">
        <v>0</v>
      </c>
      <c r="N15" s="1381">
        <v>0</v>
      </c>
      <c r="O15" s="1382">
        <v>0</v>
      </c>
      <c r="P15" s="1381">
        <v>1</v>
      </c>
      <c r="Q15" s="1382">
        <v>2</v>
      </c>
      <c r="R15" s="1381">
        <v>0</v>
      </c>
      <c r="S15" s="1382">
        <v>0</v>
      </c>
      <c r="T15" s="1381">
        <v>0</v>
      </c>
      <c r="U15" s="1382">
        <v>0</v>
      </c>
      <c r="V15" s="1381">
        <v>0</v>
      </c>
      <c r="W15" s="1382">
        <v>0</v>
      </c>
      <c r="X15" s="1381">
        <v>0</v>
      </c>
      <c r="Y15" s="1382">
        <v>0</v>
      </c>
      <c r="Z15" s="1381">
        <v>0</v>
      </c>
      <c r="AA15" s="1382">
        <v>0</v>
      </c>
      <c r="AB15" s="1381">
        <v>0</v>
      </c>
      <c r="AC15" s="1382">
        <v>0</v>
      </c>
      <c r="AD15" s="1381">
        <v>0</v>
      </c>
      <c r="AE15" s="1382">
        <v>0</v>
      </c>
      <c r="AF15" s="1381">
        <v>0</v>
      </c>
      <c r="AG15" s="1382">
        <v>0</v>
      </c>
    </row>
    <row r="16" spans="1:33" x14ac:dyDescent="0.15">
      <c r="A16" s="1380" t="s">
        <v>2872</v>
      </c>
      <c r="B16" s="1381">
        <v>6</v>
      </c>
      <c r="C16" s="1382">
        <v>733</v>
      </c>
      <c r="D16" s="1381">
        <v>0</v>
      </c>
      <c r="E16" s="1382">
        <v>0</v>
      </c>
      <c r="F16" s="1381">
        <v>0</v>
      </c>
      <c r="G16" s="1382">
        <v>0</v>
      </c>
      <c r="H16" s="1381">
        <v>0</v>
      </c>
      <c r="I16" s="1382">
        <v>0</v>
      </c>
      <c r="J16" s="1381">
        <v>0</v>
      </c>
      <c r="K16" s="1382">
        <v>0</v>
      </c>
      <c r="L16" s="1381">
        <v>0</v>
      </c>
      <c r="M16" s="1382">
        <v>0</v>
      </c>
      <c r="N16" s="1381">
        <v>0</v>
      </c>
      <c r="O16" s="1382">
        <v>0</v>
      </c>
      <c r="P16" s="1381">
        <v>6</v>
      </c>
      <c r="Q16" s="1382">
        <v>733</v>
      </c>
      <c r="R16" s="1381">
        <v>0</v>
      </c>
      <c r="S16" s="1382">
        <v>0</v>
      </c>
      <c r="T16" s="1381">
        <v>0</v>
      </c>
      <c r="U16" s="1382">
        <v>0</v>
      </c>
      <c r="V16" s="1381">
        <v>0</v>
      </c>
      <c r="W16" s="1382">
        <v>0</v>
      </c>
      <c r="X16" s="1381">
        <v>0</v>
      </c>
      <c r="Y16" s="1382">
        <v>0</v>
      </c>
      <c r="Z16" s="1381">
        <v>0</v>
      </c>
      <c r="AA16" s="1382">
        <v>0</v>
      </c>
      <c r="AB16" s="1381">
        <v>0</v>
      </c>
      <c r="AC16" s="1382">
        <v>0</v>
      </c>
      <c r="AD16" s="1381">
        <v>0</v>
      </c>
      <c r="AE16" s="1382">
        <v>0</v>
      </c>
      <c r="AF16" s="1381">
        <v>0</v>
      </c>
      <c r="AG16" s="1382">
        <v>0</v>
      </c>
    </row>
    <row r="17" spans="1:33" x14ac:dyDescent="0.15">
      <c r="A17" s="1380" t="s">
        <v>2673</v>
      </c>
      <c r="B17" s="1381">
        <v>27</v>
      </c>
      <c r="C17" s="1382">
        <v>2105</v>
      </c>
      <c r="D17" s="1381">
        <v>0</v>
      </c>
      <c r="E17" s="1382">
        <v>0</v>
      </c>
      <c r="F17" s="1381">
        <v>0</v>
      </c>
      <c r="G17" s="1382">
        <v>0</v>
      </c>
      <c r="H17" s="1381">
        <v>0</v>
      </c>
      <c r="I17" s="1382">
        <v>0</v>
      </c>
      <c r="J17" s="1381">
        <v>0</v>
      </c>
      <c r="K17" s="1382">
        <v>0</v>
      </c>
      <c r="L17" s="1381">
        <v>0</v>
      </c>
      <c r="M17" s="1382">
        <v>0</v>
      </c>
      <c r="N17" s="1381">
        <v>3</v>
      </c>
      <c r="O17" s="1382">
        <v>320</v>
      </c>
      <c r="P17" s="1381">
        <v>23</v>
      </c>
      <c r="Q17" s="1382">
        <v>1781</v>
      </c>
      <c r="R17" s="1381">
        <v>0</v>
      </c>
      <c r="S17" s="1382">
        <v>0</v>
      </c>
      <c r="T17" s="1381">
        <v>0</v>
      </c>
      <c r="U17" s="1382">
        <v>0</v>
      </c>
      <c r="V17" s="1381">
        <v>1</v>
      </c>
      <c r="W17" s="1382">
        <v>4</v>
      </c>
      <c r="X17" s="1381">
        <v>0</v>
      </c>
      <c r="Y17" s="1382">
        <v>0</v>
      </c>
      <c r="Z17" s="1381">
        <v>0</v>
      </c>
      <c r="AA17" s="1382">
        <v>0</v>
      </c>
      <c r="AB17" s="1381">
        <v>0</v>
      </c>
      <c r="AC17" s="1382">
        <v>0</v>
      </c>
      <c r="AD17" s="1381">
        <v>0</v>
      </c>
      <c r="AE17" s="1382">
        <v>0</v>
      </c>
      <c r="AF17" s="1381">
        <v>0</v>
      </c>
      <c r="AG17" s="1382">
        <v>0</v>
      </c>
    </row>
    <row r="18" spans="1:33" x14ac:dyDescent="0.15">
      <c r="A18" s="1374" t="s">
        <v>2873</v>
      </c>
      <c r="B18" s="1378">
        <f>SUM(B19:B20)</f>
        <v>62</v>
      </c>
      <c r="C18" s="236">
        <f t="shared" ref="C18:AG18" si="3">SUM(C19:C20)</f>
        <v>2802</v>
      </c>
      <c r="D18" s="1378">
        <f t="shared" si="3"/>
        <v>1</v>
      </c>
      <c r="E18" s="236">
        <f t="shared" si="3"/>
        <v>2</v>
      </c>
      <c r="F18" s="1378">
        <f t="shared" si="3"/>
        <v>0</v>
      </c>
      <c r="G18" s="236">
        <f t="shared" si="3"/>
        <v>0</v>
      </c>
      <c r="H18" s="1378">
        <f t="shared" si="3"/>
        <v>0</v>
      </c>
      <c r="I18" s="236">
        <f t="shared" si="3"/>
        <v>0</v>
      </c>
      <c r="J18" s="1378">
        <f t="shared" si="3"/>
        <v>0</v>
      </c>
      <c r="K18" s="236">
        <f t="shared" si="3"/>
        <v>0</v>
      </c>
      <c r="L18" s="1378">
        <f t="shared" si="3"/>
        <v>2</v>
      </c>
      <c r="M18" s="236">
        <f t="shared" si="3"/>
        <v>24</v>
      </c>
      <c r="N18" s="1378">
        <f t="shared" si="3"/>
        <v>9</v>
      </c>
      <c r="O18" s="236">
        <f t="shared" si="3"/>
        <v>159</v>
      </c>
      <c r="P18" s="1378">
        <f t="shared" si="3"/>
        <v>40</v>
      </c>
      <c r="Q18" s="236">
        <f t="shared" si="3"/>
        <v>2458</v>
      </c>
      <c r="R18" s="1378">
        <f t="shared" si="3"/>
        <v>1</v>
      </c>
      <c r="S18" s="236">
        <f t="shared" si="3"/>
        <v>4</v>
      </c>
      <c r="T18" s="1378">
        <f t="shared" si="3"/>
        <v>0</v>
      </c>
      <c r="U18" s="236">
        <f t="shared" si="3"/>
        <v>0</v>
      </c>
      <c r="V18" s="1378">
        <f t="shared" si="3"/>
        <v>6</v>
      </c>
      <c r="W18" s="236">
        <f t="shared" si="3"/>
        <v>137</v>
      </c>
      <c r="X18" s="1378">
        <f t="shared" si="3"/>
        <v>0</v>
      </c>
      <c r="Y18" s="236">
        <f t="shared" si="3"/>
        <v>0</v>
      </c>
      <c r="Z18" s="1378">
        <f t="shared" si="3"/>
        <v>1</v>
      </c>
      <c r="AA18" s="236">
        <f t="shared" si="3"/>
        <v>14</v>
      </c>
      <c r="AB18" s="1378">
        <f t="shared" si="3"/>
        <v>1</v>
      </c>
      <c r="AC18" s="236">
        <f t="shared" si="3"/>
        <v>2</v>
      </c>
      <c r="AD18" s="1378">
        <f t="shared" si="3"/>
        <v>0</v>
      </c>
      <c r="AE18" s="236">
        <f t="shared" si="3"/>
        <v>0</v>
      </c>
      <c r="AF18" s="1378">
        <f t="shared" si="3"/>
        <v>1</v>
      </c>
      <c r="AG18" s="1379">
        <f t="shared" si="3"/>
        <v>2</v>
      </c>
    </row>
    <row r="19" spans="1:33" x14ac:dyDescent="0.15">
      <c r="A19" s="1380" t="s">
        <v>2874</v>
      </c>
      <c r="B19" s="1381">
        <v>14</v>
      </c>
      <c r="C19" s="1382">
        <v>148</v>
      </c>
      <c r="D19" s="1381">
        <v>1</v>
      </c>
      <c r="E19" s="1382">
        <v>2</v>
      </c>
      <c r="F19" s="1381">
        <v>0</v>
      </c>
      <c r="G19" s="1382">
        <v>0</v>
      </c>
      <c r="H19" s="1381">
        <v>0</v>
      </c>
      <c r="I19" s="1382">
        <v>0</v>
      </c>
      <c r="J19" s="1381">
        <v>0</v>
      </c>
      <c r="K19" s="1382">
        <v>0</v>
      </c>
      <c r="L19" s="1381">
        <v>1</v>
      </c>
      <c r="M19" s="1382">
        <v>6</v>
      </c>
      <c r="N19" s="1381">
        <v>1</v>
      </c>
      <c r="O19" s="1382">
        <v>2</v>
      </c>
      <c r="P19" s="1381">
        <v>7</v>
      </c>
      <c r="Q19" s="1382">
        <v>124</v>
      </c>
      <c r="R19" s="1381">
        <v>1</v>
      </c>
      <c r="S19" s="1382">
        <v>4</v>
      </c>
      <c r="T19" s="1381">
        <v>0</v>
      </c>
      <c r="U19" s="1382">
        <v>0</v>
      </c>
      <c r="V19" s="1381">
        <v>1</v>
      </c>
      <c r="W19" s="1382">
        <v>6</v>
      </c>
      <c r="X19" s="1381">
        <v>0</v>
      </c>
      <c r="Y19" s="1382">
        <v>0</v>
      </c>
      <c r="Z19" s="1381">
        <v>0</v>
      </c>
      <c r="AA19" s="1382">
        <v>0</v>
      </c>
      <c r="AB19" s="1381">
        <v>1</v>
      </c>
      <c r="AC19" s="1382">
        <v>2</v>
      </c>
      <c r="AD19" s="1381">
        <v>0</v>
      </c>
      <c r="AE19" s="1382">
        <v>0</v>
      </c>
      <c r="AF19" s="1381">
        <v>1</v>
      </c>
      <c r="AG19" s="1382">
        <v>2</v>
      </c>
    </row>
    <row r="20" spans="1:33" x14ac:dyDescent="0.15">
      <c r="A20" s="1380" t="s">
        <v>2048</v>
      </c>
      <c r="B20" s="1381">
        <v>48</v>
      </c>
      <c r="C20" s="1382">
        <v>2654</v>
      </c>
      <c r="D20" s="1381">
        <v>0</v>
      </c>
      <c r="E20" s="1382">
        <v>0</v>
      </c>
      <c r="F20" s="1381">
        <v>0</v>
      </c>
      <c r="G20" s="1382">
        <v>0</v>
      </c>
      <c r="H20" s="1381">
        <v>0</v>
      </c>
      <c r="I20" s="1382">
        <v>0</v>
      </c>
      <c r="J20" s="1381">
        <v>0</v>
      </c>
      <c r="K20" s="1382">
        <v>0</v>
      </c>
      <c r="L20" s="1381">
        <v>1</v>
      </c>
      <c r="M20" s="1382">
        <v>18</v>
      </c>
      <c r="N20" s="1381">
        <v>8</v>
      </c>
      <c r="O20" s="1382">
        <v>157</v>
      </c>
      <c r="P20" s="1381">
        <v>33</v>
      </c>
      <c r="Q20" s="1382">
        <v>2334</v>
      </c>
      <c r="R20" s="1381">
        <v>0</v>
      </c>
      <c r="S20" s="1382">
        <v>0</v>
      </c>
      <c r="T20" s="1381">
        <v>0</v>
      </c>
      <c r="U20" s="1382">
        <v>0</v>
      </c>
      <c r="V20" s="1381">
        <v>5</v>
      </c>
      <c r="W20" s="1382">
        <v>131</v>
      </c>
      <c r="X20" s="1381">
        <v>0</v>
      </c>
      <c r="Y20" s="1382">
        <v>0</v>
      </c>
      <c r="Z20" s="1381">
        <v>1</v>
      </c>
      <c r="AA20" s="1382">
        <v>14</v>
      </c>
      <c r="AB20" s="1381">
        <v>0</v>
      </c>
      <c r="AC20" s="1382">
        <v>0</v>
      </c>
      <c r="AD20" s="1381">
        <v>0</v>
      </c>
      <c r="AE20" s="1382">
        <v>0</v>
      </c>
      <c r="AF20" s="1381">
        <v>0</v>
      </c>
      <c r="AG20" s="1382">
        <v>0</v>
      </c>
    </row>
    <row r="21" spans="1:33" x14ac:dyDescent="0.15">
      <c r="A21" s="1374" t="s">
        <v>2875</v>
      </c>
      <c r="B21" s="1378">
        <f>SUM(B22:B25)</f>
        <v>120</v>
      </c>
      <c r="C21" s="236">
        <f t="shared" ref="C21:AG21" si="4">SUM(C22:C25)</f>
        <v>6208</v>
      </c>
      <c r="D21" s="1378">
        <f t="shared" si="4"/>
        <v>0</v>
      </c>
      <c r="E21" s="236">
        <f t="shared" si="4"/>
        <v>0</v>
      </c>
      <c r="F21" s="1378">
        <f t="shared" si="4"/>
        <v>1</v>
      </c>
      <c r="G21" s="236">
        <f t="shared" si="4"/>
        <v>39</v>
      </c>
      <c r="H21" s="1378">
        <f t="shared" si="4"/>
        <v>3</v>
      </c>
      <c r="I21" s="236">
        <f t="shared" si="4"/>
        <v>112</v>
      </c>
      <c r="J21" s="1378">
        <f t="shared" si="4"/>
        <v>0</v>
      </c>
      <c r="K21" s="236">
        <f t="shared" si="4"/>
        <v>0</v>
      </c>
      <c r="L21" s="1378">
        <f t="shared" si="4"/>
        <v>2</v>
      </c>
      <c r="M21" s="236">
        <f t="shared" si="4"/>
        <v>81</v>
      </c>
      <c r="N21" s="1378">
        <f t="shared" si="4"/>
        <v>12</v>
      </c>
      <c r="O21" s="236">
        <f t="shared" si="4"/>
        <v>804</v>
      </c>
      <c r="P21" s="1378">
        <f t="shared" si="4"/>
        <v>86</v>
      </c>
      <c r="Q21" s="236">
        <f t="shared" si="4"/>
        <v>4508</v>
      </c>
      <c r="R21" s="1378">
        <f t="shared" si="4"/>
        <v>1</v>
      </c>
      <c r="S21" s="236">
        <f t="shared" si="4"/>
        <v>75</v>
      </c>
      <c r="T21" s="1378">
        <f t="shared" si="4"/>
        <v>2</v>
      </c>
      <c r="U21" s="236">
        <f t="shared" si="4"/>
        <v>132</v>
      </c>
      <c r="V21" s="1378">
        <f t="shared" si="4"/>
        <v>5</v>
      </c>
      <c r="W21" s="236">
        <f t="shared" si="4"/>
        <v>185</v>
      </c>
      <c r="X21" s="1378">
        <f t="shared" si="4"/>
        <v>4</v>
      </c>
      <c r="Y21" s="236">
        <f t="shared" si="4"/>
        <v>80</v>
      </c>
      <c r="Z21" s="1378">
        <f t="shared" si="4"/>
        <v>4</v>
      </c>
      <c r="AA21" s="236">
        <f t="shared" si="4"/>
        <v>192</v>
      </c>
      <c r="AB21" s="1378">
        <f t="shared" si="4"/>
        <v>0</v>
      </c>
      <c r="AC21" s="236">
        <f t="shared" si="4"/>
        <v>0</v>
      </c>
      <c r="AD21" s="1378">
        <f t="shared" si="4"/>
        <v>0</v>
      </c>
      <c r="AE21" s="236">
        <f t="shared" si="4"/>
        <v>0</v>
      </c>
      <c r="AF21" s="1378">
        <f t="shared" si="4"/>
        <v>0</v>
      </c>
      <c r="AG21" s="1379">
        <f t="shared" si="4"/>
        <v>0</v>
      </c>
    </row>
    <row r="22" spans="1:33" x14ac:dyDescent="0.15">
      <c r="A22" s="1380" t="s">
        <v>2540</v>
      </c>
      <c r="B22" s="1381">
        <v>75</v>
      </c>
      <c r="C22" s="1382">
        <v>2994</v>
      </c>
      <c r="D22" s="1381">
        <v>0</v>
      </c>
      <c r="E22" s="1382">
        <v>0</v>
      </c>
      <c r="F22" s="1381">
        <v>0</v>
      </c>
      <c r="G22" s="1382">
        <v>0</v>
      </c>
      <c r="H22" s="1381">
        <v>1</v>
      </c>
      <c r="I22" s="1382">
        <v>29</v>
      </c>
      <c r="J22" s="1381">
        <v>0</v>
      </c>
      <c r="K22" s="1382">
        <v>0</v>
      </c>
      <c r="L22" s="1381">
        <v>2</v>
      </c>
      <c r="M22" s="1382">
        <v>81</v>
      </c>
      <c r="N22" s="1381">
        <v>5</v>
      </c>
      <c r="O22" s="1382">
        <v>296</v>
      </c>
      <c r="P22" s="1381">
        <v>61</v>
      </c>
      <c r="Q22" s="1382">
        <v>2386</v>
      </c>
      <c r="R22" s="1381">
        <v>0</v>
      </c>
      <c r="S22" s="1382">
        <v>0</v>
      </c>
      <c r="T22" s="1381">
        <v>2</v>
      </c>
      <c r="U22" s="1382">
        <v>132</v>
      </c>
      <c r="V22" s="1381">
        <v>0</v>
      </c>
      <c r="W22" s="1382">
        <v>0</v>
      </c>
      <c r="X22" s="1381">
        <v>3</v>
      </c>
      <c r="Y22" s="1382">
        <v>3</v>
      </c>
      <c r="Z22" s="1381">
        <v>1</v>
      </c>
      <c r="AA22" s="1382">
        <v>67</v>
      </c>
      <c r="AB22" s="1381">
        <v>0</v>
      </c>
      <c r="AC22" s="1382">
        <v>0</v>
      </c>
      <c r="AD22" s="1381">
        <v>0</v>
      </c>
      <c r="AE22" s="1382">
        <v>0</v>
      </c>
      <c r="AF22" s="1381">
        <v>0</v>
      </c>
      <c r="AG22" s="1382">
        <v>0</v>
      </c>
    </row>
    <row r="23" spans="1:33" x14ac:dyDescent="0.15">
      <c r="A23" s="1380" t="s">
        <v>2876</v>
      </c>
      <c r="B23" s="1381">
        <v>4</v>
      </c>
      <c r="C23" s="1382">
        <v>145</v>
      </c>
      <c r="D23" s="1381">
        <v>0</v>
      </c>
      <c r="E23" s="1382">
        <v>0</v>
      </c>
      <c r="F23" s="1381">
        <v>0</v>
      </c>
      <c r="G23" s="1382">
        <v>0</v>
      </c>
      <c r="H23" s="1381">
        <v>0</v>
      </c>
      <c r="I23" s="1382">
        <v>0</v>
      </c>
      <c r="J23" s="1381">
        <v>0</v>
      </c>
      <c r="K23" s="1382">
        <v>0</v>
      </c>
      <c r="L23" s="1381">
        <v>0</v>
      </c>
      <c r="M23" s="1382">
        <v>0</v>
      </c>
      <c r="N23" s="1381">
        <v>0</v>
      </c>
      <c r="O23" s="1382">
        <v>0</v>
      </c>
      <c r="P23" s="1381">
        <v>4</v>
      </c>
      <c r="Q23" s="1382">
        <v>145</v>
      </c>
      <c r="R23" s="1381">
        <v>0</v>
      </c>
      <c r="S23" s="1382">
        <v>0</v>
      </c>
      <c r="T23" s="1381">
        <v>0</v>
      </c>
      <c r="U23" s="1382">
        <v>0</v>
      </c>
      <c r="V23" s="1381">
        <v>0</v>
      </c>
      <c r="W23" s="1382">
        <v>0</v>
      </c>
      <c r="X23" s="1381">
        <v>0</v>
      </c>
      <c r="Y23" s="1382">
        <v>0</v>
      </c>
      <c r="Z23" s="1381">
        <v>0</v>
      </c>
      <c r="AA23" s="1382">
        <v>0</v>
      </c>
      <c r="AB23" s="1381">
        <v>0</v>
      </c>
      <c r="AC23" s="1382">
        <v>0</v>
      </c>
      <c r="AD23" s="1381">
        <v>0</v>
      </c>
      <c r="AE23" s="1382">
        <v>0</v>
      </c>
      <c r="AF23" s="1381">
        <v>0</v>
      </c>
      <c r="AG23" s="1382">
        <v>0</v>
      </c>
    </row>
    <row r="24" spans="1:33" x14ac:dyDescent="0.15">
      <c r="A24" s="1380" t="s">
        <v>2877</v>
      </c>
      <c r="B24" s="1381">
        <v>4</v>
      </c>
      <c r="C24" s="1382">
        <v>180</v>
      </c>
      <c r="D24" s="1381">
        <v>0</v>
      </c>
      <c r="E24" s="1382">
        <v>0</v>
      </c>
      <c r="F24" s="1381">
        <v>0</v>
      </c>
      <c r="G24" s="1382">
        <v>0</v>
      </c>
      <c r="H24" s="1381">
        <v>0</v>
      </c>
      <c r="I24" s="1382">
        <v>0</v>
      </c>
      <c r="J24" s="1381">
        <v>0</v>
      </c>
      <c r="K24" s="1382">
        <v>0</v>
      </c>
      <c r="L24" s="1381">
        <v>0</v>
      </c>
      <c r="M24" s="1382">
        <v>0</v>
      </c>
      <c r="N24" s="1381">
        <v>0</v>
      </c>
      <c r="O24" s="1382">
        <v>0</v>
      </c>
      <c r="P24" s="1381">
        <v>4</v>
      </c>
      <c r="Q24" s="1382">
        <v>180</v>
      </c>
      <c r="R24" s="1381">
        <v>0</v>
      </c>
      <c r="S24" s="1382">
        <v>0</v>
      </c>
      <c r="T24" s="1381">
        <v>0</v>
      </c>
      <c r="U24" s="1382">
        <v>0</v>
      </c>
      <c r="V24" s="1381">
        <v>0</v>
      </c>
      <c r="W24" s="1382">
        <v>0</v>
      </c>
      <c r="X24" s="1381">
        <v>0</v>
      </c>
      <c r="Y24" s="1382">
        <v>0</v>
      </c>
      <c r="Z24" s="1381">
        <v>0</v>
      </c>
      <c r="AA24" s="1382">
        <v>0</v>
      </c>
      <c r="AB24" s="1381">
        <v>0</v>
      </c>
      <c r="AC24" s="1382">
        <v>0</v>
      </c>
      <c r="AD24" s="1381">
        <v>0</v>
      </c>
      <c r="AE24" s="1382">
        <v>0</v>
      </c>
      <c r="AF24" s="1381">
        <v>0</v>
      </c>
      <c r="AG24" s="1382">
        <v>0</v>
      </c>
    </row>
    <row r="25" spans="1:33" x14ac:dyDescent="0.15">
      <c r="A25" s="1380" t="s">
        <v>2878</v>
      </c>
      <c r="B25" s="1381">
        <v>37</v>
      </c>
      <c r="C25" s="1382">
        <v>2889</v>
      </c>
      <c r="D25" s="1381">
        <v>0</v>
      </c>
      <c r="E25" s="1382">
        <v>0</v>
      </c>
      <c r="F25" s="1381">
        <v>1</v>
      </c>
      <c r="G25" s="1382">
        <v>39</v>
      </c>
      <c r="H25" s="1381">
        <v>2</v>
      </c>
      <c r="I25" s="1382">
        <v>83</v>
      </c>
      <c r="J25" s="1381">
        <v>0</v>
      </c>
      <c r="K25" s="1382">
        <v>0</v>
      </c>
      <c r="L25" s="1381">
        <v>0</v>
      </c>
      <c r="M25" s="1382">
        <v>0</v>
      </c>
      <c r="N25" s="1381">
        <v>7</v>
      </c>
      <c r="O25" s="1382">
        <v>508</v>
      </c>
      <c r="P25" s="1381">
        <v>17</v>
      </c>
      <c r="Q25" s="1382">
        <v>1797</v>
      </c>
      <c r="R25" s="1381">
        <v>1</v>
      </c>
      <c r="S25" s="1382">
        <v>75</v>
      </c>
      <c r="T25" s="1381">
        <v>0</v>
      </c>
      <c r="U25" s="1382">
        <v>0</v>
      </c>
      <c r="V25" s="1381">
        <v>5</v>
      </c>
      <c r="W25" s="1382">
        <v>185</v>
      </c>
      <c r="X25" s="1381">
        <v>1</v>
      </c>
      <c r="Y25" s="1382">
        <v>77</v>
      </c>
      <c r="Z25" s="1381">
        <v>3</v>
      </c>
      <c r="AA25" s="1382">
        <v>125</v>
      </c>
      <c r="AB25" s="1381">
        <v>0</v>
      </c>
      <c r="AC25" s="1382">
        <v>0</v>
      </c>
      <c r="AD25" s="1381">
        <v>0</v>
      </c>
      <c r="AE25" s="1382">
        <v>0</v>
      </c>
      <c r="AF25" s="1381">
        <v>0</v>
      </c>
      <c r="AG25" s="1382">
        <v>0</v>
      </c>
    </row>
    <row r="26" spans="1:33" x14ac:dyDescent="0.15">
      <c r="A26" s="1374" t="s">
        <v>2879</v>
      </c>
      <c r="B26" s="1378">
        <f>SUM(B27:B28)</f>
        <v>60</v>
      </c>
      <c r="C26" s="236">
        <f t="shared" ref="C26:AG26" si="5">SUM(C27:C28)</f>
        <v>5071</v>
      </c>
      <c r="D26" s="1378">
        <f t="shared" si="5"/>
        <v>0</v>
      </c>
      <c r="E26" s="236">
        <f t="shared" si="5"/>
        <v>0</v>
      </c>
      <c r="F26" s="1378">
        <f t="shared" si="5"/>
        <v>0</v>
      </c>
      <c r="G26" s="236">
        <f t="shared" si="5"/>
        <v>0</v>
      </c>
      <c r="H26" s="1378">
        <f t="shared" si="5"/>
        <v>0</v>
      </c>
      <c r="I26" s="236">
        <f t="shared" si="5"/>
        <v>0</v>
      </c>
      <c r="J26" s="1378">
        <f t="shared" si="5"/>
        <v>0</v>
      </c>
      <c r="K26" s="236">
        <f t="shared" si="5"/>
        <v>0</v>
      </c>
      <c r="L26" s="1378">
        <f t="shared" si="5"/>
        <v>0</v>
      </c>
      <c r="M26" s="236">
        <f t="shared" si="5"/>
        <v>0</v>
      </c>
      <c r="N26" s="1378">
        <f t="shared" si="5"/>
        <v>8</v>
      </c>
      <c r="O26" s="236">
        <f t="shared" si="5"/>
        <v>530</v>
      </c>
      <c r="P26" s="1378">
        <f t="shared" si="5"/>
        <v>45</v>
      </c>
      <c r="Q26" s="236">
        <f t="shared" si="5"/>
        <v>4029</v>
      </c>
      <c r="R26" s="1378">
        <f t="shared" si="5"/>
        <v>0</v>
      </c>
      <c r="S26" s="236">
        <f t="shared" si="5"/>
        <v>0</v>
      </c>
      <c r="T26" s="1378">
        <f t="shared" si="5"/>
        <v>0</v>
      </c>
      <c r="U26" s="236">
        <f t="shared" si="5"/>
        <v>0</v>
      </c>
      <c r="V26" s="1378">
        <f t="shared" si="5"/>
        <v>5</v>
      </c>
      <c r="W26" s="236">
        <f t="shared" si="5"/>
        <v>300</v>
      </c>
      <c r="X26" s="1378">
        <f t="shared" si="5"/>
        <v>1</v>
      </c>
      <c r="Y26" s="236">
        <f t="shared" si="5"/>
        <v>90</v>
      </c>
      <c r="Z26" s="1378">
        <f t="shared" si="5"/>
        <v>1</v>
      </c>
      <c r="AA26" s="236">
        <f t="shared" si="5"/>
        <v>122</v>
      </c>
      <c r="AB26" s="1378">
        <f t="shared" si="5"/>
        <v>0</v>
      </c>
      <c r="AC26" s="236">
        <f t="shared" si="5"/>
        <v>0</v>
      </c>
      <c r="AD26" s="1378">
        <f t="shared" si="5"/>
        <v>0</v>
      </c>
      <c r="AE26" s="236">
        <f t="shared" si="5"/>
        <v>0</v>
      </c>
      <c r="AF26" s="1378">
        <f t="shared" si="5"/>
        <v>0</v>
      </c>
      <c r="AG26" s="1379">
        <f t="shared" si="5"/>
        <v>0</v>
      </c>
    </row>
    <row r="27" spans="1:33" x14ac:dyDescent="0.15">
      <c r="A27" s="1380" t="s">
        <v>2880</v>
      </c>
      <c r="B27" s="1381">
        <v>40</v>
      </c>
      <c r="C27" s="1382">
        <v>3514</v>
      </c>
      <c r="D27" s="1381">
        <v>0</v>
      </c>
      <c r="E27" s="1382">
        <v>0</v>
      </c>
      <c r="F27" s="1381">
        <v>0</v>
      </c>
      <c r="G27" s="1382">
        <v>0</v>
      </c>
      <c r="H27" s="1381">
        <v>0</v>
      </c>
      <c r="I27" s="1382">
        <v>0</v>
      </c>
      <c r="J27" s="1381">
        <v>0</v>
      </c>
      <c r="K27" s="1382">
        <v>0</v>
      </c>
      <c r="L27" s="1381">
        <v>0</v>
      </c>
      <c r="M27" s="1382">
        <v>0</v>
      </c>
      <c r="N27" s="1381">
        <v>5</v>
      </c>
      <c r="O27" s="1382">
        <v>398</v>
      </c>
      <c r="P27" s="1381">
        <v>28</v>
      </c>
      <c r="Q27" s="1382">
        <v>2604</v>
      </c>
      <c r="R27" s="1381">
        <v>0</v>
      </c>
      <c r="S27" s="1382">
        <v>0</v>
      </c>
      <c r="T27" s="1381">
        <v>0</v>
      </c>
      <c r="U27" s="1382">
        <v>0</v>
      </c>
      <c r="V27" s="1381">
        <v>5</v>
      </c>
      <c r="W27" s="1382">
        <v>300</v>
      </c>
      <c r="X27" s="1381">
        <v>1</v>
      </c>
      <c r="Y27" s="1382">
        <v>90</v>
      </c>
      <c r="Z27" s="1381">
        <v>1</v>
      </c>
      <c r="AA27" s="1382">
        <v>122</v>
      </c>
      <c r="AB27" s="1381">
        <v>0</v>
      </c>
      <c r="AC27" s="1382">
        <v>0</v>
      </c>
      <c r="AD27" s="1381">
        <v>0</v>
      </c>
      <c r="AE27" s="1382">
        <v>0</v>
      </c>
      <c r="AF27" s="1381">
        <v>0</v>
      </c>
      <c r="AG27" s="1382">
        <v>0</v>
      </c>
    </row>
    <row r="28" spans="1:33" x14ac:dyDescent="0.15">
      <c r="A28" s="1380" t="s">
        <v>2881</v>
      </c>
      <c r="B28" s="1381">
        <v>20</v>
      </c>
      <c r="C28" s="1382">
        <v>1557</v>
      </c>
      <c r="D28" s="1381">
        <v>0</v>
      </c>
      <c r="E28" s="1382">
        <v>0</v>
      </c>
      <c r="F28" s="1381">
        <v>0</v>
      </c>
      <c r="G28" s="1382">
        <v>0</v>
      </c>
      <c r="H28" s="1381">
        <v>0</v>
      </c>
      <c r="I28" s="1382">
        <v>0</v>
      </c>
      <c r="J28" s="1381">
        <v>0</v>
      </c>
      <c r="K28" s="1382">
        <v>0</v>
      </c>
      <c r="L28" s="1381">
        <v>0</v>
      </c>
      <c r="M28" s="1382">
        <v>0</v>
      </c>
      <c r="N28" s="1381">
        <v>3</v>
      </c>
      <c r="O28" s="1382">
        <v>132</v>
      </c>
      <c r="P28" s="1381">
        <v>17</v>
      </c>
      <c r="Q28" s="1382">
        <v>1425</v>
      </c>
      <c r="R28" s="1381">
        <v>0</v>
      </c>
      <c r="S28" s="1382">
        <v>0</v>
      </c>
      <c r="T28" s="1381">
        <v>0</v>
      </c>
      <c r="U28" s="1382">
        <v>0</v>
      </c>
      <c r="V28" s="1381">
        <v>0</v>
      </c>
      <c r="W28" s="1382">
        <v>0</v>
      </c>
      <c r="X28" s="1381">
        <v>0</v>
      </c>
      <c r="Y28" s="1382">
        <v>0</v>
      </c>
      <c r="Z28" s="1381">
        <v>0</v>
      </c>
      <c r="AA28" s="1382">
        <v>0</v>
      </c>
      <c r="AB28" s="1381">
        <v>0</v>
      </c>
      <c r="AC28" s="1382">
        <v>0</v>
      </c>
      <c r="AD28" s="1381">
        <v>0</v>
      </c>
      <c r="AE28" s="1382">
        <v>0</v>
      </c>
      <c r="AF28" s="1381">
        <v>0</v>
      </c>
      <c r="AG28" s="1382">
        <v>0</v>
      </c>
    </row>
    <row r="29" spans="1:33" x14ac:dyDescent="0.15">
      <c r="A29" s="1374" t="s">
        <v>2882</v>
      </c>
      <c r="B29" s="1378">
        <f>SUM(B30)</f>
        <v>3</v>
      </c>
      <c r="C29" s="236">
        <f t="shared" ref="C29:AG29" si="6">SUM(C30)</f>
        <v>62</v>
      </c>
      <c r="D29" s="1378">
        <f t="shared" si="6"/>
        <v>0</v>
      </c>
      <c r="E29" s="236">
        <f t="shared" si="6"/>
        <v>0</v>
      </c>
      <c r="F29" s="1378">
        <f t="shared" si="6"/>
        <v>0</v>
      </c>
      <c r="G29" s="236">
        <f t="shared" si="6"/>
        <v>0</v>
      </c>
      <c r="H29" s="1378">
        <f t="shared" si="6"/>
        <v>0</v>
      </c>
      <c r="I29" s="236">
        <f t="shared" si="6"/>
        <v>0</v>
      </c>
      <c r="J29" s="1378">
        <f t="shared" si="6"/>
        <v>0</v>
      </c>
      <c r="K29" s="236">
        <f t="shared" si="6"/>
        <v>0</v>
      </c>
      <c r="L29" s="1378">
        <f t="shared" si="6"/>
        <v>0</v>
      </c>
      <c r="M29" s="236">
        <f t="shared" si="6"/>
        <v>0</v>
      </c>
      <c r="N29" s="1378">
        <f t="shared" si="6"/>
        <v>0</v>
      </c>
      <c r="O29" s="236">
        <f t="shared" si="6"/>
        <v>0</v>
      </c>
      <c r="P29" s="1378">
        <f t="shared" si="6"/>
        <v>3</v>
      </c>
      <c r="Q29" s="236">
        <f t="shared" si="6"/>
        <v>62</v>
      </c>
      <c r="R29" s="1378">
        <f t="shared" si="6"/>
        <v>0</v>
      </c>
      <c r="S29" s="236">
        <f t="shared" si="6"/>
        <v>0</v>
      </c>
      <c r="T29" s="1378">
        <f t="shared" si="6"/>
        <v>0</v>
      </c>
      <c r="U29" s="236">
        <f t="shared" si="6"/>
        <v>0</v>
      </c>
      <c r="V29" s="1378">
        <f t="shared" si="6"/>
        <v>0</v>
      </c>
      <c r="W29" s="236">
        <f t="shared" si="6"/>
        <v>0</v>
      </c>
      <c r="X29" s="1378">
        <f t="shared" si="6"/>
        <v>0</v>
      </c>
      <c r="Y29" s="236">
        <f t="shared" si="6"/>
        <v>0</v>
      </c>
      <c r="Z29" s="1378">
        <f t="shared" si="6"/>
        <v>0</v>
      </c>
      <c r="AA29" s="236">
        <f t="shared" si="6"/>
        <v>0</v>
      </c>
      <c r="AB29" s="1378">
        <f t="shared" si="6"/>
        <v>0</v>
      </c>
      <c r="AC29" s="236">
        <f t="shared" si="6"/>
        <v>0</v>
      </c>
      <c r="AD29" s="1378">
        <f t="shared" si="6"/>
        <v>0</v>
      </c>
      <c r="AE29" s="236">
        <f t="shared" si="6"/>
        <v>0</v>
      </c>
      <c r="AF29" s="1378">
        <f t="shared" si="6"/>
        <v>0</v>
      </c>
      <c r="AG29" s="1379">
        <f t="shared" si="6"/>
        <v>0</v>
      </c>
    </row>
    <row r="30" spans="1:33" x14ac:dyDescent="0.15">
      <c r="A30" s="1380" t="s">
        <v>2882</v>
      </c>
      <c r="B30" s="1381">
        <v>3</v>
      </c>
      <c r="C30" s="1382">
        <v>62</v>
      </c>
      <c r="D30" s="1381">
        <v>0</v>
      </c>
      <c r="E30" s="1382">
        <v>0</v>
      </c>
      <c r="F30" s="1381">
        <v>0</v>
      </c>
      <c r="G30" s="1382">
        <v>0</v>
      </c>
      <c r="H30" s="1381">
        <v>0</v>
      </c>
      <c r="I30" s="1382">
        <v>0</v>
      </c>
      <c r="J30" s="1381">
        <v>0</v>
      </c>
      <c r="K30" s="1382">
        <v>0</v>
      </c>
      <c r="L30" s="1381">
        <v>0</v>
      </c>
      <c r="M30" s="1382">
        <v>0</v>
      </c>
      <c r="N30" s="1381">
        <v>0</v>
      </c>
      <c r="O30" s="1382">
        <v>0</v>
      </c>
      <c r="P30" s="1381">
        <v>3</v>
      </c>
      <c r="Q30" s="1382">
        <v>62</v>
      </c>
      <c r="R30" s="1381">
        <v>0</v>
      </c>
      <c r="S30" s="1382">
        <v>0</v>
      </c>
      <c r="T30" s="1381">
        <v>0</v>
      </c>
      <c r="U30" s="1382">
        <v>0</v>
      </c>
      <c r="V30" s="1381">
        <v>0</v>
      </c>
      <c r="W30" s="1382">
        <v>0</v>
      </c>
      <c r="X30" s="1381">
        <v>0</v>
      </c>
      <c r="Y30" s="1382">
        <v>0</v>
      </c>
      <c r="Z30" s="1381">
        <v>0</v>
      </c>
      <c r="AA30" s="1382">
        <v>0</v>
      </c>
      <c r="AB30" s="1381">
        <v>0</v>
      </c>
      <c r="AC30" s="1382">
        <v>0</v>
      </c>
      <c r="AD30" s="1381">
        <v>0</v>
      </c>
      <c r="AE30" s="1382">
        <v>0</v>
      </c>
      <c r="AF30" s="1381">
        <v>0</v>
      </c>
      <c r="AG30" s="1382">
        <v>0</v>
      </c>
    </row>
    <row r="31" spans="1:33" x14ac:dyDescent="0.15">
      <c r="A31" s="1374" t="s">
        <v>2883</v>
      </c>
      <c r="B31" s="1378">
        <f>SUM(B32:B39)</f>
        <v>60</v>
      </c>
      <c r="C31" s="236">
        <f t="shared" ref="C31:AG31" si="7">SUM(C32:C39)</f>
        <v>3883</v>
      </c>
      <c r="D31" s="1378">
        <f t="shared" si="7"/>
        <v>1</v>
      </c>
      <c r="E31" s="236">
        <f t="shared" si="7"/>
        <v>49</v>
      </c>
      <c r="F31" s="1378">
        <f t="shared" si="7"/>
        <v>2</v>
      </c>
      <c r="G31" s="236">
        <f t="shared" si="7"/>
        <v>59</v>
      </c>
      <c r="H31" s="1378">
        <f t="shared" si="7"/>
        <v>2</v>
      </c>
      <c r="I31" s="236">
        <f t="shared" si="7"/>
        <v>204</v>
      </c>
      <c r="J31" s="1378">
        <f t="shared" si="7"/>
        <v>0</v>
      </c>
      <c r="K31" s="236">
        <f t="shared" si="7"/>
        <v>0</v>
      </c>
      <c r="L31" s="1378">
        <f t="shared" si="7"/>
        <v>2</v>
      </c>
      <c r="M31" s="236">
        <f t="shared" si="7"/>
        <v>221</v>
      </c>
      <c r="N31" s="1378">
        <f t="shared" si="7"/>
        <v>7</v>
      </c>
      <c r="O31" s="236">
        <f t="shared" si="7"/>
        <v>643</v>
      </c>
      <c r="P31" s="1378">
        <f t="shared" si="7"/>
        <v>30</v>
      </c>
      <c r="Q31" s="236">
        <f t="shared" si="7"/>
        <v>1786</v>
      </c>
      <c r="R31" s="1378">
        <f t="shared" si="7"/>
        <v>0</v>
      </c>
      <c r="S31" s="236">
        <f t="shared" si="7"/>
        <v>0</v>
      </c>
      <c r="T31" s="1378">
        <f t="shared" si="7"/>
        <v>4</v>
      </c>
      <c r="U31" s="236">
        <f t="shared" si="7"/>
        <v>173</v>
      </c>
      <c r="V31" s="1378">
        <f t="shared" si="7"/>
        <v>5</v>
      </c>
      <c r="W31" s="236">
        <f t="shared" si="7"/>
        <v>488</v>
      </c>
      <c r="X31" s="1378">
        <f t="shared" si="7"/>
        <v>3</v>
      </c>
      <c r="Y31" s="236">
        <f t="shared" si="7"/>
        <v>55</v>
      </c>
      <c r="Z31" s="1378">
        <f t="shared" si="7"/>
        <v>1</v>
      </c>
      <c r="AA31" s="236">
        <f t="shared" si="7"/>
        <v>15</v>
      </c>
      <c r="AB31" s="1378">
        <f t="shared" si="7"/>
        <v>1</v>
      </c>
      <c r="AC31" s="236">
        <f t="shared" si="7"/>
        <v>177</v>
      </c>
      <c r="AD31" s="1378">
        <f t="shared" si="7"/>
        <v>0</v>
      </c>
      <c r="AE31" s="236">
        <f t="shared" si="7"/>
        <v>0</v>
      </c>
      <c r="AF31" s="1378">
        <f t="shared" si="7"/>
        <v>2</v>
      </c>
      <c r="AG31" s="1379">
        <f t="shared" si="7"/>
        <v>13</v>
      </c>
    </row>
    <row r="32" spans="1:33" x14ac:dyDescent="0.15">
      <c r="A32" s="1380" t="s">
        <v>2884</v>
      </c>
      <c r="B32" s="1381">
        <v>5</v>
      </c>
      <c r="C32" s="1382">
        <v>27</v>
      </c>
      <c r="D32" s="1381">
        <v>0</v>
      </c>
      <c r="E32" s="1382">
        <v>0</v>
      </c>
      <c r="F32" s="1381">
        <v>0</v>
      </c>
      <c r="G32" s="1382">
        <v>0</v>
      </c>
      <c r="H32" s="1381">
        <v>0</v>
      </c>
      <c r="I32" s="1382">
        <v>0</v>
      </c>
      <c r="J32" s="1381">
        <v>0</v>
      </c>
      <c r="K32" s="1382">
        <v>0</v>
      </c>
      <c r="L32" s="1381">
        <v>0</v>
      </c>
      <c r="M32" s="1382">
        <v>0</v>
      </c>
      <c r="N32" s="1381">
        <v>0</v>
      </c>
      <c r="O32" s="1382">
        <v>0</v>
      </c>
      <c r="P32" s="1381">
        <v>5</v>
      </c>
      <c r="Q32" s="1382">
        <v>27</v>
      </c>
      <c r="R32" s="1381">
        <v>0</v>
      </c>
      <c r="S32" s="1382">
        <v>0</v>
      </c>
      <c r="T32" s="1381">
        <v>0</v>
      </c>
      <c r="U32" s="1382">
        <v>0</v>
      </c>
      <c r="V32" s="1381">
        <v>0</v>
      </c>
      <c r="W32" s="1382">
        <v>0</v>
      </c>
      <c r="X32" s="1381">
        <v>0</v>
      </c>
      <c r="Y32" s="1382">
        <v>0</v>
      </c>
      <c r="Z32" s="1381">
        <v>0</v>
      </c>
      <c r="AA32" s="1382">
        <v>0</v>
      </c>
      <c r="AB32" s="1381">
        <v>0</v>
      </c>
      <c r="AC32" s="1382">
        <v>0</v>
      </c>
      <c r="AD32" s="1381">
        <v>0</v>
      </c>
      <c r="AE32" s="1382">
        <v>0</v>
      </c>
      <c r="AF32" s="1381">
        <v>0</v>
      </c>
      <c r="AG32" s="1382">
        <v>0</v>
      </c>
    </row>
    <row r="33" spans="1:33" x14ac:dyDescent="0.15">
      <c r="A33" s="1380" t="s">
        <v>2885</v>
      </c>
      <c r="B33" s="1381">
        <v>15</v>
      </c>
      <c r="C33" s="1382">
        <v>863</v>
      </c>
      <c r="D33" s="1381">
        <v>0</v>
      </c>
      <c r="E33" s="1382">
        <v>0</v>
      </c>
      <c r="F33" s="1381">
        <v>0</v>
      </c>
      <c r="G33" s="1382">
        <v>0</v>
      </c>
      <c r="H33" s="1381">
        <v>0</v>
      </c>
      <c r="I33" s="1382">
        <v>0</v>
      </c>
      <c r="J33" s="1381">
        <v>0</v>
      </c>
      <c r="K33" s="1382">
        <v>0</v>
      </c>
      <c r="L33" s="1381">
        <v>0</v>
      </c>
      <c r="M33" s="1382">
        <v>0</v>
      </c>
      <c r="N33" s="1381">
        <v>3</v>
      </c>
      <c r="O33" s="1382">
        <v>215</v>
      </c>
      <c r="P33" s="1381">
        <v>8</v>
      </c>
      <c r="Q33" s="1382">
        <v>424</v>
      </c>
      <c r="R33" s="1381">
        <v>0</v>
      </c>
      <c r="S33" s="1382">
        <v>0</v>
      </c>
      <c r="T33" s="1381">
        <v>2</v>
      </c>
      <c r="U33" s="1382">
        <v>96</v>
      </c>
      <c r="V33" s="1381">
        <v>1</v>
      </c>
      <c r="W33" s="1382">
        <v>113</v>
      </c>
      <c r="X33" s="1381">
        <v>0</v>
      </c>
      <c r="Y33" s="1382">
        <v>0</v>
      </c>
      <c r="Z33" s="1381">
        <v>1</v>
      </c>
      <c r="AA33" s="1382">
        <v>15</v>
      </c>
      <c r="AB33" s="1381">
        <v>0</v>
      </c>
      <c r="AC33" s="1382">
        <v>0</v>
      </c>
      <c r="AD33" s="1381">
        <v>0</v>
      </c>
      <c r="AE33" s="1382">
        <v>0</v>
      </c>
      <c r="AF33" s="1381">
        <v>0</v>
      </c>
      <c r="AG33" s="1382">
        <v>0</v>
      </c>
    </row>
    <row r="34" spans="1:33" x14ac:dyDescent="0.15">
      <c r="A34" s="1380" t="s">
        <v>2886</v>
      </c>
      <c r="B34" s="1381">
        <v>11</v>
      </c>
      <c r="C34" s="1382">
        <v>411</v>
      </c>
      <c r="D34" s="1381">
        <v>0</v>
      </c>
      <c r="E34" s="1382">
        <v>0</v>
      </c>
      <c r="F34" s="1381">
        <v>0</v>
      </c>
      <c r="G34" s="1382">
        <v>0</v>
      </c>
      <c r="H34" s="1381">
        <v>2</v>
      </c>
      <c r="I34" s="1382">
        <v>204</v>
      </c>
      <c r="J34" s="1381">
        <v>0</v>
      </c>
      <c r="K34" s="1382">
        <v>0</v>
      </c>
      <c r="L34" s="1381">
        <v>1</v>
      </c>
      <c r="M34" s="1382">
        <v>82</v>
      </c>
      <c r="N34" s="1381">
        <v>1</v>
      </c>
      <c r="O34" s="1382">
        <v>5</v>
      </c>
      <c r="P34" s="1381">
        <v>4</v>
      </c>
      <c r="Q34" s="1382">
        <v>46</v>
      </c>
      <c r="R34" s="1381">
        <v>0</v>
      </c>
      <c r="S34" s="1382">
        <v>0</v>
      </c>
      <c r="T34" s="1381">
        <v>1</v>
      </c>
      <c r="U34" s="1382">
        <v>51</v>
      </c>
      <c r="V34" s="1381">
        <v>2</v>
      </c>
      <c r="W34" s="1382">
        <v>23</v>
      </c>
      <c r="X34" s="1381">
        <v>0</v>
      </c>
      <c r="Y34" s="1382">
        <v>0</v>
      </c>
      <c r="Z34" s="1381">
        <v>0</v>
      </c>
      <c r="AA34" s="1382">
        <v>0</v>
      </c>
      <c r="AB34" s="1381"/>
      <c r="AC34" s="1382"/>
      <c r="AD34" s="1381">
        <v>0</v>
      </c>
      <c r="AE34" s="1382">
        <v>0</v>
      </c>
      <c r="AF34" s="1381">
        <v>0</v>
      </c>
      <c r="AG34" s="1382">
        <v>0</v>
      </c>
    </row>
    <row r="35" spans="1:33" x14ac:dyDescent="0.15">
      <c r="A35" s="1380" t="s">
        <v>2887</v>
      </c>
      <c r="B35" s="1381">
        <v>3</v>
      </c>
      <c r="C35" s="1382">
        <v>13</v>
      </c>
      <c r="D35" s="1381">
        <v>0</v>
      </c>
      <c r="E35" s="1382">
        <v>0</v>
      </c>
      <c r="F35" s="1381">
        <v>0</v>
      </c>
      <c r="G35" s="1382">
        <v>0</v>
      </c>
      <c r="H35" s="1381">
        <v>0</v>
      </c>
      <c r="I35" s="1382">
        <v>0</v>
      </c>
      <c r="J35" s="1381">
        <v>0</v>
      </c>
      <c r="K35" s="1382">
        <v>0</v>
      </c>
      <c r="L35" s="1381">
        <v>0</v>
      </c>
      <c r="M35" s="1382">
        <v>0</v>
      </c>
      <c r="N35" s="1381">
        <v>1</v>
      </c>
      <c r="O35" s="1382">
        <v>8</v>
      </c>
      <c r="P35" s="1381">
        <v>0</v>
      </c>
      <c r="Q35" s="1382">
        <v>0</v>
      </c>
      <c r="R35" s="1381">
        <v>0</v>
      </c>
      <c r="S35" s="1382">
        <v>0</v>
      </c>
      <c r="T35" s="1381">
        <v>0</v>
      </c>
      <c r="U35" s="1382">
        <v>0</v>
      </c>
      <c r="V35" s="1381">
        <v>0</v>
      </c>
      <c r="W35" s="1382">
        <v>0</v>
      </c>
      <c r="X35" s="1381">
        <v>2</v>
      </c>
      <c r="Y35" s="1382">
        <v>5</v>
      </c>
      <c r="Z35" s="1381">
        <v>0</v>
      </c>
      <c r="AA35" s="1382">
        <v>0</v>
      </c>
      <c r="AB35" s="1381">
        <v>0</v>
      </c>
      <c r="AC35" s="1382">
        <v>0</v>
      </c>
      <c r="AD35" s="1381">
        <v>0</v>
      </c>
      <c r="AE35" s="1382">
        <v>0</v>
      </c>
      <c r="AF35" s="1381">
        <v>0</v>
      </c>
      <c r="AG35" s="1382">
        <v>0</v>
      </c>
    </row>
    <row r="36" spans="1:33" x14ac:dyDescent="0.15">
      <c r="A36" s="1380" t="s">
        <v>2888</v>
      </c>
      <c r="B36" s="1381">
        <v>1</v>
      </c>
      <c r="C36" s="1382">
        <v>40</v>
      </c>
      <c r="D36" s="1381">
        <v>0</v>
      </c>
      <c r="E36" s="1382">
        <v>0</v>
      </c>
      <c r="F36" s="1381">
        <v>0</v>
      </c>
      <c r="G36" s="1382">
        <v>0</v>
      </c>
      <c r="H36" s="1381">
        <v>0</v>
      </c>
      <c r="I36" s="1382">
        <v>0</v>
      </c>
      <c r="J36" s="1381">
        <v>0</v>
      </c>
      <c r="K36" s="1382">
        <v>0</v>
      </c>
      <c r="L36" s="1381">
        <v>0</v>
      </c>
      <c r="M36" s="1382">
        <v>0</v>
      </c>
      <c r="N36" s="1381">
        <v>0</v>
      </c>
      <c r="O36" s="1382">
        <v>0</v>
      </c>
      <c r="P36" s="1381">
        <v>1</v>
      </c>
      <c r="Q36" s="1382">
        <v>40</v>
      </c>
      <c r="R36" s="1381">
        <v>0</v>
      </c>
      <c r="S36" s="1382">
        <v>0</v>
      </c>
      <c r="T36" s="1381">
        <v>0</v>
      </c>
      <c r="U36" s="1382">
        <v>0</v>
      </c>
      <c r="V36" s="1381">
        <v>0</v>
      </c>
      <c r="W36" s="1382">
        <v>0</v>
      </c>
      <c r="X36" s="1381">
        <v>0</v>
      </c>
      <c r="Y36" s="1382">
        <v>0</v>
      </c>
      <c r="Z36" s="1381">
        <v>0</v>
      </c>
      <c r="AA36" s="1382">
        <v>0</v>
      </c>
      <c r="AB36" s="1381">
        <v>0</v>
      </c>
      <c r="AC36" s="1382">
        <v>0</v>
      </c>
      <c r="AD36" s="1381">
        <v>0</v>
      </c>
      <c r="AE36" s="1382">
        <v>0</v>
      </c>
      <c r="AF36" s="1381">
        <v>0</v>
      </c>
      <c r="AG36" s="1382">
        <v>0</v>
      </c>
    </row>
    <row r="37" spans="1:33" x14ac:dyDescent="0.15">
      <c r="A37" s="1380" t="s">
        <v>2889</v>
      </c>
      <c r="B37" s="1381">
        <v>20</v>
      </c>
      <c r="C37" s="1382">
        <v>2316</v>
      </c>
      <c r="D37" s="1381">
        <v>0</v>
      </c>
      <c r="E37" s="1382">
        <v>0</v>
      </c>
      <c r="F37" s="1381">
        <v>1</v>
      </c>
      <c r="G37" s="1382">
        <v>9</v>
      </c>
      <c r="H37" s="1381">
        <v>0</v>
      </c>
      <c r="I37" s="1382">
        <v>0</v>
      </c>
      <c r="J37" s="1381">
        <v>0</v>
      </c>
      <c r="K37" s="1382">
        <v>0</v>
      </c>
      <c r="L37" s="1381">
        <v>1</v>
      </c>
      <c r="M37" s="1382">
        <v>139</v>
      </c>
      <c r="N37" s="1381">
        <v>2</v>
      </c>
      <c r="O37" s="1382">
        <v>415</v>
      </c>
      <c r="P37" s="1381">
        <v>10</v>
      </c>
      <c r="Q37" s="1382">
        <v>1185</v>
      </c>
      <c r="R37" s="1381">
        <v>0</v>
      </c>
      <c r="S37" s="1382">
        <v>0</v>
      </c>
      <c r="T37" s="1381">
        <v>1</v>
      </c>
      <c r="U37" s="1382">
        <v>26</v>
      </c>
      <c r="V37" s="1381">
        <v>2</v>
      </c>
      <c r="W37" s="1382">
        <v>352</v>
      </c>
      <c r="X37" s="1381">
        <v>0</v>
      </c>
      <c r="Y37" s="1382">
        <v>0</v>
      </c>
      <c r="Z37" s="1381">
        <v>0</v>
      </c>
      <c r="AA37" s="1382">
        <v>0</v>
      </c>
      <c r="AB37" s="1381">
        <v>1</v>
      </c>
      <c r="AC37" s="1382">
        <v>177</v>
      </c>
      <c r="AD37" s="1381">
        <v>0</v>
      </c>
      <c r="AE37" s="1382">
        <v>0</v>
      </c>
      <c r="AF37" s="1381">
        <v>2</v>
      </c>
      <c r="AG37" s="1382">
        <v>13</v>
      </c>
    </row>
    <row r="38" spans="1:33" x14ac:dyDescent="0.15">
      <c r="A38" s="1380" t="s">
        <v>2890</v>
      </c>
      <c r="B38" s="1381">
        <v>4</v>
      </c>
      <c r="C38" s="1382">
        <v>176</v>
      </c>
      <c r="D38" s="1381">
        <v>1</v>
      </c>
      <c r="E38" s="1382">
        <v>49</v>
      </c>
      <c r="F38" s="1381">
        <v>1</v>
      </c>
      <c r="G38" s="1382">
        <v>50</v>
      </c>
      <c r="H38" s="1381">
        <v>0</v>
      </c>
      <c r="I38" s="1382">
        <v>0</v>
      </c>
      <c r="J38" s="1381">
        <v>0</v>
      </c>
      <c r="K38" s="1382">
        <v>0</v>
      </c>
      <c r="L38" s="1381">
        <v>0</v>
      </c>
      <c r="M38" s="1382">
        <v>0</v>
      </c>
      <c r="N38" s="1381">
        <v>0</v>
      </c>
      <c r="O38" s="1382">
        <v>0</v>
      </c>
      <c r="P38" s="1381">
        <v>1</v>
      </c>
      <c r="Q38" s="1382">
        <v>27</v>
      </c>
      <c r="R38" s="1381">
        <v>0</v>
      </c>
      <c r="S38" s="1382">
        <v>0</v>
      </c>
      <c r="T38" s="1381">
        <v>0</v>
      </c>
      <c r="U38" s="1382">
        <v>0</v>
      </c>
      <c r="V38" s="1381">
        <v>0</v>
      </c>
      <c r="W38" s="1382">
        <v>0</v>
      </c>
      <c r="X38" s="1381">
        <v>1</v>
      </c>
      <c r="Y38" s="1382">
        <v>50</v>
      </c>
      <c r="Z38" s="1381">
        <v>0</v>
      </c>
      <c r="AA38" s="1382">
        <v>0</v>
      </c>
      <c r="AB38" s="1381">
        <v>0</v>
      </c>
      <c r="AC38" s="1382">
        <v>0</v>
      </c>
      <c r="AD38" s="1381">
        <v>0</v>
      </c>
      <c r="AE38" s="1382">
        <v>0</v>
      </c>
      <c r="AF38" s="1381">
        <v>0</v>
      </c>
      <c r="AG38" s="1382">
        <v>0</v>
      </c>
    </row>
    <row r="39" spans="1:33" x14ac:dyDescent="0.15">
      <c r="A39" s="1380" t="s">
        <v>2891</v>
      </c>
      <c r="B39" s="1381">
        <v>1</v>
      </c>
      <c r="C39" s="1382">
        <v>37</v>
      </c>
      <c r="D39" s="1381">
        <v>0</v>
      </c>
      <c r="E39" s="1382">
        <v>0</v>
      </c>
      <c r="F39" s="1381">
        <v>0</v>
      </c>
      <c r="G39" s="1382">
        <v>0</v>
      </c>
      <c r="H39" s="1381">
        <v>0</v>
      </c>
      <c r="I39" s="1382">
        <v>0</v>
      </c>
      <c r="J39" s="1381">
        <v>0</v>
      </c>
      <c r="K39" s="1382">
        <v>0</v>
      </c>
      <c r="L39" s="1381">
        <v>0</v>
      </c>
      <c r="M39" s="1382">
        <v>0</v>
      </c>
      <c r="N39" s="1381">
        <v>0</v>
      </c>
      <c r="O39" s="1382">
        <v>0</v>
      </c>
      <c r="P39" s="1381">
        <v>1</v>
      </c>
      <c r="Q39" s="1382">
        <v>37</v>
      </c>
      <c r="R39" s="1381">
        <v>0</v>
      </c>
      <c r="S39" s="1382">
        <v>0</v>
      </c>
      <c r="T39" s="1381">
        <v>0</v>
      </c>
      <c r="U39" s="1382">
        <v>0</v>
      </c>
      <c r="V39" s="1381">
        <v>0</v>
      </c>
      <c r="W39" s="1382">
        <v>0</v>
      </c>
      <c r="X39" s="1381">
        <v>0</v>
      </c>
      <c r="Y39" s="1382">
        <v>0</v>
      </c>
      <c r="Z39" s="1381">
        <v>0</v>
      </c>
      <c r="AA39" s="1382">
        <v>0</v>
      </c>
      <c r="AB39" s="1381">
        <v>0</v>
      </c>
      <c r="AC39" s="1382">
        <v>0</v>
      </c>
      <c r="AD39" s="1381">
        <v>0</v>
      </c>
      <c r="AE39" s="1382">
        <v>0</v>
      </c>
      <c r="AF39" s="1381">
        <v>0</v>
      </c>
      <c r="AG39" s="1382">
        <v>0</v>
      </c>
    </row>
    <row r="40" spans="1:33" x14ac:dyDescent="0.15">
      <c r="A40" s="1374" t="s">
        <v>2892</v>
      </c>
      <c r="B40" s="1378">
        <f>SUM(B41:B44)</f>
        <v>57</v>
      </c>
      <c r="C40" s="236">
        <f t="shared" ref="C40:AG40" si="8">SUM(C41:C44)</f>
        <v>3188</v>
      </c>
      <c r="D40" s="1378">
        <f t="shared" si="8"/>
        <v>2</v>
      </c>
      <c r="E40" s="236">
        <f t="shared" si="8"/>
        <v>167</v>
      </c>
      <c r="F40" s="1378">
        <f t="shared" si="8"/>
        <v>1</v>
      </c>
      <c r="G40" s="236">
        <f t="shared" si="8"/>
        <v>28</v>
      </c>
      <c r="H40" s="1378">
        <f t="shared" si="8"/>
        <v>3</v>
      </c>
      <c r="I40" s="236">
        <f t="shared" si="8"/>
        <v>21</v>
      </c>
      <c r="J40" s="1378">
        <f t="shared" si="8"/>
        <v>0</v>
      </c>
      <c r="K40" s="236">
        <f t="shared" si="8"/>
        <v>0</v>
      </c>
      <c r="L40" s="1378">
        <f t="shared" si="8"/>
        <v>0</v>
      </c>
      <c r="M40" s="236">
        <f t="shared" si="8"/>
        <v>0</v>
      </c>
      <c r="N40" s="1378">
        <f t="shared" si="8"/>
        <v>7</v>
      </c>
      <c r="O40" s="236">
        <f t="shared" si="8"/>
        <v>197</v>
      </c>
      <c r="P40" s="1378">
        <f t="shared" si="8"/>
        <v>37</v>
      </c>
      <c r="Q40" s="236">
        <f t="shared" si="8"/>
        <v>2066</v>
      </c>
      <c r="R40" s="1378">
        <f t="shared" si="8"/>
        <v>0</v>
      </c>
      <c r="S40" s="236">
        <f t="shared" si="8"/>
        <v>0</v>
      </c>
      <c r="T40" s="1378">
        <f t="shared" si="8"/>
        <v>1</v>
      </c>
      <c r="U40" s="236">
        <f t="shared" si="8"/>
        <v>21</v>
      </c>
      <c r="V40" s="1378">
        <f t="shared" si="8"/>
        <v>1</v>
      </c>
      <c r="W40" s="236">
        <f t="shared" si="8"/>
        <v>352</v>
      </c>
      <c r="X40" s="1378">
        <f t="shared" si="8"/>
        <v>1</v>
      </c>
      <c r="Y40" s="236">
        <f t="shared" si="8"/>
        <v>114</v>
      </c>
      <c r="Z40" s="1378">
        <f t="shared" si="8"/>
        <v>3</v>
      </c>
      <c r="AA40" s="236">
        <f t="shared" si="8"/>
        <v>211</v>
      </c>
      <c r="AB40" s="1378">
        <f t="shared" si="8"/>
        <v>1</v>
      </c>
      <c r="AC40" s="236">
        <f t="shared" si="8"/>
        <v>11</v>
      </c>
      <c r="AD40" s="1378">
        <f t="shared" si="8"/>
        <v>0</v>
      </c>
      <c r="AE40" s="236">
        <f t="shared" si="8"/>
        <v>0</v>
      </c>
      <c r="AF40" s="1378">
        <f t="shared" si="8"/>
        <v>0</v>
      </c>
      <c r="AG40" s="1379">
        <f t="shared" si="8"/>
        <v>0</v>
      </c>
    </row>
    <row r="41" spans="1:33" x14ac:dyDescent="0.15">
      <c r="A41" s="1380" t="s">
        <v>2893</v>
      </c>
      <c r="B41" s="1381">
        <v>8</v>
      </c>
      <c r="C41" s="1382">
        <v>88</v>
      </c>
      <c r="D41" s="1381">
        <v>0</v>
      </c>
      <c r="E41" s="1382">
        <v>0</v>
      </c>
      <c r="F41" s="1381">
        <v>0</v>
      </c>
      <c r="G41" s="1382">
        <v>0</v>
      </c>
      <c r="H41" s="1381">
        <v>0</v>
      </c>
      <c r="I41" s="1382">
        <v>0</v>
      </c>
      <c r="J41" s="1381">
        <v>0</v>
      </c>
      <c r="K41" s="1382">
        <v>0</v>
      </c>
      <c r="L41" s="1381">
        <v>0</v>
      </c>
      <c r="M41" s="1382">
        <v>0</v>
      </c>
      <c r="N41" s="1381">
        <v>0</v>
      </c>
      <c r="O41" s="1382">
        <v>0</v>
      </c>
      <c r="P41" s="1381">
        <v>7</v>
      </c>
      <c r="Q41" s="1382">
        <v>87</v>
      </c>
      <c r="R41" s="1381">
        <v>0</v>
      </c>
      <c r="S41" s="1382">
        <v>0</v>
      </c>
      <c r="T41" s="1381">
        <v>0</v>
      </c>
      <c r="U41" s="1382">
        <v>0</v>
      </c>
      <c r="V41" s="1381">
        <v>0</v>
      </c>
      <c r="W41" s="1382">
        <v>0</v>
      </c>
      <c r="X41" s="1381">
        <v>0</v>
      </c>
      <c r="Y41" s="1382">
        <v>0</v>
      </c>
      <c r="Z41" s="1381">
        <v>1</v>
      </c>
      <c r="AA41" s="1382">
        <v>1</v>
      </c>
      <c r="AB41" s="1381">
        <v>0</v>
      </c>
      <c r="AC41" s="1382">
        <v>0</v>
      </c>
      <c r="AD41" s="1381">
        <v>0</v>
      </c>
      <c r="AE41" s="1382">
        <v>0</v>
      </c>
      <c r="AF41" s="1381">
        <v>0</v>
      </c>
      <c r="AG41" s="1382">
        <v>0</v>
      </c>
    </row>
    <row r="42" spans="1:33" x14ac:dyDescent="0.15">
      <c r="A42" s="1380" t="s">
        <v>2894</v>
      </c>
      <c r="B42" s="1381">
        <v>39</v>
      </c>
      <c r="C42" s="1382">
        <v>2625</v>
      </c>
      <c r="D42" s="1381">
        <v>2</v>
      </c>
      <c r="E42" s="1382">
        <v>167</v>
      </c>
      <c r="F42" s="1381">
        <v>1</v>
      </c>
      <c r="G42" s="1382">
        <v>28</v>
      </c>
      <c r="H42" s="1381">
        <v>3</v>
      </c>
      <c r="I42" s="1382">
        <v>21</v>
      </c>
      <c r="J42" s="1381">
        <v>0</v>
      </c>
      <c r="K42" s="1382">
        <v>0</v>
      </c>
      <c r="L42" s="1381">
        <v>0</v>
      </c>
      <c r="M42" s="1382">
        <v>0</v>
      </c>
      <c r="N42" s="1381">
        <v>5</v>
      </c>
      <c r="O42" s="1382">
        <v>54</v>
      </c>
      <c r="P42" s="1381">
        <v>22</v>
      </c>
      <c r="Q42" s="1382">
        <v>1647</v>
      </c>
      <c r="R42" s="1381">
        <v>0</v>
      </c>
      <c r="S42" s="1382">
        <v>0</v>
      </c>
      <c r="T42" s="1381">
        <v>1</v>
      </c>
      <c r="U42" s="1382">
        <v>21</v>
      </c>
      <c r="V42" s="1381">
        <v>1</v>
      </c>
      <c r="W42" s="1382">
        <v>352</v>
      </c>
      <c r="X42" s="1381">
        <v>1</v>
      </c>
      <c r="Y42" s="1382">
        <v>114</v>
      </c>
      <c r="Z42" s="1381">
        <v>2</v>
      </c>
      <c r="AA42" s="1382">
        <v>210</v>
      </c>
      <c r="AB42" s="1381">
        <v>1</v>
      </c>
      <c r="AC42" s="1382">
        <v>11</v>
      </c>
      <c r="AD42" s="1381">
        <v>0</v>
      </c>
      <c r="AE42" s="1382">
        <v>0</v>
      </c>
      <c r="AF42" s="1381">
        <v>0</v>
      </c>
      <c r="AG42" s="1382">
        <v>0</v>
      </c>
    </row>
    <row r="43" spans="1:33" x14ac:dyDescent="0.15">
      <c r="A43" s="1380" t="s">
        <v>2895</v>
      </c>
      <c r="B43" s="1381">
        <v>8</v>
      </c>
      <c r="C43" s="1382">
        <v>313</v>
      </c>
      <c r="D43" s="1381">
        <v>0</v>
      </c>
      <c r="E43" s="1382">
        <v>0</v>
      </c>
      <c r="F43" s="1381">
        <v>0</v>
      </c>
      <c r="G43" s="1382">
        <v>0</v>
      </c>
      <c r="H43" s="1381">
        <v>0</v>
      </c>
      <c r="I43" s="1382">
        <v>0</v>
      </c>
      <c r="J43" s="1381">
        <v>0</v>
      </c>
      <c r="K43" s="1382">
        <v>0</v>
      </c>
      <c r="L43" s="1381">
        <v>0</v>
      </c>
      <c r="M43" s="1382">
        <v>0</v>
      </c>
      <c r="N43" s="1381">
        <v>1</v>
      </c>
      <c r="O43" s="1382">
        <v>21</v>
      </c>
      <c r="P43" s="1381">
        <v>7</v>
      </c>
      <c r="Q43" s="1382">
        <v>292</v>
      </c>
      <c r="R43" s="1381">
        <v>0</v>
      </c>
      <c r="S43" s="1382">
        <v>0</v>
      </c>
      <c r="T43" s="1381">
        <v>0</v>
      </c>
      <c r="U43" s="1382">
        <v>0</v>
      </c>
      <c r="V43" s="1381">
        <v>0</v>
      </c>
      <c r="W43" s="1382">
        <v>0</v>
      </c>
      <c r="X43" s="1381">
        <v>0</v>
      </c>
      <c r="Y43" s="1382">
        <v>0</v>
      </c>
      <c r="Z43" s="1381">
        <v>0</v>
      </c>
      <c r="AA43" s="1382">
        <v>0</v>
      </c>
      <c r="AB43" s="1381">
        <v>0</v>
      </c>
      <c r="AC43" s="1382">
        <v>0</v>
      </c>
      <c r="AD43" s="1381">
        <v>0</v>
      </c>
      <c r="AE43" s="1382">
        <v>0</v>
      </c>
      <c r="AF43" s="1381">
        <v>0</v>
      </c>
      <c r="AG43" s="1382">
        <v>0</v>
      </c>
    </row>
    <row r="44" spans="1:33" x14ac:dyDescent="0.15">
      <c r="A44" s="1380" t="s">
        <v>2922</v>
      </c>
      <c r="B44" s="1381">
        <v>2</v>
      </c>
      <c r="C44" s="1382">
        <v>162</v>
      </c>
      <c r="D44" s="1381">
        <v>0</v>
      </c>
      <c r="E44" s="1382">
        <v>0</v>
      </c>
      <c r="F44" s="1381">
        <v>0</v>
      </c>
      <c r="G44" s="1382">
        <v>0</v>
      </c>
      <c r="H44" s="1381">
        <v>0</v>
      </c>
      <c r="I44" s="1382">
        <v>0</v>
      </c>
      <c r="J44" s="1381">
        <v>0</v>
      </c>
      <c r="K44" s="1382">
        <v>0</v>
      </c>
      <c r="L44" s="1381">
        <v>0</v>
      </c>
      <c r="M44" s="1382">
        <v>0</v>
      </c>
      <c r="N44" s="1381">
        <v>1</v>
      </c>
      <c r="O44" s="1382">
        <v>122</v>
      </c>
      <c r="P44" s="1381">
        <v>1</v>
      </c>
      <c r="Q44" s="1382">
        <v>40</v>
      </c>
      <c r="R44" s="1381">
        <v>0</v>
      </c>
      <c r="S44" s="1382">
        <v>0</v>
      </c>
      <c r="T44" s="1381">
        <v>0</v>
      </c>
      <c r="U44" s="1382">
        <v>0</v>
      </c>
      <c r="V44" s="1381">
        <v>0</v>
      </c>
      <c r="W44" s="1382">
        <v>0</v>
      </c>
      <c r="X44" s="1381">
        <v>0</v>
      </c>
      <c r="Y44" s="1382">
        <v>0</v>
      </c>
      <c r="Z44" s="1381">
        <v>0</v>
      </c>
      <c r="AA44" s="1382">
        <v>0</v>
      </c>
      <c r="AB44" s="1381">
        <v>0</v>
      </c>
      <c r="AC44" s="1382">
        <v>0</v>
      </c>
      <c r="AD44" s="1381">
        <v>0</v>
      </c>
      <c r="AE44" s="1382">
        <v>0</v>
      </c>
      <c r="AF44" s="1381">
        <v>0</v>
      </c>
      <c r="AG44" s="1382">
        <v>0</v>
      </c>
    </row>
    <row r="45" spans="1:33" x14ac:dyDescent="0.15">
      <c r="A45" s="1374" t="s">
        <v>432</v>
      </c>
      <c r="B45" s="1378">
        <f>SUM(B46)</f>
        <v>157</v>
      </c>
      <c r="C45" s="236">
        <f t="shared" ref="C45:AG45" si="9">SUM(C46)</f>
        <v>14993</v>
      </c>
      <c r="D45" s="1378">
        <f t="shared" si="9"/>
        <v>2</v>
      </c>
      <c r="E45" s="236">
        <f t="shared" si="9"/>
        <v>215</v>
      </c>
      <c r="F45" s="1378">
        <f t="shared" si="9"/>
        <v>5</v>
      </c>
      <c r="G45" s="236">
        <f t="shared" si="9"/>
        <v>310</v>
      </c>
      <c r="H45" s="1378">
        <f t="shared" si="9"/>
        <v>6</v>
      </c>
      <c r="I45" s="236">
        <f t="shared" si="9"/>
        <v>582</v>
      </c>
      <c r="J45" s="1378">
        <f t="shared" si="9"/>
        <v>3</v>
      </c>
      <c r="K45" s="236">
        <f t="shared" si="9"/>
        <v>183</v>
      </c>
      <c r="L45" s="1378">
        <f t="shared" si="9"/>
        <v>7</v>
      </c>
      <c r="M45" s="236">
        <f t="shared" si="9"/>
        <v>620</v>
      </c>
      <c r="N45" s="1378">
        <f t="shared" si="9"/>
        <v>22</v>
      </c>
      <c r="O45" s="236">
        <f t="shared" si="9"/>
        <v>2151</v>
      </c>
      <c r="P45" s="1378">
        <f t="shared" si="9"/>
        <v>50</v>
      </c>
      <c r="Q45" s="236">
        <f t="shared" si="9"/>
        <v>6662</v>
      </c>
      <c r="R45" s="1378">
        <f t="shared" si="9"/>
        <v>7</v>
      </c>
      <c r="S45" s="236">
        <f t="shared" si="9"/>
        <v>420</v>
      </c>
      <c r="T45" s="1378">
        <f t="shared" si="9"/>
        <v>7</v>
      </c>
      <c r="U45" s="236">
        <f t="shared" si="9"/>
        <v>600</v>
      </c>
      <c r="V45" s="1378">
        <f t="shared" si="9"/>
        <v>23</v>
      </c>
      <c r="W45" s="236">
        <f t="shared" si="9"/>
        <v>1669</v>
      </c>
      <c r="X45" s="1378">
        <f t="shared" si="9"/>
        <v>5</v>
      </c>
      <c r="Y45" s="236">
        <f t="shared" si="9"/>
        <v>557</v>
      </c>
      <c r="Z45" s="1378">
        <f t="shared" si="9"/>
        <v>2</v>
      </c>
      <c r="AA45" s="236">
        <f t="shared" si="9"/>
        <v>163</v>
      </c>
      <c r="AB45" s="1378">
        <f t="shared" si="9"/>
        <v>13</v>
      </c>
      <c r="AC45" s="236">
        <f t="shared" si="9"/>
        <v>654</v>
      </c>
      <c r="AD45" s="1378">
        <f t="shared" si="9"/>
        <v>2</v>
      </c>
      <c r="AE45" s="236">
        <f t="shared" si="9"/>
        <v>50</v>
      </c>
      <c r="AF45" s="1378">
        <f t="shared" si="9"/>
        <v>3</v>
      </c>
      <c r="AG45" s="1379">
        <f t="shared" si="9"/>
        <v>157</v>
      </c>
    </row>
    <row r="46" spans="1:33" x14ac:dyDescent="0.15">
      <c r="A46" s="1380" t="s">
        <v>432</v>
      </c>
      <c r="B46" s="1381">
        <v>157</v>
      </c>
      <c r="C46" s="1382">
        <v>14993</v>
      </c>
      <c r="D46" s="1381">
        <v>2</v>
      </c>
      <c r="E46" s="1382">
        <v>215</v>
      </c>
      <c r="F46" s="1381">
        <v>5</v>
      </c>
      <c r="G46" s="1382">
        <v>310</v>
      </c>
      <c r="H46" s="1381">
        <v>6</v>
      </c>
      <c r="I46" s="1382">
        <v>582</v>
      </c>
      <c r="J46" s="1381">
        <v>3</v>
      </c>
      <c r="K46" s="1382">
        <v>183</v>
      </c>
      <c r="L46" s="1381">
        <v>7</v>
      </c>
      <c r="M46" s="1382">
        <v>620</v>
      </c>
      <c r="N46" s="1381">
        <v>22</v>
      </c>
      <c r="O46" s="1382">
        <v>2151</v>
      </c>
      <c r="P46" s="1381">
        <v>50</v>
      </c>
      <c r="Q46" s="1382">
        <v>6662</v>
      </c>
      <c r="R46" s="1381">
        <v>7</v>
      </c>
      <c r="S46" s="1382">
        <v>420</v>
      </c>
      <c r="T46" s="1381">
        <v>7</v>
      </c>
      <c r="U46" s="1382">
        <v>600</v>
      </c>
      <c r="V46" s="1381">
        <v>23</v>
      </c>
      <c r="W46" s="1382">
        <v>1669</v>
      </c>
      <c r="X46" s="1381">
        <v>5</v>
      </c>
      <c r="Y46" s="1382">
        <v>557</v>
      </c>
      <c r="Z46" s="1381">
        <v>2</v>
      </c>
      <c r="AA46" s="1382">
        <v>163</v>
      </c>
      <c r="AB46" s="1381">
        <v>13</v>
      </c>
      <c r="AC46" s="1382">
        <v>654</v>
      </c>
      <c r="AD46" s="1381">
        <v>2</v>
      </c>
      <c r="AE46" s="1382">
        <v>50</v>
      </c>
      <c r="AF46" s="1381">
        <v>3</v>
      </c>
      <c r="AG46" s="1382">
        <v>157</v>
      </c>
    </row>
    <row r="47" spans="1:33" x14ac:dyDescent="0.15">
      <c r="A47" s="1374" t="s">
        <v>2897</v>
      </c>
      <c r="B47" s="1378">
        <f>SUM(B48:B50)</f>
        <v>464</v>
      </c>
      <c r="C47" s="236">
        <f t="shared" ref="C47:AG47" si="10">SUM(C48:C50)</f>
        <v>29583</v>
      </c>
      <c r="D47" s="1378">
        <f t="shared" si="10"/>
        <v>6</v>
      </c>
      <c r="E47" s="236">
        <f t="shared" si="10"/>
        <v>341</v>
      </c>
      <c r="F47" s="1378">
        <f t="shared" si="10"/>
        <v>12</v>
      </c>
      <c r="G47" s="236">
        <f t="shared" si="10"/>
        <v>495</v>
      </c>
      <c r="H47" s="1378">
        <f t="shared" si="10"/>
        <v>11</v>
      </c>
      <c r="I47" s="236">
        <f t="shared" si="10"/>
        <v>698</v>
      </c>
      <c r="J47" s="1378">
        <f t="shared" si="10"/>
        <v>5</v>
      </c>
      <c r="K47" s="236">
        <f t="shared" si="10"/>
        <v>218</v>
      </c>
      <c r="L47" s="1378">
        <f t="shared" si="10"/>
        <v>15</v>
      </c>
      <c r="M47" s="236">
        <f t="shared" si="10"/>
        <v>851</v>
      </c>
      <c r="N47" s="1378">
        <f t="shared" si="10"/>
        <v>62</v>
      </c>
      <c r="O47" s="236">
        <f t="shared" si="10"/>
        <v>3263</v>
      </c>
      <c r="P47" s="1378">
        <f t="shared" si="10"/>
        <v>195</v>
      </c>
      <c r="Q47" s="236">
        <f t="shared" si="10"/>
        <v>15591</v>
      </c>
      <c r="R47" s="1378">
        <f t="shared" si="10"/>
        <v>18</v>
      </c>
      <c r="S47" s="236">
        <f t="shared" si="10"/>
        <v>787</v>
      </c>
      <c r="T47" s="1378">
        <f t="shared" si="10"/>
        <v>23</v>
      </c>
      <c r="U47" s="236">
        <f t="shared" si="10"/>
        <v>1351</v>
      </c>
      <c r="V47" s="1378">
        <f t="shared" si="10"/>
        <v>53</v>
      </c>
      <c r="W47" s="236">
        <f t="shared" si="10"/>
        <v>3139</v>
      </c>
      <c r="X47" s="1378">
        <f t="shared" si="10"/>
        <v>26</v>
      </c>
      <c r="Y47" s="236">
        <f t="shared" si="10"/>
        <v>1347</v>
      </c>
      <c r="Z47" s="1378">
        <f t="shared" si="10"/>
        <v>7</v>
      </c>
      <c r="AA47" s="236">
        <f t="shared" si="10"/>
        <v>562</v>
      </c>
      <c r="AB47" s="1378">
        <f t="shared" si="10"/>
        <v>25</v>
      </c>
      <c r="AC47" s="236">
        <f t="shared" si="10"/>
        <v>821</v>
      </c>
      <c r="AD47" s="1378">
        <f t="shared" si="10"/>
        <v>2</v>
      </c>
      <c r="AE47" s="236">
        <f t="shared" si="10"/>
        <v>24</v>
      </c>
      <c r="AF47" s="1378">
        <f t="shared" si="10"/>
        <v>4</v>
      </c>
      <c r="AG47" s="1379">
        <f t="shared" si="10"/>
        <v>95</v>
      </c>
    </row>
    <row r="48" spans="1:33" x14ac:dyDescent="0.15">
      <c r="A48" s="1380" t="s">
        <v>2898</v>
      </c>
      <c r="B48" s="1381">
        <v>445</v>
      </c>
      <c r="C48" s="1382">
        <v>28631</v>
      </c>
      <c r="D48" s="1381">
        <v>6</v>
      </c>
      <c r="E48" s="1382">
        <v>341</v>
      </c>
      <c r="F48" s="1381">
        <v>11</v>
      </c>
      <c r="G48" s="1382">
        <v>429</v>
      </c>
      <c r="H48" s="1381">
        <v>11</v>
      </c>
      <c r="I48" s="1382">
        <v>698</v>
      </c>
      <c r="J48" s="1381">
        <v>5</v>
      </c>
      <c r="K48" s="1382">
        <v>218</v>
      </c>
      <c r="L48" s="1381">
        <v>15</v>
      </c>
      <c r="M48" s="1382">
        <v>851</v>
      </c>
      <c r="N48" s="1381">
        <v>62</v>
      </c>
      <c r="O48" s="1382">
        <v>3263</v>
      </c>
      <c r="P48" s="1381">
        <v>180</v>
      </c>
      <c r="Q48" s="1382">
        <v>14734</v>
      </c>
      <c r="R48" s="1381">
        <v>18</v>
      </c>
      <c r="S48" s="1382">
        <v>787</v>
      </c>
      <c r="T48" s="1381">
        <v>23</v>
      </c>
      <c r="U48" s="1382">
        <v>1351</v>
      </c>
      <c r="V48" s="1381">
        <v>52</v>
      </c>
      <c r="W48" s="1382">
        <v>3133</v>
      </c>
      <c r="X48" s="1381">
        <v>26</v>
      </c>
      <c r="Y48" s="1382">
        <v>1347</v>
      </c>
      <c r="Z48" s="1381">
        <v>5</v>
      </c>
      <c r="AA48" s="1382">
        <v>539</v>
      </c>
      <c r="AB48" s="1381">
        <v>25</v>
      </c>
      <c r="AC48" s="1382">
        <v>821</v>
      </c>
      <c r="AD48" s="1381">
        <v>2</v>
      </c>
      <c r="AE48" s="1382">
        <v>24</v>
      </c>
      <c r="AF48" s="1381">
        <v>4</v>
      </c>
      <c r="AG48" s="1382">
        <v>95</v>
      </c>
    </row>
    <row r="49" spans="1:36" x14ac:dyDescent="0.15">
      <c r="A49" s="1380" t="s">
        <v>2899</v>
      </c>
      <c r="B49" s="1381">
        <v>16</v>
      </c>
      <c r="C49" s="1382">
        <v>682</v>
      </c>
      <c r="D49" s="1381">
        <v>0</v>
      </c>
      <c r="E49" s="1382">
        <v>0</v>
      </c>
      <c r="F49" s="1381">
        <v>0</v>
      </c>
      <c r="G49" s="1382">
        <v>0</v>
      </c>
      <c r="H49" s="1381">
        <v>0</v>
      </c>
      <c r="I49" s="1382">
        <v>0</v>
      </c>
      <c r="J49" s="1381">
        <v>0</v>
      </c>
      <c r="K49" s="1382">
        <v>0</v>
      </c>
      <c r="L49" s="1381">
        <v>0</v>
      </c>
      <c r="M49" s="1382">
        <v>0</v>
      </c>
      <c r="N49" s="1381">
        <v>0</v>
      </c>
      <c r="O49" s="1382">
        <v>0</v>
      </c>
      <c r="P49" s="1381">
        <v>13</v>
      </c>
      <c r="Q49" s="1382">
        <v>653</v>
      </c>
      <c r="R49" s="1381">
        <v>0</v>
      </c>
      <c r="S49" s="1382">
        <v>0</v>
      </c>
      <c r="T49" s="1381">
        <v>0</v>
      </c>
      <c r="U49" s="1382">
        <v>0</v>
      </c>
      <c r="V49" s="1381">
        <v>1</v>
      </c>
      <c r="W49" s="1382">
        <v>6</v>
      </c>
      <c r="X49" s="1381">
        <v>0</v>
      </c>
      <c r="Y49" s="1382">
        <v>0</v>
      </c>
      <c r="Z49" s="1381">
        <v>2</v>
      </c>
      <c r="AA49" s="1382">
        <v>23</v>
      </c>
      <c r="AB49" s="1381">
        <v>0</v>
      </c>
      <c r="AC49" s="1382">
        <v>0</v>
      </c>
      <c r="AD49" s="1381">
        <v>0</v>
      </c>
      <c r="AE49" s="1382">
        <v>0</v>
      </c>
      <c r="AF49" s="1381">
        <v>0</v>
      </c>
      <c r="AG49" s="1382">
        <v>0</v>
      </c>
    </row>
    <row r="50" spans="1:36" x14ac:dyDescent="0.15">
      <c r="A50" s="1380" t="s">
        <v>2900</v>
      </c>
      <c r="B50" s="1381">
        <v>3</v>
      </c>
      <c r="C50" s="1382">
        <v>270</v>
      </c>
      <c r="D50" s="1381">
        <v>0</v>
      </c>
      <c r="E50" s="1382">
        <v>0</v>
      </c>
      <c r="F50" s="1381">
        <v>1</v>
      </c>
      <c r="G50" s="1382">
        <v>66</v>
      </c>
      <c r="H50" s="1381">
        <v>0</v>
      </c>
      <c r="I50" s="1382">
        <v>0</v>
      </c>
      <c r="J50" s="1381">
        <v>0</v>
      </c>
      <c r="K50" s="1382">
        <v>0</v>
      </c>
      <c r="L50" s="1381">
        <v>0</v>
      </c>
      <c r="M50" s="1382">
        <v>0</v>
      </c>
      <c r="N50" s="1381">
        <v>0</v>
      </c>
      <c r="O50" s="1382">
        <v>0</v>
      </c>
      <c r="P50" s="1381">
        <v>2</v>
      </c>
      <c r="Q50" s="1382">
        <v>204</v>
      </c>
      <c r="R50" s="1381">
        <v>0</v>
      </c>
      <c r="S50" s="1382">
        <v>0</v>
      </c>
      <c r="T50" s="1381">
        <v>0</v>
      </c>
      <c r="U50" s="1382">
        <v>0</v>
      </c>
      <c r="V50" s="1381">
        <v>0</v>
      </c>
      <c r="W50" s="1382">
        <v>0</v>
      </c>
      <c r="X50" s="1381">
        <v>0</v>
      </c>
      <c r="Y50" s="1382">
        <v>0</v>
      </c>
      <c r="Z50" s="1381">
        <v>0</v>
      </c>
      <c r="AA50" s="1382">
        <v>0</v>
      </c>
      <c r="AB50" s="1381">
        <v>0</v>
      </c>
      <c r="AC50" s="1382">
        <v>0</v>
      </c>
      <c r="AD50" s="1381">
        <v>0</v>
      </c>
      <c r="AE50" s="1382">
        <v>0</v>
      </c>
      <c r="AF50" s="1381">
        <v>0</v>
      </c>
      <c r="AG50" s="1382">
        <v>0</v>
      </c>
    </row>
    <row r="51" spans="1:36" x14ac:dyDescent="0.15">
      <c r="A51" s="1374" t="s">
        <v>2901</v>
      </c>
      <c r="B51" s="1378">
        <f>SUM(B52:B56)</f>
        <v>79</v>
      </c>
      <c r="C51" s="236">
        <f t="shared" ref="C51:AG51" si="11">SUM(C52:C56)</f>
        <v>6622</v>
      </c>
      <c r="D51" s="1378">
        <f t="shared" si="11"/>
        <v>0</v>
      </c>
      <c r="E51" s="236">
        <f t="shared" si="11"/>
        <v>0</v>
      </c>
      <c r="F51" s="1378">
        <f t="shared" si="11"/>
        <v>0</v>
      </c>
      <c r="G51" s="236">
        <f t="shared" si="11"/>
        <v>0</v>
      </c>
      <c r="H51" s="1378">
        <f t="shared" si="11"/>
        <v>0</v>
      </c>
      <c r="I51" s="236">
        <f t="shared" si="11"/>
        <v>0</v>
      </c>
      <c r="J51" s="1378">
        <f t="shared" si="11"/>
        <v>0</v>
      </c>
      <c r="K51" s="236">
        <f t="shared" si="11"/>
        <v>0</v>
      </c>
      <c r="L51" s="1378">
        <f t="shared" si="11"/>
        <v>0</v>
      </c>
      <c r="M51" s="236">
        <f t="shared" si="11"/>
        <v>0</v>
      </c>
      <c r="N51" s="1378">
        <f t="shared" si="11"/>
        <v>10</v>
      </c>
      <c r="O51" s="236">
        <f t="shared" si="11"/>
        <v>1019</v>
      </c>
      <c r="P51" s="1378">
        <f t="shared" si="11"/>
        <v>59</v>
      </c>
      <c r="Q51" s="236">
        <f t="shared" si="11"/>
        <v>4804</v>
      </c>
      <c r="R51" s="1378">
        <f t="shared" si="11"/>
        <v>0</v>
      </c>
      <c r="S51" s="236">
        <f t="shared" si="11"/>
        <v>0</v>
      </c>
      <c r="T51" s="1378">
        <f t="shared" si="11"/>
        <v>2</v>
      </c>
      <c r="U51" s="236">
        <f t="shared" si="11"/>
        <v>222</v>
      </c>
      <c r="V51" s="1378">
        <f t="shared" si="11"/>
        <v>7</v>
      </c>
      <c r="W51" s="236">
        <f t="shared" si="11"/>
        <v>572</v>
      </c>
      <c r="X51" s="1378">
        <f t="shared" si="11"/>
        <v>1</v>
      </c>
      <c r="Y51" s="236">
        <f t="shared" si="11"/>
        <v>5</v>
      </c>
      <c r="Z51" s="1378">
        <f t="shared" si="11"/>
        <v>0</v>
      </c>
      <c r="AA51" s="236">
        <f t="shared" si="11"/>
        <v>0</v>
      </c>
      <c r="AB51" s="1378">
        <f t="shared" si="11"/>
        <v>0</v>
      </c>
      <c r="AC51" s="236">
        <f t="shared" si="11"/>
        <v>0</v>
      </c>
      <c r="AD51" s="1378">
        <f t="shared" si="11"/>
        <v>0</v>
      </c>
      <c r="AE51" s="236">
        <f t="shared" si="11"/>
        <v>0</v>
      </c>
      <c r="AF51" s="1378">
        <f t="shared" si="11"/>
        <v>0</v>
      </c>
      <c r="AG51" s="1379">
        <f t="shared" si="11"/>
        <v>0</v>
      </c>
    </row>
    <row r="52" spans="1:36" x14ac:dyDescent="0.15">
      <c r="A52" s="1380" t="s">
        <v>2902</v>
      </c>
      <c r="B52" s="1381">
        <v>11</v>
      </c>
      <c r="C52" s="1382">
        <v>1039</v>
      </c>
      <c r="D52" s="1381">
        <v>0</v>
      </c>
      <c r="E52" s="1382">
        <v>0</v>
      </c>
      <c r="F52" s="1381">
        <v>0</v>
      </c>
      <c r="G52" s="1382">
        <v>0</v>
      </c>
      <c r="H52" s="1381">
        <v>0</v>
      </c>
      <c r="I52" s="1382">
        <v>0</v>
      </c>
      <c r="J52" s="1381">
        <v>0</v>
      </c>
      <c r="K52" s="1382">
        <v>0</v>
      </c>
      <c r="L52" s="1381">
        <v>0</v>
      </c>
      <c r="M52" s="1382">
        <v>0</v>
      </c>
      <c r="N52" s="1381">
        <v>3</v>
      </c>
      <c r="O52" s="1382">
        <v>232</v>
      </c>
      <c r="P52" s="1381">
        <v>7</v>
      </c>
      <c r="Q52" s="1382">
        <v>806</v>
      </c>
      <c r="R52" s="1381">
        <v>0</v>
      </c>
      <c r="S52" s="1382">
        <v>0</v>
      </c>
      <c r="T52" s="1381">
        <v>0</v>
      </c>
      <c r="U52" s="1382">
        <v>0</v>
      </c>
      <c r="V52" s="1381">
        <v>1</v>
      </c>
      <c r="W52" s="1382">
        <v>1</v>
      </c>
      <c r="X52" s="1381">
        <v>0</v>
      </c>
      <c r="Y52" s="1382">
        <v>0</v>
      </c>
      <c r="Z52" s="1381">
        <v>0</v>
      </c>
      <c r="AA52" s="1382">
        <v>0</v>
      </c>
      <c r="AB52" s="1381">
        <v>0</v>
      </c>
      <c r="AC52" s="1382">
        <v>0</v>
      </c>
      <c r="AD52" s="1381">
        <v>0</v>
      </c>
      <c r="AE52" s="1382">
        <v>0</v>
      </c>
      <c r="AF52" s="1381">
        <v>0</v>
      </c>
      <c r="AG52" s="1382">
        <v>0</v>
      </c>
    </row>
    <row r="53" spans="1:36" s="1384" customFormat="1" x14ac:dyDescent="0.15">
      <c r="A53" s="1380" t="s">
        <v>2416</v>
      </c>
      <c r="B53" s="1381">
        <v>17</v>
      </c>
      <c r="C53" s="1382">
        <v>1068</v>
      </c>
      <c r="D53" s="1381">
        <v>0</v>
      </c>
      <c r="E53" s="1382">
        <v>0</v>
      </c>
      <c r="F53" s="1381">
        <v>0</v>
      </c>
      <c r="G53" s="1382">
        <v>0</v>
      </c>
      <c r="H53" s="1381">
        <v>0</v>
      </c>
      <c r="I53" s="1382">
        <v>0</v>
      </c>
      <c r="J53" s="1381">
        <v>0</v>
      </c>
      <c r="K53" s="1382">
        <v>0</v>
      </c>
      <c r="L53" s="1381">
        <v>0</v>
      </c>
      <c r="M53" s="1382">
        <v>0</v>
      </c>
      <c r="N53" s="1381">
        <v>3</v>
      </c>
      <c r="O53" s="1382">
        <v>195</v>
      </c>
      <c r="P53" s="1381">
        <v>13</v>
      </c>
      <c r="Q53" s="1382">
        <v>846</v>
      </c>
      <c r="R53" s="1381">
        <v>0</v>
      </c>
      <c r="S53" s="1382">
        <v>0</v>
      </c>
      <c r="T53" s="1381">
        <v>0</v>
      </c>
      <c r="U53" s="1382">
        <v>0</v>
      </c>
      <c r="V53" s="1381">
        <v>1</v>
      </c>
      <c r="W53" s="1382">
        <v>27</v>
      </c>
      <c r="X53" s="1381">
        <v>0</v>
      </c>
      <c r="Y53" s="1382">
        <v>0</v>
      </c>
      <c r="Z53" s="1381">
        <v>0</v>
      </c>
      <c r="AA53" s="1382">
        <v>0</v>
      </c>
      <c r="AB53" s="1381">
        <v>0</v>
      </c>
      <c r="AC53" s="1382">
        <v>0</v>
      </c>
      <c r="AD53" s="1381">
        <v>0</v>
      </c>
      <c r="AE53" s="1382">
        <v>0</v>
      </c>
      <c r="AF53" s="1381">
        <v>0</v>
      </c>
      <c r="AG53" s="1382">
        <v>0</v>
      </c>
      <c r="AH53" s="1383"/>
      <c r="AI53" s="1383"/>
      <c r="AJ53" s="1383"/>
    </row>
    <row r="54" spans="1:36" s="1384" customFormat="1" x14ac:dyDescent="0.15">
      <c r="A54" s="1380" t="s">
        <v>2903</v>
      </c>
      <c r="B54" s="1381">
        <v>38</v>
      </c>
      <c r="C54" s="1382">
        <v>3605</v>
      </c>
      <c r="D54" s="1381">
        <v>0</v>
      </c>
      <c r="E54" s="1382">
        <v>0</v>
      </c>
      <c r="F54" s="1381">
        <v>0</v>
      </c>
      <c r="G54" s="1382">
        <v>0</v>
      </c>
      <c r="H54" s="1381">
        <v>0</v>
      </c>
      <c r="I54" s="1382">
        <v>0</v>
      </c>
      <c r="J54" s="1381">
        <v>0</v>
      </c>
      <c r="K54" s="1382">
        <v>0</v>
      </c>
      <c r="L54" s="1381">
        <v>0</v>
      </c>
      <c r="M54" s="1382">
        <v>0</v>
      </c>
      <c r="N54" s="1381">
        <v>2</v>
      </c>
      <c r="O54" s="1382">
        <v>411</v>
      </c>
      <c r="P54" s="1381">
        <v>29</v>
      </c>
      <c r="Q54" s="1382">
        <v>2517</v>
      </c>
      <c r="R54" s="1381">
        <v>0</v>
      </c>
      <c r="S54" s="1382">
        <v>0</v>
      </c>
      <c r="T54" s="1381">
        <v>2</v>
      </c>
      <c r="U54" s="1382">
        <v>222</v>
      </c>
      <c r="V54" s="1381">
        <v>4</v>
      </c>
      <c r="W54" s="1382">
        <v>450</v>
      </c>
      <c r="X54" s="1381">
        <v>1</v>
      </c>
      <c r="Y54" s="1382">
        <v>5</v>
      </c>
      <c r="Z54" s="1381">
        <v>0</v>
      </c>
      <c r="AA54" s="1382">
        <v>0</v>
      </c>
      <c r="AB54" s="1381">
        <v>0</v>
      </c>
      <c r="AC54" s="1382">
        <v>0</v>
      </c>
      <c r="AD54" s="1381">
        <v>0</v>
      </c>
      <c r="AE54" s="1382">
        <v>0</v>
      </c>
      <c r="AF54" s="1381">
        <v>0</v>
      </c>
      <c r="AG54" s="1382">
        <v>0</v>
      </c>
      <c r="AH54" s="1383"/>
      <c r="AI54" s="1383"/>
      <c r="AJ54" s="1383"/>
    </row>
    <row r="55" spans="1:36" x14ac:dyDescent="0.15">
      <c r="A55" s="1380" t="s">
        <v>2904</v>
      </c>
      <c r="B55" s="1381">
        <v>2</v>
      </c>
      <c r="C55" s="1382">
        <v>151</v>
      </c>
      <c r="D55" s="1381">
        <v>0</v>
      </c>
      <c r="E55" s="1382">
        <v>0</v>
      </c>
      <c r="F55" s="1381">
        <v>0</v>
      </c>
      <c r="G55" s="1382">
        <v>0</v>
      </c>
      <c r="H55" s="1381">
        <v>0</v>
      </c>
      <c r="I55" s="1382">
        <v>0</v>
      </c>
      <c r="J55" s="1381">
        <v>0</v>
      </c>
      <c r="K55" s="1382">
        <v>0</v>
      </c>
      <c r="L55" s="1381">
        <v>0</v>
      </c>
      <c r="M55" s="1382">
        <v>0</v>
      </c>
      <c r="N55" s="1381">
        <v>0</v>
      </c>
      <c r="O55" s="1382">
        <v>0</v>
      </c>
      <c r="P55" s="1381">
        <v>2</v>
      </c>
      <c r="Q55" s="1382">
        <v>151</v>
      </c>
      <c r="R55" s="1381">
        <v>0</v>
      </c>
      <c r="S55" s="1382">
        <v>0</v>
      </c>
      <c r="T55" s="1381">
        <v>0</v>
      </c>
      <c r="U55" s="1382">
        <v>0</v>
      </c>
      <c r="V55" s="1381">
        <v>0</v>
      </c>
      <c r="W55" s="1382">
        <v>0</v>
      </c>
      <c r="X55" s="1381">
        <v>0</v>
      </c>
      <c r="Y55" s="1382">
        <v>0</v>
      </c>
      <c r="Z55" s="1381">
        <v>0</v>
      </c>
      <c r="AA55" s="1382">
        <v>0</v>
      </c>
      <c r="AB55" s="1381">
        <v>0</v>
      </c>
      <c r="AC55" s="1382">
        <v>0</v>
      </c>
      <c r="AD55" s="1381">
        <v>0</v>
      </c>
      <c r="AE55" s="1382">
        <v>0</v>
      </c>
      <c r="AF55" s="1381">
        <v>0</v>
      </c>
      <c r="AG55" s="1382">
        <v>0</v>
      </c>
      <c r="AH55" s="1370"/>
      <c r="AI55" s="1370"/>
      <c r="AJ55" s="1370"/>
    </row>
    <row r="56" spans="1:36" x14ac:dyDescent="0.15">
      <c r="A56" s="1380" t="s">
        <v>2905</v>
      </c>
      <c r="B56" s="1381">
        <v>11</v>
      </c>
      <c r="C56" s="1382">
        <v>759</v>
      </c>
      <c r="D56" s="1381">
        <v>0</v>
      </c>
      <c r="E56" s="1382">
        <v>0</v>
      </c>
      <c r="F56" s="1381">
        <v>0</v>
      </c>
      <c r="G56" s="1382">
        <v>0</v>
      </c>
      <c r="H56" s="1381">
        <v>0</v>
      </c>
      <c r="I56" s="1382">
        <v>0</v>
      </c>
      <c r="J56" s="1381">
        <v>0</v>
      </c>
      <c r="K56" s="1382">
        <v>0</v>
      </c>
      <c r="L56" s="1381">
        <v>0</v>
      </c>
      <c r="M56" s="1382">
        <v>0</v>
      </c>
      <c r="N56" s="1381">
        <v>2</v>
      </c>
      <c r="O56" s="1382">
        <v>181</v>
      </c>
      <c r="P56" s="1381">
        <v>8</v>
      </c>
      <c r="Q56" s="1382">
        <v>484</v>
      </c>
      <c r="R56" s="1381">
        <v>0</v>
      </c>
      <c r="S56" s="1382">
        <v>0</v>
      </c>
      <c r="T56" s="1381">
        <v>0</v>
      </c>
      <c r="U56" s="1382">
        <v>0</v>
      </c>
      <c r="V56" s="1381">
        <v>1</v>
      </c>
      <c r="W56" s="1382">
        <v>94</v>
      </c>
      <c r="X56" s="1381">
        <v>0</v>
      </c>
      <c r="Y56" s="1382">
        <v>0</v>
      </c>
      <c r="Z56" s="1381">
        <v>0</v>
      </c>
      <c r="AA56" s="1382">
        <v>0</v>
      </c>
      <c r="AB56" s="1381">
        <v>0</v>
      </c>
      <c r="AC56" s="1382">
        <v>0</v>
      </c>
      <c r="AD56" s="1381">
        <v>0</v>
      </c>
      <c r="AE56" s="1382">
        <v>0</v>
      </c>
      <c r="AF56" s="1381">
        <v>0</v>
      </c>
      <c r="AG56" s="1382">
        <v>0</v>
      </c>
      <c r="AH56" s="1370"/>
      <c r="AI56" s="1370"/>
      <c r="AJ56" s="1370"/>
    </row>
    <row r="57" spans="1:36" x14ac:dyDescent="0.15">
      <c r="A57" s="1374" t="s">
        <v>2906</v>
      </c>
      <c r="B57" s="1378">
        <f>SUM(B58:B62)</f>
        <v>38</v>
      </c>
      <c r="C57" s="236">
        <f>SUM(C58:C62)</f>
        <v>1370</v>
      </c>
      <c r="D57" s="1378">
        <f t="shared" ref="D57:AG57" si="12">SUM(D58:D62)</f>
        <v>0</v>
      </c>
      <c r="E57" s="236">
        <f t="shared" si="12"/>
        <v>0</v>
      </c>
      <c r="F57" s="1378">
        <f t="shared" si="12"/>
        <v>0</v>
      </c>
      <c r="G57" s="236">
        <f t="shared" si="12"/>
        <v>0</v>
      </c>
      <c r="H57" s="1378">
        <f t="shared" si="12"/>
        <v>0</v>
      </c>
      <c r="I57" s="236">
        <f t="shared" si="12"/>
        <v>0</v>
      </c>
      <c r="J57" s="1378">
        <f t="shared" si="12"/>
        <v>0</v>
      </c>
      <c r="K57" s="236">
        <f t="shared" si="12"/>
        <v>0</v>
      </c>
      <c r="L57" s="1378">
        <f t="shared" si="12"/>
        <v>0</v>
      </c>
      <c r="M57" s="236">
        <f t="shared" si="12"/>
        <v>0</v>
      </c>
      <c r="N57" s="1378">
        <f t="shared" si="12"/>
        <v>5</v>
      </c>
      <c r="O57" s="236">
        <f t="shared" si="12"/>
        <v>281</v>
      </c>
      <c r="P57" s="1378">
        <f t="shared" si="12"/>
        <v>27</v>
      </c>
      <c r="Q57" s="236">
        <f t="shared" si="12"/>
        <v>1006</v>
      </c>
      <c r="R57" s="1378">
        <f t="shared" si="12"/>
        <v>0</v>
      </c>
      <c r="S57" s="236">
        <f t="shared" si="12"/>
        <v>0</v>
      </c>
      <c r="T57" s="1378">
        <f t="shared" si="12"/>
        <v>0</v>
      </c>
      <c r="U57" s="236">
        <f t="shared" si="12"/>
        <v>0</v>
      </c>
      <c r="V57" s="1378">
        <f t="shared" si="12"/>
        <v>3</v>
      </c>
      <c r="W57" s="236">
        <f t="shared" si="12"/>
        <v>47</v>
      </c>
      <c r="X57" s="1378">
        <f t="shared" si="12"/>
        <v>2</v>
      </c>
      <c r="Y57" s="236">
        <f t="shared" si="12"/>
        <v>35</v>
      </c>
      <c r="Z57" s="1378">
        <f t="shared" si="12"/>
        <v>0</v>
      </c>
      <c r="AA57" s="236">
        <f t="shared" si="12"/>
        <v>0</v>
      </c>
      <c r="AB57" s="1378">
        <f t="shared" si="12"/>
        <v>0</v>
      </c>
      <c r="AC57" s="236">
        <f t="shared" si="12"/>
        <v>0</v>
      </c>
      <c r="AD57" s="1378">
        <f t="shared" si="12"/>
        <v>0</v>
      </c>
      <c r="AE57" s="236">
        <f t="shared" si="12"/>
        <v>0</v>
      </c>
      <c r="AF57" s="1378">
        <f t="shared" si="12"/>
        <v>1</v>
      </c>
      <c r="AG57" s="1379">
        <f t="shared" si="12"/>
        <v>1</v>
      </c>
      <c r="AH57" s="1370"/>
      <c r="AI57" s="1370"/>
      <c r="AJ57" s="1370"/>
    </row>
    <row r="58" spans="1:36" s="1384" customFormat="1" x14ac:dyDescent="0.15">
      <c r="A58" s="1380" t="s">
        <v>2907</v>
      </c>
      <c r="B58" s="1381">
        <v>3</v>
      </c>
      <c r="C58" s="1382">
        <v>173</v>
      </c>
      <c r="D58" s="1381">
        <v>0</v>
      </c>
      <c r="E58" s="1382">
        <v>0</v>
      </c>
      <c r="F58" s="1381">
        <v>0</v>
      </c>
      <c r="G58" s="1382">
        <v>0</v>
      </c>
      <c r="H58" s="1381">
        <v>0</v>
      </c>
      <c r="I58" s="1382">
        <v>0</v>
      </c>
      <c r="J58" s="1381">
        <v>0</v>
      </c>
      <c r="K58" s="1382">
        <v>0</v>
      </c>
      <c r="L58" s="1381">
        <v>0</v>
      </c>
      <c r="M58" s="1382">
        <v>0</v>
      </c>
      <c r="N58" s="1381">
        <v>0</v>
      </c>
      <c r="O58" s="1382">
        <v>0</v>
      </c>
      <c r="P58" s="1381">
        <v>2</v>
      </c>
      <c r="Q58" s="1382">
        <v>154</v>
      </c>
      <c r="R58" s="1381">
        <v>0</v>
      </c>
      <c r="S58" s="1382">
        <v>0</v>
      </c>
      <c r="T58" s="1381">
        <v>0</v>
      </c>
      <c r="U58" s="1382">
        <v>0</v>
      </c>
      <c r="V58" s="1381">
        <v>0</v>
      </c>
      <c r="W58" s="1382">
        <v>0</v>
      </c>
      <c r="X58" s="1381">
        <v>1</v>
      </c>
      <c r="Y58" s="1382">
        <v>19</v>
      </c>
      <c r="Z58" s="1381">
        <v>0</v>
      </c>
      <c r="AA58" s="1382">
        <v>0</v>
      </c>
      <c r="AB58" s="1381">
        <v>0</v>
      </c>
      <c r="AC58" s="1382">
        <v>0</v>
      </c>
      <c r="AD58" s="1381">
        <v>0</v>
      </c>
      <c r="AE58" s="1382">
        <v>0</v>
      </c>
      <c r="AF58" s="1381">
        <v>0</v>
      </c>
      <c r="AG58" s="1382">
        <v>0</v>
      </c>
      <c r="AH58" s="1383"/>
      <c r="AI58" s="1383"/>
      <c r="AJ58" s="1383"/>
    </row>
    <row r="59" spans="1:36" x14ac:dyDescent="0.15">
      <c r="A59" s="1380" t="s">
        <v>2908</v>
      </c>
      <c r="B59" s="1381">
        <v>14</v>
      </c>
      <c r="C59" s="1382">
        <v>756</v>
      </c>
      <c r="D59" s="1381">
        <v>0</v>
      </c>
      <c r="E59" s="1382">
        <v>0</v>
      </c>
      <c r="F59" s="1381">
        <v>0</v>
      </c>
      <c r="G59" s="1382">
        <v>0</v>
      </c>
      <c r="H59" s="1381">
        <v>0</v>
      </c>
      <c r="I59" s="1382">
        <v>0</v>
      </c>
      <c r="J59" s="1381">
        <v>0</v>
      </c>
      <c r="K59" s="1382">
        <v>0</v>
      </c>
      <c r="L59" s="1381">
        <v>0</v>
      </c>
      <c r="M59" s="1382">
        <v>0</v>
      </c>
      <c r="N59" s="1381">
        <v>2</v>
      </c>
      <c r="O59" s="1382">
        <v>158</v>
      </c>
      <c r="P59" s="1381">
        <v>10</v>
      </c>
      <c r="Q59" s="1382">
        <v>575</v>
      </c>
      <c r="R59" s="1381">
        <v>0</v>
      </c>
      <c r="S59" s="1382">
        <v>0</v>
      </c>
      <c r="T59" s="1381">
        <v>0</v>
      </c>
      <c r="U59" s="1382">
        <v>0</v>
      </c>
      <c r="V59" s="1381">
        <v>2</v>
      </c>
      <c r="W59" s="1382">
        <v>23</v>
      </c>
      <c r="X59" s="1381">
        <v>0</v>
      </c>
      <c r="Y59" s="1382">
        <v>0</v>
      </c>
      <c r="Z59" s="1381">
        <v>0</v>
      </c>
      <c r="AA59" s="1382">
        <v>0</v>
      </c>
      <c r="AB59" s="1381">
        <v>0</v>
      </c>
      <c r="AC59" s="1382">
        <v>0</v>
      </c>
      <c r="AD59" s="1381">
        <v>0</v>
      </c>
      <c r="AE59" s="1382">
        <v>0</v>
      </c>
      <c r="AF59" s="1381">
        <v>0</v>
      </c>
      <c r="AG59" s="1382">
        <v>0</v>
      </c>
      <c r="AH59" s="1370"/>
      <c r="AI59" s="1370"/>
      <c r="AJ59" s="1370"/>
    </row>
    <row r="60" spans="1:36" s="1384" customFormat="1" x14ac:dyDescent="0.15">
      <c r="A60" s="1380" t="s">
        <v>2909</v>
      </c>
      <c r="B60" s="1381">
        <v>14</v>
      </c>
      <c r="C60" s="1382">
        <v>327</v>
      </c>
      <c r="D60" s="1381">
        <v>0</v>
      </c>
      <c r="E60" s="1382">
        <v>0</v>
      </c>
      <c r="F60" s="1381">
        <v>0</v>
      </c>
      <c r="G60" s="1382">
        <v>0</v>
      </c>
      <c r="H60" s="1381">
        <v>0</v>
      </c>
      <c r="I60" s="1382">
        <v>0</v>
      </c>
      <c r="J60" s="1381">
        <v>0</v>
      </c>
      <c r="K60" s="1382">
        <v>0</v>
      </c>
      <c r="L60" s="1381">
        <v>0</v>
      </c>
      <c r="M60" s="1382">
        <v>0</v>
      </c>
      <c r="N60" s="1381">
        <v>2</v>
      </c>
      <c r="O60" s="1382">
        <v>114</v>
      </c>
      <c r="P60" s="1381">
        <v>11</v>
      </c>
      <c r="Q60" s="1382">
        <v>189</v>
      </c>
      <c r="R60" s="1381">
        <v>0</v>
      </c>
      <c r="S60" s="1382">
        <v>0</v>
      </c>
      <c r="T60" s="1381">
        <v>0</v>
      </c>
      <c r="U60" s="1382">
        <v>0</v>
      </c>
      <c r="V60" s="1381">
        <v>1</v>
      </c>
      <c r="W60" s="1382">
        <v>24</v>
      </c>
      <c r="X60" s="1381">
        <v>0</v>
      </c>
      <c r="Y60" s="1382">
        <v>0</v>
      </c>
      <c r="Z60" s="1381">
        <v>0</v>
      </c>
      <c r="AA60" s="1382">
        <v>0</v>
      </c>
      <c r="AB60" s="1381">
        <v>0</v>
      </c>
      <c r="AC60" s="1382">
        <v>0</v>
      </c>
      <c r="AD60" s="1381">
        <v>0</v>
      </c>
      <c r="AE60" s="1382">
        <v>0</v>
      </c>
      <c r="AF60" s="1381">
        <v>0</v>
      </c>
      <c r="AG60" s="1382">
        <v>0</v>
      </c>
      <c r="AH60" s="1383"/>
      <c r="AI60" s="1383"/>
      <c r="AJ60" s="1383"/>
    </row>
    <row r="61" spans="1:36" x14ac:dyDescent="0.15">
      <c r="A61" s="1380" t="s">
        <v>2910</v>
      </c>
      <c r="B61" s="1381">
        <v>3</v>
      </c>
      <c r="C61" s="1382">
        <v>15</v>
      </c>
      <c r="D61" s="1381">
        <v>0</v>
      </c>
      <c r="E61" s="1382">
        <v>0</v>
      </c>
      <c r="F61" s="1381">
        <v>0</v>
      </c>
      <c r="G61" s="1382">
        <v>0</v>
      </c>
      <c r="H61" s="1381">
        <v>0</v>
      </c>
      <c r="I61" s="1382">
        <v>0</v>
      </c>
      <c r="J61" s="1381">
        <v>0</v>
      </c>
      <c r="K61" s="1382">
        <v>0</v>
      </c>
      <c r="L61" s="1381">
        <v>0</v>
      </c>
      <c r="M61" s="1382">
        <v>0</v>
      </c>
      <c r="N61" s="1381">
        <v>1</v>
      </c>
      <c r="O61" s="1382">
        <v>9</v>
      </c>
      <c r="P61" s="1381">
        <v>1</v>
      </c>
      <c r="Q61" s="1382">
        <v>5</v>
      </c>
      <c r="R61" s="1381">
        <v>0</v>
      </c>
      <c r="S61" s="1382">
        <v>0</v>
      </c>
      <c r="T61" s="1381">
        <v>0</v>
      </c>
      <c r="U61" s="1382">
        <v>0</v>
      </c>
      <c r="V61" s="1381">
        <v>0</v>
      </c>
      <c r="W61" s="1382">
        <v>0</v>
      </c>
      <c r="X61" s="1381">
        <v>0</v>
      </c>
      <c r="Y61" s="1382">
        <v>0</v>
      </c>
      <c r="Z61" s="1381">
        <v>0</v>
      </c>
      <c r="AA61" s="1382">
        <v>0</v>
      </c>
      <c r="AB61" s="1381">
        <v>0</v>
      </c>
      <c r="AC61" s="1382">
        <v>0</v>
      </c>
      <c r="AD61" s="1381">
        <v>0</v>
      </c>
      <c r="AE61" s="1382">
        <v>0</v>
      </c>
      <c r="AF61" s="1381">
        <v>1</v>
      </c>
      <c r="AG61" s="1382">
        <v>1</v>
      </c>
      <c r="AH61" s="1370"/>
      <c r="AI61" s="1370"/>
      <c r="AJ61" s="1370"/>
    </row>
    <row r="62" spans="1:36" x14ac:dyDescent="0.15">
      <c r="A62" s="1385" t="s">
        <v>2911</v>
      </c>
      <c r="B62" s="1386">
        <v>4</v>
      </c>
      <c r="C62" s="1387">
        <v>99</v>
      </c>
      <c r="D62" s="1386">
        <v>0</v>
      </c>
      <c r="E62" s="1387">
        <v>0</v>
      </c>
      <c r="F62" s="1386">
        <v>0</v>
      </c>
      <c r="G62" s="1387">
        <v>0</v>
      </c>
      <c r="H62" s="1386">
        <v>0</v>
      </c>
      <c r="I62" s="1387">
        <v>0</v>
      </c>
      <c r="J62" s="1386">
        <v>0</v>
      </c>
      <c r="K62" s="1387">
        <v>0</v>
      </c>
      <c r="L62" s="1386">
        <v>0</v>
      </c>
      <c r="M62" s="1387">
        <v>0</v>
      </c>
      <c r="N62" s="1386">
        <v>0</v>
      </c>
      <c r="O62" s="1387">
        <v>0</v>
      </c>
      <c r="P62" s="1386">
        <v>3</v>
      </c>
      <c r="Q62" s="1387">
        <v>83</v>
      </c>
      <c r="R62" s="1386">
        <v>0</v>
      </c>
      <c r="S62" s="1387">
        <v>0</v>
      </c>
      <c r="T62" s="1386">
        <v>0</v>
      </c>
      <c r="U62" s="1387">
        <v>0</v>
      </c>
      <c r="V62" s="1386">
        <v>0</v>
      </c>
      <c r="W62" s="1387">
        <v>0</v>
      </c>
      <c r="X62" s="1386">
        <v>1</v>
      </c>
      <c r="Y62" s="1387">
        <v>16</v>
      </c>
      <c r="Z62" s="1386">
        <v>0</v>
      </c>
      <c r="AA62" s="1387">
        <v>0</v>
      </c>
      <c r="AB62" s="1386">
        <v>0</v>
      </c>
      <c r="AC62" s="1387">
        <v>0</v>
      </c>
      <c r="AD62" s="1386">
        <v>0</v>
      </c>
      <c r="AE62" s="1387">
        <v>0</v>
      </c>
      <c r="AF62" s="1386">
        <v>0</v>
      </c>
      <c r="AG62" s="1387">
        <v>0</v>
      </c>
      <c r="AH62" s="1370"/>
      <c r="AI62" s="1370"/>
      <c r="AJ62" s="1370"/>
    </row>
    <row r="63" spans="1:36" s="1384" customFormat="1" x14ac:dyDescent="0.15">
      <c r="B63" s="1383"/>
      <c r="C63" s="1383"/>
      <c r="D63" s="1383"/>
      <c r="E63" s="1383"/>
      <c r="F63" s="1383"/>
      <c r="G63" s="1383"/>
      <c r="H63" s="1383"/>
      <c r="I63" s="1383"/>
      <c r="J63" s="1383"/>
      <c r="K63" s="1383"/>
      <c r="L63" s="1383"/>
      <c r="M63" s="1383"/>
      <c r="N63" s="1383"/>
      <c r="O63" s="1383"/>
      <c r="P63" s="1383"/>
      <c r="Q63" s="1383"/>
      <c r="R63" s="1383"/>
      <c r="S63" s="1383"/>
      <c r="T63" s="1383"/>
      <c r="U63" s="1383"/>
      <c r="V63" s="1383"/>
      <c r="W63" s="1383"/>
      <c r="X63" s="1383"/>
      <c r="Y63" s="1383"/>
      <c r="Z63" s="1383"/>
      <c r="AA63" s="1383"/>
      <c r="AB63" s="1383"/>
      <c r="AC63" s="1383"/>
      <c r="AD63" s="1383"/>
      <c r="AE63" s="1383"/>
      <c r="AF63" s="1383"/>
      <c r="AG63" s="1383"/>
      <c r="AH63" s="1383"/>
      <c r="AI63" s="1383"/>
      <c r="AJ63" s="1383"/>
    </row>
    <row r="64" spans="1:36" ht="11.25" customHeight="1" x14ac:dyDescent="0.15">
      <c r="A64" s="3267" t="s">
        <v>2912</v>
      </c>
      <c r="B64" s="3267"/>
      <c r="C64" s="3267"/>
      <c r="D64" s="3267"/>
      <c r="E64" s="3267"/>
      <c r="F64" s="3267"/>
      <c r="G64" s="3267"/>
      <c r="H64" s="3267"/>
      <c r="I64" s="3267"/>
      <c r="J64" s="3267"/>
      <c r="K64" s="3267"/>
      <c r="L64" s="3267"/>
      <c r="M64" s="1370"/>
      <c r="N64" s="1370"/>
      <c r="O64" s="1370"/>
      <c r="P64" s="1370"/>
      <c r="Q64" s="1370"/>
      <c r="R64" s="1370"/>
      <c r="S64" s="1370"/>
      <c r="T64" s="1370"/>
      <c r="U64" s="1370"/>
      <c r="V64" s="1370"/>
      <c r="W64" s="1370"/>
      <c r="X64" s="1370"/>
      <c r="Y64" s="1370"/>
      <c r="Z64" s="1370"/>
      <c r="AA64" s="1370"/>
      <c r="AB64" s="1370"/>
      <c r="AC64" s="1370"/>
      <c r="AD64" s="1370"/>
      <c r="AE64" s="1370"/>
      <c r="AF64" s="1370"/>
      <c r="AG64" s="1370"/>
      <c r="AH64" s="1370"/>
      <c r="AI64" s="1370"/>
      <c r="AJ64" s="1370"/>
    </row>
    <row r="65" spans="1:36" x14ac:dyDescent="0.15">
      <c r="A65" s="3278" t="s">
        <v>44</v>
      </c>
      <c r="B65" s="3278"/>
      <c r="C65" s="3278"/>
      <c r="D65" s="3278"/>
      <c r="E65" s="3278"/>
      <c r="F65" s="3278"/>
      <c r="G65" s="3278"/>
      <c r="H65" s="3278"/>
      <c r="I65" s="3278"/>
      <c r="J65" s="3278"/>
      <c r="K65" s="3278"/>
      <c r="L65" s="3278"/>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row>
    <row r="66" spans="1:36" x14ac:dyDescent="0.15">
      <c r="A66" s="3267" t="s">
        <v>2913</v>
      </c>
      <c r="B66" s="3267"/>
      <c r="C66" s="3267"/>
      <c r="D66" s="3267"/>
      <c r="E66" s="3267"/>
      <c r="F66" s="3267"/>
      <c r="G66" s="3267"/>
      <c r="H66" s="3267"/>
      <c r="I66" s="3267"/>
      <c r="J66" s="3267"/>
      <c r="K66" s="3267"/>
      <c r="L66" s="3267"/>
    </row>
  </sheetData>
  <mergeCells count="20">
    <mergeCell ref="A65:L65"/>
    <mergeCell ref="A66:L66"/>
    <mergeCell ref="X4:Y4"/>
    <mergeCell ref="Z4:AA4"/>
    <mergeCell ref="AB4:AC4"/>
    <mergeCell ref="AD4:AE4"/>
    <mergeCell ref="AF4:AG4"/>
    <mergeCell ref="A64:L64"/>
    <mergeCell ref="L4:M4"/>
    <mergeCell ref="N4:O4"/>
    <mergeCell ref="P4:Q4"/>
    <mergeCell ref="R4:S4"/>
    <mergeCell ref="T4:U4"/>
    <mergeCell ref="V4:W4"/>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scale="3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pageSetUpPr fitToPage="1"/>
  </sheetPr>
  <dimension ref="A1:G65"/>
  <sheetViews>
    <sheetView topLeftCell="A37" zoomScaleNormal="100" workbookViewId="0">
      <selection activeCell="K18" sqref="K18"/>
    </sheetView>
  </sheetViews>
  <sheetFormatPr baseColWidth="10" defaultColWidth="11.42578125" defaultRowHeight="10.5" x14ac:dyDescent="0.15"/>
  <cols>
    <col min="1" max="1" width="40" style="1356" customWidth="1"/>
    <col min="2" max="2" width="11.140625" style="1356" customWidth="1"/>
    <col min="3" max="3" width="11.42578125" style="1356"/>
    <col min="4" max="4" width="12.140625" style="1356" customWidth="1"/>
    <col min="5" max="5" width="14.28515625" style="1356" customWidth="1"/>
    <col min="6" max="16384" width="11.42578125" style="1356"/>
  </cols>
  <sheetData>
    <row r="1" spans="1:5" ht="11.25" customHeight="1" x14ac:dyDescent="0.15">
      <c r="A1" s="1388"/>
      <c r="C1" s="1388"/>
      <c r="D1" s="1388"/>
      <c r="E1" s="1388"/>
    </row>
    <row r="2" spans="1:5" ht="27" customHeight="1" x14ac:dyDescent="0.15">
      <c r="A2" s="3279" t="s">
        <v>2923</v>
      </c>
      <c r="B2" s="3279"/>
      <c r="C2" s="3279"/>
      <c r="D2" s="3279"/>
      <c r="E2" s="3279"/>
    </row>
    <row r="3" spans="1:5" ht="10.5" customHeight="1" x14ac:dyDescent="0.15"/>
    <row r="4" spans="1:5" ht="17.25" customHeight="1" x14ac:dyDescent="0.15">
      <c r="A4" s="2127" t="s">
        <v>2924</v>
      </c>
      <c r="B4" s="1390" t="s">
        <v>69</v>
      </c>
      <c r="C4" s="1390" t="s">
        <v>2925</v>
      </c>
      <c r="D4" s="1390" t="s">
        <v>2926</v>
      </c>
      <c r="E4" s="1390" t="s">
        <v>2927</v>
      </c>
    </row>
    <row r="5" spans="1:5" s="1372" customFormat="1" x14ac:dyDescent="0.15">
      <c r="A5" s="1357" t="s">
        <v>141</v>
      </c>
      <c r="B5" s="236">
        <f>SUM(B6,B12,B17,B20,B25,B28,B30,B39,B44,B46,B50,B56)</f>
        <v>1542</v>
      </c>
      <c r="C5" s="236">
        <f>SUM(C6,C12,C17,C20,C25,C28,C30,C39,C44,C46,C50,C56)</f>
        <v>148</v>
      </c>
      <c r="D5" s="236">
        <f>SUM(D6,D12,D17,D20,D25,D28,D30,D39,D44,D46,D50,D56)</f>
        <v>68</v>
      </c>
      <c r="E5" s="236">
        <f>SUM(E6,E12,E17,E20,E25,E28,E30,E39,E44,E46,E50,E56)</f>
        <v>1326</v>
      </c>
    </row>
    <row r="6" spans="1:5" s="1372" customFormat="1" x14ac:dyDescent="0.15">
      <c r="A6" s="1357" t="s">
        <v>2865</v>
      </c>
      <c r="B6" s="236">
        <f>SUM(B7:B11)</f>
        <v>407</v>
      </c>
      <c r="C6" s="236">
        <f>SUM(C7:C11)</f>
        <v>23</v>
      </c>
      <c r="D6" s="236">
        <f>SUM(D7:D11)</f>
        <v>10</v>
      </c>
      <c r="E6" s="236">
        <f>SUM(E7:E11)</f>
        <v>374</v>
      </c>
    </row>
    <row r="7" spans="1:5" x14ac:dyDescent="0.15">
      <c r="A7" s="1359" t="s">
        <v>2866</v>
      </c>
      <c r="B7" s="217">
        <v>88</v>
      </c>
      <c r="C7" s="217">
        <v>20</v>
      </c>
      <c r="D7" s="217">
        <v>8</v>
      </c>
      <c r="E7" s="217">
        <v>60</v>
      </c>
    </row>
    <row r="8" spans="1:5" x14ac:dyDescent="0.15">
      <c r="A8" s="1359" t="s">
        <v>2847</v>
      </c>
      <c r="B8" s="217">
        <v>35</v>
      </c>
      <c r="C8" s="217">
        <v>0</v>
      </c>
      <c r="D8" s="217">
        <v>0</v>
      </c>
      <c r="E8" s="217">
        <v>35</v>
      </c>
    </row>
    <row r="9" spans="1:5" x14ac:dyDescent="0.15">
      <c r="A9" s="1359" t="s">
        <v>2867</v>
      </c>
      <c r="B9" s="217">
        <v>221</v>
      </c>
      <c r="C9" s="217">
        <v>2</v>
      </c>
      <c r="D9" s="217">
        <v>1</v>
      </c>
      <c r="E9" s="217">
        <v>218</v>
      </c>
    </row>
    <row r="10" spans="1:5" s="1372" customFormat="1" x14ac:dyDescent="0.15">
      <c r="A10" s="1359" t="s">
        <v>2543</v>
      </c>
      <c r="B10" s="217">
        <v>44</v>
      </c>
      <c r="C10" s="217">
        <v>0</v>
      </c>
      <c r="D10" s="217">
        <v>0</v>
      </c>
      <c r="E10" s="217">
        <v>44</v>
      </c>
    </row>
    <row r="11" spans="1:5" x14ac:dyDescent="0.15">
      <c r="A11" s="1359" t="s">
        <v>2868</v>
      </c>
      <c r="B11" s="217">
        <v>19</v>
      </c>
      <c r="C11" s="217">
        <v>1</v>
      </c>
      <c r="D11" s="217">
        <v>1</v>
      </c>
      <c r="E11" s="217">
        <v>17</v>
      </c>
    </row>
    <row r="12" spans="1:5" s="1372" customFormat="1" x14ac:dyDescent="0.15">
      <c r="A12" s="1357" t="s">
        <v>2869</v>
      </c>
      <c r="B12" s="236">
        <f>SUM(B13:B16)</f>
        <v>35</v>
      </c>
      <c r="C12" s="236">
        <f>SUM(C13:C16)</f>
        <v>2</v>
      </c>
      <c r="D12" s="236">
        <f>SUM(D13:D16)</f>
        <v>4</v>
      </c>
      <c r="E12" s="236">
        <f>SUM(E13:E16)</f>
        <v>29</v>
      </c>
    </row>
    <row r="13" spans="1:5" x14ac:dyDescent="0.15">
      <c r="A13" s="1359" t="s">
        <v>2870</v>
      </c>
      <c r="B13" s="217">
        <v>1</v>
      </c>
      <c r="C13" s="217">
        <v>0</v>
      </c>
      <c r="D13" s="217">
        <v>0</v>
      </c>
      <c r="E13" s="217">
        <v>1</v>
      </c>
    </row>
    <row r="14" spans="1:5" x14ac:dyDescent="0.15">
      <c r="A14" s="1359" t="s">
        <v>2871</v>
      </c>
      <c r="B14" s="217">
        <v>1</v>
      </c>
      <c r="C14" s="217">
        <v>0</v>
      </c>
      <c r="D14" s="217">
        <v>1</v>
      </c>
      <c r="E14" s="217">
        <v>0</v>
      </c>
    </row>
    <row r="15" spans="1:5" s="1372" customFormat="1" x14ac:dyDescent="0.15">
      <c r="A15" s="1359" t="s">
        <v>2872</v>
      </c>
      <c r="B15" s="217">
        <v>6</v>
      </c>
      <c r="C15" s="217">
        <v>0</v>
      </c>
      <c r="D15" s="217">
        <v>0</v>
      </c>
      <c r="E15" s="217">
        <v>6</v>
      </c>
    </row>
    <row r="16" spans="1:5" x14ac:dyDescent="0.15">
      <c r="A16" s="1359" t="s">
        <v>2673</v>
      </c>
      <c r="B16" s="217">
        <v>27</v>
      </c>
      <c r="C16" s="217">
        <v>2</v>
      </c>
      <c r="D16" s="217">
        <v>3</v>
      </c>
      <c r="E16" s="217">
        <v>22</v>
      </c>
    </row>
    <row r="17" spans="1:5" x14ac:dyDescent="0.15">
      <c r="A17" s="1357" t="s">
        <v>2873</v>
      </c>
      <c r="B17" s="236">
        <f>SUM(B18:B19)</f>
        <v>62</v>
      </c>
      <c r="C17" s="236">
        <f>SUM(C18:C19)</f>
        <v>31</v>
      </c>
      <c r="D17" s="236">
        <f>SUM(D18:D19)</f>
        <v>3</v>
      </c>
      <c r="E17" s="236">
        <f>SUM(E18:E19)</f>
        <v>28</v>
      </c>
    </row>
    <row r="18" spans="1:5" s="1372" customFormat="1" x14ac:dyDescent="0.15">
      <c r="A18" s="1359" t="s">
        <v>2874</v>
      </c>
      <c r="B18" s="217">
        <v>14</v>
      </c>
      <c r="C18" s="217">
        <v>1</v>
      </c>
      <c r="D18" s="217">
        <v>0</v>
      </c>
      <c r="E18" s="217">
        <v>13</v>
      </c>
    </row>
    <row r="19" spans="1:5" x14ac:dyDescent="0.15">
      <c r="A19" s="1359" t="s">
        <v>2048</v>
      </c>
      <c r="B19" s="217">
        <v>48</v>
      </c>
      <c r="C19" s="217">
        <v>30</v>
      </c>
      <c r="D19" s="217">
        <v>3</v>
      </c>
      <c r="E19" s="217">
        <v>15</v>
      </c>
    </row>
    <row r="20" spans="1:5" x14ac:dyDescent="0.15">
      <c r="A20" s="1357" t="s">
        <v>2875</v>
      </c>
      <c r="B20" s="236">
        <f>SUM(B21:B24)</f>
        <v>120</v>
      </c>
      <c r="C20" s="236">
        <f>SUM(C21:C24)</f>
        <v>9</v>
      </c>
      <c r="D20" s="236">
        <f>SUM(D21:D24)</f>
        <v>8</v>
      </c>
      <c r="E20" s="236">
        <f>SUM(E21:E24)</f>
        <v>103</v>
      </c>
    </row>
    <row r="21" spans="1:5" x14ac:dyDescent="0.15">
      <c r="A21" s="1359" t="s">
        <v>2540</v>
      </c>
      <c r="B21" s="217">
        <v>75</v>
      </c>
      <c r="C21" s="217">
        <v>5</v>
      </c>
      <c r="D21" s="217">
        <v>8</v>
      </c>
      <c r="E21" s="217">
        <v>62</v>
      </c>
    </row>
    <row r="22" spans="1:5" x14ac:dyDescent="0.15">
      <c r="A22" s="1359" t="s">
        <v>2876</v>
      </c>
      <c r="B22" s="217">
        <v>4</v>
      </c>
      <c r="C22" s="217">
        <v>3</v>
      </c>
      <c r="D22" s="217">
        <v>0</v>
      </c>
      <c r="E22" s="217">
        <v>1</v>
      </c>
    </row>
    <row r="23" spans="1:5" s="1372" customFormat="1" x14ac:dyDescent="0.15">
      <c r="A23" s="1359" t="s">
        <v>2877</v>
      </c>
      <c r="B23" s="217">
        <v>4</v>
      </c>
      <c r="C23" s="217">
        <v>0</v>
      </c>
      <c r="D23" s="217">
        <v>0</v>
      </c>
      <c r="E23" s="217">
        <v>4</v>
      </c>
    </row>
    <row r="24" spans="1:5" x14ac:dyDescent="0.15">
      <c r="A24" s="1359" t="s">
        <v>2878</v>
      </c>
      <c r="B24" s="217">
        <v>37</v>
      </c>
      <c r="C24" s="217">
        <v>1</v>
      </c>
      <c r="D24" s="217">
        <v>0</v>
      </c>
      <c r="E24" s="217">
        <v>36</v>
      </c>
    </row>
    <row r="25" spans="1:5" x14ac:dyDescent="0.15">
      <c r="A25" s="1357" t="s">
        <v>2879</v>
      </c>
      <c r="B25" s="236">
        <f>SUM(B26:B27)</f>
        <v>60</v>
      </c>
      <c r="C25" s="236">
        <f>SUM(C26:C27)</f>
        <v>9</v>
      </c>
      <c r="D25" s="236">
        <f>SUM(D26:D27)</f>
        <v>5</v>
      </c>
      <c r="E25" s="236">
        <f>SUM(E26:E27)</f>
        <v>46</v>
      </c>
    </row>
    <row r="26" spans="1:5" s="1372" customFormat="1" x14ac:dyDescent="0.15">
      <c r="A26" s="1359" t="s">
        <v>2880</v>
      </c>
      <c r="B26" s="217">
        <v>40</v>
      </c>
      <c r="C26" s="217">
        <v>8</v>
      </c>
      <c r="D26" s="217">
        <v>2</v>
      </c>
      <c r="E26" s="217">
        <v>30</v>
      </c>
    </row>
    <row r="27" spans="1:5" x14ac:dyDescent="0.15">
      <c r="A27" s="1359" t="s">
        <v>2881</v>
      </c>
      <c r="B27" s="217">
        <v>20</v>
      </c>
      <c r="C27" s="217">
        <v>1</v>
      </c>
      <c r="D27" s="217">
        <v>3</v>
      </c>
      <c r="E27" s="217">
        <v>16</v>
      </c>
    </row>
    <row r="28" spans="1:5" x14ac:dyDescent="0.15">
      <c r="A28" s="1357" t="s">
        <v>2882</v>
      </c>
      <c r="B28" s="236">
        <f>SUM(B29)</f>
        <v>3</v>
      </c>
      <c r="C28" s="236">
        <f>SUM(C29)</f>
        <v>0</v>
      </c>
      <c r="D28" s="236">
        <f>SUM(D29)</f>
        <v>0</v>
      </c>
      <c r="E28" s="236">
        <f>SUM(E29)</f>
        <v>3</v>
      </c>
    </row>
    <row r="29" spans="1:5" x14ac:dyDescent="0.15">
      <c r="A29" s="1359" t="s">
        <v>2882</v>
      </c>
      <c r="B29" s="217">
        <v>3</v>
      </c>
      <c r="C29" s="217">
        <v>0</v>
      </c>
      <c r="D29" s="217">
        <v>0</v>
      </c>
      <c r="E29" s="217">
        <v>3</v>
      </c>
    </row>
    <row r="30" spans="1:5" x14ac:dyDescent="0.15">
      <c r="A30" s="1357" t="s">
        <v>2883</v>
      </c>
      <c r="B30" s="236">
        <f>SUM(B31:B38)</f>
        <v>60</v>
      </c>
      <c r="C30" s="236">
        <f>SUM(C31:C38)</f>
        <v>7</v>
      </c>
      <c r="D30" s="236">
        <f>SUM(D31:D38)</f>
        <v>9</v>
      </c>
      <c r="E30" s="236">
        <f>SUM(E31:E38)</f>
        <v>44</v>
      </c>
    </row>
    <row r="31" spans="1:5" x14ac:dyDescent="0.15">
      <c r="A31" s="1359" t="s">
        <v>2884</v>
      </c>
      <c r="B31" s="217">
        <v>5</v>
      </c>
      <c r="C31" s="217">
        <v>1</v>
      </c>
      <c r="D31" s="217">
        <v>2</v>
      </c>
      <c r="E31" s="217">
        <v>2</v>
      </c>
    </row>
    <row r="32" spans="1:5" s="1372" customFormat="1" x14ac:dyDescent="0.15">
      <c r="A32" s="1359" t="s">
        <v>2885</v>
      </c>
      <c r="B32" s="217">
        <v>15</v>
      </c>
      <c r="C32" s="217">
        <v>0</v>
      </c>
      <c r="D32" s="217">
        <v>2</v>
      </c>
      <c r="E32" s="217">
        <v>13</v>
      </c>
    </row>
    <row r="33" spans="1:5" x14ac:dyDescent="0.15">
      <c r="A33" s="1359" t="s">
        <v>2886</v>
      </c>
      <c r="B33" s="217">
        <v>11</v>
      </c>
      <c r="C33" s="217">
        <v>3</v>
      </c>
      <c r="D33" s="217">
        <v>1</v>
      </c>
      <c r="E33" s="217">
        <v>7</v>
      </c>
    </row>
    <row r="34" spans="1:5" x14ac:dyDescent="0.15">
      <c r="A34" s="1359" t="s">
        <v>2887</v>
      </c>
      <c r="B34" s="217">
        <v>3</v>
      </c>
      <c r="C34" s="217">
        <v>2</v>
      </c>
      <c r="D34" s="217">
        <v>1</v>
      </c>
      <c r="E34" s="217">
        <v>0</v>
      </c>
    </row>
    <row r="35" spans="1:5" x14ac:dyDescent="0.15">
      <c r="A35" s="1359" t="s">
        <v>2888</v>
      </c>
      <c r="B35" s="217">
        <v>1</v>
      </c>
      <c r="C35" s="217">
        <v>0</v>
      </c>
      <c r="D35" s="217">
        <v>1</v>
      </c>
      <c r="E35" s="217">
        <v>0</v>
      </c>
    </row>
    <row r="36" spans="1:5" x14ac:dyDescent="0.15">
      <c r="A36" s="1359" t="s">
        <v>2889</v>
      </c>
      <c r="B36" s="217">
        <v>20</v>
      </c>
      <c r="C36" s="217">
        <v>0</v>
      </c>
      <c r="D36" s="217">
        <v>1</v>
      </c>
      <c r="E36" s="217">
        <v>19</v>
      </c>
    </row>
    <row r="37" spans="1:5" x14ac:dyDescent="0.15">
      <c r="A37" s="1359" t="s">
        <v>2890</v>
      </c>
      <c r="B37" s="217">
        <v>4</v>
      </c>
      <c r="C37" s="217">
        <v>1</v>
      </c>
      <c r="D37" s="217">
        <v>0</v>
      </c>
      <c r="E37" s="217">
        <v>3</v>
      </c>
    </row>
    <row r="38" spans="1:5" s="1372" customFormat="1" x14ac:dyDescent="0.15">
      <c r="A38" s="1359" t="s">
        <v>2891</v>
      </c>
      <c r="B38" s="217">
        <v>1</v>
      </c>
      <c r="C38" s="217">
        <v>0</v>
      </c>
      <c r="D38" s="217">
        <v>1</v>
      </c>
      <c r="E38" s="217">
        <v>0</v>
      </c>
    </row>
    <row r="39" spans="1:5" x14ac:dyDescent="0.15">
      <c r="A39" s="1357" t="s">
        <v>2892</v>
      </c>
      <c r="B39" s="236">
        <f>SUM(B40:B43)</f>
        <v>57</v>
      </c>
      <c r="C39" s="236">
        <f>SUM(C40:C43)</f>
        <v>26</v>
      </c>
      <c r="D39" s="236">
        <f>SUM(D40:D43)</f>
        <v>10</v>
      </c>
      <c r="E39" s="236">
        <f>SUM(E40:E43)</f>
        <v>21</v>
      </c>
    </row>
    <row r="40" spans="1:5" x14ac:dyDescent="0.15">
      <c r="A40" s="1359" t="s">
        <v>2893</v>
      </c>
      <c r="B40" s="217">
        <v>8</v>
      </c>
      <c r="C40" s="217">
        <v>4</v>
      </c>
      <c r="D40" s="217">
        <v>2</v>
      </c>
      <c r="E40" s="217">
        <v>2</v>
      </c>
    </row>
    <row r="41" spans="1:5" s="1372" customFormat="1" x14ac:dyDescent="0.15">
      <c r="A41" s="1359" t="s">
        <v>2894</v>
      </c>
      <c r="B41" s="217">
        <v>39</v>
      </c>
      <c r="C41" s="217">
        <v>20</v>
      </c>
      <c r="D41" s="217">
        <v>6</v>
      </c>
      <c r="E41" s="217">
        <v>13</v>
      </c>
    </row>
    <row r="42" spans="1:5" x14ac:dyDescent="0.15">
      <c r="A42" s="1359" t="s">
        <v>2895</v>
      </c>
      <c r="B42" s="217">
        <v>8</v>
      </c>
      <c r="C42" s="217">
        <v>2</v>
      </c>
      <c r="D42" s="217">
        <v>2</v>
      </c>
      <c r="E42" s="217">
        <v>4</v>
      </c>
    </row>
    <row r="43" spans="1:5" x14ac:dyDescent="0.15">
      <c r="A43" s="1359" t="s">
        <v>2896</v>
      </c>
      <c r="B43" s="217">
        <v>2</v>
      </c>
      <c r="C43" s="217">
        <v>0</v>
      </c>
      <c r="D43" s="217">
        <v>0</v>
      </c>
      <c r="E43" s="217">
        <v>2</v>
      </c>
    </row>
    <row r="44" spans="1:5" x14ac:dyDescent="0.15">
      <c r="A44" s="1357" t="s">
        <v>432</v>
      </c>
      <c r="B44" s="236">
        <f>SUM(B45)</f>
        <v>157</v>
      </c>
      <c r="C44" s="236">
        <f>SUM(C45)</f>
        <v>0</v>
      </c>
      <c r="D44" s="236">
        <f>SUM(D45)</f>
        <v>0</v>
      </c>
      <c r="E44" s="236">
        <f>SUM(E45)</f>
        <v>157</v>
      </c>
    </row>
    <row r="45" spans="1:5" x14ac:dyDescent="0.15">
      <c r="A45" s="1359" t="s">
        <v>432</v>
      </c>
      <c r="B45" s="217">
        <v>157</v>
      </c>
      <c r="C45" s="217">
        <v>0</v>
      </c>
      <c r="D45" s="217">
        <v>0</v>
      </c>
      <c r="E45" s="217">
        <v>157</v>
      </c>
    </row>
    <row r="46" spans="1:5" x14ac:dyDescent="0.15">
      <c r="A46" s="1357" t="s">
        <v>2897</v>
      </c>
      <c r="B46" s="236">
        <f>SUM(B47:B49)</f>
        <v>464</v>
      </c>
      <c r="C46" s="236">
        <f>SUM(C47:C49)</f>
        <v>27</v>
      </c>
      <c r="D46" s="236">
        <f>SUM(D47:D49)</f>
        <v>7</v>
      </c>
      <c r="E46" s="236">
        <f>SUM(E47:E49)</f>
        <v>430</v>
      </c>
    </row>
    <row r="47" spans="1:5" x14ac:dyDescent="0.15">
      <c r="A47" s="1359" t="s">
        <v>2898</v>
      </c>
      <c r="B47" s="217">
        <v>445</v>
      </c>
      <c r="C47" s="217">
        <v>14</v>
      </c>
      <c r="D47" s="217">
        <v>4</v>
      </c>
      <c r="E47" s="217">
        <v>427</v>
      </c>
    </row>
    <row r="48" spans="1:5" s="1372" customFormat="1" x14ac:dyDescent="0.15">
      <c r="A48" s="1359" t="s">
        <v>2899</v>
      </c>
      <c r="B48" s="217">
        <v>16</v>
      </c>
      <c r="C48" s="217">
        <v>13</v>
      </c>
      <c r="D48" s="217">
        <v>3</v>
      </c>
      <c r="E48" s="217">
        <v>0</v>
      </c>
    </row>
    <row r="49" spans="1:7" x14ac:dyDescent="0.15">
      <c r="A49" s="1359" t="s">
        <v>2900</v>
      </c>
      <c r="B49" s="217">
        <v>3</v>
      </c>
      <c r="C49" s="217">
        <v>0</v>
      </c>
      <c r="D49" s="217">
        <v>0</v>
      </c>
      <c r="E49" s="217">
        <v>3</v>
      </c>
    </row>
    <row r="50" spans="1:7" x14ac:dyDescent="0.15">
      <c r="A50" s="1357" t="s">
        <v>2901</v>
      </c>
      <c r="B50" s="236">
        <f>SUM(B51:B55)</f>
        <v>79</v>
      </c>
      <c r="C50" s="236">
        <f>SUM(C51:C55)</f>
        <v>3</v>
      </c>
      <c r="D50" s="236">
        <f>SUM(D51:D55)</f>
        <v>4</v>
      </c>
      <c r="E50" s="236">
        <f>SUM(E51:E55)</f>
        <v>72</v>
      </c>
    </row>
    <row r="51" spans="1:7" x14ac:dyDescent="0.15">
      <c r="A51" s="1359" t="s">
        <v>2902</v>
      </c>
      <c r="B51" s="217">
        <v>11</v>
      </c>
      <c r="C51" s="217">
        <v>0</v>
      </c>
      <c r="D51" s="217">
        <v>1</v>
      </c>
      <c r="E51" s="217">
        <v>10</v>
      </c>
    </row>
    <row r="52" spans="1:7" x14ac:dyDescent="0.15">
      <c r="A52" s="1359" t="s">
        <v>2416</v>
      </c>
      <c r="B52" s="217">
        <v>17</v>
      </c>
      <c r="C52" s="217">
        <v>2</v>
      </c>
      <c r="D52" s="217">
        <v>3</v>
      </c>
      <c r="E52" s="217">
        <v>12</v>
      </c>
    </row>
    <row r="53" spans="1:7" ht="11.25" customHeight="1" x14ac:dyDescent="0.15">
      <c r="A53" s="1359" t="s">
        <v>2903</v>
      </c>
      <c r="B53" s="217">
        <v>38</v>
      </c>
      <c r="C53" s="217">
        <v>1</v>
      </c>
      <c r="D53" s="217">
        <v>0</v>
      </c>
      <c r="E53" s="217">
        <v>37</v>
      </c>
      <c r="F53" s="2125"/>
      <c r="G53" s="2125"/>
    </row>
    <row r="54" spans="1:7" x14ac:dyDescent="0.15">
      <c r="A54" s="1359" t="s">
        <v>2904</v>
      </c>
      <c r="B54" s="217">
        <v>2</v>
      </c>
      <c r="C54" s="217">
        <v>0</v>
      </c>
      <c r="D54" s="217">
        <v>0</v>
      </c>
      <c r="E54" s="217">
        <v>2</v>
      </c>
    </row>
    <row r="55" spans="1:7" x14ac:dyDescent="0.15">
      <c r="A55" s="1359" t="s">
        <v>2905</v>
      </c>
      <c r="B55" s="217">
        <v>11</v>
      </c>
      <c r="C55" s="217">
        <v>0</v>
      </c>
      <c r="D55" s="217">
        <v>0</v>
      </c>
      <c r="E55" s="217">
        <v>11</v>
      </c>
    </row>
    <row r="56" spans="1:7" x14ac:dyDescent="0.15">
      <c r="A56" s="1357" t="s">
        <v>2906</v>
      </c>
      <c r="B56" s="236">
        <f>SUM(B57:B61)</f>
        <v>38</v>
      </c>
      <c r="C56" s="236">
        <f>SUM(C57:C61)</f>
        <v>11</v>
      </c>
      <c r="D56" s="236">
        <f>SUM(D57:D61)</f>
        <v>8</v>
      </c>
      <c r="E56" s="236">
        <f>SUM(E57:E61)</f>
        <v>19</v>
      </c>
    </row>
    <row r="57" spans="1:7" x14ac:dyDescent="0.15">
      <c r="A57" s="1359" t="s">
        <v>2907</v>
      </c>
      <c r="B57" s="217">
        <v>3</v>
      </c>
      <c r="C57" s="217">
        <v>0</v>
      </c>
      <c r="D57" s="217">
        <v>0</v>
      </c>
      <c r="E57" s="217">
        <v>3</v>
      </c>
    </row>
    <row r="58" spans="1:7" x14ac:dyDescent="0.15">
      <c r="A58" s="1359" t="s">
        <v>2908</v>
      </c>
      <c r="B58" s="217">
        <v>14</v>
      </c>
      <c r="C58" s="217">
        <v>1</v>
      </c>
      <c r="D58" s="217">
        <v>2</v>
      </c>
      <c r="E58" s="217">
        <v>11</v>
      </c>
    </row>
    <row r="59" spans="1:7" x14ac:dyDescent="0.15">
      <c r="A59" s="1359" t="s">
        <v>2909</v>
      </c>
      <c r="B59" s="217">
        <v>14</v>
      </c>
      <c r="C59" s="217">
        <v>4</v>
      </c>
      <c r="D59" s="217">
        <v>5</v>
      </c>
      <c r="E59" s="217">
        <v>5</v>
      </c>
    </row>
    <row r="60" spans="1:7" x14ac:dyDescent="0.15">
      <c r="A60" s="1359" t="s">
        <v>2910</v>
      </c>
      <c r="B60" s="217">
        <v>3</v>
      </c>
      <c r="C60" s="217">
        <v>2</v>
      </c>
      <c r="D60" s="217">
        <v>1</v>
      </c>
      <c r="E60" s="217">
        <v>0</v>
      </c>
    </row>
    <row r="61" spans="1:7" x14ac:dyDescent="0.15">
      <c r="A61" s="1359" t="s">
        <v>2911</v>
      </c>
      <c r="B61" s="217">
        <v>4</v>
      </c>
      <c r="C61" s="217">
        <v>4</v>
      </c>
      <c r="D61" s="217">
        <v>0</v>
      </c>
      <c r="E61" s="217">
        <v>0</v>
      </c>
    </row>
    <row r="63" spans="1:7" ht="22.5" customHeight="1" x14ac:dyDescent="0.15">
      <c r="A63" s="2835" t="s">
        <v>2912</v>
      </c>
      <c r="B63" s="2835"/>
      <c r="C63" s="2835"/>
      <c r="D63" s="2835"/>
      <c r="E63" s="2835"/>
    </row>
    <row r="64" spans="1:7" x14ac:dyDescent="0.15">
      <c r="A64" s="3278" t="s">
        <v>44</v>
      </c>
      <c r="B64" s="3278"/>
      <c r="C64" s="3278"/>
      <c r="D64" s="3278"/>
      <c r="E64" s="3278"/>
    </row>
    <row r="65" spans="1:5" ht="22.5" customHeight="1" x14ac:dyDescent="0.15">
      <c r="A65" s="2835" t="s">
        <v>2913</v>
      </c>
      <c r="B65" s="2835"/>
      <c r="C65" s="2835"/>
      <c r="D65" s="2835"/>
      <c r="E65" s="2835"/>
    </row>
  </sheetData>
  <mergeCells count="4">
    <mergeCell ref="A2:E2"/>
    <mergeCell ref="A63:E63"/>
    <mergeCell ref="A64:E64"/>
    <mergeCell ref="A65:E65"/>
  </mergeCells>
  <pageMargins left="0.70866141732283472" right="0.70866141732283472" top="0.74803149606299213" bottom="0.74803149606299213" header="0.31496062992125984" footer="0.31496062992125984"/>
  <pageSetup paperSize="9" scale="75"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pageSetUpPr fitToPage="1"/>
  </sheetPr>
  <dimension ref="A1:N120"/>
  <sheetViews>
    <sheetView topLeftCell="B14" zoomScaleNormal="100" workbookViewId="0">
      <selection activeCell="C15" sqref="C15"/>
    </sheetView>
  </sheetViews>
  <sheetFormatPr baseColWidth="10" defaultColWidth="11.42578125" defaultRowHeight="10.5" x14ac:dyDescent="0.15"/>
  <cols>
    <col min="1" max="1" width="60.7109375" style="1362" customWidth="1"/>
    <col min="2" max="2" width="11.42578125" style="1384"/>
    <col min="3" max="3" width="17.7109375" style="738" customWidth="1"/>
    <col min="4" max="4" width="14.28515625" style="738" customWidth="1"/>
    <col min="5" max="5" width="17.7109375" style="738" customWidth="1"/>
    <col min="6" max="6" width="11.85546875" style="738" customWidth="1"/>
    <col min="7" max="7" width="10.7109375" style="738" customWidth="1"/>
    <col min="8" max="8" width="11.5703125" style="738" customWidth="1"/>
    <col min="9" max="9" width="10.42578125" style="738" customWidth="1"/>
    <col min="10" max="11" width="14.28515625" style="738" customWidth="1"/>
    <col min="12" max="13" width="17.85546875" style="738" customWidth="1"/>
    <col min="14" max="16384" width="11.42578125" style="738"/>
  </cols>
  <sheetData>
    <row r="1" spans="1:14" ht="10.5" customHeight="1" x14ac:dyDescent="0.15"/>
    <row r="2" spans="1:14" ht="15" customHeight="1" x14ac:dyDescent="0.15">
      <c r="A2" s="1391" t="s">
        <v>2928</v>
      </c>
      <c r="B2" s="1391"/>
      <c r="C2" s="1391"/>
      <c r="D2" s="1391"/>
      <c r="E2" s="1391"/>
      <c r="F2" s="1391"/>
      <c r="G2" s="1391"/>
      <c r="H2" s="1391"/>
      <c r="I2" s="1391"/>
      <c r="J2" s="1391"/>
      <c r="K2" s="1391"/>
      <c r="L2" s="1391"/>
      <c r="M2" s="1391"/>
    </row>
    <row r="3" spans="1:14" ht="10.5" customHeight="1" x14ac:dyDescent="0.15">
      <c r="A3" s="738"/>
      <c r="D3" s="1392"/>
      <c r="E3" s="1392"/>
      <c r="F3" s="1392"/>
      <c r="G3" s="1392"/>
      <c r="H3" s="1392"/>
      <c r="J3" s="1392"/>
    </row>
    <row r="4" spans="1:14" ht="42" x14ac:dyDescent="0.15">
      <c r="A4" s="1393" t="s">
        <v>2929</v>
      </c>
      <c r="B4" s="1351" t="s">
        <v>141</v>
      </c>
      <c r="C4" s="1393" t="s">
        <v>2865</v>
      </c>
      <c r="D4" s="1393" t="s">
        <v>2869</v>
      </c>
      <c r="E4" s="1393" t="s">
        <v>2873</v>
      </c>
      <c r="F4" s="1393" t="s">
        <v>2875</v>
      </c>
      <c r="G4" s="1393" t="s">
        <v>2879</v>
      </c>
      <c r="H4" s="1393" t="s">
        <v>2882</v>
      </c>
      <c r="I4" s="1393" t="s">
        <v>2042</v>
      </c>
      <c r="J4" s="1393" t="s">
        <v>2892</v>
      </c>
      <c r="K4" s="1393" t="s">
        <v>432</v>
      </c>
      <c r="L4" s="1393" t="s">
        <v>2897</v>
      </c>
      <c r="M4" s="1393" t="s">
        <v>2901</v>
      </c>
      <c r="N4" s="1394" t="s">
        <v>2906</v>
      </c>
    </row>
    <row r="5" spans="1:14" x14ac:dyDescent="0.15">
      <c r="A5" s="1374" t="s">
        <v>141</v>
      </c>
      <c r="B5" s="1395">
        <f>SUM(C5:N5)</f>
        <v>1542</v>
      </c>
      <c r="C5" s="215">
        <f>SUM(C6:C116)</f>
        <v>407</v>
      </c>
      <c r="D5" s="215">
        <f t="shared" ref="D5:N5" si="0">SUM(D6:D116)</f>
        <v>35</v>
      </c>
      <c r="E5" s="215">
        <f t="shared" si="0"/>
        <v>62</v>
      </c>
      <c r="F5" s="215">
        <f t="shared" si="0"/>
        <v>120</v>
      </c>
      <c r="G5" s="215">
        <f t="shared" si="0"/>
        <v>60</v>
      </c>
      <c r="H5" s="215">
        <f t="shared" si="0"/>
        <v>3</v>
      </c>
      <c r="I5" s="215">
        <f t="shared" si="0"/>
        <v>60</v>
      </c>
      <c r="J5" s="215">
        <f t="shared" si="0"/>
        <v>57</v>
      </c>
      <c r="K5" s="215">
        <f t="shared" si="0"/>
        <v>157</v>
      </c>
      <c r="L5" s="215">
        <f t="shared" si="0"/>
        <v>464</v>
      </c>
      <c r="M5" s="215">
        <f t="shared" si="0"/>
        <v>79</v>
      </c>
      <c r="N5" s="1377">
        <f t="shared" si="0"/>
        <v>38</v>
      </c>
    </row>
    <row r="6" spans="1:14" x14ac:dyDescent="0.15">
      <c r="A6" s="202" t="s">
        <v>2930</v>
      </c>
      <c r="B6" s="1395">
        <f t="shared" ref="B6:B69" si="1">SUM(C6:N6)</f>
        <v>5</v>
      </c>
      <c r="C6" s="289">
        <v>1</v>
      </c>
      <c r="D6" s="289">
        <v>0</v>
      </c>
      <c r="E6" s="289">
        <v>0</v>
      </c>
      <c r="F6" s="289">
        <v>0</v>
      </c>
      <c r="G6" s="289">
        <v>4</v>
      </c>
      <c r="H6" s="289">
        <v>0</v>
      </c>
      <c r="I6" s="289">
        <v>0</v>
      </c>
      <c r="J6" s="289">
        <v>0</v>
      </c>
      <c r="K6" s="289">
        <v>0</v>
      </c>
      <c r="L6" s="289">
        <v>0</v>
      </c>
      <c r="M6" s="289">
        <v>0</v>
      </c>
      <c r="N6" s="1382">
        <v>0</v>
      </c>
    </row>
    <row r="7" spans="1:14" x14ac:dyDescent="0.15">
      <c r="A7" s="202" t="s">
        <v>2931</v>
      </c>
      <c r="B7" s="1395">
        <f t="shared" si="1"/>
        <v>7</v>
      </c>
      <c r="C7" s="289">
        <v>3</v>
      </c>
      <c r="D7" s="289">
        <v>0</v>
      </c>
      <c r="E7" s="289">
        <v>0</v>
      </c>
      <c r="F7" s="289">
        <v>0</v>
      </c>
      <c r="G7" s="289">
        <v>0</v>
      </c>
      <c r="H7" s="289">
        <v>0</v>
      </c>
      <c r="I7" s="289">
        <v>0</v>
      </c>
      <c r="J7" s="289">
        <v>0</v>
      </c>
      <c r="K7" s="289">
        <v>0</v>
      </c>
      <c r="L7" s="289">
        <v>4</v>
      </c>
      <c r="M7" s="289">
        <v>0</v>
      </c>
      <c r="N7" s="1382">
        <v>0</v>
      </c>
    </row>
    <row r="8" spans="1:14" x14ac:dyDescent="0.15">
      <c r="A8" s="202" t="s">
        <v>2932</v>
      </c>
      <c r="B8" s="1395">
        <f t="shared" si="1"/>
        <v>1</v>
      </c>
      <c r="C8" s="289">
        <v>0</v>
      </c>
      <c r="D8" s="289">
        <v>0</v>
      </c>
      <c r="E8" s="289">
        <v>0</v>
      </c>
      <c r="F8" s="289">
        <v>0</v>
      </c>
      <c r="G8" s="289">
        <v>0</v>
      </c>
      <c r="H8" s="289">
        <v>0</v>
      </c>
      <c r="I8" s="289">
        <v>0</v>
      </c>
      <c r="J8" s="289">
        <v>0</v>
      </c>
      <c r="K8" s="289">
        <v>0</v>
      </c>
      <c r="L8" s="289">
        <v>0</v>
      </c>
      <c r="M8" s="289">
        <v>0</v>
      </c>
      <c r="N8" s="1382">
        <v>1</v>
      </c>
    </row>
    <row r="9" spans="1:14" x14ac:dyDescent="0.15">
      <c r="A9" s="202" t="s">
        <v>2933</v>
      </c>
      <c r="B9" s="1395">
        <f t="shared" si="1"/>
        <v>1</v>
      </c>
      <c r="C9" s="289">
        <v>1</v>
      </c>
      <c r="D9" s="289">
        <v>0</v>
      </c>
      <c r="E9" s="289">
        <v>0</v>
      </c>
      <c r="F9" s="289">
        <v>0</v>
      </c>
      <c r="G9" s="289">
        <v>0</v>
      </c>
      <c r="H9" s="289">
        <v>0</v>
      </c>
      <c r="I9" s="289">
        <v>0</v>
      </c>
      <c r="J9" s="289">
        <v>0</v>
      </c>
      <c r="K9" s="289">
        <v>0</v>
      </c>
      <c r="L9" s="289">
        <v>0</v>
      </c>
      <c r="M9" s="289">
        <v>0</v>
      </c>
      <c r="N9" s="1382">
        <v>0</v>
      </c>
    </row>
    <row r="10" spans="1:14" x14ac:dyDescent="0.15">
      <c r="A10" s="202" t="s">
        <v>2934</v>
      </c>
      <c r="B10" s="1395">
        <f t="shared" si="1"/>
        <v>2</v>
      </c>
      <c r="C10" s="289">
        <v>0</v>
      </c>
      <c r="D10" s="289">
        <v>0</v>
      </c>
      <c r="E10" s="289">
        <v>0</v>
      </c>
      <c r="F10" s="289">
        <v>0</v>
      </c>
      <c r="G10" s="289">
        <v>0</v>
      </c>
      <c r="H10" s="289">
        <v>0</v>
      </c>
      <c r="I10" s="289">
        <v>0</v>
      </c>
      <c r="J10" s="289">
        <v>0</v>
      </c>
      <c r="K10" s="289">
        <v>2</v>
      </c>
      <c r="L10" s="289">
        <v>0</v>
      </c>
      <c r="M10" s="289">
        <v>0</v>
      </c>
      <c r="N10" s="1382">
        <v>0</v>
      </c>
    </row>
    <row r="11" spans="1:14" x14ac:dyDescent="0.15">
      <c r="A11" s="202" t="s">
        <v>2935</v>
      </c>
      <c r="B11" s="1395">
        <f t="shared" si="1"/>
        <v>1</v>
      </c>
      <c r="C11" s="289">
        <v>0</v>
      </c>
      <c r="D11" s="289">
        <v>0</v>
      </c>
      <c r="E11" s="289">
        <v>0</v>
      </c>
      <c r="F11" s="289">
        <v>0</v>
      </c>
      <c r="G11" s="289">
        <v>0</v>
      </c>
      <c r="H11" s="289">
        <v>0</v>
      </c>
      <c r="I11" s="289">
        <v>0</v>
      </c>
      <c r="J11" s="289">
        <v>0</v>
      </c>
      <c r="K11" s="289">
        <v>0</v>
      </c>
      <c r="L11" s="289">
        <v>1</v>
      </c>
      <c r="M11" s="289">
        <v>0</v>
      </c>
      <c r="N11" s="1382">
        <v>0</v>
      </c>
    </row>
    <row r="12" spans="1:14" x14ac:dyDescent="0.15">
      <c r="A12" s="202" t="s">
        <v>2936</v>
      </c>
      <c r="B12" s="1395">
        <f t="shared" si="1"/>
        <v>3</v>
      </c>
      <c r="C12" s="289">
        <v>0</v>
      </c>
      <c r="D12" s="289">
        <v>0</v>
      </c>
      <c r="E12" s="289">
        <v>0</v>
      </c>
      <c r="F12" s="289">
        <v>0</v>
      </c>
      <c r="G12" s="289">
        <v>0</v>
      </c>
      <c r="H12" s="289">
        <v>0</v>
      </c>
      <c r="I12" s="289">
        <v>0</v>
      </c>
      <c r="J12" s="289">
        <v>0</v>
      </c>
      <c r="K12" s="289">
        <v>2</v>
      </c>
      <c r="L12" s="289">
        <v>1</v>
      </c>
      <c r="M12" s="289">
        <v>0</v>
      </c>
      <c r="N12" s="1382">
        <v>0</v>
      </c>
    </row>
    <row r="13" spans="1:14" x14ac:dyDescent="0.15">
      <c r="A13" s="202" t="s">
        <v>2937</v>
      </c>
      <c r="B13" s="1395">
        <f t="shared" si="1"/>
        <v>1</v>
      </c>
      <c r="C13" s="289">
        <v>1</v>
      </c>
      <c r="D13" s="289">
        <v>0</v>
      </c>
      <c r="E13" s="289">
        <v>0</v>
      </c>
      <c r="F13" s="289">
        <v>0</v>
      </c>
      <c r="G13" s="289">
        <v>0</v>
      </c>
      <c r="H13" s="289">
        <v>0</v>
      </c>
      <c r="I13" s="289">
        <v>0</v>
      </c>
      <c r="J13" s="289">
        <v>0</v>
      </c>
      <c r="K13" s="289">
        <v>0</v>
      </c>
      <c r="L13" s="289">
        <v>0</v>
      </c>
      <c r="M13" s="289">
        <v>0</v>
      </c>
      <c r="N13" s="1382">
        <v>0</v>
      </c>
    </row>
    <row r="14" spans="1:14" x14ac:dyDescent="0.15">
      <c r="A14" s="202" t="s">
        <v>2938</v>
      </c>
      <c r="B14" s="1395">
        <f t="shared" si="1"/>
        <v>7</v>
      </c>
      <c r="C14" s="289">
        <v>2</v>
      </c>
      <c r="D14" s="289">
        <v>0</v>
      </c>
      <c r="E14" s="289">
        <v>5</v>
      </c>
      <c r="F14" s="289">
        <v>0</v>
      </c>
      <c r="G14" s="289">
        <v>0</v>
      </c>
      <c r="H14" s="289">
        <v>0</v>
      </c>
      <c r="I14" s="289">
        <v>0</v>
      </c>
      <c r="J14" s="289">
        <v>0</v>
      </c>
      <c r="K14" s="289">
        <v>0</v>
      </c>
      <c r="L14" s="289">
        <v>0</v>
      </c>
      <c r="M14" s="289">
        <v>0</v>
      </c>
      <c r="N14" s="1382">
        <v>0</v>
      </c>
    </row>
    <row r="15" spans="1:14" x14ac:dyDescent="0.15">
      <c r="A15" s="202" t="s">
        <v>2939</v>
      </c>
      <c r="B15" s="1395">
        <f t="shared" si="1"/>
        <v>5</v>
      </c>
      <c r="C15" s="289">
        <v>5</v>
      </c>
      <c r="D15" s="289">
        <v>0</v>
      </c>
      <c r="E15" s="289">
        <v>0</v>
      </c>
      <c r="F15" s="289">
        <v>0</v>
      </c>
      <c r="G15" s="289">
        <v>0</v>
      </c>
      <c r="H15" s="289">
        <v>0</v>
      </c>
      <c r="I15" s="289">
        <v>0</v>
      </c>
      <c r="J15" s="289">
        <v>0</v>
      </c>
      <c r="K15" s="289">
        <v>0</v>
      </c>
      <c r="L15" s="289">
        <v>0</v>
      </c>
      <c r="M15" s="289">
        <v>0</v>
      </c>
      <c r="N15" s="1382">
        <v>0</v>
      </c>
    </row>
    <row r="16" spans="1:14" x14ac:dyDescent="0.15">
      <c r="A16" s="202" t="s">
        <v>2940</v>
      </c>
      <c r="B16" s="1395">
        <f t="shared" si="1"/>
        <v>2</v>
      </c>
      <c r="C16" s="289">
        <v>0</v>
      </c>
      <c r="D16" s="289">
        <v>0</v>
      </c>
      <c r="E16" s="289">
        <v>0</v>
      </c>
      <c r="F16" s="289">
        <v>0</v>
      </c>
      <c r="G16" s="289">
        <v>0</v>
      </c>
      <c r="H16" s="289">
        <v>0</v>
      </c>
      <c r="I16" s="289">
        <v>0</v>
      </c>
      <c r="J16" s="289">
        <v>0</v>
      </c>
      <c r="K16" s="289">
        <v>2</v>
      </c>
      <c r="L16" s="289">
        <v>0</v>
      </c>
      <c r="M16" s="289">
        <v>0</v>
      </c>
      <c r="N16" s="1382">
        <v>0</v>
      </c>
    </row>
    <row r="17" spans="1:14" x14ac:dyDescent="0.15">
      <c r="A17" s="202" t="s">
        <v>2941</v>
      </c>
      <c r="B17" s="1395">
        <f t="shared" si="1"/>
        <v>1</v>
      </c>
      <c r="C17" s="289">
        <v>0</v>
      </c>
      <c r="D17" s="289">
        <v>0</v>
      </c>
      <c r="E17" s="289">
        <v>0</v>
      </c>
      <c r="F17" s="289">
        <v>0</v>
      </c>
      <c r="G17" s="289">
        <v>0</v>
      </c>
      <c r="H17" s="289">
        <v>0</v>
      </c>
      <c r="I17" s="289">
        <v>0</v>
      </c>
      <c r="J17" s="289">
        <v>0</v>
      </c>
      <c r="K17" s="289">
        <v>1</v>
      </c>
      <c r="L17" s="289">
        <v>0</v>
      </c>
      <c r="M17" s="289">
        <v>0</v>
      </c>
      <c r="N17" s="1382">
        <v>0</v>
      </c>
    </row>
    <row r="18" spans="1:14" s="1384" customFormat="1" x14ac:dyDescent="0.15">
      <c r="A18" s="202" t="s">
        <v>2942</v>
      </c>
      <c r="B18" s="1395">
        <f t="shared" si="1"/>
        <v>6</v>
      </c>
      <c r="C18" s="289">
        <v>1</v>
      </c>
      <c r="D18" s="289">
        <v>0</v>
      </c>
      <c r="E18" s="289">
        <v>0</v>
      </c>
      <c r="F18" s="289">
        <v>0</v>
      </c>
      <c r="G18" s="289">
        <v>0</v>
      </c>
      <c r="H18" s="289">
        <v>3</v>
      </c>
      <c r="I18" s="289">
        <v>0</v>
      </c>
      <c r="J18" s="289">
        <v>0</v>
      </c>
      <c r="K18" s="289">
        <v>0</v>
      </c>
      <c r="L18" s="289">
        <v>0</v>
      </c>
      <c r="M18" s="289">
        <v>0</v>
      </c>
      <c r="N18" s="1382">
        <v>2</v>
      </c>
    </row>
    <row r="19" spans="1:14" x14ac:dyDescent="0.15">
      <c r="A19" s="202" t="s">
        <v>2943</v>
      </c>
      <c r="B19" s="1395">
        <f t="shared" si="1"/>
        <v>2</v>
      </c>
      <c r="C19" s="289">
        <v>0</v>
      </c>
      <c r="D19" s="289">
        <v>2</v>
      </c>
      <c r="E19" s="289">
        <v>0</v>
      </c>
      <c r="F19" s="289">
        <v>0</v>
      </c>
      <c r="G19" s="289">
        <v>0</v>
      </c>
      <c r="H19" s="289">
        <v>0</v>
      </c>
      <c r="I19" s="289">
        <v>0</v>
      </c>
      <c r="J19" s="289">
        <v>0</v>
      </c>
      <c r="K19" s="289">
        <v>0</v>
      </c>
      <c r="L19" s="289">
        <v>0</v>
      </c>
      <c r="M19" s="289">
        <v>0</v>
      </c>
      <c r="N19" s="1382">
        <v>0</v>
      </c>
    </row>
    <row r="20" spans="1:14" x14ac:dyDescent="0.15">
      <c r="A20" s="202" t="s">
        <v>2944</v>
      </c>
      <c r="B20" s="1395">
        <f t="shared" si="1"/>
        <v>9</v>
      </c>
      <c r="C20" s="289">
        <v>2</v>
      </c>
      <c r="D20" s="289">
        <v>0</v>
      </c>
      <c r="E20" s="289">
        <v>0</v>
      </c>
      <c r="F20" s="289">
        <v>0</v>
      </c>
      <c r="G20" s="289">
        <v>2</v>
      </c>
      <c r="H20" s="289">
        <v>0</v>
      </c>
      <c r="I20" s="289">
        <v>0</v>
      </c>
      <c r="J20" s="289">
        <v>0</v>
      </c>
      <c r="K20" s="289">
        <v>5</v>
      </c>
      <c r="L20" s="289">
        <v>0</v>
      </c>
      <c r="M20" s="289">
        <v>0</v>
      </c>
      <c r="N20" s="1382">
        <v>0</v>
      </c>
    </row>
    <row r="21" spans="1:14" x14ac:dyDescent="0.15">
      <c r="A21" s="202" t="s">
        <v>2945</v>
      </c>
      <c r="B21" s="1395">
        <f t="shared" si="1"/>
        <v>76</v>
      </c>
      <c r="C21" s="289">
        <v>27</v>
      </c>
      <c r="D21" s="289">
        <v>0</v>
      </c>
      <c r="E21" s="289">
        <v>8</v>
      </c>
      <c r="F21" s="289">
        <v>0</v>
      </c>
      <c r="G21" s="289">
        <v>0</v>
      </c>
      <c r="H21" s="289">
        <v>0</v>
      </c>
      <c r="I21" s="289">
        <v>0</v>
      </c>
      <c r="J21" s="289">
        <v>0</v>
      </c>
      <c r="K21" s="289">
        <v>39</v>
      </c>
      <c r="L21" s="289">
        <v>1</v>
      </c>
      <c r="M21" s="289">
        <v>1</v>
      </c>
      <c r="N21" s="1382">
        <v>0</v>
      </c>
    </row>
    <row r="22" spans="1:14" x14ac:dyDescent="0.15">
      <c r="A22" s="202" t="s">
        <v>2946</v>
      </c>
      <c r="B22" s="1395">
        <f t="shared" si="1"/>
        <v>2</v>
      </c>
      <c r="C22" s="289">
        <v>0</v>
      </c>
      <c r="D22" s="289">
        <v>0</v>
      </c>
      <c r="E22" s="289">
        <v>0</v>
      </c>
      <c r="F22" s="289">
        <v>0</v>
      </c>
      <c r="G22" s="289">
        <v>0</v>
      </c>
      <c r="H22" s="289">
        <v>0</v>
      </c>
      <c r="I22" s="289">
        <v>0</v>
      </c>
      <c r="J22" s="289">
        <v>0</v>
      </c>
      <c r="K22" s="289">
        <v>2</v>
      </c>
      <c r="L22" s="289">
        <v>0</v>
      </c>
      <c r="M22" s="289">
        <v>0</v>
      </c>
      <c r="N22" s="1382">
        <v>0</v>
      </c>
    </row>
    <row r="23" spans="1:14" x14ac:dyDescent="0.15">
      <c r="A23" s="202" t="s">
        <v>2947</v>
      </c>
      <c r="B23" s="1395">
        <f t="shared" si="1"/>
        <v>5</v>
      </c>
      <c r="C23" s="289">
        <v>3</v>
      </c>
      <c r="D23" s="289">
        <v>0</v>
      </c>
      <c r="E23" s="289">
        <v>0</v>
      </c>
      <c r="F23" s="289">
        <v>0</v>
      </c>
      <c r="G23" s="289">
        <v>0</v>
      </c>
      <c r="H23" s="289">
        <v>0</v>
      </c>
      <c r="I23" s="289">
        <v>0</v>
      </c>
      <c r="J23" s="289">
        <v>0</v>
      </c>
      <c r="K23" s="289">
        <v>2</v>
      </c>
      <c r="L23" s="289">
        <v>0</v>
      </c>
      <c r="M23" s="289">
        <v>0</v>
      </c>
      <c r="N23" s="1382">
        <v>0</v>
      </c>
    </row>
    <row r="24" spans="1:14" x14ac:dyDescent="0.15">
      <c r="A24" s="202" t="s">
        <v>2948</v>
      </c>
      <c r="B24" s="1395">
        <f t="shared" si="1"/>
        <v>3</v>
      </c>
      <c r="C24" s="289">
        <v>2</v>
      </c>
      <c r="D24" s="289">
        <v>0</v>
      </c>
      <c r="E24" s="289">
        <v>0</v>
      </c>
      <c r="F24" s="289">
        <v>0</v>
      </c>
      <c r="G24" s="289">
        <v>0</v>
      </c>
      <c r="H24" s="289">
        <v>0</v>
      </c>
      <c r="I24" s="289">
        <v>0</v>
      </c>
      <c r="J24" s="289">
        <v>0</v>
      </c>
      <c r="K24" s="289">
        <v>1</v>
      </c>
      <c r="L24" s="289">
        <v>0</v>
      </c>
      <c r="M24" s="289">
        <v>0</v>
      </c>
      <c r="N24" s="1382">
        <v>0</v>
      </c>
    </row>
    <row r="25" spans="1:14" x14ac:dyDescent="0.15">
      <c r="A25" s="202" t="s">
        <v>2949</v>
      </c>
      <c r="B25" s="1395">
        <f t="shared" si="1"/>
        <v>2</v>
      </c>
      <c r="C25" s="289">
        <v>0</v>
      </c>
      <c r="D25" s="289">
        <v>0</v>
      </c>
      <c r="E25" s="289">
        <v>0</v>
      </c>
      <c r="F25" s="289">
        <v>0</v>
      </c>
      <c r="G25" s="289">
        <v>0</v>
      </c>
      <c r="H25" s="289">
        <v>0</v>
      </c>
      <c r="I25" s="289">
        <v>0</v>
      </c>
      <c r="J25" s="289">
        <v>0</v>
      </c>
      <c r="K25" s="289">
        <v>0</v>
      </c>
      <c r="L25" s="289">
        <v>2</v>
      </c>
      <c r="M25" s="289">
        <v>0</v>
      </c>
      <c r="N25" s="1382">
        <v>0</v>
      </c>
    </row>
    <row r="26" spans="1:14" x14ac:dyDescent="0.15">
      <c r="A26" s="202" t="s">
        <v>2950</v>
      </c>
      <c r="B26" s="1395">
        <f t="shared" si="1"/>
        <v>3</v>
      </c>
      <c r="C26" s="289">
        <v>2</v>
      </c>
      <c r="D26" s="289">
        <v>0</v>
      </c>
      <c r="E26" s="289">
        <v>0</v>
      </c>
      <c r="F26" s="289">
        <v>0</v>
      </c>
      <c r="G26" s="289">
        <v>0</v>
      </c>
      <c r="H26" s="289">
        <v>0</v>
      </c>
      <c r="I26" s="289">
        <v>0</v>
      </c>
      <c r="J26" s="289">
        <v>0</v>
      </c>
      <c r="K26" s="289">
        <v>0</v>
      </c>
      <c r="L26" s="289">
        <v>1</v>
      </c>
      <c r="M26" s="289">
        <v>0</v>
      </c>
      <c r="N26" s="1382">
        <v>0</v>
      </c>
    </row>
    <row r="27" spans="1:14" x14ac:dyDescent="0.15">
      <c r="A27" s="202" t="s">
        <v>2951</v>
      </c>
      <c r="B27" s="1395">
        <f t="shared" si="1"/>
        <v>4</v>
      </c>
      <c r="C27" s="289">
        <v>0</v>
      </c>
      <c r="D27" s="289">
        <v>0</v>
      </c>
      <c r="E27" s="289">
        <v>0</v>
      </c>
      <c r="F27" s="289">
        <v>0</v>
      </c>
      <c r="G27" s="289">
        <v>0</v>
      </c>
      <c r="H27" s="289">
        <v>0</v>
      </c>
      <c r="I27" s="289">
        <v>0</v>
      </c>
      <c r="J27" s="289">
        <v>0</v>
      </c>
      <c r="K27" s="289">
        <v>0</v>
      </c>
      <c r="L27" s="289">
        <v>4</v>
      </c>
      <c r="M27" s="289">
        <v>0</v>
      </c>
      <c r="N27" s="1382">
        <v>0</v>
      </c>
    </row>
    <row r="28" spans="1:14" x14ac:dyDescent="0.15">
      <c r="A28" s="202" t="s">
        <v>2952</v>
      </c>
      <c r="B28" s="1395">
        <f t="shared" si="1"/>
        <v>37</v>
      </c>
      <c r="C28" s="289">
        <v>0</v>
      </c>
      <c r="D28" s="289">
        <v>0</v>
      </c>
      <c r="E28" s="289">
        <v>0</v>
      </c>
      <c r="F28" s="289">
        <v>1</v>
      </c>
      <c r="G28" s="289">
        <v>0</v>
      </c>
      <c r="H28" s="289">
        <v>0</v>
      </c>
      <c r="I28" s="289">
        <v>0</v>
      </c>
      <c r="J28" s="289">
        <v>0</v>
      </c>
      <c r="K28" s="289">
        <v>35</v>
      </c>
      <c r="L28" s="289">
        <v>0</v>
      </c>
      <c r="M28" s="289">
        <v>1</v>
      </c>
      <c r="N28" s="1382">
        <v>0</v>
      </c>
    </row>
    <row r="29" spans="1:14" x14ac:dyDescent="0.15">
      <c r="A29" s="202" t="s">
        <v>2953</v>
      </c>
      <c r="B29" s="1395">
        <f t="shared" si="1"/>
        <v>1</v>
      </c>
      <c r="C29" s="289">
        <v>0</v>
      </c>
      <c r="D29" s="289">
        <v>0</v>
      </c>
      <c r="E29" s="289">
        <v>0</v>
      </c>
      <c r="F29" s="289">
        <v>0</v>
      </c>
      <c r="G29" s="289">
        <v>0</v>
      </c>
      <c r="H29" s="289">
        <v>0</v>
      </c>
      <c r="I29" s="289">
        <v>0</v>
      </c>
      <c r="J29" s="289">
        <v>0</v>
      </c>
      <c r="K29" s="289">
        <v>0</v>
      </c>
      <c r="L29" s="289">
        <v>1</v>
      </c>
      <c r="M29" s="289">
        <v>0</v>
      </c>
      <c r="N29" s="1382">
        <v>0</v>
      </c>
    </row>
    <row r="30" spans="1:14" x14ac:dyDescent="0.15">
      <c r="A30" s="202" t="s">
        <v>2954</v>
      </c>
      <c r="B30" s="1395">
        <f t="shared" si="1"/>
        <v>2</v>
      </c>
      <c r="C30" s="289">
        <v>0</v>
      </c>
      <c r="D30" s="289">
        <v>0</v>
      </c>
      <c r="E30" s="289">
        <v>0</v>
      </c>
      <c r="F30" s="289">
        <v>0</v>
      </c>
      <c r="G30" s="289">
        <v>0</v>
      </c>
      <c r="H30" s="289">
        <v>0</v>
      </c>
      <c r="I30" s="289">
        <v>0</v>
      </c>
      <c r="J30" s="289">
        <v>0</v>
      </c>
      <c r="K30" s="289">
        <v>2</v>
      </c>
      <c r="L30" s="289">
        <v>0</v>
      </c>
      <c r="M30" s="289">
        <v>0</v>
      </c>
      <c r="N30" s="1382">
        <v>0</v>
      </c>
    </row>
    <row r="31" spans="1:14" x14ac:dyDescent="0.15">
      <c r="A31" s="202" t="s">
        <v>2955</v>
      </c>
      <c r="B31" s="1395">
        <f t="shared" si="1"/>
        <v>3</v>
      </c>
      <c r="C31" s="289">
        <v>0</v>
      </c>
      <c r="D31" s="289">
        <v>0</v>
      </c>
      <c r="E31" s="289">
        <v>0</v>
      </c>
      <c r="F31" s="289">
        <v>0</v>
      </c>
      <c r="G31" s="289">
        <v>0</v>
      </c>
      <c r="H31" s="289">
        <v>0</v>
      </c>
      <c r="I31" s="289">
        <v>0</v>
      </c>
      <c r="J31" s="289">
        <v>0</v>
      </c>
      <c r="K31" s="289">
        <v>3</v>
      </c>
      <c r="L31" s="289">
        <v>0</v>
      </c>
      <c r="M31" s="289">
        <v>0</v>
      </c>
      <c r="N31" s="1382">
        <v>0</v>
      </c>
    </row>
    <row r="32" spans="1:14" x14ac:dyDescent="0.15">
      <c r="A32" s="202" t="s">
        <v>2956</v>
      </c>
      <c r="B32" s="1395">
        <f t="shared" si="1"/>
        <v>106</v>
      </c>
      <c r="C32" s="289">
        <v>42</v>
      </c>
      <c r="D32" s="289">
        <v>1</v>
      </c>
      <c r="E32" s="289">
        <v>0</v>
      </c>
      <c r="F32" s="289">
        <v>9</v>
      </c>
      <c r="G32" s="289">
        <v>0</v>
      </c>
      <c r="H32" s="289">
        <v>0</v>
      </c>
      <c r="I32" s="289">
        <v>0</v>
      </c>
      <c r="J32" s="289">
        <v>2</v>
      </c>
      <c r="K32" s="289">
        <v>2</v>
      </c>
      <c r="L32" s="289">
        <v>45</v>
      </c>
      <c r="M32" s="289">
        <v>5</v>
      </c>
      <c r="N32" s="1382">
        <v>0</v>
      </c>
    </row>
    <row r="33" spans="1:14" x14ac:dyDescent="0.15">
      <c r="A33" s="202" t="s">
        <v>2957</v>
      </c>
      <c r="B33" s="1395">
        <f t="shared" si="1"/>
        <v>3</v>
      </c>
      <c r="C33" s="289">
        <v>0</v>
      </c>
      <c r="D33" s="289">
        <v>0</v>
      </c>
      <c r="E33" s="289">
        <v>0</v>
      </c>
      <c r="F33" s="289">
        <v>0</v>
      </c>
      <c r="G33" s="289">
        <v>0</v>
      </c>
      <c r="H33" s="289">
        <v>0</v>
      </c>
      <c r="I33" s="289">
        <v>0</v>
      </c>
      <c r="J33" s="289">
        <v>0</v>
      </c>
      <c r="K33" s="289">
        <v>0</v>
      </c>
      <c r="L33" s="289">
        <v>0</v>
      </c>
      <c r="M33" s="289">
        <v>0</v>
      </c>
      <c r="N33" s="1382">
        <v>3</v>
      </c>
    </row>
    <row r="34" spans="1:14" x14ac:dyDescent="0.15">
      <c r="A34" s="202" t="s">
        <v>2958</v>
      </c>
      <c r="B34" s="1395">
        <f t="shared" si="1"/>
        <v>4</v>
      </c>
      <c r="C34" s="289">
        <v>0</v>
      </c>
      <c r="D34" s="289">
        <v>0</v>
      </c>
      <c r="E34" s="289">
        <v>0</v>
      </c>
      <c r="F34" s="289">
        <v>0</v>
      </c>
      <c r="G34" s="289">
        <v>0</v>
      </c>
      <c r="H34" s="289">
        <v>0</v>
      </c>
      <c r="I34" s="289">
        <v>0</v>
      </c>
      <c r="J34" s="289">
        <v>0</v>
      </c>
      <c r="K34" s="289">
        <v>0</v>
      </c>
      <c r="L34" s="289">
        <v>4</v>
      </c>
      <c r="M34" s="289">
        <v>0</v>
      </c>
      <c r="N34" s="1382">
        <v>0</v>
      </c>
    </row>
    <row r="35" spans="1:14" x14ac:dyDescent="0.15">
      <c r="A35" s="202" t="s">
        <v>2959</v>
      </c>
      <c r="B35" s="1395">
        <f t="shared" si="1"/>
        <v>30</v>
      </c>
      <c r="C35" s="289">
        <v>6</v>
      </c>
      <c r="D35" s="289">
        <v>1</v>
      </c>
      <c r="E35" s="289">
        <v>0</v>
      </c>
      <c r="F35" s="289">
        <v>4</v>
      </c>
      <c r="G35" s="289">
        <v>8</v>
      </c>
      <c r="H35" s="289">
        <v>0</v>
      </c>
      <c r="I35" s="289">
        <v>0</v>
      </c>
      <c r="J35" s="289">
        <v>2</v>
      </c>
      <c r="K35" s="289">
        <v>0</v>
      </c>
      <c r="L35" s="289">
        <v>0</v>
      </c>
      <c r="M35" s="289">
        <v>9</v>
      </c>
      <c r="N35" s="1382">
        <v>0</v>
      </c>
    </row>
    <row r="36" spans="1:14" x14ac:dyDescent="0.15">
      <c r="A36" s="202" t="s">
        <v>2960</v>
      </c>
      <c r="B36" s="1395">
        <f t="shared" si="1"/>
        <v>1</v>
      </c>
      <c r="C36" s="289">
        <v>0</v>
      </c>
      <c r="D36" s="289">
        <v>0</v>
      </c>
      <c r="E36" s="289">
        <v>0</v>
      </c>
      <c r="F36" s="289">
        <v>1</v>
      </c>
      <c r="G36" s="289">
        <v>0</v>
      </c>
      <c r="H36" s="289">
        <v>0</v>
      </c>
      <c r="I36" s="289">
        <v>0</v>
      </c>
      <c r="J36" s="289">
        <v>0</v>
      </c>
      <c r="K36" s="289">
        <v>0</v>
      </c>
      <c r="L36" s="289">
        <v>0</v>
      </c>
      <c r="M36" s="289">
        <v>0</v>
      </c>
      <c r="N36" s="1382">
        <v>0</v>
      </c>
    </row>
    <row r="37" spans="1:14" x14ac:dyDescent="0.15">
      <c r="A37" s="202" t="s">
        <v>2961</v>
      </c>
      <c r="B37" s="1395">
        <f t="shared" si="1"/>
        <v>23</v>
      </c>
      <c r="C37" s="289">
        <v>6</v>
      </c>
      <c r="D37" s="289">
        <v>0</v>
      </c>
      <c r="E37" s="289">
        <v>0</v>
      </c>
      <c r="F37" s="289">
        <v>4</v>
      </c>
      <c r="G37" s="289">
        <v>0</v>
      </c>
      <c r="H37" s="289">
        <v>0</v>
      </c>
      <c r="I37" s="289">
        <v>0</v>
      </c>
      <c r="J37" s="289">
        <v>0</v>
      </c>
      <c r="K37" s="289">
        <v>6</v>
      </c>
      <c r="L37" s="289">
        <v>2</v>
      </c>
      <c r="M37" s="289">
        <v>5</v>
      </c>
      <c r="N37" s="1382">
        <v>0</v>
      </c>
    </row>
    <row r="38" spans="1:14" x14ac:dyDescent="0.15">
      <c r="A38" s="202" t="s">
        <v>2962</v>
      </c>
      <c r="B38" s="1395">
        <f t="shared" si="1"/>
        <v>1</v>
      </c>
      <c r="C38" s="289">
        <v>0</v>
      </c>
      <c r="D38" s="289">
        <v>0</v>
      </c>
      <c r="E38" s="289">
        <v>0</v>
      </c>
      <c r="F38" s="289">
        <v>0</v>
      </c>
      <c r="G38" s="289">
        <v>0</v>
      </c>
      <c r="H38" s="289">
        <v>0</v>
      </c>
      <c r="I38" s="289">
        <v>0</v>
      </c>
      <c r="J38" s="289">
        <v>0</v>
      </c>
      <c r="K38" s="289">
        <v>0</v>
      </c>
      <c r="L38" s="289">
        <v>1</v>
      </c>
      <c r="M38" s="289">
        <v>0</v>
      </c>
      <c r="N38" s="1382">
        <v>0</v>
      </c>
    </row>
    <row r="39" spans="1:14" x14ac:dyDescent="0.15">
      <c r="A39" s="202" t="s">
        <v>2963</v>
      </c>
      <c r="B39" s="1395">
        <f t="shared" si="1"/>
        <v>7</v>
      </c>
      <c r="C39" s="289">
        <v>2</v>
      </c>
      <c r="D39" s="289">
        <v>0</v>
      </c>
      <c r="E39" s="289">
        <v>0</v>
      </c>
      <c r="F39" s="289">
        <v>0</v>
      </c>
      <c r="G39" s="289">
        <v>0</v>
      </c>
      <c r="H39" s="289">
        <v>0</v>
      </c>
      <c r="I39" s="289">
        <v>0</v>
      </c>
      <c r="J39" s="289">
        <v>0</v>
      </c>
      <c r="K39" s="289">
        <v>2</v>
      </c>
      <c r="L39" s="289">
        <v>0</v>
      </c>
      <c r="M39" s="289">
        <v>3</v>
      </c>
      <c r="N39" s="1382">
        <v>0</v>
      </c>
    </row>
    <row r="40" spans="1:14" x14ac:dyDescent="0.15">
      <c r="A40" s="202" t="s">
        <v>2964</v>
      </c>
      <c r="B40" s="1395">
        <f t="shared" si="1"/>
        <v>2</v>
      </c>
      <c r="C40" s="289">
        <v>0</v>
      </c>
      <c r="D40" s="289">
        <v>0</v>
      </c>
      <c r="E40" s="289">
        <v>0</v>
      </c>
      <c r="F40" s="289">
        <v>0</v>
      </c>
      <c r="G40" s="289">
        <v>0</v>
      </c>
      <c r="H40" s="289">
        <v>0</v>
      </c>
      <c r="I40" s="289">
        <v>0</v>
      </c>
      <c r="J40" s="289">
        <v>0</v>
      </c>
      <c r="K40" s="289">
        <v>0</v>
      </c>
      <c r="L40" s="289">
        <v>2</v>
      </c>
      <c r="M40" s="289">
        <v>0</v>
      </c>
      <c r="N40" s="1382">
        <v>0</v>
      </c>
    </row>
    <row r="41" spans="1:14" x14ac:dyDescent="0.15">
      <c r="A41" s="202" t="s">
        <v>2965</v>
      </c>
      <c r="B41" s="1395">
        <f t="shared" si="1"/>
        <v>16</v>
      </c>
      <c r="C41" s="289">
        <v>0</v>
      </c>
      <c r="D41" s="289">
        <v>0</v>
      </c>
      <c r="E41" s="289">
        <v>0</v>
      </c>
      <c r="F41" s="289">
        <v>0</v>
      </c>
      <c r="G41" s="289">
        <v>0</v>
      </c>
      <c r="H41" s="289">
        <v>0</v>
      </c>
      <c r="I41" s="289">
        <v>0</v>
      </c>
      <c r="J41" s="289">
        <v>0</v>
      </c>
      <c r="K41" s="289">
        <v>11</v>
      </c>
      <c r="L41" s="289">
        <v>5</v>
      </c>
      <c r="M41" s="289">
        <v>0</v>
      </c>
      <c r="N41" s="1382">
        <v>0</v>
      </c>
    </row>
    <row r="42" spans="1:14" x14ac:dyDescent="0.15">
      <c r="A42" s="202" t="s">
        <v>2966</v>
      </c>
      <c r="B42" s="1395">
        <f t="shared" si="1"/>
        <v>11</v>
      </c>
      <c r="C42" s="289">
        <v>4</v>
      </c>
      <c r="D42" s="289">
        <v>0</v>
      </c>
      <c r="E42" s="289">
        <v>0</v>
      </c>
      <c r="F42" s="289">
        <v>0</v>
      </c>
      <c r="G42" s="289">
        <v>0</v>
      </c>
      <c r="H42" s="289">
        <v>0</v>
      </c>
      <c r="I42" s="289">
        <v>0</v>
      </c>
      <c r="J42" s="289">
        <v>0</v>
      </c>
      <c r="K42" s="289">
        <v>0</v>
      </c>
      <c r="L42" s="289">
        <v>7</v>
      </c>
      <c r="M42" s="289">
        <v>0</v>
      </c>
      <c r="N42" s="1382">
        <v>0</v>
      </c>
    </row>
    <row r="43" spans="1:14" x14ac:dyDescent="0.15">
      <c r="A43" s="202" t="s">
        <v>2967</v>
      </c>
      <c r="B43" s="1395">
        <f t="shared" si="1"/>
        <v>99</v>
      </c>
      <c r="C43" s="289">
        <v>49</v>
      </c>
      <c r="D43" s="289">
        <v>2</v>
      </c>
      <c r="E43" s="289">
        <v>0</v>
      </c>
      <c r="F43" s="289">
        <v>5</v>
      </c>
      <c r="G43" s="289">
        <v>3</v>
      </c>
      <c r="H43" s="289">
        <v>0</v>
      </c>
      <c r="I43" s="289">
        <v>0</v>
      </c>
      <c r="J43" s="289">
        <v>0</v>
      </c>
      <c r="K43" s="289">
        <v>10</v>
      </c>
      <c r="L43" s="289">
        <v>21</v>
      </c>
      <c r="M43" s="289">
        <v>8</v>
      </c>
      <c r="N43" s="1382">
        <v>1</v>
      </c>
    </row>
    <row r="44" spans="1:14" x14ac:dyDescent="0.15">
      <c r="A44" s="202" t="s">
        <v>2968</v>
      </c>
      <c r="B44" s="1395">
        <f t="shared" si="1"/>
        <v>1</v>
      </c>
      <c r="C44" s="289">
        <v>0</v>
      </c>
      <c r="D44" s="289">
        <v>0</v>
      </c>
      <c r="E44" s="289">
        <v>0</v>
      </c>
      <c r="F44" s="289">
        <v>0</v>
      </c>
      <c r="G44" s="289">
        <v>0</v>
      </c>
      <c r="H44" s="289">
        <v>0</v>
      </c>
      <c r="I44" s="289">
        <v>0</v>
      </c>
      <c r="J44" s="289">
        <v>0</v>
      </c>
      <c r="K44" s="289">
        <v>0</v>
      </c>
      <c r="L44" s="289">
        <v>0</v>
      </c>
      <c r="M44" s="289">
        <v>1</v>
      </c>
      <c r="N44" s="1382">
        <v>0</v>
      </c>
    </row>
    <row r="45" spans="1:14" x14ac:dyDescent="0.15">
      <c r="A45" s="202" t="s">
        <v>2969</v>
      </c>
      <c r="B45" s="1395">
        <f t="shared" si="1"/>
        <v>10</v>
      </c>
      <c r="C45" s="289">
        <v>0</v>
      </c>
      <c r="D45" s="289">
        <v>1</v>
      </c>
      <c r="E45" s="289">
        <v>0</v>
      </c>
      <c r="F45" s="289">
        <v>9</v>
      </c>
      <c r="G45" s="289">
        <v>0</v>
      </c>
      <c r="H45" s="289">
        <v>0</v>
      </c>
      <c r="I45" s="289">
        <v>0</v>
      </c>
      <c r="J45" s="289">
        <v>0</v>
      </c>
      <c r="K45" s="289">
        <v>0</v>
      </c>
      <c r="L45" s="289">
        <v>0</v>
      </c>
      <c r="M45" s="289">
        <v>0</v>
      </c>
      <c r="N45" s="1382">
        <v>0</v>
      </c>
    </row>
    <row r="46" spans="1:14" x14ac:dyDescent="0.15">
      <c r="A46" s="202" t="s">
        <v>2970</v>
      </c>
      <c r="B46" s="1395">
        <f t="shared" si="1"/>
        <v>13</v>
      </c>
      <c r="C46" s="289">
        <v>10</v>
      </c>
      <c r="D46" s="289">
        <v>0</v>
      </c>
      <c r="E46" s="289">
        <v>0</v>
      </c>
      <c r="F46" s="289">
        <v>0</v>
      </c>
      <c r="G46" s="289">
        <v>0</v>
      </c>
      <c r="H46" s="289">
        <v>0</v>
      </c>
      <c r="I46" s="289">
        <v>0</v>
      </c>
      <c r="J46" s="289">
        <v>0</v>
      </c>
      <c r="K46" s="289">
        <v>0</v>
      </c>
      <c r="L46" s="289">
        <v>3</v>
      </c>
      <c r="M46" s="289">
        <v>0</v>
      </c>
      <c r="N46" s="1382">
        <v>0</v>
      </c>
    </row>
    <row r="47" spans="1:14" x14ac:dyDescent="0.15">
      <c r="A47" s="202" t="s">
        <v>2971</v>
      </c>
      <c r="B47" s="1395">
        <f t="shared" si="1"/>
        <v>43</v>
      </c>
      <c r="C47" s="289">
        <v>30</v>
      </c>
      <c r="D47" s="289">
        <v>0</v>
      </c>
      <c r="E47" s="289">
        <v>0</v>
      </c>
      <c r="F47" s="289">
        <v>0</v>
      </c>
      <c r="G47" s="289">
        <v>0</v>
      </c>
      <c r="H47" s="289">
        <v>0</v>
      </c>
      <c r="I47" s="289">
        <v>0</v>
      </c>
      <c r="J47" s="289">
        <v>0</v>
      </c>
      <c r="K47" s="289">
        <v>13</v>
      </c>
      <c r="L47" s="289">
        <v>0</v>
      </c>
      <c r="M47" s="289">
        <v>0</v>
      </c>
      <c r="N47" s="1382">
        <v>0</v>
      </c>
    </row>
    <row r="48" spans="1:14" x14ac:dyDescent="0.15">
      <c r="A48" s="202" t="s">
        <v>2972</v>
      </c>
      <c r="B48" s="1395">
        <f t="shared" si="1"/>
        <v>4</v>
      </c>
      <c r="C48" s="289">
        <v>0</v>
      </c>
      <c r="D48" s="289">
        <v>0</v>
      </c>
      <c r="E48" s="289">
        <v>0</v>
      </c>
      <c r="F48" s="289">
        <v>0</v>
      </c>
      <c r="G48" s="289">
        <v>0</v>
      </c>
      <c r="H48" s="289">
        <v>0</v>
      </c>
      <c r="I48" s="289">
        <v>0</v>
      </c>
      <c r="J48" s="289">
        <v>0</v>
      </c>
      <c r="K48" s="289">
        <v>4</v>
      </c>
      <c r="L48" s="289">
        <v>0</v>
      </c>
      <c r="M48" s="289">
        <v>0</v>
      </c>
      <c r="N48" s="1382">
        <v>0</v>
      </c>
    </row>
    <row r="49" spans="1:14" x14ac:dyDescent="0.15">
      <c r="A49" s="202" t="s">
        <v>2973</v>
      </c>
      <c r="B49" s="1395">
        <f t="shared" si="1"/>
        <v>3</v>
      </c>
      <c r="C49" s="289">
        <v>0</v>
      </c>
      <c r="D49" s="289">
        <v>0</v>
      </c>
      <c r="E49" s="289">
        <v>0</v>
      </c>
      <c r="F49" s="289">
        <v>0</v>
      </c>
      <c r="G49" s="289">
        <v>0</v>
      </c>
      <c r="H49" s="289">
        <v>0</v>
      </c>
      <c r="I49" s="289">
        <v>0</v>
      </c>
      <c r="J49" s="289">
        <v>0</v>
      </c>
      <c r="K49" s="289">
        <v>0</v>
      </c>
      <c r="L49" s="289">
        <v>3</v>
      </c>
      <c r="M49" s="289">
        <v>0</v>
      </c>
      <c r="N49" s="1382">
        <v>0</v>
      </c>
    </row>
    <row r="50" spans="1:14" x14ac:dyDescent="0.15">
      <c r="A50" s="202" t="s">
        <v>2974</v>
      </c>
      <c r="B50" s="1395">
        <f t="shared" si="1"/>
        <v>5</v>
      </c>
      <c r="C50" s="289">
        <v>0</v>
      </c>
      <c r="D50" s="289">
        <v>0</v>
      </c>
      <c r="E50" s="289">
        <v>0</v>
      </c>
      <c r="F50" s="289">
        <v>0</v>
      </c>
      <c r="G50" s="289">
        <v>0</v>
      </c>
      <c r="H50" s="289">
        <v>0</v>
      </c>
      <c r="I50" s="289">
        <v>0</v>
      </c>
      <c r="J50" s="289">
        <v>0</v>
      </c>
      <c r="K50" s="289">
        <v>1</v>
      </c>
      <c r="L50" s="289">
        <v>2</v>
      </c>
      <c r="M50" s="289">
        <v>2</v>
      </c>
      <c r="N50" s="1382">
        <v>0</v>
      </c>
    </row>
    <row r="51" spans="1:14" x14ac:dyDescent="0.15">
      <c r="A51" s="202" t="s">
        <v>2975</v>
      </c>
      <c r="B51" s="1395">
        <f t="shared" si="1"/>
        <v>35</v>
      </c>
      <c r="C51" s="289">
        <v>3</v>
      </c>
      <c r="D51" s="289">
        <v>0</v>
      </c>
      <c r="E51" s="289">
        <v>0</v>
      </c>
      <c r="F51" s="289">
        <v>0</v>
      </c>
      <c r="G51" s="289">
        <v>0</v>
      </c>
      <c r="H51" s="289">
        <v>0</v>
      </c>
      <c r="I51" s="289">
        <v>0</v>
      </c>
      <c r="J51" s="289">
        <v>0</v>
      </c>
      <c r="K51" s="289">
        <v>3</v>
      </c>
      <c r="L51" s="289">
        <v>27</v>
      </c>
      <c r="M51" s="289">
        <v>0</v>
      </c>
      <c r="N51" s="1382">
        <v>2</v>
      </c>
    </row>
    <row r="52" spans="1:14" x14ac:dyDescent="0.15">
      <c r="A52" s="202" t="s">
        <v>2976</v>
      </c>
      <c r="B52" s="1395">
        <f t="shared" si="1"/>
        <v>14</v>
      </c>
      <c r="C52" s="289">
        <v>1</v>
      </c>
      <c r="D52" s="289">
        <v>0</v>
      </c>
      <c r="E52" s="289">
        <v>0</v>
      </c>
      <c r="F52" s="289">
        <v>0</v>
      </c>
      <c r="G52" s="289">
        <v>0</v>
      </c>
      <c r="H52" s="289">
        <v>0</v>
      </c>
      <c r="I52" s="289">
        <v>1</v>
      </c>
      <c r="J52" s="289">
        <v>0</v>
      </c>
      <c r="K52" s="289">
        <v>5</v>
      </c>
      <c r="L52" s="289">
        <v>7</v>
      </c>
      <c r="M52" s="289">
        <v>0</v>
      </c>
      <c r="N52" s="1382">
        <v>0</v>
      </c>
    </row>
    <row r="53" spans="1:14" x14ac:dyDescent="0.15">
      <c r="A53" s="202" t="s">
        <v>2977</v>
      </c>
      <c r="B53" s="1395">
        <f t="shared" si="1"/>
        <v>1</v>
      </c>
      <c r="C53" s="289">
        <v>0</v>
      </c>
      <c r="D53" s="289">
        <v>0</v>
      </c>
      <c r="E53" s="289">
        <v>0</v>
      </c>
      <c r="F53" s="289">
        <v>0</v>
      </c>
      <c r="G53" s="289">
        <v>0</v>
      </c>
      <c r="H53" s="289">
        <v>0</v>
      </c>
      <c r="I53" s="289">
        <v>0</v>
      </c>
      <c r="J53" s="289">
        <v>0</v>
      </c>
      <c r="K53" s="289">
        <v>0</v>
      </c>
      <c r="L53" s="289">
        <v>1</v>
      </c>
      <c r="M53" s="289">
        <v>0</v>
      </c>
      <c r="N53" s="1382">
        <v>0</v>
      </c>
    </row>
    <row r="54" spans="1:14" x14ac:dyDescent="0.15">
      <c r="A54" s="202" t="s">
        <v>2978</v>
      </c>
      <c r="B54" s="1395">
        <f t="shared" si="1"/>
        <v>17</v>
      </c>
      <c r="C54" s="289">
        <v>0</v>
      </c>
      <c r="D54" s="289">
        <v>0</v>
      </c>
      <c r="E54" s="289">
        <v>0</v>
      </c>
      <c r="F54" s="289">
        <v>0</v>
      </c>
      <c r="G54" s="289">
        <v>0</v>
      </c>
      <c r="H54" s="289">
        <v>0</v>
      </c>
      <c r="I54" s="289">
        <v>0</v>
      </c>
      <c r="J54" s="289">
        <v>0</v>
      </c>
      <c r="K54" s="289">
        <v>0</v>
      </c>
      <c r="L54" s="289">
        <v>17</v>
      </c>
      <c r="M54" s="289">
        <v>0</v>
      </c>
      <c r="N54" s="1382">
        <v>0</v>
      </c>
    </row>
    <row r="55" spans="1:14" x14ac:dyDescent="0.15">
      <c r="A55" s="202" t="s">
        <v>2979</v>
      </c>
      <c r="B55" s="1395">
        <f t="shared" si="1"/>
        <v>16</v>
      </c>
      <c r="C55" s="289">
        <v>8</v>
      </c>
      <c r="D55" s="289">
        <v>4</v>
      </c>
      <c r="E55" s="289">
        <v>0</v>
      </c>
      <c r="F55" s="289">
        <v>0</v>
      </c>
      <c r="G55" s="289">
        <v>4</v>
      </c>
      <c r="H55" s="289">
        <v>0</v>
      </c>
      <c r="I55" s="289">
        <v>0</v>
      </c>
      <c r="J55" s="289">
        <v>0</v>
      </c>
      <c r="K55" s="289">
        <v>0</v>
      </c>
      <c r="L55" s="289">
        <v>0</v>
      </c>
      <c r="M55" s="289">
        <v>0</v>
      </c>
      <c r="N55" s="1382">
        <v>0</v>
      </c>
    </row>
    <row r="56" spans="1:14" x14ac:dyDescent="0.15">
      <c r="A56" s="202" t="s">
        <v>2980</v>
      </c>
      <c r="B56" s="1395">
        <f t="shared" si="1"/>
        <v>3</v>
      </c>
      <c r="C56" s="289">
        <v>0</v>
      </c>
      <c r="D56" s="289">
        <v>0</v>
      </c>
      <c r="E56" s="289">
        <v>0</v>
      </c>
      <c r="F56" s="289">
        <v>3</v>
      </c>
      <c r="G56" s="289">
        <v>0</v>
      </c>
      <c r="H56" s="289">
        <v>0</v>
      </c>
      <c r="I56" s="289">
        <v>0</v>
      </c>
      <c r="J56" s="289">
        <v>0</v>
      </c>
      <c r="K56" s="289">
        <v>0</v>
      </c>
      <c r="L56" s="289">
        <v>0</v>
      </c>
      <c r="M56" s="289">
        <v>0</v>
      </c>
      <c r="N56" s="1382">
        <v>0</v>
      </c>
    </row>
    <row r="57" spans="1:14" x14ac:dyDescent="0.15">
      <c r="A57" s="202" t="s">
        <v>2981</v>
      </c>
      <c r="B57" s="1395">
        <f t="shared" si="1"/>
        <v>7</v>
      </c>
      <c r="C57" s="289">
        <v>6</v>
      </c>
      <c r="D57" s="289">
        <v>0</v>
      </c>
      <c r="E57" s="289">
        <v>0</v>
      </c>
      <c r="F57" s="289">
        <v>0</v>
      </c>
      <c r="G57" s="289">
        <v>0</v>
      </c>
      <c r="H57" s="289">
        <v>0</v>
      </c>
      <c r="I57" s="289">
        <v>0</v>
      </c>
      <c r="J57" s="289">
        <v>0</v>
      </c>
      <c r="K57" s="289">
        <v>0</v>
      </c>
      <c r="L57" s="289">
        <v>1</v>
      </c>
      <c r="M57" s="289">
        <v>0</v>
      </c>
      <c r="N57" s="1382">
        <v>0</v>
      </c>
    </row>
    <row r="58" spans="1:14" x14ac:dyDescent="0.15">
      <c r="A58" s="202" t="s">
        <v>2982</v>
      </c>
      <c r="B58" s="1395">
        <f t="shared" si="1"/>
        <v>71</v>
      </c>
      <c r="C58" s="289">
        <v>20</v>
      </c>
      <c r="D58" s="289">
        <v>0</v>
      </c>
      <c r="E58" s="289">
        <v>0</v>
      </c>
      <c r="F58" s="289">
        <v>8</v>
      </c>
      <c r="G58" s="289">
        <v>0</v>
      </c>
      <c r="H58" s="289">
        <v>0</v>
      </c>
      <c r="I58" s="289">
        <v>0</v>
      </c>
      <c r="J58" s="289">
        <v>0</v>
      </c>
      <c r="K58" s="289">
        <v>0</v>
      </c>
      <c r="L58" s="289">
        <v>34</v>
      </c>
      <c r="M58" s="289">
        <v>9</v>
      </c>
      <c r="N58" s="1382">
        <v>0</v>
      </c>
    </row>
    <row r="59" spans="1:14" x14ac:dyDescent="0.15">
      <c r="A59" s="202" t="s">
        <v>2983</v>
      </c>
      <c r="B59" s="1395">
        <f t="shared" si="1"/>
        <v>32</v>
      </c>
      <c r="C59" s="289">
        <v>9</v>
      </c>
      <c r="D59" s="289">
        <v>1</v>
      </c>
      <c r="E59" s="289">
        <v>9</v>
      </c>
      <c r="F59" s="289">
        <v>2</v>
      </c>
      <c r="G59" s="289">
        <v>6</v>
      </c>
      <c r="H59" s="289">
        <v>0</v>
      </c>
      <c r="I59" s="289">
        <v>0</v>
      </c>
      <c r="J59" s="289">
        <v>1</v>
      </c>
      <c r="K59" s="289">
        <v>0</v>
      </c>
      <c r="L59" s="289">
        <v>3</v>
      </c>
      <c r="M59" s="289">
        <v>1</v>
      </c>
      <c r="N59" s="1382">
        <v>0</v>
      </c>
    </row>
    <row r="60" spans="1:14" x14ac:dyDescent="0.15">
      <c r="A60" s="202" t="s">
        <v>2984</v>
      </c>
      <c r="B60" s="1395">
        <f t="shared" si="1"/>
        <v>17</v>
      </c>
      <c r="C60" s="289">
        <v>6</v>
      </c>
      <c r="D60" s="289">
        <v>0</v>
      </c>
      <c r="E60" s="289">
        <v>4</v>
      </c>
      <c r="F60" s="289">
        <v>1</v>
      </c>
      <c r="G60" s="289">
        <v>1</v>
      </c>
      <c r="H60" s="289">
        <v>0</v>
      </c>
      <c r="I60" s="289">
        <v>1</v>
      </c>
      <c r="J60" s="289">
        <v>0</v>
      </c>
      <c r="K60" s="289">
        <v>0</v>
      </c>
      <c r="L60" s="289">
        <v>4</v>
      </c>
      <c r="M60" s="289">
        <v>0</v>
      </c>
      <c r="N60" s="1382">
        <v>0</v>
      </c>
    </row>
    <row r="61" spans="1:14" x14ac:dyDescent="0.15">
      <c r="A61" s="202" t="s">
        <v>2985</v>
      </c>
      <c r="B61" s="1395">
        <f t="shared" si="1"/>
        <v>13</v>
      </c>
      <c r="C61" s="289">
        <v>0</v>
      </c>
      <c r="D61" s="289">
        <v>4</v>
      </c>
      <c r="E61" s="289">
        <v>0</v>
      </c>
      <c r="F61" s="289">
        <v>3</v>
      </c>
      <c r="G61" s="289">
        <v>0</v>
      </c>
      <c r="H61" s="289">
        <v>0</v>
      </c>
      <c r="I61" s="289">
        <v>3</v>
      </c>
      <c r="J61" s="289">
        <v>2</v>
      </c>
      <c r="K61" s="289">
        <v>0</v>
      </c>
      <c r="L61" s="289">
        <v>0</v>
      </c>
      <c r="M61" s="289">
        <v>1</v>
      </c>
      <c r="N61" s="1382">
        <v>0</v>
      </c>
    </row>
    <row r="62" spans="1:14" x14ac:dyDescent="0.15">
      <c r="A62" s="202" t="s">
        <v>2986</v>
      </c>
      <c r="B62" s="1395">
        <f t="shared" si="1"/>
        <v>12</v>
      </c>
      <c r="C62" s="289">
        <v>3</v>
      </c>
      <c r="D62" s="289">
        <v>0</v>
      </c>
      <c r="E62" s="289">
        <v>1</v>
      </c>
      <c r="F62" s="289">
        <v>0</v>
      </c>
      <c r="G62" s="289">
        <v>1</v>
      </c>
      <c r="H62" s="289">
        <v>0</v>
      </c>
      <c r="I62" s="289">
        <v>1</v>
      </c>
      <c r="J62" s="289">
        <v>1</v>
      </c>
      <c r="K62" s="289">
        <v>0</v>
      </c>
      <c r="L62" s="289">
        <v>5</v>
      </c>
      <c r="M62" s="289">
        <v>0</v>
      </c>
      <c r="N62" s="1382">
        <v>0</v>
      </c>
    </row>
    <row r="63" spans="1:14" x14ac:dyDescent="0.15">
      <c r="A63" s="202" t="s">
        <v>2987</v>
      </c>
      <c r="B63" s="1395">
        <f t="shared" si="1"/>
        <v>2</v>
      </c>
      <c r="C63" s="289">
        <v>0</v>
      </c>
      <c r="D63" s="289">
        <v>0</v>
      </c>
      <c r="E63" s="289">
        <v>0</v>
      </c>
      <c r="F63" s="289">
        <v>0</v>
      </c>
      <c r="G63" s="289">
        <v>0</v>
      </c>
      <c r="H63" s="289">
        <v>0</v>
      </c>
      <c r="I63" s="289">
        <v>1</v>
      </c>
      <c r="J63" s="289">
        <v>0</v>
      </c>
      <c r="K63" s="289">
        <v>0</v>
      </c>
      <c r="L63" s="289">
        <v>1</v>
      </c>
      <c r="M63" s="289">
        <v>0</v>
      </c>
      <c r="N63" s="1382">
        <v>0</v>
      </c>
    </row>
    <row r="64" spans="1:14" x14ac:dyDescent="0.15">
      <c r="A64" s="202" t="s">
        <v>2988</v>
      </c>
      <c r="B64" s="1395">
        <f t="shared" si="1"/>
        <v>18</v>
      </c>
      <c r="C64" s="289">
        <v>0</v>
      </c>
      <c r="D64" s="289">
        <v>0</v>
      </c>
      <c r="E64" s="289">
        <v>3</v>
      </c>
      <c r="F64" s="289">
        <v>3</v>
      </c>
      <c r="G64" s="289">
        <v>2</v>
      </c>
      <c r="H64" s="289">
        <v>0</v>
      </c>
      <c r="I64" s="289">
        <v>3</v>
      </c>
      <c r="J64" s="289">
        <v>2</v>
      </c>
      <c r="K64" s="289">
        <v>0</v>
      </c>
      <c r="L64" s="289">
        <v>0</v>
      </c>
      <c r="M64" s="289">
        <v>0</v>
      </c>
      <c r="N64" s="1382">
        <v>5</v>
      </c>
    </row>
    <row r="65" spans="1:14" x14ac:dyDescent="0.15">
      <c r="A65" s="202" t="s">
        <v>2989</v>
      </c>
      <c r="B65" s="1395">
        <f t="shared" si="1"/>
        <v>36</v>
      </c>
      <c r="C65" s="289">
        <v>9</v>
      </c>
      <c r="D65" s="289">
        <v>1</v>
      </c>
      <c r="E65" s="289">
        <v>4</v>
      </c>
      <c r="F65" s="289">
        <v>0</v>
      </c>
      <c r="G65" s="289">
        <v>1</v>
      </c>
      <c r="H65" s="289">
        <v>0</v>
      </c>
      <c r="I65" s="289">
        <v>1</v>
      </c>
      <c r="J65" s="289">
        <v>0</v>
      </c>
      <c r="K65" s="289">
        <v>0</v>
      </c>
      <c r="L65" s="289">
        <v>20</v>
      </c>
      <c r="M65" s="289">
        <v>0</v>
      </c>
      <c r="N65" s="1382">
        <v>0</v>
      </c>
    </row>
    <row r="66" spans="1:14" x14ac:dyDescent="0.15">
      <c r="A66" s="202" t="s">
        <v>2990</v>
      </c>
      <c r="B66" s="1395">
        <f t="shared" si="1"/>
        <v>12</v>
      </c>
      <c r="C66" s="289">
        <v>1</v>
      </c>
      <c r="D66" s="289">
        <v>0</v>
      </c>
      <c r="E66" s="289">
        <v>0</v>
      </c>
      <c r="F66" s="289">
        <v>1</v>
      </c>
      <c r="G66" s="289">
        <v>0</v>
      </c>
      <c r="H66" s="289">
        <v>0</v>
      </c>
      <c r="I66" s="289">
        <v>2</v>
      </c>
      <c r="J66" s="289">
        <v>2</v>
      </c>
      <c r="K66" s="289">
        <v>0</v>
      </c>
      <c r="L66" s="289">
        <v>6</v>
      </c>
      <c r="M66" s="289">
        <v>0</v>
      </c>
      <c r="N66" s="1382">
        <v>0</v>
      </c>
    </row>
    <row r="67" spans="1:14" x14ac:dyDescent="0.15">
      <c r="A67" s="202" t="s">
        <v>2991</v>
      </c>
      <c r="B67" s="1395">
        <f t="shared" si="1"/>
        <v>16</v>
      </c>
      <c r="C67" s="289">
        <v>2</v>
      </c>
      <c r="D67" s="289">
        <v>0</v>
      </c>
      <c r="E67" s="289">
        <v>1</v>
      </c>
      <c r="F67" s="289">
        <v>4</v>
      </c>
      <c r="G67" s="289">
        <v>1</v>
      </c>
      <c r="H67" s="289">
        <v>0</v>
      </c>
      <c r="I67" s="289">
        <v>1</v>
      </c>
      <c r="J67" s="289">
        <v>3</v>
      </c>
      <c r="K67" s="289">
        <v>0</v>
      </c>
      <c r="L67" s="289">
        <v>4</v>
      </c>
      <c r="M67" s="289">
        <v>0</v>
      </c>
      <c r="N67" s="1382">
        <v>0</v>
      </c>
    </row>
    <row r="68" spans="1:14" x14ac:dyDescent="0.15">
      <c r="A68" s="202" t="s">
        <v>2992</v>
      </c>
      <c r="B68" s="1395">
        <f t="shared" si="1"/>
        <v>6</v>
      </c>
      <c r="C68" s="289">
        <v>2</v>
      </c>
      <c r="D68" s="289">
        <v>0</v>
      </c>
      <c r="E68" s="289">
        <v>0</v>
      </c>
      <c r="F68" s="289">
        <v>0</v>
      </c>
      <c r="G68" s="289">
        <v>0</v>
      </c>
      <c r="H68" s="289">
        <v>0</v>
      </c>
      <c r="I68" s="289">
        <v>2</v>
      </c>
      <c r="J68" s="289">
        <v>0</v>
      </c>
      <c r="K68" s="289">
        <v>0</v>
      </c>
      <c r="L68" s="289">
        <v>2</v>
      </c>
      <c r="M68" s="289">
        <v>0</v>
      </c>
      <c r="N68" s="1382">
        <v>0</v>
      </c>
    </row>
    <row r="69" spans="1:14" x14ac:dyDescent="0.15">
      <c r="A69" s="202" t="s">
        <v>2993</v>
      </c>
      <c r="B69" s="1395">
        <f t="shared" si="1"/>
        <v>4</v>
      </c>
      <c r="C69" s="289">
        <v>0</v>
      </c>
      <c r="D69" s="289">
        <v>0</v>
      </c>
      <c r="E69" s="289">
        <v>0</v>
      </c>
      <c r="F69" s="289">
        <v>0</v>
      </c>
      <c r="G69" s="289">
        <v>0</v>
      </c>
      <c r="H69" s="289">
        <v>0</v>
      </c>
      <c r="I69" s="289">
        <v>0</v>
      </c>
      <c r="J69" s="289">
        <v>0</v>
      </c>
      <c r="K69" s="289">
        <v>0</v>
      </c>
      <c r="L69" s="289">
        <v>4</v>
      </c>
      <c r="M69" s="289">
        <v>0</v>
      </c>
      <c r="N69" s="1382">
        <v>0</v>
      </c>
    </row>
    <row r="70" spans="1:14" x14ac:dyDescent="0.15">
      <c r="A70" s="202" t="s">
        <v>2994</v>
      </c>
      <c r="B70" s="1395">
        <f t="shared" ref="B70:B116" si="2">SUM(C70:N70)</f>
        <v>5</v>
      </c>
      <c r="C70" s="289">
        <v>0</v>
      </c>
      <c r="D70" s="289">
        <v>0</v>
      </c>
      <c r="E70" s="289">
        <v>0</v>
      </c>
      <c r="F70" s="289">
        <v>1</v>
      </c>
      <c r="G70" s="289">
        <v>0</v>
      </c>
      <c r="H70" s="289">
        <v>0</v>
      </c>
      <c r="I70" s="289">
        <v>3</v>
      </c>
      <c r="J70" s="289">
        <v>0</v>
      </c>
      <c r="K70" s="289">
        <v>0</v>
      </c>
      <c r="L70" s="289">
        <v>0</v>
      </c>
      <c r="M70" s="289">
        <v>0</v>
      </c>
      <c r="N70" s="1382">
        <v>1</v>
      </c>
    </row>
    <row r="71" spans="1:14" x14ac:dyDescent="0.15">
      <c r="A71" s="202" t="s">
        <v>2995</v>
      </c>
      <c r="B71" s="1395">
        <f t="shared" si="2"/>
        <v>7</v>
      </c>
      <c r="C71" s="289">
        <v>0</v>
      </c>
      <c r="D71" s="289">
        <v>0</v>
      </c>
      <c r="E71" s="289">
        <v>1</v>
      </c>
      <c r="F71" s="289">
        <v>0</v>
      </c>
      <c r="G71" s="289">
        <v>0</v>
      </c>
      <c r="H71" s="289">
        <v>0</v>
      </c>
      <c r="I71" s="289">
        <v>0</v>
      </c>
      <c r="J71" s="289">
        <v>0</v>
      </c>
      <c r="K71" s="289">
        <v>1</v>
      </c>
      <c r="L71" s="289">
        <v>1</v>
      </c>
      <c r="M71" s="289">
        <v>3</v>
      </c>
      <c r="N71" s="1382">
        <v>1</v>
      </c>
    </row>
    <row r="72" spans="1:14" x14ac:dyDescent="0.15">
      <c r="A72" s="202" t="s">
        <v>2996</v>
      </c>
      <c r="B72" s="1395">
        <f t="shared" si="2"/>
        <v>15</v>
      </c>
      <c r="C72" s="289">
        <v>4</v>
      </c>
      <c r="D72" s="289">
        <v>0</v>
      </c>
      <c r="E72" s="289">
        <v>0</v>
      </c>
      <c r="F72" s="289">
        <v>3</v>
      </c>
      <c r="G72" s="289">
        <v>1</v>
      </c>
      <c r="H72" s="289">
        <v>0</v>
      </c>
      <c r="I72" s="289">
        <v>2</v>
      </c>
      <c r="J72" s="289">
        <v>1</v>
      </c>
      <c r="K72" s="289">
        <v>0</v>
      </c>
      <c r="L72" s="289">
        <v>2</v>
      </c>
      <c r="M72" s="289">
        <v>0</v>
      </c>
      <c r="N72" s="1382">
        <v>2</v>
      </c>
    </row>
    <row r="73" spans="1:14" x14ac:dyDescent="0.15">
      <c r="A73" s="202" t="s">
        <v>2997</v>
      </c>
      <c r="B73" s="1395">
        <f t="shared" si="2"/>
        <v>1</v>
      </c>
      <c r="C73" s="289">
        <v>0</v>
      </c>
      <c r="D73" s="289">
        <v>0</v>
      </c>
      <c r="E73" s="289">
        <v>0</v>
      </c>
      <c r="F73" s="289">
        <v>0</v>
      </c>
      <c r="G73" s="289">
        <v>0</v>
      </c>
      <c r="H73" s="289">
        <v>0</v>
      </c>
      <c r="I73" s="289">
        <v>0</v>
      </c>
      <c r="J73" s="289">
        <v>0</v>
      </c>
      <c r="K73" s="289">
        <v>0</v>
      </c>
      <c r="L73" s="289">
        <v>1</v>
      </c>
      <c r="M73" s="289">
        <v>0</v>
      </c>
      <c r="N73" s="1382">
        <v>0</v>
      </c>
    </row>
    <row r="74" spans="1:14" x14ac:dyDescent="0.15">
      <c r="A74" s="202" t="s">
        <v>2998</v>
      </c>
      <c r="B74" s="1395">
        <f t="shared" si="2"/>
        <v>8</v>
      </c>
      <c r="C74" s="289">
        <v>1</v>
      </c>
      <c r="D74" s="289">
        <v>0</v>
      </c>
      <c r="E74" s="289">
        <v>0</v>
      </c>
      <c r="F74" s="289">
        <v>0</v>
      </c>
      <c r="G74" s="289">
        <v>0</v>
      </c>
      <c r="H74" s="289">
        <v>0</v>
      </c>
      <c r="I74" s="289">
        <v>0</v>
      </c>
      <c r="J74" s="289">
        <v>3</v>
      </c>
      <c r="K74" s="289">
        <v>0</v>
      </c>
      <c r="L74" s="289">
        <v>4</v>
      </c>
      <c r="M74" s="289">
        <v>0</v>
      </c>
      <c r="N74" s="1382">
        <v>0</v>
      </c>
    </row>
    <row r="75" spans="1:14" x14ac:dyDescent="0.15">
      <c r="A75" s="202" t="s">
        <v>2999</v>
      </c>
      <c r="B75" s="1395">
        <f t="shared" si="2"/>
        <v>2</v>
      </c>
      <c r="C75" s="289">
        <v>0</v>
      </c>
      <c r="D75" s="289">
        <v>0</v>
      </c>
      <c r="E75" s="289">
        <v>0</v>
      </c>
      <c r="F75" s="289">
        <v>0</v>
      </c>
      <c r="G75" s="289">
        <v>0</v>
      </c>
      <c r="H75" s="289">
        <v>0</v>
      </c>
      <c r="I75" s="289">
        <v>2</v>
      </c>
      <c r="J75" s="289">
        <v>0</v>
      </c>
      <c r="K75" s="289">
        <v>0</v>
      </c>
      <c r="L75" s="289">
        <v>0</v>
      </c>
      <c r="M75" s="289">
        <v>0</v>
      </c>
      <c r="N75" s="1382">
        <v>0</v>
      </c>
    </row>
    <row r="76" spans="1:14" x14ac:dyDescent="0.15">
      <c r="A76" s="202" t="s">
        <v>3000</v>
      </c>
      <c r="B76" s="1395">
        <f t="shared" si="2"/>
        <v>14</v>
      </c>
      <c r="C76" s="289">
        <v>5</v>
      </c>
      <c r="D76" s="289">
        <v>0</v>
      </c>
      <c r="E76" s="289">
        <v>0</v>
      </c>
      <c r="F76" s="289">
        <v>0</v>
      </c>
      <c r="G76" s="289">
        <v>0</v>
      </c>
      <c r="H76" s="289">
        <v>0</v>
      </c>
      <c r="I76" s="289">
        <v>0</v>
      </c>
      <c r="J76" s="289">
        <v>0</v>
      </c>
      <c r="K76" s="289">
        <v>0</v>
      </c>
      <c r="L76" s="289">
        <v>8</v>
      </c>
      <c r="M76" s="289">
        <v>1</v>
      </c>
      <c r="N76" s="1382">
        <v>0</v>
      </c>
    </row>
    <row r="77" spans="1:14" x14ac:dyDescent="0.15">
      <c r="A77" s="202" t="s">
        <v>3001</v>
      </c>
      <c r="B77" s="1395">
        <f t="shared" si="2"/>
        <v>2</v>
      </c>
      <c r="C77" s="289">
        <v>1</v>
      </c>
      <c r="D77" s="289">
        <v>0</v>
      </c>
      <c r="E77" s="289">
        <v>0</v>
      </c>
      <c r="F77" s="289">
        <v>0</v>
      </c>
      <c r="G77" s="289">
        <v>0</v>
      </c>
      <c r="H77" s="289">
        <v>0</v>
      </c>
      <c r="I77" s="289">
        <v>0</v>
      </c>
      <c r="J77" s="289">
        <v>0</v>
      </c>
      <c r="K77" s="289">
        <v>0</v>
      </c>
      <c r="L77" s="289">
        <v>1</v>
      </c>
      <c r="M77" s="289">
        <v>0</v>
      </c>
      <c r="N77" s="1382">
        <v>0</v>
      </c>
    </row>
    <row r="78" spans="1:14" x14ac:dyDescent="0.15">
      <c r="A78" s="202" t="s">
        <v>3002</v>
      </c>
      <c r="B78" s="1395">
        <f t="shared" si="2"/>
        <v>4</v>
      </c>
      <c r="C78" s="289">
        <v>2</v>
      </c>
      <c r="D78" s="289">
        <v>1</v>
      </c>
      <c r="E78" s="289">
        <v>0</v>
      </c>
      <c r="F78" s="289">
        <v>1</v>
      </c>
      <c r="G78" s="289">
        <v>0</v>
      </c>
      <c r="H78" s="289">
        <v>0</v>
      </c>
      <c r="I78" s="289">
        <v>0</v>
      </c>
      <c r="J78" s="289">
        <v>0</v>
      </c>
      <c r="K78" s="289">
        <v>0</v>
      </c>
      <c r="L78" s="289">
        <v>0</v>
      </c>
      <c r="M78" s="289">
        <v>0</v>
      </c>
      <c r="N78" s="1382">
        <v>0</v>
      </c>
    </row>
    <row r="79" spans="1:14" x14ac:dyDescent="0.15">
      <c r="A79" s="202" t="s">
        <v>3003</v>
      </c>
      <c r="B79" s="1395">
        <f t="shared" si="2"/>
        <v>11</v>
      </c>
      <c r="C79" s="289">
        <v>1</v>
      </c>
      <c r="D79" s="289">
        <v>1</v>
      </c>
      <c r="E79" s="289">
        <v>1</v>
      </c>
      <c r="F79" s="289">
        <v>2</v>
      </c>
      <c r="G79" s="289">
        <v>2</v>
      </c>
      <c r="H79" s="289">
        <v>0</v>
      </c>
      <c r="I79" s="289">
        <v>1</v>
      </c>
      <c r="J79" s="289">
        <v>2</v>
      </c>
      <c r="K79" s="289">
        <v>0</v>
      </c>
      <c r="L79" s="289">
        <v>0</v>
      </c>
      <c r="M79" s="289">
        <v>1</v>
      </c>
      <c r="N79" s="1382">
        <v>0</v>
      </c>
    </row>
    <row r="80" spans="1:14" x14ac:dyDescent="0.15">
      <c r="A80" s="202" t="s">
        <v>3004</v>
      </c>
      <c r="B80" s="1395">
        <f t="shared" si="2"/>
        <v>19</v>
      </c>
      <c r="C80" s="289">
        <v>5</v>
      </c>
      <c r="D80" s="289">
        <v>2</v>
      </c>
      <c r="E80" s="289">
        <v>0</v>
      </c>
      <c r="F80" s="289">
        <v>2</v>
      </c>
      <c r="G80" s="289">
        <v>1</v>
      </c>
      <c r="H80" s="289">
        <v>0</v>
      </c>
      <c r="I80" s="289">
        <v>0</v>
      </c>
      <c r="J80" s="289">
        <v>0</v>
      </c>
      <c r="K80" s="289">
        <v>0</v>
      </c>
      <c r="L80" s="289">
        <v>2</v>
      </c>
      <c r="M80" s="289">
        <v>7</v>
      </c>
      <c r="N80" s="1382">
        <v>0</v>
      </c>
    </row>
    <row r="81" spans="1:14" x14ac:dyDescent="0.15">
      <c r="A81" s="202" t="s">
        <v>3005</v>
      </c>
      <c r="B81" s="1395">
        <f t="shared" si="2"/>
        <v>2</v>
      </c>
      <c r="C81" s="289">
        <v>0</v>
      </c>
      <c r="D81" s="289">
        <v>0</v>
      </c>
      <c r="E81" s="289">
        <v>0</v>
      </c>
      <c r="F81" s="289">
        <v>0</v>
      </c>
      <c r="G81" s="289">
        <v>0</v>
      </c>
      <c r="H81" s="289">
        <v>0</v>
      </c>
      <c r="I81" s="289">
        <v>0</v>
      </c>
      <c r="J81" s="289">
        <v>0</v>
      </c>
      <c r="K81" s="289">
        <v>0</v>
      </c>
      <c r="L81" s="289">
        <v>2</v>
      </c>
      <c r="M81" s="289">
        <v>0</v>
      </c>
      <c r="N81" s="1382">
        <v>0</v>
      </c>
    </row>
    <row r="82" spans="1:14" x14ac:dyDescent="0.15">
      <c r="A82" s="202" t="s">
        <v>3006</v>
      </c>
      <c r="B82" s="1395">
        <f t="shared" si="2"/>
        <v>46</v>
      </c>
      <c r="C82" s="289">
        <v>6</v>
      </c>
      <c r="D82" s="289">
        <v>4</v>
      </c>
      <c r="E82" s="289">
        <v>7</v>
      </c>
      <c r="F82" s="289">
        <v>9</v>
      </c>
      <c r="G82" s="289">
        <v>5</v>
      </c>
      <c r="H82" s="289">
        <v>0</v>
      </c>
      <c r="I82" s="289">
        <v>0</v>
      </c>
      <c r="J82" s="289">
        <v>8</v>
      </c>
      <c r="K82" s="289">
        <v>0</v>
      </c>
      <c r="L82" s="289">
        <v>1</v>
      </c>
      <c r="M82" s="289">
        <v>3</v>
      </c>
      <c r="N82" s="1382">
        <v>3</v>
      </c>
    </row>
    <row r="83" spans="1:14" x14ac:dyDescent="0.15">
      <c r="A83" s="202" t="s">
        <v>3007</v>
      </c>
      <c r="B83" s="1395">
        <f t="shared" si="2"/>
        <v>17</v>
      </c>
      <c r="C83" s="289">
        <v>4</v>
      </c>
      <c r="D83" s="289">
        <v>0</v>
      </c>
      <c r="E83" s="289">
        <v>4</v>
      </c>
      <c r="F83" s="289">
        <v>0</v>
      </c>
      <c r="G83" s="289">
        <v>4</v>
      </c>
      <c r="H83" s="289">
        <v>0</v>
      </c>
      <c r="I83" s="289">
        <v>2</v>
      </c>
      <c r="J83" s="289">
        <v>1</v>
      </c>
      <c r="K83" s="289">
        <v>0</v>
      </c>
      <c r="L83" s="289">
        <v>1</v>
      </c>
      <c r="M83" s="289">
        <v>0</v>
      </c>
      <c r="N83" s="1382">
        <v>1</v>
      </c>
    </row>
    <row r="84" spans="1:14" x14ac:dyDescent="0.15">
      <c r="A84" s="202" t="s">
        <v>3008</v>
      </c>
      <c r="B84" s="1395">
        <f t="shared" si="2"/>
        <v>5</v>
      </c>
      <c r="C84" s="289">
        <v>0</v>
      </c>
      <c r="D84" s="289">
        <v>0</v>
      </c>
      <c r="E84" s="289">
        <v>0</v>
      </c>
      <c r="F84" s="289">
        <v>0</v>
      </c>
      <c r="G84" s="289">
        <v>0</v>
      </c>
      <c r="H84" s="289">
        <v>0</v>
      </c>
      <c r="I84" s="289">
        <v>0</v>
      </c>
      <c r="J84" s="289">
        <v>0</v>
      </c>
      <c r="K84" s="289">
        <v>0</v>
      </c>
      <c r="L84" s="289">
        <v>5</v>
      </c>
      <c r="M84" s="289">
        <v>0</v>
      </c>
      <c r="N84" s="1382">
        <v>0</v>
      </c>
    </row>
    <row r="85" spans="1:14" x14ac:dyDescent="0.15">
      <c r="A85" s="202" t="s">
        <v>3009</v>
      </c>
      <c r="B85" s="1395">
        <f t="shared" si="2"/>
        <v>7</v>
      </c>
      <c r="C85" s="289">
        <v>2</v>
      </c>
      <c r="D85" s="289">
        <v>0</v>
      </c>
      <c r="E85" s="289">
        <v>1</v>
      </c>
      <c r="F85" s="289">
        <v>2</v>
      </c>
      <c r="G85" s="289">
        <v>0</v>
      </c>
      <c r="H85" s="289">
        <v>0</v>
      </c>
      <c r="I85" s="289">
        <v>1</v>
      </c>
      <c r="J85" s="289">
        <v>0</v>
      </c>
      <c r="K85" s="289">
        <v>0</v>
      </c>
      <c r="L85" s="289">
        <v>1</v>
      </c>
      <c r="M85" s="289">
        <v>0</v>
      </c>
      <c r="N85" s="1382">
        <v>0</v>
      </c>
    </row>
    <row r="86" spans="1:14" ht="9.75" customHeight="1" x14ac:dyDescent="0.15">
      <c r="A86" s="202" t="s">
        <v>3010</v>
      </c>
      <c r="B86" s="1395">
        <f t="shared" si="2"/>
        <v>44</v>
      </c>
      <c r="C86" s="289">
        <v>10</v>
      </c>
      <c r="D86" s="289">
        <v>1</v>
      </c>
      <c r="E86" s="289">
        <v>0</v>
      </c>
      <c r="F86" s="289">
        <v>6</v>
      </c>
      <c r="G86" s="289">
        <v>0</v>
      </c>
      <c r="H86" s="289">
        <v>0</v>
      </c>
      <c r="I86" s="289">
        <v>0</v>
      </c>
      <c r="J86" s="289">
        <v>0</v>
      </c>
      <c r="K86" s="289">
        <v>2</v>
      </c>
      <c r="L86" s="289">
        <v>23</v>
      </c>
      <c r="M86" s="289">
        <v>2</v>
      </c>
      <c r="N86" s="1382">
        <v>0</v>
      </c>
    </row>
    <row r="87" spans="1:14" x14ac:dyDescent="0.15">
      <c r="A87" s="202" t="s">
        <v>3011</v>
      </c>
      <c r="B87" s="1395">
        <f t="shared" si="2"/>
        <v>6</v>
      </c>
      <c r="C87" s="289">
        <v>1</v>
      </c>
      <c r="D87" s="289">
        <v>0</v>
      </c>
      <c r="E87" s="289">
        <v>1</v>
      </c>
      <c r="F87" s="289">
        <v>0</v>
      </c>
      <c r="G87" s="289">
        <v>0</v>
      </c>
      <c r="H87" s="289">
        <v>0</v>
      </c>
      <c r="I87" s="289">
        <v>1</v>
      </c>
      <c r="J87" s="289">
        <v>2</v>
      </c>
      <c r="K87" s="289">
        <v>0</v>
      </c>
      <c r="L87" s="289">
        <v>0</v>
      </c>
      <c r="M87" s="289">
        <v>1</v>
      </c>
      <c r="N87" s="1382">
        <v>0</v>
      </c>
    </row>
    <row r="88" spans="1:14" x14ac:dyDescent="0.15">
      <c r="A88" s="202" t="s">
        <v>3012</v>
      </c>
      <c r="B88" s="1395">
        <f t="shared" si="2"/>
        <v>18</v>
      </c>
      <c r="C88" s="289">
        <v>2</v>
      </c>
      <c r="D88" s="289">
        <v>0</v>
      </c>
      <c r="E88" s="289">
        <v>0</v>
      </c>
      <c r="F88" s="289">
        <v>0</v>
      </c>
      <c r="G88" s="289">
        <v>0</v>
      </c>
      <c r="H88" s="289">
        <v>0</v>
      </c>
      <c r="I88" s="289">
        <v>1</v>
      </c>
      <c r="J88" s="289">
        <v>1</v>
      </c>
      <c r="K88" s="289">
        <v>0</v>
      </c>
      <c r="L88" s="289">
        <v>14</v>
      </c>
      <c r="M88" s="289">
        <v>0</v>
      </c>
      <c r="N88" s="1382">
        <v>0</v>
      </c>
    </row>
    <row r="89" spans="1:14" x14ac:dyDescent="0.15">
      <c r="A89" s="202" t="s">
        <v>3013</v>
      </c>
      <c r="B89" s="1395">
        <f t="shared" si="2"/>
        <v>6</v>
      </c>
      <c r="C89" s="289">
        <v>1</v>
      </c>
      <c r="D89" s="289">
        <v>0</v>
      </c>
      <c r="E89" s="289">
        <v>0</v>
      </c>
      <c r="F89" s="289">
        <v>0</v>
      </c>
      <c r="G89" s="289">
        <v>0</v>
      </c>
      <c r="H89" s="289">
        <v>0</v>
      </c>
      <c r="I89" s="289">
        <v>2</v>
      </c>
      <c r="J89" s="289">
        <v>0</v>
      </c>
      <c r="K89" s="289">
        <v>0</v>
      </c>
      <c r="L89" s="289">
        <v>2</v>
      </c>
      <c r="M89" s="289">
        <v>0</v>
      </c>
      <c r="N89" s="1382">
        <v>1</v>
      </c>
    </row>
    <row r="90" spans="1:14" x14ac:dyDescent="0.15">
      <c r="A90" s="202" t="s">
        <v>3014</v>
      </c>
      <c r="B90" s="1395">
        <f t="shared" si="2"/>
        <v>22</v>
      </c>
      <c r="C90" s="289">
        <v>3</v>
      </c>
      <c r="D90" s="289">
        <v>1</v>
      </c>
      <c r="E90" s="289">
        <v>2</v>
      </c>
      <c r="F90" s="289">
        <v>0</v>
      </c>
      <c r="G90" s="289">
        <v>1</v>
      </c>
      <c r="H90" s="289">
        <v>0</v>
      </c>
      <c r="I90" s="289">
        <v>4</v>
      </c>
      <c r="J90" s="289">
        <v>4</v>
      </c>
      <c r="K90" s="289">
        <v>0</v>
      </c>
      <c r="L90" s="289">
        <v>4</v>
      </c>
      <c r="M90" s="289">
        <v>0</v>
      </c>
      <c r="N90" s="1382">
        <v>3</v>
      </c>
    </row>
    <row r="91" spans="1:14" x14ac:dyDescent="0.15">
      <c r="A91" s="202" t="s">
        <v>3015</v>
      </c>
      <c r="B91" s="1395">
        <f t="shared" si="2"/>
        <v>20</v>
      </c>
      <c r="C91" s="289">
        <v>2</v>
      </c>
      <c r="D91" s="289">
        <v>0</v>
      </c>
      <c r="E91" s="289">
        <v>4</v>
      </c>
      <c r="F91" s="289">
        <v>0</v>
      </c>
      <c r="G91" s="289">
        <v>0</v>
      </c>
      <c r="H91" s="289">
        <v>0</v>
      </c>
      <c r="I91" s="289">
        <v>1</v>
      </c>
      <c r="J91" s="289">
        <v>5</v>
      </c>
      <c r="K91" s="289">
        <v>0</v>
      </c>
      <c r="L91" s="289">
        <v>7</v>
      </c>
      <c r="M91" s="289">
        <v>0</v>
      </c>
      <c r="N91" s="1382">
        <v>1</v>
      </c>
    </row>
    <row r="92" spans="1:14" x14ac:dyDescent="0.15">
      <c r="A92" s="202" t="s">
        <v>3016</v>
      </c>
      <c r="B92" s="1395">
        <f t="shared" si="2"/>
        <v>7</v>
      </c>
      <c r="C92" s="289">
        <v>2</v>
      </c>
      <c r="D92" s="289">
        <v>0</v>
      </c>
      <c r="E92" s="289">
        <v>0</v>
      </c>
      <c r="F92" s="289">
        <v>2</v>
      </c>
      <c r="G92" s="289">
        <v>0</v>
      </c>
      <c r="H92" s="289">
        <v>0</v>
      </c>
      <c r="I92" s="289">
        <v>1</v>
      </c>
      <c r="J92" s="289">
        <v>1</v>
      </c>
      <c r="K92" s="289">
        <v>0</v>
      </c>
      <c r="L92" s="289">
        <v>1</v>
      </c>
      <c r="M92" s="289">
        <v>0</v>
      </c>
      <c r="N92" s="1382">
        <v>0</v>
      </c>
    </row>
    <row r="93" spans="1:14" x14ac:dyDescent="0.15">
      <c r="A93" s="202" t="s">
        <v>3017</v>
      </c>
      <c r="B93" s="1395">
        <f t="shared" si="2"/>
        <v>11</v>
      </c>
      <c r="C93" s="289">
        <v>1</v>
      </c>
      <c r="D93" s="289">
        <v>0</v>
      </c>
      <c r="E93" s="289">
        <v>0</v>
      </c>
      <c r="F93" s="289">
        <v>0</v>
      </c>
      <c r="G93" s="289">
        <v>0</v>
      </c>
      <c r="H93" s="289">
        <v>0</v>
      </c>
      <c r="I93" s="289">
        <v>1</v>
      </c>
      <c r="J93" s="289">
        <v>2</v>
      </c>
      <c r="K93" s="289">
        <v>0</v>
      </c>
      <c r="L93" s="289">
        <v>7</v>
      </c>
      <c r="M93" s="289">
        <v>0</v>
      </c>
      <c r="N93" s="1382">
        <v>0</v>
      </c>
    </row>
    <row r="94" spans="1:14" x14ac:dyDescent="0.15">
      <c r="A94" s="202" t="s">
        <v>3018</v>
      </c>
      <c r="B94" s="1395">
        <f t="shared" si="2"/>
        <v>11</v>
      </c>
      <c r="C94" s="289">
        <v>3</v>
      </c>
      <c r="D94" s="289">
        <v>1</v>
      </c>
      <c r="E94" s="289">
        <v>0</v>
      </c>
      <c r="F94" s="289">
        <v>1</v>
      </c>
      <c r="G94" s="289">
        <v>0</v>
      </c>
      <c r="H94" s="289">
        <v>0</v>
      </c>
      <c r="I94" s="289">
        <v>0</v>
      </c>
      <c r="J94" s="289">
        <v>3</v>
      </c>
      <c r="K94" s="289">
        <v>0</v>
      </c>
      <c r="L94" s="289">
        <v>1</v>
      </c>
      <c r="M94" s="289">
        <v>1</v>
      </c>
      <c r="N94" s="1382">
        <v>1</v>
      </c>
    </row>
    <row r="95" spans="1:14" x14ac:dyDescent="0.15">
      <c r="A95" s="202" t="s">
        <v>3019</v>
      </c>
      <c r="B95" s="1395">
        <f t="shared" si="2"/>
        <v>12</v>
      </c>
      <c r="C95" s="289">
        <v>5</v>
      </c>
      <c r="D95" s="289">
        <v>0</v>
      </c>
      <c r="E95" s="289">
        <v>0</v>
      </c>
      <c r="F95" s="289">
        <v>0</v>
      </c>
      <c r="G95" s="289">
        <v>0</v>
      </c>
      <c r="H95" s="289">
        <v>0</v>
      </c>
      <c r="I95" s="289">
        <v>2</v>
      </c>
      <c r="J95" s="289">
        <v>0</v>
      </c>
      <c r="K95" s="289">
        <v>0</v>
      </c>
      <c r="L95" s="289">
        <v>3</v>
      </c>
      <c r="M95" s="289">
        <v>2</v>
      </c>
      <c r="N95" s="1382">
        <v>0</v>
      </c>
    </row>
    <row r="96" spans="1:14" x14ac:dyDescent="0.15">
      <c r="A96" s="202" t="s">
        <v>3020</v>
      </c>
      <c r="B96" s="1395">
        <f t="shared" si="2"/>
        <v>11</v>
      </c>
      <c r="C96" s="289">
        <v>7</v>
      </c>
      <c r="D96" s="289">
        <v>0</v>
      </c>
      <c r="E96" s="289">
        <v>0</v>
      </c>
      <c r="F96" s="289">
        <v>0</v>
      </c>
      <c r="G96" s="289">
        <v>0</v>
      </c>
      <c r="H96" s="289">
        <v>0</v>
      </c>
      <c r="I96" s="289">
        <v>0</v>
      </c>
      <c r="J96" s="289">
        <v>0</v>
      </c>
      <c r="K96" s="289">
        <v>0</v>
      </c>
      <c r="L96" s="289">
        <v>4</v>
      </c>
      <c r="M96" s="289">
        <v>0</v>
      </c>
      <c r="N96" s="1382">
        <v>0</v>
      </c>
    </row>
    <row r="97" spans="1:14" x14ac:dyDescent="0.15">
      <c r="A97" s="202" t="s">
        <v>3021</v>
      </c>
      <c r="B97" s="1395">
        <f t="shared" si="2"/>
        <v>20</v>
      </c>
      <c r="C97" s="289">
        <v>9</v>
      </c>
      <c r="D97" s="289">
        <v>1</v>
      </c>
      <c r="E97" s="289">
        <v>0</v>
      </c>
      <c r="F97" s="289">
        <v>0</v>
      </c>
      <c r="G97" s="289">
        <v>1</v>
      </c>
      <c r="H97" s="289">
        <v>0</v>
      </c>
      <c r="I97" s="289">
        <v>2</v>
      </c>
      <c r="J97" s="289">
        <v>3</v>
      </c>
      <c r="K97" s="289">
        <v>0</v>
      </c>
      <c r="L97" s="289">
        <v>1</v>
      </c>
      <c r="M97" s="289">
        <v>2</v>
      </c>
      <c r="N97" s="1382">
        <v>1</v>
      </c>
    </row>
    <row r="98" spans="1:14" x14ac:dyDescent="0.15">
      <c r="A98" s="202" t="s">
        <v>3022</v>
      </c>
      <c r="B98" s="1395">
        <f t="shared" si="2"/>
        <v>9</v>
      </c>
      <c r="C98" s="289">
        <v>3</v>
      </c>
      <c r="D98" s="289">
        <v>0</v>
      </c>
      <c r="E98" s="289">
        <v>0</v>
      </c>
      <c r="F98" s="289">
        <v>0</v>
      </c>
      <c r="G98" s="289">
        <v>0</v>
      </c>
      <c r="H98" s="289">
        <v>0</v>
      </c>
      <c r="I98" s="289">
        <v>0</v>
      </c>
      <c r="J98" s="289">
        <v>0</v>
      </c>
      <c r="K98" s="289">
        <v>0</v>
      </c>
      <c r="L98" s="289">
        <v>6</v>
      </c>
      <c r="M98" s="289">
        <v>0</v>
      </c>
      <c r="N98" s="1382">
        <v>0</v>
      </c>
    </row>
    <row r="99" spans="1:14" x14ac:dyDescent="0.15">
      <c r="A99" s="202" t="s">
        <v>3023</v>
      </c>
      <c r="B99" s="1395">
        <f t="shared" si="2"/>
        <v>13</v>
      </c>
      <c r="C99" s="289">
        <v>6</v>
      </c>
      <c r="D99" s="289">
        <v>0</v>
      </c>
      <c r="E99" s="289">
        <v>0</v>
      </c>
      <c r="F99" s="289">
        <v>2</v>
      </c>
      <c r="G99" s="289">
        <v>1</v>
      </c>
      <c r="H99" s="289">
        <v>0</v>
      </c>
      <c r="I99" s="289">
        <v>0</v>
      </c>
      <c r="J99" s="289">
        <v>0</v>
      </c>
      <c r="K99" s="289">
        <v>0</v>
      </c>
      <c r="L99" s="289">
        <v>1</v>
      </c>
      <c r="M99" s="289">
        <v>3</v>
      </c>
      <c r="N99" s="1382">
        <v>0</v>
      </c>
    </row>
    <row r="100" spans="1:14" x14ac:dyDescent="0.15">
      <c r="A100" s="202" t="s">
        <v>3024</v>
      </c>
      <c r="B100" s="1395">
        <f t="shared" si="2"/>
        <v>15</v>
      </c>
      <c r="C100" s="289">
        <v>4</v>
      </c>
      <c r="D100" s="289">
        <v>0</v>
      </c>
      <c r="E100" s="289">
        <v>3</v>
      </c>
      <c r="F100" s="289">
        <v>0</v>
      </c>
      <c r="G100" s="289">
        <v>2</v>
      </c>
      <c r="H100" s="289">
        <v>0</v>
      </c>
      <c r="I100" s="289">
        <v>0</v>
      </c>
      <c r="J100" s="289">
        <v>2</v>
      </c>
      <c r="K100" s="289">
        <v>0</v>
      </c>
      <c r="L100" s="289">
        <v>3</v>
      </c>
      <c r="M100" s="289">
        <v>0</v>
      </c>
      <c r="N100" s="1382">
        <v>1</v>
      </c>
    </row>
    <row r="101" spans="1:14" x14ac:dyDescent="0.15">
      <c r="A101" s="202" t="s">
        <v>3025</v>
      </c>
      <c r="B101" s="1395">
        <f t="shared" si="2"/>
        <v>16</v>
      </c>
      <c r="C101" s="289">
        <v>3</v>
      </c>
      <c r="D101" s="289">
        <v>3</v>
      </c>
      <c r="E101" s="289">
        <v>1</v>
      </c>
      <c r="F101" s="289">
        <v>0</v>
      </c>
      <c r="G101" s="289">
        <v>4</v>
      </c>
      <c r="H101" s="289">
        <v>0</v>
      </c>
      <c r="I101" s="289">
        <v>0</v>
      </c>
      <c r="J101" s="289">
        <v>0</v>
      </c>
      <c r="K101" s="289">
        <v>1</v>
      </c>
      <c r="L101" s="289">
        <v>2</v>
      </c>
      <c r="M101" s="289">
        <v>0</v>
      </c>
      <c r="N101" s="1382">
        <v>2</v>
      </c>
    </row>
    <row r="102" spans="1:14" x14ac:dyDescent="0.15">
      <c r="A102" s="202" t="s">
        <v>3026</v>
      </c>
      <c r="B102" s="1395">
        <f t="shared" si="2"/>
        <v>6</v>
      </c>
      <c r="C102" s="289">
        <v>3</v>
      </c>
      <c r="D102" s="289">
        <v>0</v>
      </c>
      <c r="E102" s="289">
        <v>0</v>
      </c>
      <c r="F102" s="289">
        <v>0</v>
      </c>
      <c r="G102" s="289">
        <v>0</v>
      </c>
      <c r="H102" s="289">
        <v>0</v>
      </c>
      <c r="I102" s="289">
        <v>0</v>
      </c>
      <c r="J102" s="289">
        <v>0</v>
      </c>
      <c r="K102" s="289">
        <v>0</v>
      </c>
      <c r="L102" s="289">
        <v>2</v>
      </c>
      <c r="M102" s="289">
        <v>1</v>
      </c>
      <c r="N102" s="1382">
        <v>0</v>
      </c>
    </row>
    <row r="103" spans="1:14" x14ac:dyDescent="0.15">
      <c r="A103" s="202" t="s">
        <v>3027</v>
      </c>
      <c r="B103" s="1395">
        <f t="shared" si="2"/>
        <v>3</v>
      </c>
      <c r="C103" s="289">
        <v>0</v>
      </c>
      <c r="D103" s="289">
        <v>0</v>
      </c>
      <c r="E103" s="289">
        <v>0</v>
      </c>
      <c r="F103" s="289">
        <v>0</v>
      </c>
      <c r="G103" s="289">
        <v>0</v>
      </c>
      <c r="H103" s="289">
        <v>0</v>
      </c>
      <c r="I103" s="289">
        <v>0</v>
      </c>
      <c r="J103" s="289">
        <v>0</v>
      </c>
      <c r="K103" s="289">
        <v>0</v>
      </c>
      <c r="L103" s="289">
        <v>3</v>
      </c>
      <c r="M103" s="289">
        <v>0</v>
      </c>
      <c r="N103" s="1382">
        <v>0</v>
      </c>
    </row>
    <row r="104" spans="1:14" x14ac:dyDescent="0.15">
      <c r="A104" s="202" t="s">
        <v>3028</v>
      </c>
      <c r="B104" s="1395">
        <f t="shared" si="2"/>
        <v>2</v>
      </c>
      <c r="C104" s="289">
        <v>0</v>
      </c>
      <c r="D104" s="289">
        <v>0</v>
      </c>
      <c r="E104" s="289">
        <v>0</v>
      </c>
      <c r="F104" s="289">
        <v>0</v>
      </c>
      <c r="G104" s="289">
        <v>0</v>
      </c>
      <c r="H104" s="289">
        <v>0</v>
      </c>
      <c r="I104" s="289">
        <v>0</v>
      </c>
      <c r="J104" s="289">
        <v>0</v>
      </c>
      <c r="K104" s="289">
        <v>0</v>
      </c>
      <c r="L104" s="289">
        <v>2</v>
      </c>
      <c r="M104" s="289">
        <v>0</v>
      </c>
      <c r="N104" s="1382">
        <v>0</v>
      </c>
    </row>
    <row r="105" spans="1:14" x14ac:dyDescent="0.15">
      <c r="A105" s="202" t="s">
        <v>3029</v>
      </c>
      <c r="B105" s="1395">
        <f t="shared" si="2"/>
        <v>4</v>
      </c>
      <c r="C105" s="289">
        <v>2</v>
      </c>
      <c r="D105" s="289">
        <v>0</v>
      </c>
      <c r="E105" s="289">
        <v>0</v>
      </c>
      <c r="F105" s="289">
        <v>0</v>
      </c>
      <c r="G105" s="289">
        <v>0</v>
      </c>
      <c r="H105" s="289">
        <v>0</v>
      </c>
      <c r="I105" s="289">
        <v>2</v>
      </c>
      <c r="J105" s="289">
        <v>0</v>
      </c>
      <c r="K105" s="289">
        <v>0</v>
      </c>
      <c r="L105" s="289">
        <v>0</v>
      </c>
      <c r="M105" s="289">
        <v>0</v>
      </c>
      <c r="N105" s="1382">
        <v>0</v>
      </c>
    </row>
    <row r="106" spans="1:14" x14ac:dyDescent="0.15">
      <c r="A106" s="202" t="s">
        <v>3030</v>
      </c>
      <c r="B106" s="1395">
        <f t="shared" si="2"/>
        <v>69</v>
      </c>
      <c r="C106" s="289">
        <v>17</v>
      </c>
      <c r="D106" s="289">
        <v>3</v>
      </c>
      <c r="E106" s="289">
        <v>0</v>
      </c>
      <c r="F106" s="289">
        <v>24</v>
      </c>
      <c r="G106" s="289">
        <v>4</v>
      </c>
      <c r="H106" s="289">
        <v>0</v>
      </c>
      <c r="I106" s="289">
        <v>4</v>
      </c>
      <c r="J106" s="289">
        <v>2</v>
      </c>
      <c r="K106" s="289">
        <v>0</v>
      </c>
      <c r="L106" s="289">
        <v>9</v>
      </c>
      <c r="M106" s="289">
        <v>6</v>
      </c>
      <c r="N106" s="1382">
        <v>0</v>
      </c>
    </row>
    <row r="107" spans="1:14" x14ac:dyDescent="0.15">
      <c r="A107" s="202" t="s">
        <v>3031</v>
      </c>
      <c r="B107" s="1395">
        <f t="shared" si="2"/>
        <v>12</v>
      </c>
      <c r="C107" s="289">
        <v>0</v>
      </c>
      <c r="D107" s="289">
        <v>0</v>
      </c>
      <c r="E107" s="289">
        <v>1</v>
      </c>
      <c r="F107" s="289">
        <v>4</v>
      </c>
      <c r="G107" s="289">
        <v>1</v>
      </c>
      <c r="H107" s="289">
        <v>0</v>
      </c>
      <c r="I107" s="289">
        <v>3</v>
      </c>
      <c r="J107" s="289">
        <v>2</v>
      </c>
      <c r="K107" s="289">
        <v>0</v>
      </c>
      <c r="L107" s="289">
        <v>0</v>
      </c>
      <c r="M107" s="289">
        <v>0</v>
      </c>
      <c r="N107" s="1382">
        <v>1</v>
      </c>
    </row>
    <row r="108" spans="1:14" x14ac:dyDescent="0.15">
      <c r="A108" s="202" t="s">
        <v>3032</v>
      </c>
      <c r="B108" s="1395">
        <f t="shared" si="2"/>
        <v>1</v>
      </c>
      <c r="C108" s="289">
        <v>0</v>
      </c>
      <c r="D108" s="289">
        <v>0</v>
      </c>
      <c r="E108" s="289">
        <v>0</v>
      </c>
      <c r="F108" s="289">
        <v>0</v>
      </c>
      <c r="G108" s="289">
        <v>0</v>
      </c>
      <c r="H108" s="289">
        <v>0</v>
      </c>
      <c r="I108" s="289">
        <v>0</v>
      </c>
      <c r="J108" s="289">
        <v>0</v>
      </c>
      <c r="K108" s="289">
        <v>0</v>
      </c>
      <c r="L108" s="289">
        <v>0</v>
      </c>
      <c r="M108" s="289">
        <v>0</v>
      </c>
      <c r="N108" s="1382">
        <v>1</v>
      </c>
    </row>
    <row r="109" spans="1:14" x14ac:dyDescent="0.15">
      <c r="A109" s="202" t="s">
        <v>3033</v>
      </c>
      <c r="B109" s="1395">
        <f t="shared" si="2"/>
        <v>15</v>
      </c>
      <c r="C109" s="289">
        <v>6</v>
      </c>
      <c r="D109" s="289">
        <v>0</v>
      </c>
      <c r="E109" s="289">
        <v>0</v>
      </c>
      <c r="F109" s="289">
        <v>0</v>
      </c>
      <c r="G109" s="289">
        <v>0</v>
      </c>
      <c r="H109" s="289">
        <v>0</v>
      </c>
      <c r="I109" s="289">
        <v>7</v>
      </c>
      <c r="J109" s="289">
        <v>0</v>
      </c>
      <c r="K109" s="289">
        <v>0</v>
      </c>
      <c r="L109" s="289">
        <v>2</v>
      </c>
      <c r="M109" s="289">
        <v>0</v>
      </c>
      <c r="N109" s="1382">
        <v>0</v>
      </c>
    </row>
    <row r="110" spans="1:14" x14ac:dyDescent="0.15">
      <c r="A110" s="202" t="s">
        <v>3034</v>
      </c>
      <c r="B110" s="1395">
        <f t="shared" si="2"/>
        <v>9</v>
      </c>
      <c r="C110" s="289">
        <v>3</v>
      </c>
      <c r="D110" s="289">
        <v>0</v>
      </c>
      <c r="E110" s="289">
        <v>1</v>
      </c>
      <c r="F110" s="289">
        <v>0</v>
      </c>
      <c r="G110" s="289">
        <v>0</v>
      </c>
      <c r="H110" s="289">
        <v>0</v>
      </c>
      <c r="I110" s="289">
        <v>0</v>
      </c>
      <c r="J110" s="289">
        <v>0</v>
      </c>
      <c r="K110" s="289">
        <v>0</v>
      </c>
      <c r="L110" s="289">
        <v>5</v>
      </c>
      <c r="M110" s="289">
        <v>0</v>
      </c>
      <c r="N110" s="1382">
        <v>0</v>
      </c>
    </row>
    <row r="111" spans="1:14" x14ac:dyDescent="0.15">
      <c r="A111" s="202" t="s">
        <v>3035</v>
      </c>
      <c r="B111" s="1395">
        <f t="shared" si="2"/>
        <v>6</v>
      </c>
      <c r="C111" s="289">
        <v>5</v>
      </c>
      <c r="D111" s="289">
        <v>0</v>
      </c>
      <c r="E111" s="289">
        <v>0</v>
      </c>
      <c r="F111" s="289">
        <v>0</v>
      </c>
      <c r="G111" s="289">
        <v>0</v>
      </c>
      <c r="H111" s="289">
        <v>0</v>
      </c>
      <c r="I111" s="289">
        <v>0</v>
      </c>
      <c r="J111" s="289">
        <v>0</v>
      </c>
      <c r="K111" s="289">
        <v>0</v>
      </c>
      <c r="L111" s="289">
        <v>1</v>
      </c>
      <c r="M111" s="289">
        <v>0</v>
      </c>
      <c r="N111" s="1382">
        <v>0</v>
      </c>
    </row>
    <row r="112" spans="1:14" x14ac:dyDescent="0.15">
      <c r="A112" s="202" t="s">
        <v>3036</v>
      </c>
      <c r="B112" s="1395">
        <f t="shared" si="2"/>
        <v>4</v>
      </c>
      <c r="C112" s="289">
        <v>0</v>
      </c>
      <c r="D112" s="289">
        <v>0</v>
      </c>
      <c r="E112" s="289">
        <v>0</v>
      </c>
      <c r="F112" s="289">
        <v>0</v>
      </c>
      <c r="G112" s="289">
        <v>0</v>
      </c>
      <c r="H112" s="289">
        <v>0</v>
      </c>
      <c r="I112" s="289">
        <v>0</v>
      </c>
      <c r="J112" s="289">
        <v>0</v>
      </c>
      <c r="K112" s="289">
        <v>0</v>
      </c>
      <c r="L112" s="289">
        <v>1</v>
      </c>
      <c r="M112" s="289">
        <v>0</v>
      </c>
      <c r="N112" s="1382">
        <v>3</v>
      </c>
    </row>
    <row r="113" spans="1:14" x14ac:dyDescent="0.15">
      <c r="A113" s="202" t="s">
        <v>3037</v>
      </c>
      <c r="B113" s="1395">
        <f t="shared" si="2"/>
        <v>18</v>
      </c>
      <c r="C113" s="289">
        <v>2</v>
      </c>
      <c r="D113" s="289">
        <v>0</v>
      </c>
      <c r="E113" s="289">
        <v>0</v>
      </c>
      <c r="F113" s="289">
        <v>0</v>
      </c>
      <c r="G113" s="289">
        <v>0</v>
      </c>
      <c r="H113" s="289">
        <v>0</v>
      </c>
      <c r="I113" s="289">
        <v>0</v>
      </c>
      <c r="J113" s="289">
        <v>0</v>
      </c>
      <c r="K113" s="289">
        <v>0</v>
      </c>
      <c r="L113" s="289">
        <v>16</v>
      </c>
      <c r="M113" s="289">
        <v>0</v>
      </c>
      <c r="N113" s="1382">
        <v>0</v>
      </c>
    </row>
    <row r="114" spans="1:14" x14ac:dyDescent="0.15">
      <c r="A114" s="202" t="s">
        <v>3038</v>
      </c>
      <c r="B114" s="1395">
        <f t="shared" si="2"/>
        <v>65</v>
      </c>
      <c r="C114" s="289">
        <v>0</v>
      </c>
      <c r="D114" s="289">
        <v>0</v>
      </c>
      <c r="E114" s="289">
        <v>0</v>
      </c>
      <c r="F114" s="289">
        <v>3</v>
      </c>
      <c r="G114" s="289">
        <v>0</v>
      </c>
      <c r="H114" s="289">
        <v>0</v>
      </c>
      <c r="I114" s="289">
        <v>2</v>
      </c>
      <c r="J114" s="289">
        <v>0</v>
      </c>
      <c r="K114" s="289">
        <v>0</v>
      </c>
      <c r="L114" s="289">
        <v>60</v>
      </c>
      <c r="M114" s="289">
        <v>0</v>
      </c>
      <c r="N114" s="1382">
        <v>0</v>
      </c>
    </row>
    <row r="115" spans="1:14" x14ac:dyDescent="0.15">
      <c r="A115" s="202" t="s">
        <v>3039</v>
      </c>
      <c r="B115" s="1395">
        <f t="shared" si="2"/>
        <v>11</v>
      </c>
      <c r="C115" s="289">
        <v>6</v>
      </c>
      <c r="D115" s="289">
        <v>0</v>
      </c>
      <c r="E115" s="289">
        <v>0</v>
      </c>
      <c r="F115" s="289">
        <v>0</v>
      </c>
      <c r="G115" s="289">
        <v>0</v>
      </c>
      <c r="H115" s="289">
        <v>0</v>
      </c>
      <c r="I115" s="289">
        <v>0</v>
      </c>
      <c r="J115" s="289">
        <v>0</v>
      </c>
      <c r="K115" s="289">
        <v>0</v>
      </c>
      <c r="L115" s="289">
        <v>4</v>
      </c>
      <c r="M115" s="289">
        <v>0</v>
      </c>
      <c r="N115" s="1382">
        <v>1</v>
      </c>
    </row>
    <row r="116" spans="1:14" x14ac:dyDescent="0.15">
      <c r="A116" s="1396" t="s">
        <v>3040</v>
      </c>
      <c r="B116" s="1397">
        <f t="shared" si="2"/>
        <v>6</v>
      </c>
      <c r="C116" s="1398">
        <v>1</v>
      </c>
      <c r="D116" s="1398">
        <v>0</v>
      </c>
      <c r="E116" s="1398">
        <v>0</v>
      </c>
      <c r="F116" s="1398">
        <v>0</v>
      </c>
      <c r="G116" s="1398">
        <v>0</v>
      </c>
      <c r="H116" s="1398">
        <v>0</v>
      </c>
      <c r="I116" s="1398">
        <v>0</v>
      </c>
      <c r="J116" s="1398">
        <v>0</v>
      </c>
      <c r="K116" s="1398">
        <v>0</v>
      </c>
      <c r="L116" s="1398">
        <v>5</v>
      </c>
      <c r="M116" s="1398">
        <v>0</v>
      </c>
      <c r="N116" s="1387">
        <v>0</v>
      </c>
    </row>
    <row r="117" spans="1:14" x14ac:dyDescent="0.15">
      <c r="B117" s="1399"/>
      <c r="C117" s="1400"/>
      <c r="D117" s="1400"/>
      <c r="E117" s="1400"/>
      <c r="F117" s="1400"/>
      <c r="G117" s="1400"/>
      <c r="H117" s="1400"/>
      <c r="I117" s="1400"/>
      <c r="J117" s="1400"/>
      <c r="K117" s="1400"/>
      <c r="L117" s="1400"/>
      <c r="M117" s="1400"/>
    </row>
    <row r="118" spans="1:14" x14ac:dyDescent="0.15">
      <c r="A118" s="3267" t="s">
        <v>2912</v>
      </c>
      <c r="B118" s="3267"/>
      <c r="C118" s="3267"/>
      <c r="D118" s="3267"/>
      <c r="E118" s="3267"/>
      <c r="F118" s="3267"/>
      <c r="G118" s="3267"/>
      <c r="H118" s="728"/>
      <c r="J118" s="728"/>
      <c r="L118" s="728"/>
    </row>
    <row r="119" spans="1:14" x14ac:dyDescent="0.15">
      <c r="A119" s="3267" t="s">
        <v>44</v>
      </c>
      <c r="B119" s="3267"/>
      <c r="C119" s="3267"/>
      <c r="D119" s="3267"/>
      <c r="E119" s="3267"/>
      <c r="F119" s="3267"/>
      <c r="G119" s="3267"/>
    </row>
    <row r="120" spans="1:14" x14ac:dyDescent="0.15">
      <c r="A120" s="3267" t="s">
        <v>2913</v>
      </c>
      <c r="B120" s="3267"/>
      <c r="C120" s="3267"/>
      <c r="D120" s="3267"/>
      <c r="E120" s="3267"/>
      <c r="F120" s="3267"/>
      <c r="G120" s="3267"/>
    </row>
  </sheetData>
  <mergeCells count="3">
    <mergeCell ref="A118:G118"/>
    <mergeCell ref="A119:G119"/>
    <mergeCell ref="A120:G120"/>
  </mergeCells>
  <pageMargins left="0.70866141732283472" right="0.70866141732283472" top="0.74803149606299213" bottom="0.74803149606299213" header="0.31496062992125984" footer="0.31496062992125984"/>
  <pageSetup paperSize="9" scale="64" fitToHeight="2"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pageSetUpPr fitToPage="1"/>
  </sheetPr>
  <dimension ref="A1:L123"/>
  <sheetViews>
    <sheetView zoomScaleNormal="100" workbookViewId="0">
      <selection activeCell="A7" sqref="A7"/>
    </sheetView>
  </sheetViews>
  <sheetFormatPr baseColWidth="10" defaultColWidth="11.42578125" defaultRowHeight="10.5" x14ac:dyDescent="0.15"/>
  <cols>
    <col min="1" max="1" width="52.5703125" style="1362" customWidth="1"/>
    <col min="2" max="2" width="15.85546875" style="738" customWidth="1"/>
    <col min="3" max="3" width="18.7109375" style="738" customWidth="1"/>
    <col min="4" max="4" width="11.42578125" style="738" customWidth="1"/>
    <col min="5" max="6" width="11.42578125" style="738"/>
    <col min="7" max="7" width="11.42578125" style="738" customWidth="1"/>
    <col min="8" max="16384" width="11.42578125" style="738"/>
  </cols>
  <sheetData>
    <row r="1" spans="1:9" x14ac:dyDescent="0.15">
      <c r="A1" s="1401"/>
      <c r="B1" s="1402"/>
    </row>
    <row r="2" spans="1:9" ht="22.5" customHeight="1" x14ac:dyDescent="0.15">
      <c r="A2" s="3279" t="s">
        <v>3041</v>
      </c>
      <c r="B2" s="3279"/>
      <c r="C2" s="3279"/>
    </row>
    <row r="3" spans="1:9" x14ac:dyDescent="0.15">
      <c r="A3" s="2122"/>
      <c r="B3" s="1402"/>
      <c r="C3" s="1402"/>
    </row>
    <row r="4" spans="1:9" ht="33.75" customHeight="1" x14ac:dyDescent="0.15">
      <c r="A4" s="2127" t="s">
        <v>2929</v>
      </c>
      <c r="B4" s="2127" t="s">
        <v>3042</v>
      </c>
      <c r="C4" s="2127" t="s">
        <v>3043</v>
      </c>
      <c r="G4" s="1357"/>
      <c r="H4" s="1403"/>
      <c r="I4" s="1403"/>
    </row>
    <row r="5" spans="1:9" ht="11.25" customHeight="1" x14ac:dyDescent="0.15">
      <c r="A5" s="1404" t="s">
        <v>141</v>
      </c>
      <c r="B5" s="1399">
        <f>SUM(B6,B33,B61)</f>
        <v>1542</v>
      </c>
      <c r="C5" s="1399">
        <f>SUM(C6,C33,C61)</f>
        <v>115334</v>
      </c>
      <c r="G5" s="1357"/>
      <c r="H5" s="1405"/>
      <c r="I5" s="1405"/>
    </row>
    <row r="6" spans="1:9" ht="11.25" customHeight="1" x14ac:dyDescent="0.15">
      <c r="A6" s="1366" t="s">
        <v>3044</v>
      </c>
      <c r="B6" s="1399">
        <f>SUM(B7:B32)</f>
        <v>191</v>
      </c>
      <c r="C6" s="1399">
        <f>SUM(C7:C32)</f>
        <v>11081</v>
      </c>
      <c r="H6" s="1406"/>
      <c r="I6" s="1406"/>
    </row>
    <row r="7" spans="1:9" ht="11.25" customHeight="1" x14ac:dyDescent="0.15">
      <c r="A7" s="2122" t="s">
        <v>2930</v>
      </c>
      <c r="B7" s="1400">
        <v>5</v>
      </c>
      <c r="C7" s="1400">
        <v>231</v>
      </c>
      <c r="G7" s="2125"/>
      <c r="H7" s="1406"/>
      <c r="I7" s="1406"/>
    </row>
    <row r="8" spans="1:9" ht="11.25" customHeight="1" x14ac:dyDescent="0.15">
      <c r="A8" s="2122" t="s">
        <v>3045</v>
      </c>
      <c r="B8" s="1400">
        <v>7</v>
      </c>
      <c r="C8" s="1400">
        <v>66</v>
      </c>
      <c r="G8" s="2125"/>
      <c r="H8" s="1406"/>
      <c r="I8" s="1406"/>
    </row>
    <row r="9" spans="1:9" ht="11.25" customHeight="1" x14ac:dyDescent="0.15">
      <c r="A9" s="2122" t="s">
        <v>2932</v>
      </c>
      <c r="B9" s="1400">
        <v>1</v>
      </c>
      <c r="C9" s="1400">
        <v>4</v>
      </c>
      <c r="G9" s="2125"/>
      <c r="H9" s="1406"/>
      <c r="I9" s="1406"/>
    </row>
    <row r="10" spans="1:9" ht="11.25" customHeight="1" x14ac:dyDescent="0.15">
      <c r="A10" s="2122" t="s">
        <v>2933</v>
      </c>
      <c r="B10" s="1400">
        <v>1</v>
      </c>
      <c r="C10" s="1400">
        <v>1</v>
      </c>
      <c r="G10" s="2125"/>
      <c r="H10" s="1406"/>
      <c r="I10" s="1406"/>
    </row>
    <row r="11" spans="1:9" ht="11.25" customHeight="1" x14ac:dyDescent="0.15">
      <c r="A11" s="2122" t="s">
        <v>2934</v>
      </c>
      <c r="B11" s="1400">
        <v>2</v>
      </c>
      <c r="C11" s="1400">
        <v>10</v>
      </c>
      <c r="G11" s="2125"/>
      <c r="H11" s="1406"/>
      <c r="I11" s="1406"/>
    </row>
    <row r="12" spans="1:9" ht="11.25" customHeight="1" x14ac:dyDescent="0.15">
      <c r="A12" s="2122" t="s">
        <v>2935</v>
      </c>
      <c r="B12" s="1400">
        <v>1</v>
      </c>
      <c r="C12" s="1400">
        <v>1</v>
      </c>
      <c r="G12" s="2125"/>
      <c r="H12" s="1406"/>
      <c r="I12" s="1406"/>
    </row>
    <row r="13" spans="1:9" ht="11.25" customHeight="1" x14ac:dyDescent="0.15">
      <c r="A13" s="2122" t="s">
        <v>2936</v>
      </c>
      <c r="B13" s="1400">
        <v>3</v>
      </c>
      <c r="C13" s="1400">
        <v>107</v>
      </c>
      <c r="G13" s="2125"/>
      <c r="H13" s="1406"/>
      <c r="I13" s="1406"/>
    </row>
    <row r="14" spans="1:9" ht="11.25" customHeight="1" x14ac:dyDescent="0.15">
      <c r="A14" s="2122" t="s">
        <v>2937</v>
      </c>
      <c r="B14" s="1400">
        <v>1</v>
      </c>
      <c r="C14" s="1400">
        <v>85</v>
      </c>
      <c r="G14" s="2125"/>
      <c r="H14" s="1406"/>
      <c r="I14" s="1406"/>
    </row>
    <row r="15" spans="1:9" ht="11.25" customHeight="1" x14ac:dyDescent="0.15">
      <c r="A15" s="2122" t="s">
        <v>3046</v>
      </c>
      <c r="B15" s="1400">
        <v>7</v>
      </c>
      <c r="C15" s="1400">
        <v>111</v>
      </c>
      <c r="G15" s="2125"/>
      <c r="H15" s="1406"/>
      <c r="I15" s="1406"/>
    </row>
    <row r="16" spans="1:9" ht="11.25" customHeight="1" x14ac:dyDescent="0.15">
      <c r="A16" s="2122" t="s">
        <v>2939</v>
      </c>
      <c r="B16" s="1400">
        <v>5</v>
      </c>
      <c r="C16" s="1400">
        <v>175</v>
      </c>
      <c r="G16" s="2125"/>
      <c r="H16" s="1406"/>
      <c r="I16" s="1406"/>
    </row>
    <row r="17" spans="1:9" ht="11.25" customHeight="1" x14ac:dyDescent="0.15">
      <c r="A17" s="2122" t="s">
        <v>2940</v>
      </c>
      <c r="B17" s="1400">
        <v>2</v>
      </c>
      <c r="C17" s="1400">
        <v>787</v>
      </c>
      <c r="G17" s="2125"/>
      <c r="H17" s="1406"/>
      <c r="I17" s="1406"/>
    </row>
    <row r="18" spans="1:9" ht="11.25" customHeight="1" x14ac:dyDescent="0.15">
      <c r="A18" s="2122" t="s">
        <v>2941</v>
      </c>
      <c r="B18" s="1400">
        <v>1</v>
      </c>
      <c r="C18" s="1400">
        <v>91</v>
      </c>
      <c r="G18" s="2125"/>
      <c r="H18" s="1406"/>
      <c r="I18" s="1406"/>
    </row>
    <row r="19" spans="1:9" ht="11.25" customHeight="1" x14ac:dyDescent="0.15">
      <c r="A19" s="2122" t="s">
        <v>2942</v>
      </c>
      <c r="B19" s="1400">
        <v>6</v>
      </c>
      <c r="C19" s="1400">
        <v>109</v>
      </c>
      <c r="G19" s="2125"/>
      <c r="H19" s="1406"/>
      <c r="I19" s="1406"/>
    </row>
    <row r="20" spans="1:9" ht="11.25" customHeight="1" x14ac:dyDescent="0.15">
      <c r="A20" s="2122" t="s">
        <v>2943</v>
      </c>
      <c r="B20" s="1400">
        <v>2</v>
      </c>
      <c r="C20" s="1400">
        <v>121</v>
      </c>
      <c r="G20" s="2125"/>
      <c r="H20" s="1406"/>
      <c r="I20" s="1406"/>
    </row>
    <row r="21" spans="1:9" ht="11.25" customHeight="1" x14ac:dyDescent="0.15">
      <c r="A21" s="2122" t="s">
        <v>2944</v>
      </c>
      <c r="B21" s="1400">
        <v>9</v>
      </c>
      <c r="C21" s="1400">
        <v>617</v>
      </c>
      <c r="G21" s="2125"/>
      <c r="H21" s="1406"/>
      <c r="I21" s="1406"/>
    </row>
    <row r="22" spans="1:9" ht="11.25" customHeight="1" x14ac:dyDescent="0.15">
      <c r="A22" s="2122" t="s">
        <v>2945</v>
      </c>
      <c r="B22" s="1400">
        <v>76</v>
      </c>
      <c r="C22" s="1400">
        <v>5615</v>
      </c>
      <c r="G22" s="2125"/>
      <c r="H22" s="1406"/>
      <c r="I22" s="1406"/>
    </row>
    <row r="23" spans="1:9" ht="11.25" customHeight="1" x14ac:dyDescent="0.15">
      <c r="A23" s="2122" t="s">
        <v>2946</v>
      </c>
      <c r="B23" s="1400">
        <v>2</v>
      </c>
      <c r="C23" s="1400">
        <v>6</v>
      </c>
      <c r="G23" s="2125"/>
      <c r="H23" s="1406"/>
      <c r="I23" s="1406"/>
    </row>
    <row r="24" spans="1:9" ht="11.25" customHeight="1" x14ac:dyDescent="0.15">
      <c r="A24" s="2122" t="s">
        <v>3047</v>
      </c>
      <c r="B24" s="1400">
        <v>5</v>
      </c>
      <c r="C24" s="1400">
        <v>465</v>
      </c>
      <c r="G24" s="2125"/>
      <c r="H24" s="1406"/>
      <c r="I24" s="1406"/>
    </row>
    <row r="25" spans="1:9" ht="11.25" customHeight="1" x14ac:dyDescent="0.15">
      <c r="A25" s="2122" t="s">
        <v>2948</v>
      </c>
      <c r="B25" s="1400">
        <v>3</v>
      </c>
      <c r="C25" s="1400">
        <v>145</v>
      </c>
      <c r="G25" s="2125"/>
      <c r="H25" s="1406"/>
      <c r="I25" s="1406"/>
    </row>
    <row r="26" spans="1:9" ht="11.25" customHeight="1" x14ac:dyDescent="0.15">
      <c r="A26" s="2122" t="s">
        <v>2949</v>
      </c>
      <c r="B26" s="1400">
        <v>2</v>
      </c>
      <c r="C26" s="1400">
        <v>13</v>
      </c>
      <c r="G26" s="2125"/>
      <c r="H26" s="1406"/>
      <c r="I26" s="1406"/>
    </row>
    <row r="27" spans="1:9" ht="11.25" customHeight="1" x14ac:dyDescent="0.15">
      <c r="A27" s="2122" t="s">
        <v>2950</v>
      </c>
      <c r="B27" s="1400">
        <v>3</v>
      </c>
      <c r="C27" s="1400">
        <v>169</v>
      </c>
      <c r="G27" s="2125"/>
      <c r="H27" s="1406"/>
      <c r="I27" s="1406"/>
    </row>
    <row r="28" spans="1:9" ht="11.25" customHeight="1" x14ac:dyDescent="0.15">
      <c r="A28" s="2122" t="s">
        <v>2951</v>
      </c>
      <c r="B28" s="1400">
        <v>4</v>
      </c>
      <c r="C28" s="1400">
        <v>58</v>
      </c>
      <c r="G28" s="2125"/>
      <c r="H28" s="1406"/>
      <c r="I28" s="1406"/>
    </row>
    <row r="29" spans="1:9" ht="11.25" customHeight="1" x14ac:dyDescent="0.15">
      <c r="A29" s="2122" t="s">
        <v>2952</v>
      </c>
      <c r="B29" s="1400">
        <v>37</v>
      </c>
      <c r="C29" s="1400">
        <v>1955</v>
      </c>
      <c r="G29" s="2125"/>
      <c r="H29" s="1406"/>
      <c r="I29" s="1406"/>
    </row>
    <row r="30" spans="1:9" ht="11.25" customHeight="1" x14ac:dyDescent="0.15">
      <c r="A30" s="2122" t="s">
        <v>2953</v>
      </c>
      <c r="B30" s="1400">
        <v>1</v>
      </c>
      <c r="C30" s="1400">
        <v>2</v>
      </c>
      <c r="G30" s="2125"/>
      <c r="H30" s="1406"/>
      <c r="I30" s="1406"/>
    </row>
    <row r="31" spans="1:9" s="1384" customFormat="1" ht="11.25" customHeight="1" x14ac:dyDescent="0.15">
      <c r="A31" s="738" t="s">
        <v>2954</v>
      </c>
      <c r="B31" s="1370">
        <v>2</v>
      </c>
      <c r="C31" s="1370">
        <v>56</v>
      </c>
      <c r="D31" s="738"/>
      <c r="E31" s="738"/>
      <c r="F31" s="738"/>
      <c r="G31" s="2125"/>
      <c r="H31" s="1406"/>
      <c r="I31" s="1406"/>
    </row>
    <row r="32" spans="1:9" ht="11.25" customHeight="1" x14ac:dyDescent="0.15">
      <c r="A32" s="1362" t="s">
        <v>2955</v>
      </c>
      <c r="B32" s="1370">
        <v>3</v>
      </c>
      <c r="C32" s="1370">
        <v>81</v>
      </c>
      <c r="G32" s="2125"/>
      <c r="H32" s="1406"/>
      <c r="I32" s="1406"/>
    </row>
    <row r="33" spans="1:9" ht="11.25" customHeight="1" x14ac:dyDescent="0.15">
      <c r="A33" s="1366" t="s">
        <v>3048</v>
      </c>
      <c r="B33" s="1399">
        <f>SUM(B34:B60)</f>
        <v>546</v>
      </c>
      <c r="C33" s="1399">
        <f>SUM(C34:C60)</f>
        <v>42131</v>
      </c>
      <c r="G33" s="1384"/>
      <c r="H33" s="1407"/>
      <c r="I33" s="1407"/>
    </row>
    <row r="34" spans="1:9" ht="11.25" customHeight="1" x14ac:dyDescent="0.15">
      <c r="A34" s="2122" t="s">
        <v>2956</v>
      </c>
      <c r="B34" s="1400">
        <v>106</v>
      </c>
      <c r="C34" s="1400">
        <v>6706</v>
      </c>
      <c r="G34" s="2125"/>
      <c r="H34" s="1406"/>
      <c r="I34" s="1406"/>
    </row>
    <row r="35" spans="1:9" ht="11.25" customHeight="1" x14ac:dyDescent="0.15">
      <c r="A35" s="2122" t="s">
        <v>2957</v>
      </c>
      <c r="B35" s="1400">
        <v>3</v>
      </c>
      <c r="C35" s="1400">
        <v>279</v>
      </c>
      <c r="G35" s="2125"/>
      <c r="H35" s="1406"/>
      <c r="I35" s="1406"/>
    </row>
    <row r="36" spans="1:9" ht="11.25" customHeight="1" x14ac:dyDescent="0.15">
      <c r="A36" s="2122" t="s">
        <v>2958</v>
      </c>
      <c r="B36" s="1400">
        <v>4</v>
      </c>
      <c r="C36" s="1400">
        <v>385</v>
      </c>
      <c r="G36" s="2125"/>
      <c r="H36" s="1406"/>
      <c r="I36" s="1406"/>
    </row>
    <row r="37" spans="1:9" ht="11.25" customHeight="1" x14ac:dyDescent="0.15">
      <c r="A37" s="2122" t="s">
        <v>2959</v>
      </c>
      <c r="B37" s="1400">
        <v>30</v>
      </c>
      <c r="C37" s="1400">
        <v>1923</v>
      </c>
      <c r="G37" s="2125"/>
      <c r="H37" s="1406"/>
      <c r="I37" s="1406"/>
    </row>
    <row r="38" spans="1:9" ht="11.25" customHeight="1" x14ac:dyDescent="0.15">
      <c r="A38" s="2122" t="s">
        <v>2960</v>
      </c>
      <c r="B38" s="1400">
        <v>1</v>
      </c>
      <c r="C38" s="1400">
        <v>25</v>
      </c>
      <c r="G38" s="2125"/>
      <c r="H38" s="1406"/>
      <c r="I38" s="1406"/>
    </row>
    <row r="39" spans="1:9" ht="11.25" customHeight="1" x14ac:dyDescent="0.15">
      <c r="A39" s="2122" t="s">
        <v>2961</v>
      </c>
      <c r="B39" s="1400">
        <v>23</v>
      </c>
      <c r="C39" s="1400">
        <v>1668</v>
      </c>
      <c r="G39" s="2125"/>
      <c r="H39" s="1406"/>
      <c r="I39" s="1406"/>
    </row>
    <row r="40" spans="1:9" ht="11.25" customHeight="1" x14ac:dyDescent="0.15">
      <c r="A40" s="2122" t="s">
        <v>2962</v>
      </c>
      <c r="B40" s="1400">
        <v>1</v>
      </c>
      <c r="C40" s="1400">
        <v>17</v>
      </c>
      <c r="G40" s="2125"/>
      <c r="H40" s="1406"/>
      <c r="I40" s="1406"/>
    </row>
    <row r="41" spans="1:9" ht="11.25" customHeight="1" x14ac:dyDescent="0.15">
      <c r="A41" s="2122" t="s">
        <v>2963</v>
      </c>
      <c r="B41" s="1400">
        <v>7</v>
      </c>
      <c r="C41" s="1400">
        <v>30</v>
      </c>
      <c r="G41" s="2125"/>
      <c r="H41" s="1406"/>
      <c r="I41" s="1406"/>
    </row>
    <row r="42" spans="1:9" ht="11.25" customHeight="1" x14ac:dyDescent="0.15">
      <c r="A42" s="2122" t="s">
        <v>2964</v>
      </c>
      <c r="B42" s="1400">
        <v>2</v>
      </c>
      <c r="C42" s="1400">
        <v>14</v>
      </c>
      <c r="G42" s="2125"/>
      <c r="H42" s="1406"/>
      <c r="I42" s="1406"/>
    </row>
    <row r="43" spans="1:9" ht="11.25" customHeight="1" x14ac:dyDescent="0.15">
      <c r="A43" s="2122" t="s">
        <v>2965</v>
      </c>
      <c r="B43" s="1400">
        <v>16</v>
      </c>
      <c r="C43" s="1400">
        <v>351</v>
      </c>
      <c r="G43" s="2125"/>
      <c r="H43" s="1406"/>
      <c r="I43" s="1406"/>
    </row>
    <row r="44" spans="1:9" ht="11.25" customHeight="1" x14ac:dyDescent="0.15">
      <c r="A44" s="2122" t="s">
        <v>2966</v>
      </c>
      <c r="B44" s="1400">
        <v>11</v>
      </c>
      <c r="C44" s="1400">
        <v>483</v>
      </c>
      <c r="G44" s="2125"/>
      <c r="H44" s="1406"/>
      <c r="I44" s="1406"/>
    </row>
    <row r="45" spans="1:9" ht="11.25" customHeight="1" x14ac:dyDescent="0.15">
      <c r="A45" s="2122" t="s">
        <v>2967</v>
      </c>
      <c r="B45" s="1400">
        <v>99</v>
      </c>
      <c r="C45" s="1400">
        <v>16103</v>
      </c>
      <c r="G45" s="2125"/>
      <c r="H45" s="1406"/>
      <c r="I45" s="1406"/>
    </row>
    <row r="46" spans="1:9" ht="11.25" customHeight="1" x14ac:dyDescent="0.15">
      <c r="A46" s="2122" t="s">
        <v>2968</v>
      </c>
      <c r="B46" s="1400">
        <v>1</v>
      </c>
      <c r="C46" s="1400">
        <v>73</v>
      </c>
      <c r="G46" s="2125"/>
      <c r="H46" s="1406"/>
      <c r="I46" s="1406"/>
    </row>
    <row r="47" spans="1:9" ht="11.25" customHeight="1" x14ac:dyDescent="0.15">
      <c r="A47" s="2122" t="s">
        <v>2969</v>
      </c>
      <c r="B47" s="1400">
        <v>10</v>
      </c>
      <c r="C47" s="1400">
        <v>778</v>
      </c>
      <c r="G47" s="2125"/>
      <c r="H47" s="1406"/>
      <c r="I47" s="1406"/>
    </row>
    <row r="48" spans="1:9" ht="11.25" customHeight="1" x14ac:dyDescent="0.15">
      <c r="A48" s="2122" t="s">
        <v>2970</v>
      </c>
      <c r="B48" s="1400">
        <v>13</v>
      </c>
      <c r="C48" s="1400">
        <v>256</v>
      </c>
      <c r="G48" s="2125"/>
      <c r="H48" s="1406"/>
      <c r="I48" s="1406"/>
    </row>
    <row r="49" spans="1:9" ht="11.25" customHeight="1" x14ac:dyDescent="0.15">
      <c r="A49" s="2122" t="s">
        <v>2971</v>
      </c>
      <c r="B49" s="1400">
        <v>43</v>
      </c>
      <c r="C49" s="1400">
        <v>4148</v>
      </c>
      <c r="G49" s="2125"/>
      <c r="H49" s="1406"/>
      <c r="I49" s="1406"/>
    </row>
    <row r="50" spans="1:9" ht="11.25" customHeight="1" x14ac:dyDescent="0.15">
      <c r="A50" s="2122" t="s">
        <v>2972</v>
      </c>
      <c r="B50" s="1400">
        <v>4</v>
      </c>
      <c r="C50" s="1400">
        <v>612</v>
      </c>
      <c r="G50" s="2125"/>
      <c r="H50" s="1406"/>
      <c r="I50" s="1406"/>
    </row>
    <row r="51" spans="1:9" ht="11.25" customHeight="1" x14ac:dyDescent="0.15">
      <c r="A51" s="2122" t="s">
        <v>2973</v>
      </c>
      <c r="B51" s="1400">
        <v>3</v>
      </c>
      <c r="C51" s="1400">
        <v>408</v>
      </c>
      <c r="G51" s="2125"/>
      <c r="H51" s="1406"/>
      <c r="I51" s="1406"/>
    </row>
    <row r="52" spans="1:9" ht="11.25" customHeight="1" x14ac:dyDescent="0.15">
      <c r="A52" s="2122" t="s">
        <v>2974</v>
      </c>
      <c r="B52" s="1400">
        <v>5</v>
      </c>
      <c r="C52" s="1400">
        <v>57</v>
      </c>
      <c r="G52" s="2125"/>
      <c r="H52" s="1406"/>
      <c r="I52" s="1406"/>
    </row>
    <row r="53" spans="1:9" ht="11.25" customHeight="1" x14ac:dyDescent="0.15">
      <c r="A53" s="2122" t="s">
        <v>2975</v>
      </c>
      <c r="B53" s="1400">
        <v>35</v>
      </c>
      <c r="C53" s="1400">
        <v>1032</v>
      </c>
      <c r="G53" s="2125"/>
      <c r="H53" s="1406"/>
      <c r="I53" s="1406"/>
    </row>
    <row r="54" spans="1:9" ht="11.25" customHeight="1" x14ac:dyDescent="0.15">
      <c r="A54" s="2122" t="s">
        <v>2976</v>
      </c>
      <c r="B54" s="1400">
        <v>14</v>
      </c>
      <c r="C54" s="1400">
        <v>315</v>
      </c>
      <c r="G54" s="2125"/>
      <c r="H54" s="1406"/>
      <c r="I54" s="1406"/>
    </row>
    <row r="55" spans="1:9" ht="11.25" customHeight="1" x14ac:dyDescent="0.15">
      <c r="A55" s="2122" t="s">
        <v>2977</v>
      </c>
      <c r="B55" s="1400">
        <v>1</v>
      </c>
      <c r="C55" s="1400">
        <v>11</v>
      </c>
      <c r="G55" s="2125"/>
      <c r="H55" s="1406"/>
      <c r="I55" s="1406"/>
    </row>
    <row r="56" spans="1:9" ht="11.25" customHeight="1" x14ac:dyDescent="0.15">
      <c r="A56" s="2122" t="s">
        <v>2978</v>
      </c>
      <c r="B56" s="1400">
        <v>17</v>
      </c>
      <c r="C56" s="1400">
        <v>135</v>
      </c>
      <c r="G56" s="2125"/>
      <c r="H56" s="1406"/>
      <c r="I56" s="1406"/>
    </row>
    <row r="57" spans="1:9" s="1384" customFormat="1" ht="11.25" customHeight="1" x14ac:dyDescent="0.15">
      <c r="A57" s="2122" t="s">
        <v>2979</v>
      </c>
      <c r="B57" s="1400">
        <v>16</v>
      </c>
      <c r="C57" s="1400">
        <v>1856</v>
      </c>
      <c r="D57" s="738"/>
      <c r="E57" s="738"/>
      <c r="F57" s="738"/>
      <c r="G57" s="2125"/>
      <c r="H57" s="1406"/>
      <c r="I57" s="1406"/>
    </row>
    <row r="58" spans="1:9" ht="11.25" customHeight="1" x14ac:dyDescent="0.15">
      <c r="A58" s="2122" t="s">
        <v>2980</v>
      </c>
      <c r="B58" s="1400">
        <v>3</v>
      </c>
      <c r="C58" s="1400">
        <v>403</v>
      </c>
      <c r="G58" s="2125"/>
      <c r="H58" s="1406"/>
      <c r="I58" s="1406"/>
    </row>
    <row r="59" spans="1:9" ht="11.25" customHeight="1" x14ac:dyDescent="0.15">
      <c r="A59" s="1362" t="s">
        <v>2981</v>
      </c>
      <c r="B59" s="1370">
        <v>7</v>
      </c>
      <c r="C59" s="1370">
        <v>75</v>
      </c>
      <c r="G59" s="2125"/>
      <c r="H59" s="1406"/>
      <c r="I59" s="1406"/>
    </row>
    <row r="60" spans="1:9" ht="11.25" customHeight="1" x14ac:dyDescent="0.15">
      <c r="A60" s="1362" t="s">
        <v>2982</v>
      </c>
      <c r="B60" s="1370">
        <v>71</v>
      </c>
      <c r="C60" s="1370">
        <v>3988</v>
      </c>
      <c r="G60" s="2125"/>
      <c r="H60" s="1406"/>
      <c r="I60" s="1406"/>
    </row>
    <row r="61" spans="1:9" ht="11.25" customHeight="1" x14ac:dyDescent="0.15">
      <c r="A61" s="1366" t="s">
        <v>3049</v>
      </c>
      <c r="B61" s="1399">
        <f>SUM(B62:B119)</f>
        <v>805</v>
      </c>
      <c r="C61" s="1399">
        <f>SUM(C62:C119)</f>
        <v>62122</v>
      </c>
      <c r="G61" s="1384"/>
      <c r="H61" s="1407"/>
      <c r="I61" s="1407"/>
    </row>
    <row r="62" spans="1:9" ht="11.25" customHeight="1" x14ac:dyDescent="0.15">
      <c r="A62" s="2125" t="s">
        <v>2983</v>
      </c>
      <c r="B62" s="1370">
        <v>32</v>
      </c>
      <c r="C62" s="1370">
        <v>3902</v>
      </c>
      <c r="G62" s="2125"/>
      <c r="H62" s="1406"/>
      <c r="I62" s="1406"/>
    </row>
    <row r="63" spans="1:9" ht="11.25" customHeight="1" x14ac:dyDescent="0.15">
      <c r="A63" s="2125" t="s">
        <v>3050</v>
      </c>
      <c r="B63" s="1370">
        <v>17</v>
      </c>
      <c r="C63" s="1370">
        <v>1651</v>
      </c>
      <c r="G63" s="2125"/>
      <c r="H63" s="1406"/>
      <c r="I63" s="1406"/>
    </row>
    <row r="64" spans="1:9" ht="11.25" customHeight="1" x14ac:dyDescent="0.15">
      <c r="A64" s="2125" t="s">
        <v>2985</v>
      </c>
      <c r="B64" s="1370">
        <v>13</v>
      </c>
      <c r="C64" s="1370">
        <v>791</v>
      </c>
      <c r="G64" s="2125"/>
      <c r="H64" s="1406"/>
      <c r="I64" s="1406"/>
    </row>
    <row r="65" spans="1:9" ht="11.25" customHeight="1" x14ac:dyDescent="0.15">
      <c r="A65" s="2125" t="s">
        <v>3051</v>
      </c>
      <c r="B65" s="1370">
        <v>12</v>
      </c>
      <c r="C65" s="1370">
        <v>442</v>
      </c>
      <c r="G65" s="2125"/>
      <c r="H65" s="1406"/>
      <c r="I65" s="1406"/>
    </row>
    <row r="66" spans="1:9" ht="11.25" customHeight="1" x14ac:dyDescent="0.15">
      <c r="A66" s="2125" t="s">
        <v>2987</v>
      </c>
      <c r="B66" s="1370">
        <v>2</v>
      </c>
      <c r="C66" s="1370">
        <v>203</v>
      </c>
      <c r="G66" s="2125"/>
      <c r="H66" s="1406"/>
      <c r="I66" s="1406"/>
    </row>
    <row r="67" spans="1:9" ht="11.25" customHeight="1" x14ac:dyDescent="0.15">
      <c r="A67" s="2125" t="s">
        <v>2988</v>
      </c>
      <c r="B67" s="1370">
        <v>18</v>
      </c>
      <c r="C67" s="1370">
        <v>1118</v>
      </c>
      <c r="G67" s="2125"/>
      <c r="H67" s="1406"/>
      <c r="I67" s="1406"/>
    </row>
    <row r="68" spans="1:9" ht="11.25" customHeight="1" x14ac:dyDescent="0.15">
      <c r="A68" s="2125" t="s">
        <v>2989</v>
      </c>
      <c r="B68" s="1370">
        <v>36</v>
      </c>
      <c r="C68" s="1370">
        <v>2939</v>
      </c>
      <c r="G68" s="2125"/>
      <c r="H68" s="1406"/>
      <c r="I68" s="1406"/>
    </row>
    <row r="69" spans="1:9" ht="11.25" customHeight="1" x14ac:dyDescent="0.15">
      <c r="A69" s="2125" t="s">
        <v>2990</v>
      </c>
      <c r="B69" s="1370">
        <v>12</v>
      </c>
      <c r="C69" s="1370">
        <v>576</v>
      </c>
      <c r="G69" s="2125"/>
      <c r="H69" s="1406"/>
      <c r="I69" s="1406"/>
    </row>
    <row r="70" spans="1:9" ht="11.25" customHeight="1" x14ac:dyDescent="0.15">
      <c r="A70" s="2125" t="s">
        <v>2991</v>
      </c>
      <c r="B70" s="1370">
        <v>16</v>
      </c>
      <c r="C70" s="1370">
        <v>1181</v>
      </c>
      <c r="G70" s="2125"/>
      <c r="H70" s="1406"/>
      <c r="I70" s="1406"/>
    </row>
    <row r="71" spans="1:9" ht="11.25" customHeight="1" x14ac:dyDescent="0.15">
      <c r="A71" s="2125" t="s">
        <v>2992</v>
      </c>
      <c r="B71" s="1370">
        <v>6</v>
      </c>
      <c r="C71" s="1370">
        <v>498</v>
      </c>
      <c r="G71" s="2125"/>
      <c r="H71" s="1406"/>
      <c r="I71" s="1406"/>
    </row>
    <row r="72" spans="1:9" ht="11.25" customHeight="1" x14ac:dyDescent="0.15">
      <c r="A72" s="2125" t="s">
        <v>2993</v>
      </c>
      <c r="B72" s="1370">
        <v>4</v>
      </c>
      <c r="C72" s="1370">
        <v>67</v>
      </c>
      <c r="G72" s="2125"/>
      <c r="H72" s="1406"/>
      <c r="I72" s="1406"/>
    </row>
    <row r="73" spans="1:9" ht="11.25" customHeight="1" x14ac:dyDescent="0.15">
      <c r="A73" s="2125" t="s">
        <v>2994</v>
      </c>
      <c r="B73" s="1370">
        <v>5</v>
      </c>
      <c r="C73" s="1370">
        <v>115</v>
      </c>
      <c r="G73" s="2125"/>
      <c r="H73" s="1406"/>
      <c r="I73" s="1406"/>
    </row>
    <row r="74" spans="1:9" ht="11.25" customHeight="1" x14ac:dyDescent="0.15">
      <c r="A74" s="2125" t="s">
        <v>2995</v>
      </c>
      <c r="B74" s="1370">
        <v>7</v>
      </c>
      <c r="C74" s="1370">
        <v>431</v>
      </c>
      <c r="G74" s="2125"/>
      <c r="H74" s="1406"/>
      <c r="I74" s="1406"/>
    </row>
    <row r="75" spans="1:9" ht="11.25" customHeight="1" x14ac:dyDescent="0.15">
      <c r="A75" s="2125" t="s">
        <v>2996</v>
      </c>
      <c r="B75" s="1370">
        <v>15</v>
      </c>
      <c r="C75" s="1370">
        <v>677</v>
      </c>
      <c r="G75" s="2125"/>
      <c r="H75" s="1406"/>
      <c r="I75" s="1406"/>
    </row>
    <row r="76" spans="1:9" ht="11.25" customHeight="1" x14ac:dyDescent="0.15">
      <c r="A76" s="2125" t="s">
        <v>2997</v>
      </c>
      <c r="B76" s="1370">
        <v>1</v>
      </c>
      <c r="C76" s="1370">
        <v>327</v>
      </c>
      <c r="G76" s="2125"/>
      <c r="H76" s="1406"/>
      <c r="I76" s="1406"/>
    </row>
    <row r="77" spans="1:9" ht="11.25" customHeight="1" x14ac:dyDescent="0.15">
      <c r="A77" s="2125" t="s">
        <v>2998</v>
      </c>
      <c r="B77" s="1370">
        <v>8</v>
      </c>
      <c r="C77" s="1370">
        <v>1029</v>
      </c>
      <c r="G77" s="2125"/>
      <c r="H77" s="1406"/>
      <c r="I77" s="1406"/>
    </row>
    <row r="78" spans="1:9" ht="11.25" customHeight="1" x14ac:dyDescent="0.15">
      <c r="A78" s="2125" t="s">
        <v>2999</v>
      </c>
      <c r="B78" s="1370">
        <v>2</v>
      </c>
      <c r="C78" s="1370">
        <v>117</v>
      </c>
      <c r="G78" s="2125"/>
      <c r="H78" s="1406"/>
      <c r="I78" s="1406"/>
    </row>
    <row r="79" spans="1:9" ht="11.25" customHeight="1" x14ac:dyDescent="0.15">
      <c r="A79" s="2125" t="s">
        <v>3000</v>
      </c>
      <c r="B79" s="1370">
        <v>14</v>
      </c>
      <c r="C79" s="1370">
        <v>850</v>
      </c>
      <c r="G79" s="2125"/>
      <c r="H79" s="1406"/>
      <c r="I79" s="1406"/>
    </row>
    <row r="80" spans="1:9" ht="11.25" customHeight="1" x14ac:dyDescent="0.15">
      <c r="A80" s="2125" t="s">
        <v>3001</v>
      </c>
      <c r="B80" s="1370">
        <v>2</v>
      </c>
      <c r="C80" s="1370">
        <v>4</v>
      </c>
      <c r="G80" s="2125"/>
      <c r="H80" s="1406"/>
      <c r="I80" s="1406"/>
    </row>
    <row r="81" spans="1:9" ht="11.25" customHeight="1" x14ac:dyDescent="0.15">
      <c r="A81" s="2125" t="s">
        <v>3002</v>
      </c>
      <c r="B81" s="1370">
        <v>4</v>
      </c>
      <c r="C81" s="1370">
        <v>143</v>
      </c>
      <c r="G81" s="2125"/>
      <c r="H81" s="1406"/>
      <c r="I81" s="1406"/>
    </row>
    <row r="82" spans="1:9" ht="11.25" customHeight="1" x14ac:dyDescent="0.15">
      <c r="A82" s="2125" t="s">
        <v>3003</v>
      </c>
      <c r="B82" s="1370">
        <v>11</v>
      </c>
      <c r="C82" s="1370">
        <v>165</v>
      </c>
      <c r="G82" s="2125"/>
      <c r="H82" s="1406"/>
      <c r="I82" s="1406"/>
    </row>
    <row r="83" spans="1:9" ht="11.25" customHeight="1" x14ac:dyDescent="0.15">
      <c r="A83" s="2125" t="s">
        <v>3004</v>
      </c>
      <c r="B83" s="1370">
        <v>19</v>
      </c>
      <c r="C83" s="1370">
        <v>1784</v>
      </c>
      <c r="G83" s="2125"/>
      <c r="H83" s="1406"/>
      <c r="I83" s="1406"/>
    </row>
    <row r="84" spans="1:9" ht="11.25" customHeight="1" x14ac:dyDescent="0.15">
      <c r="A84" s="2125" t="s">
        <v>3005</v>
      </c>
      <c r="B84" s="1370">
        <v>2</v>
      </c>
      <c r="C84" s="1370">
        <v>82</v>
      </c>
      <c r="G84" s="2125"/>
      <c r="H84" s="1406"/>
      <c r="I84" s="1406"/>
    </row>
    <row r="85" spans="1:9" ht="11.25" customHeight="1" x14ac:dyDescent="0.15">
      <c r="A85" s="2125" t="s">
        <v>3006</v>
      </c>
      <c r="B85" s="1370">
        <v>46</v>
      </c>
      <c r="C85" s="1370">
        <v>5389</v>
      </c>
      <c r="G85" s="2125"/>
      <c r="H85" s="1406"/>
      <c r="I85" s="1406"/>
    </row>
    <row r="86" spans="1:9" ht="11.25" customHeight="1" x14ac:dyDescent="0.15">
      <c r="A86" s="2125" t="s">
        <v>3007</v>
      </c>
      <c r="B86" s="1370">
        <v>17</v>
      </c>
      <c r="C86" s="1370">
        <v>1702</v>
      </c>
      <c r="G86" s="2125"/>
      <c r="H86" s="1406"/>
      <c r="I86" s="1406"/>
    </row>
    <row r="87" spans="1:9" ht="11.25" customHeight="1" x14ac:dyDescent="0.15">
      <c r="A87" s="2125" t="s">
        <v>3008</v>
      </c>
      <c r="B87" s="1370">
        <v>5</v>
      </c>
      <c r="C87" s="1370">
        <v>641</v>
      </c>
      <c r="G87" s="2125"/>
      <c r="H87" s="1406"/>
      <c r="I87" s="1406"/>
    </row>
    <row r="88" spans="1:9" ht="11.25" customHeight="1" x14ac:dyDescent="0.15">
      <c r="A88" s="2125" t="s">
        <v>3009</v>
      </c>
      <c r="B88" s="1370">
        <v>7</v>
      </c>
      <c r="C88" s="1370">
        <v>900</v>
      </c>
      <c r="G88" s="2125"/>
      <c r="H88" s="1406"/>
      <c r="I88" s="1406"/>
    </row>
    <row r="89" spans="1:9" ht="11.25" customHeight="1" x14ac:dyDescent="0.15">
      <c r="A89" s="2125" t="s">
        <v>3010</v>
      </c>
      <c r="B89" s="1370">
        <v>44</v>
      </c>
      <c r="C89" s="1370">
        <v>1557</v>
      </c>
      <c r="G89" s="2125"/>
      <c r="H89" s="1406"/>
      <c r="I89" s="1406"/>
    </row>
    <row r="90" spans="1:9" ht="11.25" customHeight="1" x14ac:dyDescent="0.15">
      <c r="A90" s="2125" t="s">
        <v>3011</v>
      </c>
      <c r="B90" s="1370">
        <v>6</v>
      </c>
      <c r="C90" s="1370">
        <v>145</v>
      </c>
      <c r="G90" s="2125"/>
      <c r="H90" s="1406"/>
      <c r="I90" s="1406"/>
    </row>
    <row r="91" spans="1:9" ht="11.25" customHeight="1" x14ac:dyDescent="0.15">
      <c r="A91" s="2125" t="s">
        <v>3012</v>
      </c>
      <c r="B91" s="1370">
        <v>18</v>
      </c>
      <c r="C91" s="1370">
        <v>732</v>
      </c>
      <c r="G91" s="2125"/>
      <c r="H91" s="1406"/>
      <c r="I91" s="1406"/>
    </row>
    <row r="92" spans="1:9" ht="11.25" customHeight="1" x14ac:dyDescent="0.15">
      <c r="A92" s="2125" t="s">
        <v>3013</v>
      </c>
      <c r="B92" s="1370">
        <v>6</v>
      </c>
      <c r="C92" s="1370">
        <v>118</v>
      </c>
      <c r="G92" s="2125"/>
      <c r="H92" s="1406"/>
      <c r="I92" s="1406"/>
    </row>
    <row r="93" spans="1:9" ht="11.25" customHeight="1" x14ac:dyDescent="0.15">
      <c r="A93" s="2125" t="s">
        <v>3014</v>
      </c>
      <c r="B93" s="1370">
        <v>22</v>
      </c>
      <c r="C93" s="1370">
        <v>1341</v>
      </c>
      <c r="G93" s="2125"/>
      <c r="H93" s="1406"/>
      <c r="I93" s="1406"/>
    </row>
    <row r="94" spans="1:9" ht="11.25" customHeight="1" x14ac:dyDescent="0.15">
      <c r="A94" s="2125" t="s">
        <v>3015</v>
      </c>
      <c r="B94" s="1370">
        <v>20</v>
      </c>
      <c r="C94" s="1370">
        <v>2055</v>
      </c>
      <c r="G94" s="2125"/>
      <c r="H94" s="1406"/>
      <c r="I94" s="1406"/>
    </row>
    <row r="95" spans="1:9" ht="11.25" customHeight="1" x14ac:dyDescent="0.15">
      <c r="A95" s="2125" t="s">
        <v>3016</v>
      </c>
      <c r="B95" s="1370">
        <v>7</v>
      </c>
      <c r="C95" s="1370">
        <v>980</v>
      </c>
      <c r="G95" s="2125"/>
      <c r="H95" s="1406"/>
      <c r="I95" s="1406"/>
    </row>
    <row r="96" spans="1:9" ht="11.25" customHeight="1" x14ac:dyDescent="0.15">
      <c r="A96" s="2125" t="s">
        <v>3017</v>
      </c>
      <c r="B96" s="1370">
        <v>11</v>
      </c>
      <c r="C96" s="1370">
        <v>601</v>
      </c>
      <c r="G96" s="2125"/>
      <c r="H96" s="1406"/>
      <c r="I96" s="1406"/>
    </row>
    <row r="97" spans="1:9" ht="11.25" customHeight="1" x14ac:dyDescent="0.15">
      <c r="A97" s="2125" t="s">
        <v>3018</v>
      </c>
      <c r="B97" s="1370">
        <v>11</v>
      </c>
      <c r="C97" s="1370">
        <v>1742</v>
      </c>
      <c r="G97" s="2125"/>
      <c r="H97" s="1406"/>
      <c r="I97" s="1406"/>
    </row>
    <row r="98" spans="1:9" ht="11.25" customHeight="1" x14ac:dyDescent="0.15">
      <c r="A98" s="2125" t="s">
        <v>3019</v>
      </c>
      <c r="B98" s="1370">
        <v>12</v>
      </c>
      <c r="C98" s="1370">
        <v>509</v>
      </c>
      <c r="G98" s="2125"/>
      <c r="H98" s="1406"/>
      <c r="I98" s="1406"/>
    </row>
    <row r="99" spans="1:9" ht="11.25" customHeight="1" x14ac:dyDescent="0.15">
      <c r="A99" s="2125" t="s">
        <v>3020</v>
      </c>
      <c r="B99" s="1370">
        <v>11</v>
      </c>
      <c r="C99" s="1370">
        <v>2023</v>
      </c>
      <c r="G99" s="2125"/>
      <c r="H99" s="1406"/>
      <c r="I99" s="1406"/>
    </row>
    <row r="100" spans="1:9" ht="11.25" customHeight="1" x14ac:dyDescent="0.15">
      <c r="A100" s="2125" t="s">
        <v>3021</v>
      </c>
      <c r="B100" s="1370">
        <v>20</v>
      </c>
      <c r="C100" s="1370">
        <v>2205</v>
      </c>
      <c r="G100" s="2125"/>
      <c r="H100" s="1406"/>
      <c r="I100" s="1406"/>
    </row>
    <row r="101" spans="1:9" ht="11.25" customHeight="1" x14ac:dyDescent="0.15">
      <c r="A101" s="2125" t="s">
        <v>3022</v>
      </c>
      <c r="B101" s="1370">
        <v>9</v>
      </c>
      <c r="C101" s="1370">
        <v>24</v>
      </c>
      <c r="G101" s="2125"/>
      <c r="H101" s="1406"/>
      <c r="I101" s="1406"/>
    </row>
    <row r="102" spans="1:9" ht="11.25" customHeight="1" x14ac:dyDescent="0.15">
      <c r="A102" s="2125" t="s">
        <v>3023</v>
      </c>
      <c r="B102" s="1370">
        <v>13</v>
      </c>
      <c r="C102" s="1370">
        <v>1519</v>
      </c>
      <c r="G102" s="2125"/>
      <c r="H102" s="1406"/>
      <c r="I102" s="1406"/>
    </row>
    <row r="103" spans="1:9" ht="11.25" customHeight="1" x14ac:dyDescent="0.15">
      <c r="A103" s="2125" t="s">
        <v>3024</v>
      </c>
      <c r="B103" s="1370">
        <v>15</v>
      </c>
      <c r="C103" s="1370">
        <v>2647</v>
      </c>
      <c r="G103" s="2125"/>
      <c r="H103" s="1406"/>
      <c r="I103" s="1406"/>
    </row>
    <row r="104" spans="1:9" ht="11.25" customHeight="1" x14ac:dyDescent="0.15">
      <c r="A104" s="2125" t="s">
        <v>3025</v>
      </c>
      <c r="B104" s="1370">
        <v>16</v>
      </c>
      <c r="C104" s="1370">
        <v>1163</v>
      </c>
      <c r="G104" s="2125"/>
      <c r="H104" s="1406"/>
      <c r="I104" s="1406"/>
    </row>
    <row r="105" spans="1:9" ht="11.25" customHeight="1" x14ac:dyDescent="0.15">
      <c r="A105" s="2125" t="s">
        <v>3026</v>
      </c>
      <c r="B105" s="1370">
        <v>6</v>
      </c>
      <c r="C105" s="1370">
        <v>162</v>
      </c>
      <c r="G105" s="2125"/>
      <c r="H105" s="1406"/>
      <c r="I105" s="1406"/>
    </row>
    <row r="106" spans="1:9" ht="11.25" customHeight="1" x14ac:dyDescent="0.15">
      <c r="A106" s="2125" t="s">
        <v>3027</v>
      </c>
      <c r="B106" s="1370">
        <v>3</v>
      </c>
      <c r="C106" s="1370">
        <v>32</v>
      </c>
      <c r="G106" s="2125"/>
      <c r="H106" s="1406"/>
      <c r="I106" s="1406"/>
    </row>
    <row r="107" spans="1:9" ht="11.25" customHeight="1" x14ac:dyDescent="0.15">
      <c r="A107" s="2125" t="s">
        <v>3028</v>
      </c>
      <c r="B107" s="1370">
        <v>2</v>
      </c>
      <c r="C107" s="1370">
        <v>68</v>
      </c>
      <c r="G107" s="2125"/>
      <c r="H107" s="1406"/>
      <c r="I107" s="1406"/>
    </row>
    <row r="108" spans="1:9" ht="11.25" customHeight="1" x14ac:dyDescent="0.15">
      <c r="A108" s="2125" t="s">
        <v>3029</v>
      </c>
      <c r="B108" s="1370">
        <v>4</v>
      </c>
      <c r="C108" s="1370">
        <v>214</v>
      </c>
      <c r="G108" s="2125"/>
      <c r="H108" s="1406"/>
      <c r="I108" s="1406"/>
    </row>
    <row r="109" spans="1:9" ht="11.25" customHeight="1" x14ac:dyDescent="0.15">
      <c r="A109" s="2125" t="s">
        <v>3030</v>
      </c>
      <c r="B109" s="1370">
        <v>69</v>
      </c>
      <c r="C109" s="1370">
        <v>2297</v>
      </c>
      <c r="G109" s="2125"/>
      <c r="H109" s="1406"/>
      <c r="I109" s="1406"/>
    </row>
    <row r="110" spans="1:9" ht="11.25" customHeight="1" x14ac:dyDescent="0.15">
      <c r="A110" s="2125" t="s">
        <v>3031</v>
      </c>
      <c r="B110" s="1370">
        <v>12</v>
      </c>
      <c r="C110" s="1370">
        <v>601</v>
      </c>
      <c r="G110" s="2125"/>
      <c r="H110" s="1406"/>
      <c r="I110" s="1406"/>
    </row>
    <row r="111" spans="1:9" ht="11.25" customHeight="1" x14ac:dyDescent="0.15">
      <c r="A111" s="2125" t="s">
        <v>3032</v>
      </c>
      <c r="B111" s="1370">
        <v>1</v>
      </c>
      <c r="C111" s="1370">
        <v>15</v>
      </c>
      <c r="G111" s="2125"/>
      <c r="H111" s="1406"/>
      <c r="I111" s="1406"/>
    </row>
    <row r="112" spans="1:9" ht="11.25" customHeight="1" x14ac:dyDescent="0.15">
      <c r="A112" s="2125" t="s">
        <v>3033</v>
      </c>
      <c r="B112" s="1370">
        <v>15</v>
      </c>
      <c r="C112" s="1370">
        <v>427</v>
      </c>
      <c r="G112" s="2125"/>
      <c r="H112" s="1406"/>
      <c r="I112" s="1406"/>
    </row>
    <row r="113" spans="1:12" ht="11.25" customHeight="1" x14ac:dyDescent="0.15">
      <c r="A113" s="2125" t="s">
        <v>3034</v>
      </c>
      <c r="B113" s="1370">
        <v>9</v>
      </c>
      <c r="C113" s="1370">
        <v>784</v>
      </c>
      <c r="G113" s="2125"/>
      <c r="H113" s="1406"/>
      <c r="I113" s="1406"/>
    </row>
    <row r="114" spans="1:12" ht="11.25" customHeight="1" x14ac:dyDescent="0.15">
      <c r="A114" s="2125" t="s">
        <v>3035</v>
      </c>
      <c r="B114" s="1370">
        <v>6</v>
      </c>
      <c r="C114" s="1370">
        <v>159</v>
      </c>
      <c r="G114" s="2125"/>
      <c r="H114" s="1406"/>
      <c r="I114" s="1406"/>
    </row>
    <row r="115" spans="1:12" ht="11.25" customHeight="1" x14ac:dyDescent="0.15">
      <c r="A115" s="2125" t="s">
        <v>3036</v>
      </c>
      <c r="B115" s="1370">
        <v>4</v>
      </c>
      <c r="C115" s="1370">
        <v>139</v>
      </c>
      <c r="G115" s="2125"/>
      <c r="H115" s="1406"/>
      <c r="I115" s="1406"/>
    </row>
    <row r="116" spans="1:12" ht="11.25" customHeight="1" x14ac:dyDescent="0.15">
      <c r="A116" s="2125" t="s">
        <v>3037</v>
      </c>
      <c r="B116" s="1370">
        <v>18</v>
      </c>
      <c r="C116" s="1370">
        <v>1970</v>
      </c>
      <c r="G116" s="2125"/>
      <c r="H116" s="1406"/>
      <c r="I116" s="1406"/>
    </row>
    <row r="117" spans="1:12" ht="11.25" customHeight="1" x14ac:dyDescent="0.15">
      <c r="A117" s="2125" t="s">
        <v>3038</v>
      </c>
      <c r="B117" s="1370">
        <v>65</v>
      </c>
      <c r="C117" s="1370">
        <v>5969</v>
      </c>
      <c r="G117" s="2125"/>
      <c r="H117" s="1406"/>
      <c r="I117" s="1406"/>
    </row>
    <row r="118" spans="1:12" ht="11.25" customHeight="1" x14ac:dyDescent="0.15">
      <c r="A118" s="2125" t="s">
        <v>3039</v>
      </c>
      <c r="B118" s="1370">
        <v>11</v>
      </c>
      <c r="C118" s="1370">
        <v>2013</v>
      </c>
      <c r="G118" s="2125"/>
      <c r="H118" s="1406"/>
      <c r="I118" s="1406"/>
    </row>
    <row r="119" spans="1:12" ht="11.25" customHeight="1" x14ac:dyDescent="0.15">
      <c r="A119" s="2125" t="s">
        <v>3040</v>
      </c>
      <c r="B119" s="1370">
        <v>6</v>
      </c>
      <c r="C119" s="1370">
        <v>187</v>
      </c>
      <c r="G119" s="2125"/>
      <c r="H119" s="1406"/>
      <c r="I119" s="1406"/>
    </row>
    <row r="120" spans="1:12" x14ac:dyDescent="0.15">
      <c r="A120" s="2122"/>
      <c r="B120" s="1400"/>
      <c r="C120" s="1400"/>
    </row>
    <row r="121" spans="1:12" ht="21.75" customHeight="1" x14ac:dyDescent="0.15">
      <c r="A121" s="3267" t="s">
        <v>2912</v>
      </c>
      <c r="B121" s="3267"/>
      <c r="C121" s="3267"/>
      <c r="D121" s="2125"/>
      <c r="E121" s="2125"/>
      <c r="F121" s="2125"/>
      <c r="G121" s="2125"/>
      <c r="H121" s="2125"/>
      <c r="J121" s="2125"/>
      <c r="L121" s="2125"/>
    </row>
    <row r="122" spans="1:12" x14ac:dyDescent="0.15">
      <c r="A122" s="1356" t="s">
        <v>44</v>
      </c>
    </row>
    <row r="123" spans="1:12" ht="24.75" customHeight="1" x14ac:dyDescent="0.15">
      <c r="A123" s="3280" t="s">
        <v>2913</v>
      </c>
      <c r="B123" s="3280"/>
      <c r="C123" s="3280"/>
    </row>
  </sheetData>
  <mergeCells count="3">
    <mergeCell ref="A2:C2"/>
    <mergeCell ref="A121:C121"/>
    <mergeCell ref="A123:C123"/>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dimension ref="A1:K250"/>
  <sheetViews>
    <sheetView zoomScaleNormal="100" workbookViewId="0">
      <selection activeCell="F37" sqref="F37"/>
    </sheetView>
  </sheetViews>
  <sheetFormatPr baseColWidth="10" defaultRowHeight="11.25" x14ac:dyDescent="0.15"/>
  <cols>
    <col min="1" max="1" width="16.5703125" style="1431" customWidth="1"/>
    <col min="2" max="2" width="11.5703125" style="1431" customWidth="1"/>
    <col min="3" max="4" width="11.42578125" style="1431" customWidth="1"/>
    <col min="5" max="5" width="11.140625" style="1431" customWidth="1"/>
    <col min="6" max="9" width="10.7109375" style="1431" customWidth="1"/>
    <col min="10" max="16384" width="11.42578125" style="1431"/>
  </cols>
  <sheetData>
    <row r="1" spans="1:11" s="1065" customFormat="1" ht="15" customHeight="1" x14ac:dyDescent="0.15">
      <c r="A1" s="1408"/>
      <c r="B1" s="1409"/>
      <c r="C1" s="1409"/>
    </row>
    <row r="2" spans="1:11" s="1065" customFormat="1" ht="15" customHeight="1" x14ac:dyDescent="0.15">
      <c r="A2" s="2631" t="s">
        <v>3052</v>
      </c>
      <c r="B2" s="2631"/>
      <c r="C2" s="2631"/>
      <c r="D2" s="2631"/>
      <c r="E2" s="2631"/>
      <c r="F2" s="2631"/>
      <c r="G2" s="2631"/>
      <c r="H2" s="2631"/>
      <c r="I2" s="2631"/>
      <c r="J2" s="2631"/>
      <c r="K2" s="2631"/>
    </row>
    <row r="3" spans="1:11" s="1067" customFormat="1" ht="10.5" customHeight="1" x14ac:dyDescent="0.15">
      <c r="A3" s="367"/>
      <c r="B3" s="1410"/>
      <c r="C3" s="1410"/>
      <c r="D3" s="380"/>
      <c r="E3" s="380"/>
      <c r="F3" s="380"/>
      <c r="G3" s="380"/>
      <c r="H3" s="380"/>
      <c r="I3" s="380"/>
      <c r="J3" s="380"/>
      <c r="K3" s="380"/>
    </row>
    <row r="4" spans="1:11" s="1065" customFormat="1" ht="12.75" customHeight="1" x14ac:dyDescent="0.15">
      <c r="A4" s="3282" t="s">
        <v>1</v>
      </c>
      <c r="B4" s="3283">
        <v>2011</v>
      </c>
      <c r="C4" s="3284"/>
      <c r="D4" s="3283">
        <v>2012</v>
      </c>
      <c r="E4" s="3284"/>
      <c r="F4" s="3283">
        <v>2013</v>
      </c>
      <c r="G4" s="3284"/>
      <c r="H4" s="3283">
        <v>2014</v>
      </c>
      <c r="I4" s="3284"/>
      <c r="J4" s="3283">
        <v>2015</v>
      </c>
      <c r="K4" s="3284"/>
    </row>
    <row r="5" spans="1:11" s="1065" customFormat="1" ht="33.75" customHeight="1" x14ac:dyDescent="0.15">
      <c r="A5" s="3282"/>
      <c r="B5" s="1411" t="s">
        <v>3053</v>
      </c>
      <c r="C5" s="1411" t="s">
        <v>3054</v>
      </c>
      <c r="D5" s="1411" t="s">
        <v>3053</v>
      </c>
      <c r="E5" s="1411" t="s">
        <v>3054</v>
      </c>
      <c r="F5" s="1411" t="s">
        <v>3053</v>
      </c>
      <c r="G5" s="1411" t="s">
        <v>3054</v>
      </c>
      <c r="H5" s="1411" t="s">
        <v>3053</v>
      </c>
      <c r="I5" s="1411" t="s">
        <v>3054</v>
      </c>
      <c r="J5" s="1411" t="s">
        <v>3053</v>
      </c>
      <c r="K5" s="1411" t="s">
        <v>3054</v>
      </c>
    </row>
    <row r="6" spans="1:11" s="1065" customFormat="1" ht="12.75" customHeight="1" x14ac:dyDescent="0.15">
      <c r="A6" s="1412" t="s">
        <v>3055</v>
      </c>
      <c r="B6" s="1413">
        <v>25</v>
      </c>
      <c r="C6" s="1413">
        <v>3</v>
      </c>
      <c r="D6" s="1414">
        <v>24</v>
      </c>
      <c r="E6" s="1415">
        <v>6</v>
      </c>
      <c r="F6" s="1416">
        <v>23</v>
      </c>
      <c r="G6" s="1415">
        <v>8</v>
      </c>
      <c r="H6" s="787">
        <v>22</v>
      </c>
      <c r="I6" s="787">
        <v>10</v>
      </c>
      <c r="J6" s="1417">
        <v>23</v>
      </c>
      <c r="K6" s="1417">
        <v>11</v>
      </c>
    </row>
    <row r="7" spans="1:11" s="1065" customFormat="1" ht="12.75" customHeight="1" x14ac:dyDescent="0.15">
      <c r="A7" s="1418" t="s">
        <v>5</v>
      </c>
      <c r="B7" s="1419">
        <v>7</v>
      </c>
      <c r="C7" s="1420" t="s">
        <v>181</v>
      </c>
      <c r="D7" s="1420">
        <v>7</v>
      </c>
      <c r="E7" s="1421" t="s">
        <v>181</v>
      </c>
      <c r="F7" s="1422">
        <v>7</v>
      </c>
      <c r="G7" s="1421" t="s">
        <v>181</v>
      </c>
      <c r="H7" s="785">
        <v>7</v>
      </c>
      <c r="I7" s="1421" t="s">
        <v>181</v>
      </c>
      <c r="J7" s="1423">
        <v>7</v>
      </c>
      <c r="K7" s="1421" t="s">
        <v>181</v>
      </c>
    </row>
    <row r="8" spans="1:11" s="1065" customFormat="1" ht="12.75" customHeight="1" x14ac:dyDescent="0.15">
      <c r="A8" s="1418" t="s">
        <v>6</v>
      </c>
      <c r="B8" s="1419">
        <v>7</v>
      </c>
      <c r="C8" s="1420" t="s">
        <v>181</v>
      </c>
      <c r="D8" s="1420">
        <v>8</v>
      </c>
      <c r="E8" s="1421" t="s">
        <v>181</v>
      </c>
      <c r="F8" s="1422">
        <v>7</v>
      </c>
      <c r="G8" s="1421" t="s">
        <v>181</v>
      </c>
      <c r="H8" s="785">
        <v>7</v>
      </c>
      <c r="I8" s="1421" t="s">
        <v>181</v>
      </c>
      <c r="J8" s="1423">
        <v>7</v>
      </c>
      <c r="K8" s="1421" t="s">
        <v>181</v>
      </c>
    </row>
    <row r="9" spans="1:11" s="1065" customFormat="1" ht="12.75" customHeight="1" x14ac:dyDescent="0.15">
      <c r="A9" s="1418" t="s">
        <v>7</v>
      </c>
      <c r="B9" s="1419">
        <v>8</v>
      </c>
      <c r="C9" s="1420" t="s">
        <v>181</v>
      </c>
      <c r="D9" s="1420">
        <v>9</v>
      </c>
      <c r="E9" s="1421" t="s">
        <v>181</v>
      </c>
      <c r="F9" s="1422">
        <v>8</v>
      </c>
      <c r="G9" s="1421" t="s">
        <v>181</v>
      </c>
      <c r="H9" s="785">
        <v>9</v>
      </c>
      <c r="I9" s="1421" t="s">
        <v>181</v>
      </c>
      <c r="J9" s="1423">
        <v>9</v>
      </c>
      <c r="K9" s="1421" t="s">
        <v>181</v>
      </c>
    </row>
    <row r="10" spans="1:11" s="1065" customFormat="1" ht="12.75" customHeight="1" x14ac:dyDescent="0.15">
      <c r="A10" s="1418" t="s">
        <v>8</v>
      </c>
      <c r="B10" s="1419">
        <v>7</v>
      </c>
      <c r="C10" s="1420" t="s">
        <v>181</v>
      </c>
      <c r="D10" s="1420">
        <v>7</v>
      </c>
      <c r="E10" s="1421" t="s">
        <v>181</v>
      </c>
      <c r="F10" s="1422">
        <v>8</v>
      </c>
      <c r="G10" s="1421" t="s">
        <v>181</v>
      </c>
      <c r="H10" s="785">
        <v>8</v>
      </c>
      <c r="I10" s="1421" t="s">
        <v>181</v>
      </c>
      <c r="J10" s="1423">
        <v>7</v>
      </c>
      <c r="K10" s="1421" t="s">
        <v>181</v>
      </c>
    </row>
    <row r="11" spans="1:11" s="1065" customFormat="1" ht="12.75" customHeight="1" x14ac:dyDescent="0.15">
      <c r="A11" s="1418" t="s">
        <v>9</v>
      </c>
      <c r="B11" s="1419">
        <v>8</v>
      </c>
      <c r="C11" s="1420" t="s">
        <v>181</v>
      </c>
      <c r="D11" s="1420">
        <v>8</v>
      </c>
      <c r="E11" s="1421" t="s">
        <v>181</v>
      </c>
      <c r="F11" s="1422">
        <v>8</v>
      </c>
      <c r="G11" s="1421" t="s">
        <v>181</v>
      </c>
      <c r="H11" s="785">
        <v>8</v>
      </c>
      <c r="I11" s="1421" t="s">
        <v>181</v>
      </c>
      <c r="J11" s="1423">
        <v>7</v>
      </c>
      <c r="K11" s="1421" t="s">
        <v>181</v>
      </c>
    </row>
    <row r="12" spans="1:11" s="1065" customFormat="1" ht="12.75" customHeight="1" x14ac:dyDescent="0.15">
      <c r="A12" s="1418" t="s">
        <v>10</v>
      </c>
      <c r="B12" s="1419">
        <v>11</v>
      </c>
      <c r="C12" s="1420" t="s">
        <v>181</v>
      </c>
      <c r="D12" s="1420">
        <v>12</v>
      </c>
      <c r="E12" s="1421" t="s">
        <v>181</v>
      </c>
      <c r="F12" s="1422">
        <v>11</v>
      </c>
      <c r="G12" s="1421" t="s">
        <v>181</v>
      </c>
      <c r="H12" s="785">
        <v>11</v>
      </c>
      <c r="I12" s="1421" t="s">
        <v>181</v>
      </c>
      <c r="J12" s="1423">
        <v>10</v>
      </c>
      <c r="K12" s="1421" t="s">
        <v>181</v>
      </c>
    </row>
    <row r="13" spans="1:11" s="1065" customFormat="1" ht="12.75" customHeight="1" x14ac:dyDescent="0.15">
      <c r="A13" s="1418" t="s">
        <v>11</v>
      </c>
      <c r="B13" s="1424">
        <v>19</v>
      </c>
      <c r="C13" s="1420" t="s">
        <v>181</v>
      </c>
      <c r="D13" s="1420">
        <v>19</v>
      </c>
      <c r="E13" s="1421" t="s">
        <v>181</v>
      </c>
      <c r="F13" s="1422">
        <v>19</v>
      </c>
      <c r="G13" s="1421" t="s">
        <v>181</v>
      </c>
      <c r="H13" s="785">
        <v>18</v>
      </c>
      <c r="I13" s="1421" t="s">
        <v>181</v>
      </c>
      <c r="J13" s="1423">
        <v>18</v>
      </c>
      <c r="K13" s="1421" t="s">
        <v>181</v>
      </c>
    </row>
    <row r="14" spans="1:11" s="1065" customFormat="1" ht="12.75" customHeight="1" x14ac:dyDescent="0.15">
      <c r="A14" s="1418" t="s">
        <v>12</v>
      </c>
      <c r="B14" s="1419">
        <v>11</v>
      </c>
      <c r="C14" s="1420" t="s">
        <v>181</v>
      </c>
      <c r="D14" s="1420">
        <v>11</v>
      </c>
      <c r="E14" s="1421" t="s">
        <v>181</v>
      </c>
      <c r="F14" s="1422">
        <v>11</v>
      </c>
      <c r="G14" s="1421" t="s">
        <v>181</v>
      </c>
      <c r="H14" s="785">
        <v>11</v>
      </c>
      <c r="I14" s="1421" t="s">
        <v>181</v>
      </c>
      <c r="J14" s="1423">
        <v>9</v>
      </c>
      <c r="K14" s="1421" t="s">
        <v>181</v>
      </c>
    </row>
    <row r="15" spans="1:11" s="1065" customFormat="1" ht="12.75" customHeight="1" x14ac:dyDescent="0.15">
      <c r="A15" s="1418" t="s">
        <v>13</v>
      </c>
      <c r="B15" s="1419">
        <v>12</v>
      </c>
      <c r="C15" s="1420" t="s">
        <v>181</v>
      </c>
      <c r="D15" s="1420">
        <v>13</v>
      </c>
      <c r="E15" s="1421" t="s">
        <v>181</v>
      </c>
      <c r="F15" s="1422">
        <v>12</v>
      </c>
      <c r="G15" s="1421" t="s">
        <v>181</v>
      </c>
      <c r="H15" s="785">
        <v>12</v>
      </c>
      <c r="I15" s="1421" t="s">
        <v>181</v>
      </c>
      <c r="J15" s="1423">
        <v>12</v>
      </c>
      <c r="K15" s="1421" t="s">
        <v>181</v>
      </c>
    </row>
    <row r="16" spans="1:11" s="1065" customFormat="1" ht="12.75" customHeight="1" x14ac:dyDescent="0.15">
      <c r="A16" s="1418" t="s">
        <v>14</v>
      </c>
      <c r="B16" s="1419">
        <v>14</v>
      </c>
      <c r="C16" s="1420" t="s">
        <v>181</v>
      </c>
      <c r="D16" s="1420">
        <v>15</v>
      </c>
      <c r="E16" s="1421" t="s">
        <v>181</v>
      </c>
      <c r="F16" s="1422">
        <v>12</v>
      </c>
      <c r="G16" s="1421" t="s">
        <v>181</v>
      </c>
      <c r="H16" s="785">
        <v>12</v>
      </c>
      <c r="I16" s="1421" t="s">
        <v>181</v>
      </c>
      <c r="J16" s="1423">
        <v>12</v>
      </c>
      <c r="K16" s="1421" t="s">
        <v>181</v>
      </c>
    </row>
    <row r="17" spans="1:11" s="1065" customFormat="1" ht="12.75" customHeight="1" x14ac:dyDescent="0.15">
      <c r="A17" s="1418" t="s">
        <v>15</v>
      </c>
      <c r="B17" s="1419">
        <v>10</v>
      </c>
      <c r="C17" s="1420" t="s">
        <v>181</v>
      </c>
      <c r="D17" s="1420">
        <v>11</v>
      </c>
      <c r="E17" s="1421" t="s">
        <v>181</v>
      </c>
      <c r="F17" s="1422">
        <v>9</v>
      </c>
      <c r="G17" s="1421" t="s">
        <v>181</v>
      </c>
      <c r="H17" s="785">
        <v>11</v>
      </c>
      <c r="I17" s="1421" t="s">
        <v>181</v>
      </c>
      <c r="J17" s="1423">
        <v>10</v>
      </c>
      <c r="K17" s="1421" t="s">
        <v>181</v>
      </c>
    </row>
    <row r="18" spans="1:11" s="1065" customFormat="1" ht="12.75" customHeight="1" x14ac:dyDescent="0.15">
      <c r="A18" s="1418" t="s">
        <v>16</v>
      </c>
      <c r="B18" s="1419">
        <v>9</v>
      </c>
      <c r="C18" s="1420" t="s">
        <v>181</v>
      </c>
      <c r="D18" s="1420">
        <v>9</v>
      </c>
      <c r="E18" s="1421" t="s">
        <v>181</v>
      </c>
      <c r="F18" s="1422">
        <v>10</v>
      </c>
      <c r="G18" s="1421" t="s">
        <v>181</v>
      </c>
      <c r="H18" s="785">
        <v>10</v>
      </c>
      <c r="I18" s="1421" t="s">
        <v>181</v>
      </c>
      <c r="J18" s="1423">
        <v>10</v>
      </c>
      <c r="K18" s="1421" t="s">
        <v>181</v>
      </c>
    </row>
    <row r="19" spans="1:11" s="1065" customFormat="1" ht="12.75" customHeight="1" x14ac:dyDescent="0.15">
      <c r="A19" s="1418" t="s">
        <v>17</v>
      </c>
      <c r="B19" s="1419">
        <v>8</v>
      </c>
      <c r="C19" s="1420" t="s">
        <v>181</v>
      </c>
      <c r="D19" s="1420">
        <v>8</v>
      </c>
      <c r="E19" s="1421" t="s">
        <v>181</v>
      </c>
      <c r="F19" s="1422">
        <v>9</v>
      </c>
      <c r="G19" s="1421" t="s">
        <v>181</v>
      </c>
      <c r="H19" s="785">
        <v>9</v>
      </c>
      <c r="I19" s="1421" t="s">
        <v>181</v>
      </c>
      <c r="J19" s="1423">
        <v>9</v>
      </c>
      <c r="K19" s="1421" t="s">
        <v>181</v>
      </c>
    </row>
    <row r="20" spans="1:11" s="1065" customFormat="1" ht="12.75" customHeight="1" x14ac:dyDescent="0.15">
      <c r="A20" s="1418" t="s">
        <v>18</v>
      </c>
      <c r="B20" s="1419">
        <v>4</v>
      </c>
      <c r="C20" s="1420" t="s">
        <v>181</v>
      </c>
      <c r="D20" s="1420">
        <v>6</v>
      </c>
      <c r="E20" s="1421" t="s">
        <v>181</v>
      </c>
      <c r="F20" s="1422">
        <v>6</v>
      </c>
      <c r="G20" s="1421" t="s">
        <v>181</v>
      </c>
      <c r="H20" s="785">
        <v>6</v>
      </c>
      <c r="I20" s="1421" t="s">
        <v>181</v>
      </c>
      <c r="J20" s="1423">
        <v>7</v>
      </c>
      <c r="K20" s="1421" t="s">
        <v>181</v>
      </c>
    </row>
    <row r="21" spans="1:11" s="1065" customFormat="1" ht="12.75" customHeight="1" x14ac:dyDescent="0.15">
      <c r="A21" s="1418" t="s">
        <v>19</v>
      </c>
      <c r="B21" s="1419">
        <v>5</v>
      </c>
      <c r="C21" s="1420" t="s">
        <v>181</v>
      </c>
      <c r="D21" s="1420">
        <v>7</v>
      </c>
      <c r="E21" s="1421" t="s">
        <v>181</v>
      </c>
      <c r="F21" s="1422">
        <v>6</v>
      </c>
      <c r="G21" s="1421" t="s">
        <v>181</v>
      </c>
      <c r="H21" s="785">
        <v>6</v>
      </c>
      <c r="I21" s="1421" t="s">
        <v>181</v>
      </c>
      <c r="J21" s="1423">
        <v>7</v>
      </c>
      <c r="K21" s="1421" t="s">
        <v>181</v>
      </c>
    </row>
    <row r="22" spans="1:11" s="1065" customFormat="1" ht="11.25" customHeight="1" x14ac:dyDescent="0.15">
      <c r="A22" s="1425"/>
      <c r="B22" s="1426"/>
      <c r="C22" s="1427"/>
      <c r="D22" s="1427"/>
      <c r="E22" s="1428"/>
      <c r="F22" s="1428"/>
      <c r="G22" s="1428"/>
      <c r="H22" s="785"/>
      <c r="I22" s="1421"/>
      <c r="J22" s="785"/>
      <c r="K22" s="785"/>
    </row>
    <row r="23" spans="1:11" s="1068" customFormat="1" ht="17.25" customHeight="1" x14ac:dyDescent="0.25">
      <c r="A23" s="3285" t="s">
        <v>3056</v>
      </c>
      <c r="B23" s="3285"/>
      <c r="C23" s="3285"/>
      <c r="D23" s="3285"/>
      <c r="E23" s="3285"/>
      <c r="F23" s="3285"/>
      <c r="G23" s="3285"/>
      <c r="H23" s="3285"/>
      <c r="I23" s="3285"/>
      <c r="J23" s="3285"/>
      <c r="K23" s="3285"/>
    </row>
    <row r="24" spans="1:11" s="1068" customFormat="1" ht="24" customHeight="1" x14ac:dyDescent="0.25">
      <c r="A24" s="2530" t="s">
        <v>3057</v>
      </c>
      <c r="B24" s="2530"/>
      <c r="C24" s="2530"/>
      <c r="D24" s="2530"/>
      <c r="E24" s="2530"/>
      <c r="F24" s="2530"/>
      <c r="G24" s="2530"/>
      <c r="H24" s="2530"/>
      <c r="I24" s="2530"/>
      <c r="J24" s="2530"/>
      <c r="K24" s="2530"/>
    </row>
    <row r="25" spans="1:11" s="1068" customFormat="1" ht="16.5" customHeight="1" x14ac:dyDescent="0.25">
      <c r="A25" s="3285" t="s">
        <v>3058</v>
      </c>
      <c r="B25" s="3285"/>
      <c r="C25" s="3285"/>
      <c r="D25" s="3285"/>
      <c r="E25" s="3285"/>
      <c r="F25" s="3285"/>
      <c r="G25" s="3285"/>
      <c r="H25" s="3285"/>
      <c r="I25" s="3285"/>
      <c r="J25" s="3285"/>
      <c r="K25" s="3285"/>
    </row>
    <row r="26" spans="1:11" s="1068" customFormat="1" ht="22.5" customHeight="1" x14ac:dyDescent="0.25">
      <c r="A26" s="2530" t="s">
        <v>3059</v>
      </c>
      <c r="B26" s="2530"/>
      <c r="C26" s="2530"/>
      <c r="D26" s="2530"/>
      <c r="E26" s="2530"/>
      <c r="F26" s="2530"/>
      <c r="G26" s="2530"/>
      <c r="H26" s="2530"/>
      <c r="I26" s="2530"/>
      <c r="J26" s="2530"/>
      <c r="K26" s="2530"/>
    </row>
    <row r="27" spans="1:11" s="1065" customFormat="1" x14ac:dyDescent="0.15">
      <c r="A27" s="3281" t="s">
        <v>731</v>
      </c>
      <c r="B27" s="3281"/>
      <c r="C27" s="3281"/>
      <c r="D27" s="3281"/>
      <c r="E27" s="3281"/>
      <c r="F27" s="3281"/>
      <c r="G27" s="3281"/>
      <c r="H27" s="3281"/>
      <c r="I27" s="3281"/>
      <c r="J27" s="3281"/>
      <c r="K27" s="3281"/>
    </row>
    <row r="28" spans="1:11" s="1065" customFormat="1" ht="14.25" customHeight="1" x14ac:dyDescent="0.15">
      <c r="A28" s="3281" t="s">
        <v>2454</v>
      </c>
      <c r="B28" s="3281"/>
      <c r="C28" s="3281"/>
      <c r="D28" s="3281"/>
      <c r="E28" s="3281"/>
      <c r="F28" s="3281"/>
      <c r="G28" s="3281"/>
      <c r="H28" s="3281"/>
      <c r="I28" s="3281"/>
      <c r="J28" s="3281"/>
      <c r="K28" s="3281"/>
    </row>
    <row r="29" spans="1:11" s="1065" customFormat="1" ht="12.75" customHeight="1" x14ac:dyDescent="0.15">
      <c r="A29" s="1429"/>
      <c r="B29" s="1429"/>
      <c r="C29" s="1429"/>
    </row>
    <row r="30" spans="1:11" x14ac:dyDescent="0.15">
      <c r="A30" s="1430"/>
    </row>
    <row r="31" spans="1:11" x14ac:dyDescent="0.15">
      <c r="A31" s="1430"/>
    </row>
    <row r="32" spans="1:11" x14ac:dyDescent="0.15">
      <c r="A32" s="1430"/>
    </row>
    <row r="33" spans="1:1" x14ac:dyDescent="0.15">
      <c r="A33" s="1430"/>
    </row>
    <row r="34" spans="1:1" x14ac:dyDescent="0.15">
      <c r="A34" s="1430"/>
    </row>
    <row r="35" spans="1:1" x14ac:dyDescent="0.15">
      <c r="A35" s="1430"/>
    </row>
    <row r="36" spans="1:1" x14ac:dyDescent="0.15">
      <c r="A36" s="1430"/>
    </row>
    <row r="37" spans="1:1" x14ac:dyDescent="0.15">
      <c r="A37" s="1430"/>
    </row>
    <row r="38" spans="1:1" x14ac:dyDescent="0.15">
      <c r="A38" s="1430"/>
    </row>
    <row r="39" spans="1:1" x14ac:dyDescent="0.15">
      <c r="A39" s="1430"/>
    </row>
    <row r="40" spans="1:1" x14ac:dyDescent="0.15">
      <c r="A40" s="1430"/>
    </row>
    <row r="41" spans="1:1" x14ac:dyDescent="0.15">
      <c r="A41" s="1430"/>
    </row>
    <row r="42" spans="1:1" x14ac:dyDescent="0.15">
      <c r="A42" s="1430"/>
    </row>
    <row r="43" spans="1:1" x14ac:dyDescent="0.15">
      <c r="A43" s="1430"/>
    </row>
    <row r="44" spans="1:1" x14ac:dyDescent="0.15">
      <c r="A44" s="1430"/>
    </row>
    <row r="45" spans="1:1" x14ac:dyDescent="0.15">
      <c r="A45" s="1430"/>
    </row>
    <row r="46" spans="1:1" x14ac:dyDescent="0.15">
      <c r="A46" s="1430"/>
    </row>
    <row r="47" spans="1:1" x14ac:dyDescent="0.15">
      <c r="A47" s="1430"/>
    </row>
    <row r="48" spans="1:1" x14ac:dyDescent="0.15">
      <c r="A48" s="1430"/>
    </row>
    <row r="49" spans="1:1" x14ac:dyDescent="0.15">
      <c r="A49" s="1430"/>
    </row>
    <row r="50" spans="1:1" x14ac:dyDescent="0.15">
      <c r="A50" s="1430"/>
    </row>
    <row r="51" spans="1:1" x14ac:dyDescent="0.15">
      <c r="A51" s="1430"/>
    </row>
    <row r="52" spans="1:1" x14ac:dyDescent="0.15">
      <c r="A52" s="1430"/>
    </row>
    <row r="53" spans="1:1" x14ac:dyDescent="0.15">
      <c r="A53" s="1430"/>
    </row>
    <row r="54" spans="1:1" x14ac:dyDescent="0.15">
      <c r="A54" s="1430"/>
    </row>
    <row r="55" spans="1:1" x14ac:dyDescent="0.15">
      <c r="A55" s="1430"/>
    </row>
    <row r="56" spans="1:1" x14ac:dyDescent="0.15">
      <c r="A56" s="1430"/>
    </row>
    <row r="57" spans="1:1" x14ac:dyDescent="0.15">
      <c r="A57" s="1430"/>
    </row>
    <row r="58" spans="1:1" x14ac:dyDescent="0.15">
      <c r="A58" s="1430"/>
    </row>
    <row r="59" spans="1:1" x14ac:dyDescent="0.15">
      <c r="A59" s="1430"/>
    </row>
    <row r="60" spans="1:1" x14ac:dyDescent="0.15">
      <c r="A60" s="1430"/>
    </row>
    <row r="61" spans="1:1" x14ac:dyDescent="0.15">
      <c r="A61" s="1430"/>
    </row>
    <row r="62" spans="1:1" x14ac:dyDescent="0.15">
      <c r="A62" s="1430"/>
    </row>
    <row r="63" spans="1:1" x14ac:dyDescent="0.15">
      <c r="A63" s="1430"/>
    </row>
    <row r="64" spans="1:1" x14ac:dyDescent="0.15">
      <c r="A64" s="1430"/>
    </row>
    <row r="65" spans="1:1" x14ac:dyDescent="0.15">
      <c r="A65" s="1430"/>
    </row>
    <row r="66" spans="1:1" x14ac:dyDescent="0.15">
      <c r="A66" s="1430"/>
    </row>
    <row r="67" spans="1:1" x14ac:dyDescent="0.15">
      <c r="A67" s="1430"/>
    </row>
    <row r="68" spans="1:1" x14ac:dyDescent="0.15">
      <c r="A68" s="1430"/>
    </row>
    <row r="69" spans="1:1" x14ac:dyDescent="0.15">
      <c r="A69" s="1430"/>
    </row>
    <row r="70" spans="1:1" x14ac:dyDescent="0.15">
      <c r="A70" s="1430"/>
    </row>
    <row r="71" spans="1:1" x14ac:dyDescent="0.15">
      <c r="A71" s="1430"/>
    </row>
    <row r="72" spans="1:1" x14ac:dyDescent="0.15">
      <c r="A72" s="1430"/>
    </row>
    <row r="73" spans="1:1" x14ac:dyDescent="0.15">
      <c r="A73" s="1430"/>
    </row>
    <row r="74" spans="1:1" x14ac:dyDescent="0.15">
      <c r="A74" s="1430"/>
    </row>
    <row r="75" spans="1:1" x14ac:dyDescent="0.15">
      <c r="A75" s="1430"/>
    </row>
    <row r="76" spans="1:1" x14ac:dyDescent="0.15">
      <c r="A76" s="1430"/>
    </row>
    <row r="77" spans="1:1" x14ac:dyDescent="0.15">
      <c r="A77" s="1430"/>
    </row>
    <row r="78" spans="1:1" x14ac:dyDescent="0.15">
      <c r="A78" s="1430"/>
    </row>
    <row r="79" spans="1:1" x14ac:dyDescent="0.15">
      <c r="A79" s="1430"/>
    </row>
    <row r="80" spans="1:1" x14ac:dyDescent="0.15">
      <c r="A80" s="1430"/>
    </row>
    <row r="81" spans="1:1" x14ac:dyDescent="0.15">
      <c r="A81" s="1430"/>
    </row>
    <row r="82" spans="1:1" x14ac:dyDescent="0.15">
      <c r="A82" s="1430"/>
    </row>
    <row r="83" spans="1:1" x14ac:dyDescent="0.15">
      <c r="A83" s="1430"/>
    </row>
    <row r="84" spans="1:1" x14ac:dyDescent="0.15">
      <c r="A84" s="1430"/>
    </row>
    <row r="85" spans="1:1" x14ac:dyDescent="0.15">
      <c r="A85" s="1430"/>
    </row>
    <row r="86" spans="1:1" x14ac:dyDescent="0.15">
      <c r="A86" s="1430"/>
    </row>
    <row r="87" spans="1:1" x14ac:dyDescent="0.15">
      <c r="A87" s="1430"/>
    </row>
    <row r="88" spans="1:1" x14ac:dyDescent="0.15">
      <c r="A88" s="1430"/>
    </row>
    <row r="89" spans="1:1" x14ac:dyDescent="0.15">
      <c r="A89" s="1430"/>
    </row>
    <row r="90" spans="1:1" x14ac:dyDescent="0.15">
      <c r="A90" s="1430"/>
    </row>
    <row r="91" spans="1:1" x14ac:dyDescent="0.15">
      <c r="A91" s="1430"/>
    </row>
    <row r="92" spans="1:1" x14ac:dyDescent="0.15">
      <c r="A92" s="1430"/>
    </row>
    <row r="93" spans="1:1" x14ac:dyDescent="0.15">
      <c r="A93" s="1430"/>
    </row>
    <row r="94" spans="1:1" x14ac:dyDescent="0.15">
      <c r="A94" s="1430"/>
    </row>
    <row r="95" spans="1:1" x14ac:dyDescent="0.15">
      <c r="A95" s="1430"/>
    </row>
    <row r="96" spans="1:1" x14ac:dyDescent="0.15">
      <c r="A96" s="1430"/>
    </row>
    <row r="97" spans="1:1" x14ac:dyDescent="0.15">
      <c r="A97" s="1430"/>
    </row>
    <row r="98" spans="1:1" x14ac:dyDescent="0.15">
      <c r="A98" s="1430"/>
    </row>
    <row r="99" spans="1:1" x14ac:dyDescent="0.15">
      <c r="A99" s="1430"/>
    </row>
    <row r="100" spans="1:1" x14ac:dyDescent="0.15">
      <c r="A100" s="1430"/>
    </row>
    <row r="101" spans="1:1" x14ac:dyDescent="0.15">
      <c r="A101" s="1430"/>
    </row>
    <row r="102" spans="1:1" x14ac:dyDescent="0.15">
      <c r="A102" s="1430"/>
    </row>
    <row r="103" spans="1:1" x14ac:dyDescent="0.15">
      <c r="A103" s="1430"/>
    </row>
    <row r="104" spans="1:1" x14ac:dyDescent="0.15">
      <c r="A104" s="1430"/>
    </row>
    <row r="105" spans="1:1" x14ac:dyDescent="0.15">
      <c r="A105" s="1430"/>
    </row>
    <row r="106" spans="1:1" x14ac:dyDescent="0.15">
      <c r="A106" s="1430"/>
    </row>
    <row r="107" spans="1:1" x14ac:dyDescent="0.15">
      <c r="A107" s="1430"/>
    </row>
    <row r="108" spans="1:1" x14ac:dyDescent="0.15">
      <c r="A108" s="1430"/>
    </row>
    <row r="109" spans="1:1" x14ac:dyDescent="0.15">
      <c r="A109" s="1430"/>
    </row>
    <row r="110" spans="1:1" x14ac:dyDescent="0.15">
      <c r="A110" s="1430"/>
    </row>
    <row r="111" spans="1:1" x14ac:dyDescent="0.15">
      <c r="A111" s="1430"/>
    </row>
    <row r="112" spans="1:1" x14ac:dyDescent="0.15">
      <c r="A112" s="1430"/>
    </row>
    <row r="113" spans="1:1" x14ac:dyDescent="0.15">
      <c r="A113" s="1430"/>
    </row>
    <row r="114" spans="1:1" x14ac:dyDescent="0.15">
      <c r="A114" s="1430"/>
    </row>
    <row r="115" spans="1:1" x14ac:dyDescent="0.15">
      <c r="A115" s="1430"/>
    </row>
    <row r="116" spans="1:1" x14ac:dyDescent="0.15">
      <c r="A116" s="1430"/>
    </row>
    <row r="117" spans="1:1" x14ac:dyDescent="0.15">
      <c r="A117" s="1430"/>
    </row>
    <row r="118" spans="1:1" x14ac:dyDescent="0.15">
      <c r="A118" s="1430"/>
    </row>
    <row r="119" spans="1:1" x14ac:dyDescent="0.15">
      <c r="A119" s="1430"/>
    </row>
    <row r="120" spans="1:1" x14ac:dyDescent="0.15">
      <c r="A120" s="1430"/>
    </row>
    <row r="121" spans="1:1" x14ac:dyDescent="0.15">
      <c r="A121" s="1430"/>
    </row>
    <row r="122" spans="1:1" x14ac:dyDescent="0.15">
      <c r="A122" s="1430"/>
    </row>
    <row r="123" spans="1:1" x14ac:dyDescent="0.15">
      <c r="A123" s="1430"/>
    </row>
    <row r="124" spans="1:1" x14ac:dyDescent="0.15">
      <c r="A124" s="1430"/>
    </row>
    <row r="125" spans="1:1" x14ac:dyDescent="0.15">
      <c r="A125" s="1430"/>
    </row>
    <row r="126" spans="1:1" x14ac:dyDescent="0.15">
      <c r="A126" s="1430"/>
    </row>
    <row r="127" spans="1:1" x14ac:dyDescent="0.15">
      <c r="A127" s="1430"/>
    </row>
    <row r="128" spans="1:1" x14ac:dyDescent="0.15">
      <c r="A128" s="1430"/>
    </row>
    <row r="129" spans="1:1" x14ac:dyDescent="0.15">
      <c r="A129" s="1430"/>
    </row>
    <row r="130" spans="1:1" x14ac:dyDescent="0.15">
      <c r="A130" s="1430"/>
    </row>
    <row r="131" spans="1:1" x14ac:dyDescent="0.15">
      <c r="A131" s="1430"/>
    </row>
    <row r="132" spans="1:1" x14ac:dyDescent="0.15">
      <c r="A132" s="1430"/>
    </row>
    <row r="133" spans="1:1" x14ac:dyDescent="0.15">
      <c r="A133" s="1430"/>
    </row>
    <row r="134" spans="1:1" x14ac:dyDescent="0.15">
      <c r="A134" s="1430"/>
    </row>
    <row r="135" spans="1:1" x14ac:dyDescent="0.15">
      <c r="A135" s="1430"/>
    </row>
    <row r="136" spans="1:1" x14ac:dyDescent="0.15">
      <c r="A136" s="1430"/>
    </row>
    <row r="137" spans="1:1" x14ac:dyDescent="0.15">
      <c r="A137" s="1430"/>
    </row>
    <row r="138" spans="1:1" x14ac:dyDescent="0.15">
      <c r="A138" s="1430"/>
    </row>
    <row r="139" spans="1:1" x14ac:dyDescent="0.15">
      <c r="A139" s="1430"/>
    </row>
    <row r="140" spans="1:1" x14ac:dyDescent="0.15">
      <c r="A140" s="1430"/>
    </row>
    <row r="141" spans="1:1" x14ac:dyDescent="0.15">
      <c r="A141" s="1430"/>
    </row>
    <row r="142" spans="1:1" x14ac:dyDescent="0.15">
      <c r="A142" s="1430"/>
    </row>
    <row r="143" spans="1:1" x14ac:dyDescent="0.15">
      <c r="A143" s="1430"/>
    </row>
    <row r="144" spans="1:1" x14ac:dyDescent="0.15">
      <c r="A144" s="1430"/>
    </row>
    <row r="145" spans="1:1" x14ac:dyDescent="0.15">
      <c r="A145" s="1430"/>
    </row>
    <row r="146" spans="1:1" x14ac:dyDescent="0.15">
      <c r="A146" s="1430"/>
    </row>
    <row r="147" spans="1:1" x14ac:dyDescent="0.15">
      <c r="A147" s="1430"/>
    </row>
    <row r="148" spans="1:1" x14ac:dyDescent="0.15">
      <c r="A148" s="1430"/>
    </row>
    <row r="149" spans="1:1" x14ac:dyDescent="0.15">
      <c r="A149" s="1430"/>
    </row>
    <row r="150" spans="1:1" x14ac:dyDescent="0.15">
      <c r="A150" s="1430"/>
    </row>
    <row r="151" spans="1:1" x14ac:dyDescent="0.15">
      <c r="A151" s="1430"/>
    </row>
    <row r="152" spans="1:1" x14ac:dyDescent="0.15">
      <c r="A152" s="1430"/>
    </row>
    <row r="153" spans="1:1" x14ac:dyDescent="0.15">
      <c r="A153" s="1430"/>
    </row>
    <row r="154" spans="1:1" x14ac:dyDescent="0.15">
      <c r="A154" s="1430"/>
    </row>
    <row r="155" spans="1:1" x14ac:dyDescent="0.15">
      <c r="A155" s="1430"/>
    </row>
    <row r="156" spans="1:1" x14ac:dyDescent="0.15">
      <c r="A156" s="1430"/>
    </row>
    <row r="157" spans="1:1" x14ac:dyDescent="0.15">
      <c r="A157" s="1430"/>
    </row>
    <row r="158" spans="1:1" x14ac:dyDescent="0.15">
      <c r="A158" s="1430"/>
    </row>
    <row r="159" spans="1:1" x14ac:dyDescent="0.15">
      <c r="A159" s="1430"/>
    </row>
    <row r="160" spans="1:1" x14ac:dyDescent="0.15">
      <c r="A160" s="1430"/>
    </row>
    <row r="161" spans="1:1" x14ac:dyDescent="0.15">
      <c r="A161" s="1430"/>
    </row>
    <row r="162" spans="1:1" x14ac:dyDescent="0.15">
      <c r="A162" s="1430"/>
    </row>
    <row r="163" spans="1:1" x14ac:dyDescent="0.15">
      <c r="A163" s="1430"/>
    </row>
    <row r="164" spans="1:1" x14ac:dyDescent="0.15">
      <c r="A164" s="1430"/>
    </row>
    <row r="165" spans="1:1" x14ac:dyDescent="0.15">
      <c r="A165" s="1430"/>
    </row>
    <row r="166" spans="1:1" x14ac:dyDescent="0.15">
      <c r="A166" s="1430"/>
    </row>
    <row r="167" spans="1:1" x14ac:dyDescent="0.15">
      <c r="A167" s="1430"/>
    </row>
    <row r="168" spans="1:1" x14ac:dyDescent="0.15">
      <c r="A168" s="1430"/>
    </row>
    <row r="169" spans="1:1" x14ac:dyDescent="0.15">
      <c r="A169" s="1430"/>
    </row>
    <row r="170" spans="1:1" x14ac:dyDescent="0.15">
      <c r="A170" s="1430"/>
    </row>
    <row r="171" spans="1:1" x14ac:dyDescent="0.15">
      <c r="A171" s="1430"/>
    </row>
    <row r="172" spans="1:1" x14ac:dyDescent="0.15">
      <c r="A172" s="1430"/>
    </row>
    <row r="173" spans="1:1" x14ac:dyDescent="0.15">
      <c r="A173" s="1430"/>
    </row>
    <row r="174" spans="1:1" x14ac:dyDescent="0.15">
      <c r="A174" s="1430"/>
    </row>
    <row r="175" spans="1:1" x14ac:dyDescent="0.15">
      <c r="A175" s="1430"/>
    </row>
    <row r="176" spans="1:1" x14ac:dyDescent="0.15">
      <c r="A176" s="1430"/>
    </row>
    <row r="177" spans="1:1" x14ac:dyDescent="0.15">
      <c r="A177" s="1430"/>
    </row>
    <row r="178" spans="1:1" x14ac:dyDescent="0.15">
      <c r="A178" s="1430"/>
    </row>
    <row r="179" spans="1:1" x14ac:dyDescent="0.15">
      <c r="A179" s="1430"/>
    </row>
    <row r="180" spans="1:1" x14ac:dyDescent="0.15">
      <c r="A180" s="1430"/>
    </row>
    <row r="181" spans="1:1" x14ac:dyDescent="0.15">
      <c r="A181" s="1430"/>
    </row>
    <row r="182" spans="1:1" x14ac:dyDescent="0.15">
      <c r="A182" s="1430"/>
    </row>
    <row r="183" spans="1:1" x14ac:dyDescent="0.15">
      <c r="A183" s="1430"/>
    </row>
    <row r="184" spans="1:1" x14ac:dyDescent="0.15">
      <c r="A184" s="1430"/>
    </row>
    <row r="185" spans="1:1" x14ac:dyDescent="0.15">
      <c r="A185" s="1430"/>
    </row>
    <row r="186" spans="1:1" x14ac:dyDescent="0.15">
      <c r="A186" s="1430"/>
    </row>
    <row r="187" spans="1:1" x14ac:dyDescent="0.15">
      <c r="A187" s="1430"/>
    </row>
    <row r="188" spans="1:1" x14ac:dyDescent="0.15">
      <c r="A188" s="1430"/>
    </row>
    <row r="189" spans="1:1" x14ac:dyDescent="0.15">
      <c r="A189" s="1430"/>
    </row>
    <row r="190" spans="1:1" x14ac:dyDescent="0.15">
      <c r="A190" s="1430"/>
    </row>
    <row r="191" spans="1:1" x14ac:dyDescent="0.15">
      <c r="A191" s="1430"/>
    </row>
    <row r="192" spans="1:1" x14ac:dyDescent="0.15">
      <c r="A192" s="1430"/>
    </row>
    <row r="193" spans="1:1" x14ac:dyDescent="0.15">
      <c r="A193" s="1430"/>
    </row>
    <row r="194" spans="1:1" x14ac:dyDescent="0.15">
      <c r="A194" s="1430"/>
    </row>
    <row r="195" spans="1:1" x14ac:dyDescent="0.15">
      <c r="A195" s="1430"/>
    </row>
    <row r="196" spans="1:1" x14ac:dyDescent="0.15">
      <c r="A196" s="1430"/>
    </row>
    <row r="197" spans="1:1" x14ac:dyDescent="0.15">
      <c r="A197" s="1430"/>
    </row>
    <row r="198" spans="1:1" x14ac:dyDescent="0.15">
      <c r="A198" s="1430"/>
    </row>
    <row r="199" spans="1:1" x14ac:dyDescent="0.15">
      <c r="A199" s="1430"/>
    </row>
    <row r="200" spans="1:1" x14ac:dyDescent="0.15">
      <c r="A200" s="1430"/>
    </row>
    <row r="201" spans="1:1" x14ac:dyDescent="0.15">
      <c r="A201" s="1430"/>
    </row>
    <row r="202" spans="1:1" x14ac:dyDescent="0.15">
      <c r="A202" s="1430"/>
    </row>
    <row r="203" spans="1:1" x14ac:dyDescent="0.15">
      <c r="A203" s="1430"/>
    </row>
    <row r="204" spans="1:1" x14ac:dyDescent="0.15">
      <c r="A204" s="1430"/>
    </row>
    <row r="205" spans="1:1" x14ac:dyDescent="0.15">
      <c r="A205" s="1430"/>
    </row>
    <row r="206" spans="1:1" x14ac:dyDescent="0.15">
      <c r="A206" s="1430"/>
    </row>
    <row r="207" spans="1:1" x14ac:dyDescent="0.15">
      <c r="A207" s="1430"/>
    </row>
    <row r="208" spans="1:1" x14ac:dyDescent="0.15">
      <c r="A208" s="1430"/>
    </row>
    <row r="209" spans="1:1" x14ac:dyDescent="0.15">
      <c r="A209" s="1430"/>
    </row>
    <row r="210" spans="1:1" x14ac:dyDescent="0.15">
      <c r="A210" s="1430"/>
    </row>
    <row r="211" spans="1:1" x14ac:dyDescent="0.15">
      <c r="A211" s="1430"/>
    </row>
    <row r="212" spans="1:1" x14ac:dyDescent="0.15">
      <c r="A212" s="1430"/>
    </row>
    <row r="213" spans="1:1" x14ac:dyDescent="0.15">
      <c r="A213" s="1430"/>
    </row>
    <row r="214" spans="1:1" x14ac:dyDescent="0.15">
      <c r="A214" s="1430"/>
    </row>
    <row r="215" spans="1:1" x14ac:dyDescent="0.15">
      <c r="A215" s="1430"/>
    </row>
    <row r="216" spans="1:1" x14ac:dyDescent="0.15">
      <c r="A216" s="1430"/>
    </row>
    <row r="217" spans="1:1" x14ac:dyDescent="0.15">
      <c r="A217" s="1430"/>
    </row>
    <row r="218" spans="1:1" x14ac:dyDescent="0.15">
      <c r="A218" s="1430"/>
    </row>
    <row r="219" spans="1:1" x14ac:dyDescent="0.15">
      <c r="A219" s="1430"/>
    </row>
    <row r="220" spans="1:1" x14ac:dyDescent="0.15">
      <c r="A220" s="1430"/>
    </row>
    <row r="221" spans="1:1" x14ac:dyDescent="0.15">
      <c r="A221" s="1430"/>
    </row>
    <row r="222" spans="1:1" x14ac:dyDescent="0.15">
      <c r="A222" s="1430"/>
    </row>
    <row r="223" spans="1:1" x14ac:dyDescent="0.15">
      <c r="A223" s="1430"/>
    </row>
    <row r="224" spans="1:1" x14ac:dyDescent="0.15">
      <c r="A224" s="1430"/>
    </row>
    <row r="225" spans="1:1" x14ac:dyDescent="0.15">
      <c r="A225" s="1430"/>
    </row>
    <row r="226" spans="1:1" x14ac:dyDescent="0.15">
      <c r="A226" s="1430"/>
    </row>
    <row r="227" spans="1:1" x14ac:dyDescent="0.15">
      <c r="A227" s="1430"/>
    </row>
    <row r="228" spans="1:1" x14ac:dyDescent="0.15">
      <c r="A228" s="1430"/>
    </row>
    <row r="229" spans="1:1" x14ac:dyDescent="0.15">
      <c r="A229" s="1430"/>
    </row>
    <row r="230" spans="1:1" x14ac:dyDescent="0.15">
      <c r="A230" s="1430"/>
    </row>
    <row r="231" spans="1:1" x14ac:dyDescent="0.15">
      <c r="A231" s="1430"/>
    </row>
    <row r="232" spans="1:1" x14ac:dyDescent="0.15">
      <c r="A232" s="1430"/>
    </row>
    <row r="233" spans="1:1" x14ac:dyDescent="0.15">
      <c r="A233" s="1430"/>
    </row>
    <row r="234" spans="1:1" x14ac:dyDescent="0.15">
      <c r="A234" s="1430"/>
    </row>
    <row r="235" spans="1:1" x14ac:dyDescent="0.15">
      <c r="A235" s="1430"/>
    </row>
    <row r="236" spans="1:1" x14ac:dyDescent="0.15">
      <c r="A236" s="1430"/>
    </row>
    <row r="237" spans="1:1" x14ac:dyDescent="0.15">
      <c r="A237" s="1430"/>
    </row>
    <row r="238" spans="1:1" x14ac:dyDescent="0.15">
      <c r="A238" s="1430"/>
    </row>
    <row r="239" spans="1:1" x14ac:dyDescent="0.15">
      <c r="A239" s="1430"/>
    </row>
    <row r="240" spans="1:1" x14ac:dyDescent="0.15">
      <c r="A240" s="1430"/>
    </row>
    <row r="241" spans="1:1" x14ac:dyDescent="0.15">
      <c r="A241" s="1430"/>
    </row>
    <row r="242" spans="1:1" x14ac:dyDescent="0.15">
      <c r="A242" s="1430"/>
    </row>
    <row r="243" spans="1:1" x14ac:dyDescent="0.15">
      <c r="A243" s="1430"/>
    </row>
    <row r="244" spans="1:1" x14ac:dyDescent="0.15">
      <c r="A244" s="1430"/>
    </row>
    <row r="245" spans="1:1" x14ac:dyDescent="0.15">
      <c r="A245" s="1430"/>
    </row>
    <row r="246" spans="1:1" x14ac:dyDescent="0.15">
      <c r="A246" s="1430"/>
    </row>
    <row r="247" spans="1:1" x14ac:dyDescent="0.15">
      <c r="A247" s="1430"/>
    </row>
    <row r="248" spans="1:1" x14ac:dyDescent="0.15">
      <c r="A248" s="1430"/>
    </row>
    <row r="249" spans="1:1" x14ac:dyDescent="0.15">
      <c r="A249" s="1430"/>
    </row>
    <row r="250" spans="1:1" x14ac:dyDescent="0.15">
      <c r="A250" s="1430"/>
    </row>
  </sheetData>
  <mergeCells count="13">
    <mergeCell ref="A28:K28"/>
    <mergeCell ref="A2:K2"/>
    <mergeCell ref="A4:A5"/>
    <mergeCell ref="B4:C4"/>
    <mergeCell ref="D4:E4"/>
    <mergeCell ref="F4:G4"/>
    <mergeCell ref="H4:I4"/>
    <mergeCell ref="J4:K4"/>
    <mergeCell ref="A23:K23"/>
    <mergeCell ref="A24:K24"/>
    <mergeCell ref="A25:K25"/>
    <mergeCell ref="A26:K26"/>
    <mergeCell ref="A27:K27"/>
  </mergeCells>
  <pageMargins left="0.7" right="0.7" top="0.75" bottom="0.75" header="0.3" footer="0.3"/>
  <pageSetup paperSize="14" scale="96"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dimension ref="A1:F28"/>
  <sheetViews>
    <sheetView zoomScaleNormal="100" workbookViewId="0">
      <selection activeCell="B5" sqref="B5:B6"/>
    </sheetView>
  </sheetViews>
  <sheetFormatPr baseColWidth="10" defaultRowHeight="11.25" x14ac:dyDescent="0.15"/>
  <cols>
    <col min="1" max="1" width="28.42578125" style="1431" customWidth="1"/>
    <col min="2" max="2" width="13.85546875" style="1431" bestFit="1" customWidth="1"/>
    <col min="3" max="3" width="21.42578125" style="1431" customWidth="1"/>
    <col min="4" max="4" width="25" style="1431" customWidth="1"/>
    <col min="5" max="5" width="5.7109375" style="1431" customWidth="1"/>
    <col min="6" max="16384" width="11.42578125" style="1431"/>
  </cols>
  <sheetData>
    <row r="1" spans="1:6" ht="15" customHeight="1" x14ac:dyDescent="0.15">
      <c r="A1" s="1408"/>
    </row>
    <row r="2" spans="1:6" s="1065" customFormat="1" ht="15" customHeight="1" x14ac:dyDescent="0.15">
      <c r="A2" s="2631" t="s">
        <v>3060</v>
      </c>
      <c r="B2" s="2631"/>
      <c r="C2" s="2631"/>
      <c r="D2" s="2631"/>
    </row>
    <row r="3" spans="1:6" s="1065" customFormat="1" ht="10.5" customHeight="1" x14ac:dyDescent="0.15">
      <c r="A3" s="1432"/>
      <c r="B3" s="1432"/>
      <c r="C3" s="1432"/>
      <c r="D3" s="1432"/>
    </row>
    <row r="4" spans="1:6" s="1065" customFormat="1" ht="12.75" customHeight="1" x14ac:dyDescent="0.15">
      <c r="A4" s="3289" t="s">
        <v>1</v>
      </c>
      <c r="B4" s="3283" t="s">
        <v>3061</v>
      </c>
      <c r="C4" s="3292"/>
      <c r="D4" s="3284"/>
    </row>
    <row r="5" spans="1:6" s="1065" customFormat="1" ht="12.75" customHeight="1" x14ac:dyDescent="0.15">
      <c r="A5" s="3290"/>
      <c r="B5" s="3293" t="s">
        <v>3062</v>
      </c>
      <c r="C5" s="3283" t="s">
        <v>3063</v>
      </c>
      <c r="D5" s="3284"/>
    </row>
    <row r="6" spans="1:6" s="1065" customFormat="1" x14ac:dyDescent="0.15">
      <c r="A6" s="3291"/>
      <c r="B6" s="3294"/>
      <c r="C6" s="2128" t="s">
        <v>3053</v>
      </c>
      <c r="D6" s="2236" t="s">
        <v>3064</v>
      </c>
    </row>
    <row r="7" spans="1:6" s="1065" customFormat="1" x14ac:dyDescent="0.15">
      <c r="A7" s="1412" t="s">
        <v>141</v>
      </c>
      <c r="B7" s="615">
        <f>SUM(C7:D7)</f>
        <v>13102147</v>
      </c>
      <c r="C7" s="615">
        <f>SUM(C8:C22)</f>
        <v>2729232</v>
      </c>
      <c r="D7" s="1433">
        <v>10372915</v>
      </c>
    </row>
    <row r="8" spans="1:6" s="1065" customFormat="1" x14ac:dyDescent="0.15">
      <c r="A8" s="1434" t="s">
        <v>5</v>
      </c>
      <c r="B8" s="615">
        <f>SUM(C8:D8)</f>
        <v>36000</v>
      </c>
      <c r="C8" s="1435">
        <v>36000</v>
      </c>
      <c r="D8" s="1436" t="s">
        <v>181</v>
      </c>
      <c r="F8" s="1437"/>
    </row>
    <row r="9" spans="1:6" s="1065" customFormat="1" x14ac:dyDescent="0.15">
      <c r="A9" s="1434" t="s">
        <v>6</v>
      </c>
      <c r="B9" s="615">
        <f t="shared" ref="B9:B22" si="0">SUM(C9:D9)</f>
        <v>52309</v>
      </c>
      <c r="C9" s="1435">
        <v>52309</v>
      </c>
      <c r="D9" s="1436" t="s">
        <v>181</v>
      </c>
    </row>
    <row r="10" spans="1:6" s="1065" customFormat="1" x14ac:dyDescent="0.15">
      <c r="A10" s="1434" t="s">
        <v>7</v>
      </c>
      <c r="B10" s="615">
        <f t="shared" si="0"/>
        <v>121484</v>
      </c>
      <c r="C10" s="1435">
        <v>121484</v>
      </c>
      <c r="D10" s="1436" t="s">
        <v>181</v>
      </c>
    </row>
    <row r="11" spans="1:6" s="1065" customFormat="1" x14ac:dyDescent="0.15">
      <c r="A11" s="1434" t="s">
        <v>8</v>
      </c>
      <c r="B11" s="615">
        <f t="shared" si="0"/>
        <v>36965</v>
      </c>
      <c r="C11" s="1435">
        <v>36965</v>
      </c>
      <c r="D11" s="1436" t="s">
        <v>181</v>
      </c>
    </row>
    <row r="12" spans="1:6" s="1065" customFormat="1" x14ac:dyDescent="0.15">
      <c r="A12" s="1434" t="s">
        <v>9</v>
      </c>
      <c r="B12" s="615">
        <f t="shared" si="0"/>
        <v>89706</v>
      </c>
      <c r="C12" s="1435">
        <v>89706</v>
      </c>
      <c r="D12" s="1436" t="s">
        <v>181</v>
      </c>
    </row>
    <row r="13" spans="1:6" s="1065" customFormat="1" x14ac:dyDescent="0.15">
      <c r="A13" s="1434" t="s">
        <v>10</v>
      </c>
      <c r="B13" s="615">
        <f t="shared" si="0"/>
        <v>304546</v>
      </c>
      <c r="C13" s="1435">
        <v>304546</v>
      </c>
      <c r="D13" s="1436" t="s">
        <v>181</v>
      </c>
    </row>
    <row r="14" spans="1:6" s="1065" customFormat="1" x14ac:dyDescent="0.15">
      <c r="A14" s="1434" t="s">
        <v>11</v>
      </c>
      <c r="B14" s="615">
        <f t="shared" si="0"/>
        <v>1350050</v>
      </c>
      <c r="C14" s="1435">
        <v>1350050</v>
      </c>
      <c r="D14" s="1436" t="s">
        <v>181</v>
      </c>
    </row>
    <row r="15" spans="1:6" s="1065" customFormat="1" x14ac:dyDescent="0.15">
      <c r="A15" s="1434" t="s">
        <v>12</v>
      </c>
      <c r="B15" s="615">
        <f t="shared" si="0"/>
        <v>75434</v>
      </c>
      <c r="C15" s="1435">
        <v>75434</v>
      </c>
      <c r="D15" s="1436" t="s">
        <v>181</v>
      </c>
    </row>
    <row r="16" spans="1:6" s="1065" customFormat="1" x14ac:dyDescent="0.15">
      <c r="A16" s="1434" t="s">
        <v>13</v>
      </c>
      <c r="B16" s="615">
        <f t="shared" si="0"/>
        <v>86715</v>
      </c>
      <c r="C16" s="1435">
        <v>86715</v>
      </c>
      <c r="D16" s="1436" t="s">
        <v>181</v>
      </c>
    </row>
    <row r="17" spans="1:4" s="1065" customFormat="1" x14ac:dyDescent="0.15">
      <c r="A17" s="1434" t="s">
        <v>14</v>
      </c>
      <c r="B17" s="615">
        <f t="shared" si="0"/>
        <v>284092</v>
      </c>
      <c r="C17" s="1435">
        <v>284092</v>
      </c>
      <c r="D17" s="1436" t="s">
        <v>181</v>
      </c>
    </row>
    <row r="18" spans="1:4" s="1065" customFormat="1" x14ac:dyDescent="0.15">
      <c r="A18" s="1434" t="s">
        <v>15</v>
      </c>
      <c r="B18" s="615">
        <f t="shared" si="0"/>
        <v>89999</v>
      </c>
      <c r="C18" s="1435">
        <v>89999</v>
      </c>
      <c r="D18" s="1436" t="s">
        <v>181</v>
      </c>
    </row>
    <row r="19" spans="1:4" s="1065" customFormat="1" x14ac:dyDescent="0.15">
      <c r="A19" s="1434" t="s">
        <v>16</v>
      </c>
      <c r="B19" s="615">
        <f t="shared" si="0"/>
        <v>50380</v>
      </c>
      <c r="C19" s="1435">
        <v>50380</v>
      </c>
      <c r="D19" s="1436" t="s">
        <v>181</v>
      </c>
    </row>
    <row r="20" spans="1:4" s="1065" customFormat="1" x14ac:dyDescent="0.15">
      <c r="A20" s="1434" t="s">
        <v>17</v>
      </c>
      <c r="B20" s="615">
        <f t="shared" si="0"/>
        <v>104522</v>
      </c>
      <c r="C20" s="1435">
        <v>104522</v>
      </c>
      <c r="D20" s="1436" t="s">
        <v>181</v>
      </c>
    </row>
    <row r="21" spans="1:4" s="1065" customFormat="1" x14ac:dyDescent="0.15">
      <c r="A21" s="1434" t="s">
        <v>18</v>
      </c>
      <c r="B21" s="615">
        <f t="shared" si="0"/>
        <v>14213</v>
      </c>
      <c r="C21" s="1435">
        <v>14213</v>
      </c>
      <c r="D21" s="1436" t="s">
        <v>181</v>
      </c>
    </row>
    <row r="22" spans="1:4" s="1065" customFormat="1" x14ac:dyDescent="0.15">
      <c r="A22" s="1434" t="s">
        <v>19</v>
      </c>
      <c r="B22" s="615">
        <f t="shared" si="0"/>
        <v>32817</v>
      </c>
      <c r="C22" s="1435">
        <v>32817</v>
      </c>
      <c r="D22" s="1436" t="s">
        <v>181</v>
      </c>
    </row>
    <row r="23" spans="1:4" s="1065" customFormat="1" x14ac:dyDescent="0.15">
      <c r="A23" s="1425"/>
      <c r="B23" s="467"/>
      <c r="C23" s="674"/>
      <c r="D23" s="1436"/>
    </row>
    <row r="24" spans="1:4" s="1065" customFormat="1" ht="22.5" customHeight="1" x14ac:dyDescent="0.15">
      <c r="A24" s="3295" t="s">
        <v>3065</v>
      </c>
      <c r="B24" s="3296"/>
      <c r="C24" s="3296"/>
      <c r="D24" s="3296"/>
    </row>
    <row r="25" spans="1:4" s="1065" customFormat="1" ht="36.75" customHeight="1" x14ac:dyDescent="0.15">
      <c r="A25" s="3286" t="s">
        <v>3066</v>
      </c>
      <c r="B25" s="3287"/>
      <c r="C25" s="3287"/>
      <c r="D25" s="3287"/>
    </row>
    <row r="26" spans="1:4" s="1065" customFormat="1" ht="22.5" customHeight="1" x14ac:dyDescent="0.15">
      <c r="A26" s="3288" t="s">
        <v>3067</v>
      </c>
      <c r="B26" s="3287"/>
      <c r="C26" s="3287"/>
      <c r="D26" s="3287"/>
    </row>
    <row r="27" spans="1:4" s="1065" customFormat="1" ht="14.25" customHeight="1" x14ac:dyDescent="0.15">
      <c r="A27" s="3288" t="s">
        <v>731</v>
      </c>
      <c r="B27" s="3287"/>
      <c r="C27" s="3287"/>
      <c r="D27" s="3287"/>
    </row>
    <row r="28" spans="1:4" ht="14.25" customHeight="1" x14ac:dyDescent="0.15">
      <c r="A28" s="3288" t="s">
        <v>2454</v>
      </c>
      <c r="B28" s="3287"/>
      <c r="C28" s="3287"/>
      <c r="D28" s="3287"/>
    </row>
  </sheetData>
  <mergeCells count="10">
    <mergeCell ref="A25:D25"/>
    <mergeCell ref="A26:D26"/>
    <mergeCell ref="A27:D27"/>
    <mergeCell ref="A28:D28"/>
    <mergeCell ref="A2:D2"/>
    <mergeCell ref="A4:A6"/>
    <mergeCell ref="B4:D4"/>
    <mergeCell ref="B5:B6"/>
    <mergeCell ref="C5:D5"/>
    <mergeCell ref="A24:D24"/>
  </mergeCells>
  <pageMargins left="0.7" right="0.7" top="0.75" bottom="0.75" header="0.3" footer="0.3"/>
  <pageSetup paperSize="14"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dimension ref="A1:F36"/>
  <sheetViews>
    <sheetView zoomScaleNormal="100" workbookViewId="0">
      <selection activeCell="F37" sqref="F37"/>
    </sheetView>
  </sheetViews>
  <sheetFormatPr baseColWidth="10" defaultRowHeight="11.25" x14ac:dyDescent="0.15"/>
  <cols>
    <col min="1" max="1" width="22.7109375" style="1449" customWidth="1"/>
    <col min="2" max="6" width="13.140625" style="1065" bestFit="1" customWidth="1"/>
    <col min="7" max="16384" width="11.42578125" style="1065"/>
  </cols>
  <sheetData>
    <row r="1" spans="1:6" ht="15" customHeight="1" x14ac:dyDescent="0.15">
      <c r="A1" s="1438"/>
      <c r="B1" s="1439"/>
    </row>
    <row r="2" spans="1:6" ht="15" customHeight="1" x14ac:dyDescent="0.15">
      <c r="A2" s="3297" t="s">
        <v>3068</v>
      </c>
      <c r="B2" s="3297"/>
      <c r="C2" s="3297"/>
      <c r="D2" s="3297"/>
      <c r="E2" s="3297"/>
      <c r="F2" s="3297"/>
    </row>
    <row r="3" spans="1:6" ht="11.25" customHeight="1" x14ac:dyDescent="0.15">
      <c r="A3" s="1432"/>
      <c r="B3" s="1432"/>
      <c r="C3" s="1432"/>
      <c r="D3" s="1432"/>
      <c r="E3" s="785"/>
      <c r="F3" s="785"/>
    </row>
    <row r="4" spans="1:6" ht="15" customHeight="1" x14ac:dyDescent="0.15">
      <c r="A4" s="3298" t="s">
        <v>3069</v>
      </c>
      <c r="B4" s="3298" t="s">
        <v>2</v>
      </c>
      <c r="C4" s="3298"/>
      <c r="D4" s="3298"/>
      <c r="E4" s="3298"/>
      <c r="F4" s="3298"/>
    </row>
    <row r="5" spans="1:6" ht="15" customHeight="1" x14ac:dyDescent="0.15">
      <c r="A5" s="3298"/>
      <c r="B5" s="1411">
        <v>2011</v>
      </c>
      <c r="C5" s="1411">
        <v>2012</v>
      </c>
      <c r="D5" s="1411">
        <v>2013</v>
      </c>
      <c r="E5" s="1411">
        <v>2014</v>
      </c>
      <c r="F5" s="1411">
        <v>2015</v>
      </c>
    </row>
    <row r="6" spans="1:6" ht="15" customHeight="1" x14ac:dyDescent="0.15">
      <c r="A6" s="1412" t="s">
        <v>141</v>
      </c>
      <c r="B6" s="458">
        <f t="shared" ref="B6:F6" si="0">SUM(B7:B9)</f>
        <v>2024248</v>
      </c>
      <c r="C6" s="458">
        <f t="shared" si="0"/>
        <v>2185569</v>
      </c>
      <c r="D6" s="458">
        <f t="shared" si="0"/>
        <v>2310542</v>
      </c>
      <c r="E6" s="458">
        <f t="shared" si="0"/>
        <v>2503072</v>
      </c>
      <c r="F6" s="458">
        <f t="shared" si="0"/>
        <v>2729232</v>
      </c>
    </row>
    <row r="7" spans="1:6" ht="15" customHeight="1" x14ac:dyDescent="0.15">
      <c r="A7" s="1440" t="s">
        <v>3070</v>
      </c>
      <c r="B7" s="1441">
        <v>1764538</v>
      </c>
      <c r="C7" s="1442">
        <v>1895045</v>
      </c>
      <c r="D7" s="570">
        <v>2020711</v>
      </c>
      <c r="E7" s="665">
        <v>2182254</v>
      </c>
      <c r="F7" s="1443">
        <v>2381713</v>
      </c>
    </row>
    <row r="8" spans="1:6" ht="15" customHeight="1" x14ac:dyDescent="0.15">
      <c r="A8" s="1440" t="s">
        <v>3071</v>
      </c>
      <c r="B8" s="1441">
        <v>259710</v>
      </c>
      <c r="C8" s="1442">
        <v>290524</v>
      </c>
      <c r="D8" s="570">
        <v>289831</v>
      </c>
      <c r="E8" s="665">
        <v>320818</v>
      </c>
      <c r="F8" s="1443">
        <v>347519</v>
      </c>
    </row>
    <row r="9" spans="1:6" ht="15" customHeight="1" x14ac:dyDescent="0.15">
      <c r="A9" s="1440" t="s">
        <v>3072</v>
      </c>
      <c r="B9" s="460">
        <v>0</v>
      </c>
      <c r="C9" s="460">
        <v>0</v>
      </c>
      <c r="D9" s="460">
        <v>0</v>
      </c>
      <c r="E9" s="460">
        <v>0</v>
      </c>
      <c r="F9" s="1435" t="s">
        <v>193</v>
      </c>
    </row>
    <row r="10" spans="1:6" ht="11.25" customHeight="1" x14ac:dyDescent="0.15">
      <c r="A10" s="1440"/>
      <c r="B10" s="1444"/>
      <c r="C10" s="1444"/>
      <c r="D10" s="1444"/>
      <c r="E10" s="785"/>
      <c r="F10" s="785"/>
    </row>
    <row r="11" spans="1:6" ht="15" customHeight="1" x14ac:dyDescent="0.15">
      <c r="A11" s="1445" t="s">
        <v>460</v>
      </c>
      <c r="B11" s="1444"/>
      <c r="C11" s="785"/>
      <c r="D11" s="1446"/>
      <c r="E11" s="785"/>
      <c r="F11" s="785"/>
    </row>
    <row r="12" spans="1:6" ht="15" customHeight="1" x14ac:dyDescent="0.15">
      <c r="A12" s="1447" t="s">
        <v>3073</v>
      </c>
      <c r="B12" s="380"/>
      <c r="C12" s="785"/>
      <c r="D12" s="785"/>
      <c r="E12" s="785"/>
      <c r="F12" s="785"/>
    </row>
    <row r="13" spans="1:6" ht="15" customHeight="1" x14ac:dyDescent="0.15">
      <c r="A13" s="1448"/>
      <c r="B13" s="1067"/>
    </row>
    <row r="14" spans="1:6" ht="12" customHeight="1" x14ac:dyDescent="0.15"/>
    <row r="15" spans="1:6" ht="12" customHeight="1" x14ac:dyDescent="0.15"/>
    <row r="16" spans="1:6" ht="12" customHeight="1" x14ac:dyDescent="0.15"/>
    <row r="17" spans="1:2" ht="12" customHeight="1" x14ac:dyDescent="0.15"/>
    <row r="18" spans="1:2" ht="12" customHeight="1" x14ac:dyDescent="0.15"/>
    <row r="19" spans="1:2" ht="12" customHeight="1" x14ac:dyDescent="0.15"/>
    <row r="20" spans="1:2" ht="12" customHeight="1" x14ac:dyDescent="0.15"/>
    <row r="21" spans="1:2" ht="12" customHeight="1" x14ac:dyDescent="0.15"/>
    <row r="22" spans="1:2" ht="12" customHeight="1" x14ac:dyDescent="0.15"/>
    <row r="23" spans="1:2" ht="12" customHeight="1" x14ac:dyDescent="0.15"/>
    <row r="24" spans="1:2" ht="12" customHeight="1" x14ac:dyDescent="0.15"/>
    <row r="25" spans="1:2" ht="12.75" customHeight="1" x14ac:dyDescent="0.15">
      <c r="A25" s="1448"/>
      <c r="B25" s="1067"/>
    </row>
    <row r="26" spans="1:2" ht="12.75" customHeight="1" x14ac:dyDescent="0.15">
      <c r="A26" s="1448"/>
      <c r="B26" s="1067"/>
    </row>
    <row r="27" spans="1:2" ht="12.75" customHeight="1" x14ac:dyDescent="0.15">
      <c r="A27" s="1448"/>
      <c r="B27" s="1067"/>
    </row>
    <row r="28" spans="1:2" ht="12.75" customHeight="1" x14ac:dyDescent="0.15">
      <c r="A28" s="1448"/>
      <c r="B28" s="1067"/>
    </row>
    <row r="29" spans="1:2" ht="12.75" customHeight="1" x14ac:dyDescent="0.15">
      <c r="A29" s="1448"/>
      <c r="B29" s="1067"/>
    </row>
    <row r="30" spans="1:2" ht="12.75" customHeight="1" x14ac:dyDescent="0.15">
      <c r="A30" s="1448"/>
      <c r="B30" s="1067"/>
    </row>
    <row r="31" spans="1:2" ht="12.75" customHeight="1" x14ac:dyDescent="0.15">
      <c r="A31" s="1448"/>
      <c r="B31" s="1067"/>
    </row>
    <row r="32" spans="1:2" ht="12.75" customHeight="1" x14ac:dyDescent="0.15">
      <c r="A32" s="1448"/>
      <c r="B32" s="1067"/>
    </row>
    <row r="33" spans="1:2" ht="12.75" customHeight="1" x14ac:dyDescent="0.15">
      <c r="A33" s="1448"/>
      <c r="B33" s="1067"/>
    </row>
    <row r="34" spans="1:2" ht="12.75" customHeight="1" x14ac:dyDescent="0.15">
      <c r="A34" s="1448"/>
      <c r="B34" s="1067"/>
    </row>
    <row r="35" spans="1:2" ht="12.75" customHeight="1" x14ac:dyDescent="0.15">
      <c r="A35" s="1448"/>
      <c r="B35" s="1067"/>
    </row>
    <row r="36" spans="1:2" ht="12.75" customHeight="1" x14ac:dyDescent="0.15">
      <c r="A36" s="1448"/>
      <c r="B36" s="1067"/>
    </row>
  </sheetData>
  <mergeCells count="3">
    <mergeCell ref="A2:F2"/>
    <mergeCell ref="A4:A5"/>
    <mergeCell ref="B4:F4"/>
  </mergeCells>
  <pageMargins left="0.7" right="0.7" top="0.75" bottom="0.75" header="0.3" footer="0.3"/>
  <pageSetup paperSize="14"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dimension ref="A1:H29"/>
  <sheetViews>
    <sheetView zoomScaleNormal="100" workbookViewId="0">
      <selection activeCell="F37" sqref="F37"/>
    </sheetView>
  </sheetViews>
  <sheetFormatPr baseColWidth="10" defaultRowHeight="11.25" x14ac:dyDescent="0.15"/>
  <cols>
    <col min="1" max="1" width="22.7109375" style="1449" customWidth="1"/>
    <col min="2" max="5" width="13.5703125" style="1065" customWidth="1"/>
    <col min="6" max="6" width="12.5703125" style="1065" customWidth="1"/>
    <col min="7" max="7" width="13.42578125" style="1065" customWidth="1"/>
    <col min="8" max="8" width="16" style="1065" customWidth="1"/>
    <col min="9" max="9" width="13.42578125" style="1065" customWidth="1"/>
    <col min="10" max="16384" width="11.42578125" style="1065"/>
  </cols>
  <sheetData>
    <row r="1" spans="1:8" ht="15" customHeight="1" x14ac:dyDescent="0.15">
      <c r="A1" s="1438"/>
      <c r="B1" s="1067"/>
    </row>
    <row r="2" spans="1:8" ht="24.75" customHeight="1" x14ac:dyDescent="0.15">
      <c r="A2" s="3297" t="s">
        <v>3074</v>
      </c>
      <c r="B2" s="3297"/>
      <c r="C2" s="3297"/>
      <c r="D2" s="3297"/>
      <c r="E2" s="3297"/>
      <c r="F2" s="3297"/>
    </row>
    <row r="3" spans="1:8" ht="11.25" customHeight="1" x14ac:dyDescent="0.15">
      <c r="A3" s="1432"/>
      <c r="B3" s="1432"/>
      <c r="C3" s="1432"/>
      <c r="D3" s="1432"/>
      <c r="E3" s="1432"/>
      <c r="F3" s="785"/>
    </row>
    <row r="4" spans="1:8" ht="15" customHeight="1" x14ac:dyDescent="0.15">
      <c r="A4" s="3299" t="s">
        <v>3075</v>
      </c>
      <c r="B4" s="3301" t="s">
        <v>3076</v>
      </c>
      <c r="C4" s="3301"/>
      <c r="D4" s="3301"/>
      <c r="E4" s="3301"/>
      <c r="F4" s="3301"/>
      <c r="G4" s="362"/>
      <c r="H4" s="362"/>
    </row>
    <row r="5" spans="1:8" ht="15" customHeight="1" x14ac:dyDescent="0.15">
      <c r="A5" s="3300"/>
      <c r="B5" s="3302" t="s">
        <v>3077</v>
      </c>
      <c r="C5" s="3302"/>
      <c r="D5" s="3302"/>
      <c r="E5" s="3302"/>
      <c r="F5" s="3302"/>
      <c r="G5" s="1264"/>
      <c r="H5" s="1264"/>
    </row>
    <row r="6" spans="1:8" ht="15" customHeight="1" x14ac:dyDescent="0.15">
      <c r="A6" s="3294"/>
      <c r="B6" s="1450">
        <v>2011</v>
      </c>
      <c r="C6" s="1450">
        <v>2012</v>
      </c>
      <c r="D6" s="1450">
        <v>2013</v>
      </c>
      <c r="E6" s="1451">
        <v>2014</v>
      </c>
      <c r="F6" s="1451">
        <v>2015</v>
      </c>
    </row>
    <row r="7" spans="1:8" ht="15" customHeight="1" x14ac:dyDescent="0.15">
      <c r="A7" s="1412" t="s">
        <v>69</v>
      </c>
      <c r="B7" s="1452">
        <v>10.184606078656126</v>
      </c>
      <c r="C7" s="1452">
        <v>10.841390645646682</v>
      </c>
      <c r="D7" s="1452">
        <v>11.459234266797152</v>
      </c>
      <c r="E7" s="1452">
        <v>12.18269877950768</v>
      </c>
      <c r="F7" s="1453">
        <v>13.16</v>
      </c>
    </row>
    <row r="8" spans="1:8" ht="11.25" customHeight="1" x14ac:dyDescent="0.15">
      <c r="A8" s="1412"/>
      <c r="B8" s="1452"/>
      <c r="C8" s="1452"/>
      <c r="D8" s="1452"/>
      <c r="E8" s="1452"/>
      <c r="F8" s="1454"/>
    </row>
    <row r="9" spans="1:8" ht="37.5" customHeight="1" x14ac:dyDescent="0.15">
      <c r="A9" s="2739" t="s">
        <v>3078</v>
      </c>
      <c r="B9" s="2739"/>
      <c r="C9" s="2739"/>
      <c r="D9" s="2739"/>
      <c r="E9" s="2739"/>
      <c r="F9" s="2739"/>
    </row>
    <row r="10" spans="1:8" ht="15" customHeight="1" x14ac:dyDescent="0.15">
      <c r="A10" s="379" t="s">
        <v>2454</v>
      </c>
      <c r="B10" s="379"/>
      <c r="C10" s="1422"/>
      <c r="D10" s="1422"/>
      <c r="E10" s="1422"/>
      <c r="F10" s="1422"/>
    </row>
    <row r="11" spans="1:8" ht="12" customHeight="1" x14ac:dyDescent="0.15">
      <c r="A11" s="1448"/>
      <c r="B11" s="1439"/>
    </row>
    <row r="12" spans="1:8" ht="12" customHeight="1" x14ac:dyDescent="0.15"/>
    <row r="13" spans="1:8" ht="12" customHeight="1" x14ac:dyDescent="0.15"/>
    <row r="14" spans="1:8" ht="12" customHeight="1" x14ac:dyDescent="0.15">
      <c r="A14" s="1065"/>
      <c r="B14" s="1437"/>
      <c r="C14" s="1455"/>
      <c r="D14" s="1455"/>
    </row>
    <row r="15" spans="1:8" ht="12" customHeight="1" x14ac:dyDescent="0.15">
      <c r="A15" s="1065"/>
      <c r="B15" s="1437"/>
      <c r="C15" s="1455"/>
      <c r="D15" s="1455"/>
    </row>
    <row r="16" spans="1:8" ht="12" customHeight="1" x14ac:dyDescent="0.15">
      <c r="A16" s="1065"/>
      <c r="B16" s="1437"/>
      <c r="C16" s="1455"/>
      <c r="D16" s="1455"/>
    </row>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8.25" customHeight="1" x14ac:dyDescent="0.15"/>
  </sheetData>
  <mergeCells count="5">
    <mergeCell ref="A2:F2"/>
    <mergeCell ref="A4:A6"/>
    <mergeCell ref="B4:F4"/>
    <mergeCell ref="B5:F5"/>
    <mergeCell ref="A9:F9"/>
  </mergeCells>
  <pageMargins left="0.7" right="0.7" top="0.75" bottom="0.75" header="0.3" footer="0.3"/>
  <pageSetup paperSize="1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E70"/>
  <sheetViews>
    <sheetView workbookViewId="0">
      <selection activeCell="A2" sqref="A2:E2"/>
    </sheetView>
  </sheetViews>
  <sheetFormatPr baseColWidth="10" defaultColWidth="9.140625" defaultRowHeight="10.5" x14ac:dyDescent="0.15"/>
  <cols>
    <col min="1" max="1" width="27.42578125" style="97" customWidth="1"/>
    <col min="2" max="2" width="45.85546875" style="97" bestFit="1" customWidth="1"/>
    <col min="3" max="3" width="31.7109375" style="97" customWidth="1"/>
    <col min="4" max="4" width="25.42578125" style="97" bestFit="1" customWidth="1"/>
    <col min="5" max="5" width="21" style="97" bestFit="1" customWidth="1"/>
    <col min="6" max="255" width="9.140625" style="97"/>
    <col min="256" max="256" width="4.85546875" style="97" customWidth="1"/>
    <col min="257" max="257" width="43.5703125" style="97" customWidth="1"/>
    <col min="258" max="258" width="53" style="97" customWidth="1"/>
    <col min="259" max="259" width="34.28515625" style="97" customWidth="1"/>
    <col min="260" max="260" width="31.42578125" style="97" customWidth="1"/>
    <col min="261" max="261" width="32.28515625" style="97" customWidth="1"/>
    <col min="262" max="511" width="9.140625" style="97"/>
    <col min="512" max="512" width="4.85546875" style="97" customWidth="1"/>
    <col min="513" max="513" width="43.5703125" style="97" customWidth="1"/>
    <col min="514" max="514" width="53" style="97" customWidth="1"/>
    <col min="515" max="515" width="34.28515625" style="97" customWidth="1"/>
    <col min="516" max="516" width="31.42578125" style="97" customWidth="1"/>
    <col min="517" max="517" width="32.28515625" style="97" customWidth="1"/>
    <col min="518" max="767" width="9.140625" style="97"/>
    <col min="768" max="768" width="4.85546875" style="97" customWidth="1"/>
    <col min="769" max="769" width="43.5703125" style="97" customWidth="1"/>
    <col min="770" max="770" width="53" style="97" customWidth="1"/>
    <col min="771" max="771" width="34.28515625" style="97" customWidth="1"/>
    <col min="772" max="772" width="31.42578125" style="97" customWidth="1"/>
    <col min="773" max="773" width="32.28515625" style="97" customWidth="1"/>
    <col min="774" max="1023" width="9.140625" style="97"/>
    <col min="1024" max="1024" width="4.85546875" style="97" customWidth="1"/>
    <col min="1025" max="1025" width="43.5703125" style="97" customWidth="1"/>
    <col min="1026" max="1026" width="53" style="97" customWidth="1"/>
    <col min="1027" max="1027" width="34.28515625" style="97" customWidth="1"/>
    <col min="1028" max="1028" width="31.42578125" style="97" customWidth="1"/>
    <col min="1029" max="1029" width="32.28515625" style="97" customWidth="1"/>
    <col min="1030" max="1279" width="9.140625" style="97"/>
    <col min="1280" max="1280" width="4.85546875" style="97" customWidth="1"/>
    <col min="1281" max="1281" width="43.5703125" style="97" customWidth="1"/>
    <col min="1282" max="1282" width="53" style="97" customWidth="1"/>
    <col min="1283" max="1283" width="34.28515625" style="97" customWidth="1"/>
    <col min="1284" max="1284" width="31.42578125" style="97" customWidth="1"/>
    <col min="1285" max="1285" width="32.28515625" style="97" customWidth="1"/>
    <col min="1286" max="1535" width="9.140625" style="97"/>
    <col min="1536" max="1536" width="4.85546875" style="97" customWidth="1"/>
    <col min="1537" max="1537" width="43.5703125" style="97" customWidth="1"/>
    <col min="1538" max="1538" width="53" style="97" customWidth="1"/>
    <col min="1539" max="1539" width="34.28515625" style="97" customWidth="1"/>
    <col min="1540" max="1540" width="31.42578125" style="97" customWidth="1"/>
    <col min="1541" max="1541" width="32.28515625" style="97" customWidth="1"/>
    <col min="1542" max="1791" width="9.140625" style="97"/>
    <col min="1792" max="1792" width="4.85546875" style="97" customWidth="1"/>
    <col min="1793" max="1793" width="43.5703125" style="97" customWidth="1"/>
    <col min="1794" max="1794" width="53" style="97" customWidth="1"/>
    <col min="1795" max="1795" width="34.28515625" style="97" customWidth="1"/>
    <col min="1796" max="1796" width="31.42578125" style="97" customWidth="1"/>
    <col min="1797" max="1797" width="32.28515625" style="97" customWidth="1"/>
    <col min="1798" max="2047" width="9.140625" style="97"/>
    <col min="2048" max="2048" width="4.85546875" style="97" customWidth="1"/>
    <col min="2049" max="2049" width="43.5703125" style="97" customWidth="1"/>
    <col min="2050" max="2050" width="53" style="97" customWidth="1"/>
    <col min="2051" max="2051" width="34.28515625" style="97" customWidth="1"/>
    <col min="2052" max="2052" width="31.42578125" style="97" customWidth="1"/>
    <col min="2053" max="2053" width="32.28515625" style="97" customWidth="1"/>
    <col min="2054" max="2303" width="9.140625" style="97"/>
    <col min="2304" max="2304" width="4.85546875" style="97" customWidth="1"/>
    <col min="2305" max="2305" width="43.5703125" style="97" customWidth="1"/>
    <col min="2306" max="2306" width="53" style="97" customWidth="1"/>
    <col min="2307" max="2307" width="34.28515625" style="97" customWidth="1"/>
    <col min="2308" max="2308" width="31.42578125" style="97" customWidth="1"/>
    <col min="2309" max="2309" width="32.28515625" style="97" customWidth="1"/>
    <col min="2310" max="2559" width="9.140625" style="97"/>
    <col min="2560" max="2560" width="4.85546875" style="97" customWidth="1"/>
    <col min="2561" max="2561" width="43.5703125" style="97" customWidth="1"/>
    <col min="2562" max="2562" width="53" style="97" customWidth="1"/>
    <col min="2563" max="2563" width="34.28515625" style="97" customWidth="1"/>
    <col min="2564" max="2564" width="31.42578125" style="97" customWidth="1"/>
    <col min="2565" max="2565" width="32.28515625" style="97" customWidth="1"/>
    <col min="2566" max="2815" width="9.140625" style="97"/>
    <col min="2816" max="2816" width="4.85546875" style="97" customWidth="1"/>
    <col min="2817" max="2817" width="43.5703125" style="97" customWidth="1"/>
    <col min="2818" max="2818" width="53" style="97" customWidth="1"/>
    <col min="2819" max="2819" width="34.28515625" style="97" customWidth="1"/>
    <col min="2820" max="2820" width="31.42578125" style="97" customWidth="1"/>
    <col min="2821" max="2821" width="32.28515625" style="97" customWidth="1"/>
    <col min="2822" max="3071" width="9.140625" style="97"/>
    <col min="3072" max="3072" width="4.85546875" style="97" customWidth="1"/>
    <col min="3073" max="3073" width="43.5703125" style="97" customWidth="1"/>
    <col min="3074" max="3074" width="53" style="97" customWidth="1"/>
    <col min="3075" max="3075" width="34.28515625" style="97" customWidth="1"/>
    <col min="3076" max="3076" width="31.42578125" style="97" customWidth="1"/>
    <col min="3077" max="3077" width="32.28515625" style="97" customWidth="1"/>
    <col min="3078" max="3327" width="9.140625" style="97"/>
    <col min="3328" max="3328" width="4.85546875" style="97" customWidth="1"/>
    <col min="3329" max="3329" width="43.5703125" style="97" customWidth="1"/>
    <col min="3330" max="3330" width="53" style="97" customWidth="1"/>
    <col min="3331" max="3331" width="34.28515625" style="97" customWidth="1"/>
    <col min="3332" max="3332" width="31.42578125" style="97" customWidth="1"/>
    <col min="3333" max="3333" width="32.28515625" style="97" customWidth="1"/>
    <col min="3334" max="3583" width="9.140625" style="97"/>
    <col min="3584" max="3584" width="4.85546875" style="97" customWidth="1"/>
    <col min="3585" max="3585" width="43.5703125" style="97" customWidth="1"/>
    <col min="3586" max="3586" width="53" style="97" customWidth="1"/>
    <col min="3587" max="3587" width="34.28515625" style="97" customWidth="1"/>
    <col min="3588" max="3588" width="31.42578125" style="97" customWidth="1"/>
    <col min="3589" max="3589" width="32.28515625" style="97" customWidth="1"/>
    <col min="3590" max="3839" width="9.140625" style="97"/>
    <col min="3840" max="3840" width="4.85546875" style="97" customWidth="1"/>
    <col min="3841" max="3841" width="43.5703125" style="97" customWidth="1"/>
    <col min="3842" max="3842" width="53" style="97" customWidth="1"/>
    <col min="3843" max="3843" width="34.28515625" style="97" customWidth="1"/>
    <col min="3844" max="3844" width="31.42578125" style="97" customWidth="1"/>
    <col min="3845" max="3845" width="32.28515625" style="97" customWidth="1"/>
    <col min="3846" max="4095" width="9.140625" style="97"/>
    <col min="4096" max="4096" width="4.85546875" style="97" customWidth="1"/>
    <col min="4097" max="4097" width="43.5703125" style="97" customWidth="1"/>
    <col min="4098" max="4098" width="53" style="97" customWidth="1"/>
    <col min="4099" max="4099" width="34.28515625" style="97" customWidth="1"/>
    <col min="4100" max="4100" width="31.42578125" style="97" customWidth="1"/>
    <col min="4101" max="4101" width="32.28515625" style="97" customWidth="1"/>
    <col min="4102" max="4351" width="9.140625" style="97"/>
    <col min="4352" max="4352" width="4.85546875" style="97" customWidth="1"/>
    <col min="4353" max="4353" width="43.5703125" style="97" customWidth="1"/>
    <col min="4354" max="4354" width="53" style="97" customWidth="1"/>
    <col min="4355" max="4355" width="34.28515625" style="97" customWidth="1"/>
    <col min="4356" max="4356" width="31.42578125" style="97" customWidth="1"/>
    <col min="4357" max="4357" width="32.28515625" style="97" customWidth="1"/>
    <col min="4358" max="4607" width="9.140625" style="97"/>
    <col min="4608" max="4608" width="4.85546875" style="97" customWidth="1"/>
    <col min="4609" max="4609" width="43.5703125" style="97" customWidth="1"/>
    <col min="4610" max="4610" width="53" style="97" customWidth="1"/>
    <col min="4611" max="4611" width="34.28515625" style="97" customWidth="1"/>
    <col min="4612" max="4612" width="31.42578125" style="97" customWidth="1"/>
    <col min="4613" max="4613" width="32.28515625" style="97" customWidth="1"/>
    <col min="4614" max="4863" width="9.140625" style="97"/>
    <col min="4864" max="4864" width="4.85546875" style="97" customWidth="1"/>
    <col min="4865" max="4865" width="43.5703125" style="97" customWidth="1"/>
    <col min="4866" max="4866" width="53" style="97" customWidth="1"/>
    <col min="4867" max="4867" width="34.28515625" style="97" customWidth="1"/>
    <col min="4868" max="4868" width="31.42578125" style="97" customWidth="1"/>
    <col min="4869" max="4869" width="32.28515625" style="97" customWidth="1"/>
    <col min="4870" max="5119" width="9.140625" style="97"/>
    <col min="5120" max="5120" width="4.85546875" style="97" customWidth="1"/>
    <col min="5121" max="5121" width="43.5703125" style="97" customWidth="1"/>
    <col min="5122" max="5122" width="53" style="97" customWidth="1"/>
    <col min="5123" max="5123" width="34.28515625" style="97" customWidth="1"/>
    <col min="5124" max="5124" width="31.42578125" style="97" customWidth="1"/>
    <col min="5125" max="5125" width="32.28515625" style="97" customWidth="1"/>
    <col min="5126" max="5375" width="9.140625" style="97"/>
    <col min="5376" max="5376" width="4.85546875" style="97" customWidth="1"/>
    <col min="5377" max="5377" width="43.5703125" style="97" customWidth="1"/>
    <col min="5378" max="5378" width="53" style="97" customWidth="1"/>
    <col min="5379" max="5379" width="34.28515625" style="97" customWidth="1"/>
    <col min="5380" max="5380" width="31.42578125" style="97" customWidth="1"/>
    <col min="5381" max="5381" width="32.28515625" style="97" customWidth="1"/>
    <col min="5382" max="5631" width="9.140625" style="97"/>
    <col min="5632" max="5632" width="4.85546875" style="97" customWidth="1"/>
    <col min="5633" max="5633" width="43.5703125" style="97" customWidth="1"/>
    <col min="5634" max="5634" width="53" style="97" customWidth="1"/>
    <col min="5635" max="5635" width="34.28515625" style="97" customWidth="1"/>
    <col min="5636" max="5636" width="31.42578125" style="97" customWidth="1"/>
    <col min="5637" max="5637" width="32.28515625" style="97" customWidth="1"/>
    <col min="5638" max="5887" width="9.140625" style="97"/>
    <col min="5888" max="5888" width="4.85546875" style="97" customWidth="1"/>
    <col min="5889" max="5889" width="43.5703125" style="97" customWidth="1"/>
    <col min="5890" max="5890" width="53" style="97" customWidth="1"/>
    <col min="5891" max="5891" width="34.28515625" style="97" customWidth="1"/>
    <col min="5892" max="5892" width="31.42578125" style="97" customWidth="1"/>
    <col min="5893" max="5893" width="32.28515625" style="97" customWidth="1"/>
    <col min="5894" max="6143" width="9.140625" style="97"/>
    <col min="6144" max="6144" width="4.85546875" style="97" customWidth="1"/>
    <col min="6145" max="6145" width="43.5703125" style="97" customWidth="1"/>
    <col min="6146" max="6146" width="53" style="97" customWidth="1"/>
    <col min="6147" max="6147" width="34.28515625" style="97" customWidth="1"/>
    <col min="6148" max="6148" width="31.42578125" style="97" customWidth="1"/>
    <col min="6149" max="6149" width="32.28515625" style="97" customWidth="1"/>
    <col min="6150" max="6399" width="9.140625" style="97"/>
    <col min="6400" max="6400" width="4.85546875" style="97" customWidth="1"/>
    <col min="6401" max="6401" width="43.5703125" style="97" customWidth="1"/>
    <col min="6402" max="6402" width="53" style="97" customWidth="1"/>
    <col min="6403" max="6403" width="34.28515625" style="97" customWidth="1"/>
    <col min="6404" max="6404" width="31.42578125" style="97" customWidth="1"/>
    <col min="6405" max="6405" width="32.28515625" style="97" customWidth="1"/>
    <col min="6406" max="6655" width="9.140625" style="97"/>
    <col min="6656" max="6656" width="4.85546875" style="97" customWidth="1"/>
    <col min="6657" max="6657" width="43.5703125" style="97" customWidth="1"/>
    <col min="6658" max="6658" width="53" style="97" customWidth="1"/>
    <col min="6659" max="6659" width="34.28515625" style="97" customWidth="1"/>
    <col min="6660" max="6660" width="31.42578125" style="97" customWidth="1"/>
    <col min="6661" max="6661" width="32.28515625" style="97" customWidth="1"/>
    <col min="6662" max="6911" width="9.140625" style="97"/>
    <col min="6912" max="6912" width="4.85546875" style="97" customWidth="1"/>
    <col min="6913" max="6913" width="43.5703125" style="97" customWidth="1"/>
    <col min="6914" max="6914" width="53" style="97" customWidth="1"/>
    <col min="6915" max="6915" width="34.28515625" style="97" customWidth="1"/>
    <col min="6916" max="6916" width="31.42578125" style="97" customWidth="1"/>
    <col min="6917" max="6917" width="32.28515625" style="97" customWidth="1"/>
    <col min="6918" max="7167" width="9.140625" style="97"/>
    <col min="7168" max="7168" width="4.85546875" style="97" customWidth="1"/>
    <col min="7169" max="7169" width="43.5703125" style="97" customWidth="1"/>
    <col min="7170" max="7170" width="53" style="97" customWidth="1"/>
    <col min="7171" max="7171" width="34.28515625" style="97" customWidth="1"/>
    <col min="7172" max="7172" width="31.42578125" style="97" customWidth="1"/>
    <col min="7173" max="7173" width="32.28515625" style="97" customWidth="1"/>
    <col min="7174" max="7423" width="9.140625" style="97"/>
    <col min="7424" max="7424" width="4.85546875" style="97" customWidth="1"/>
    <col min="7425" max="7425" width="43.5703125" style="97" customWidth="1"/>
    <col min="7426" max="7426" width="53" style="97" customWidth="1"/>
    <col min="7427" max="7427" width="34.28515625" style="97" customWidth="1"/>
    <col min="7428" max="7428" width="31.42578125" style="97" customWidth="1"/>
    <col min="7429" max="7429" width="32.28515625" style="97" customWidth="1"/>
    <col min="7430" max="7679" width="9.140625" style="97"/>
    <col min="7680" max="7680" width="4.85546875" style="97" customWidth="1"/>
    <col min="7681" max="7681" width="43.5703125" style="97" customWidth="1"/>
    <col min="7682" max="7682" width="53" style="97" customWidth="1"/>
    <col min="7683" max="7683" width="34.28515625" style="97" customWidth="1"/>
    <col min="7684" max="7684" width="31.42578125" style="97" customWidth="1"/>
    <col min="7685" max="7685" width="32.28515625" style="97" customWidth="1"/>
    <col min="7686" max="7935" width="9.140625" style="97"/>
    <col min="7936" max="7936" width="4.85546875" style="97" customWidth="1"/>
    <col min="7937" max="7937" width="43.5703125" style="97" customWidth="1"/>
    <col min="7938" max="7938" width="53" style="97" customWidth="1"/>
    <col min="7939" max="7939" width="34.28515625" style="97" customWidth="1"/>
    <col min="7940" max="7940" width="31.42578125" style="97" customWidth="1"/>
    <col min="7941" max="7941" width="32.28515625" style="97" customWidth="1"/>
    <col min="7942" max="8191" width="9.140625" style="97"/>
    <col min="8192" max="8192" width="4.85546875" style="97" customWidth="1"/>
    <col min="8193" max="8193" width="43.5703125" style="97" customWidth="1"/>
    <col min="8194" max="8194" width="53" style="97" customWidth="1"/>
    <col min="8195" max="8195" width="34.28515625" style="97" customWidth="1"/>
    <col min="8196" max="8196" width="31.42578125" style="97" customWidth="1"/>
    <col min="8197" max="8197" width="32.28515625" style="97" customWidth="1"/>
    <col min="8198" max="8447" width="9.140625" style="97"/>
    <col min="8448" max="8448" width="4.85546875" style="97" customWidth="1"/>
    <col min="8449" max="8449" width="43.5703125" style="97" customWidth="1"/>
    <col min="8450" max="8450" width="53" style="97" customWidth="1"/>
    <col min="8451" max="8451" width="34.28515625" style="97" customWidth="1"/>
    <col min="8452" max="8452" width="31.42578125" style="97" customWidth="1"/>
    <col min="8453" max="8453" width="32.28515625" style="97" customWidth="1"/>
    <col min="8454" max="8703" width="9.140625" style="97"/>
    <col min="8704" max="8704" width="4.85546875" style="97" customWidth="1"/>
    <col min="8705" max="8705" width="43.5703125" style="97" customWidth="1"/>
    <col min="8706" max="8706" width="53" style="97" customWidth="1"/>
    <col min="8707" max="8707" width="34.28515625" style="97" customWidth="1"/>
    <col min="8708" max="8708" width="31.42578125" style="97" customWidth="1"/>
    <col min="8709" max="8709" width="32.28515625" style="97" customWidth="1"/>
    <col min="8710" max="8959" width="9.140625" style="97"/>
    <col min="8960" max="8960" width="4.85546875" style="97" customWidth="1"/>
    <col min="8961" max="8961" width="43.5703125" style="97" customWidth="1"/>
    <col min="8962" max="8962" width="53" style="97" customWidth="1"/>
    <col min="8963" max="8963" width="34.28515625" style="97" customWidth="1"/>
    <col min="8964" max="8964" width="31.42578125" style="97" customWidth="1"/>
    <col min="8965" max="8965" width="32.28515625" style="97" customWidth="1"/>
    <col min="8966" max="9215" width="9.140625" style="97"/>
    <col min="9216" max="9216" width="4.85546875" style="97" customWidth="1"/>
    <col min="9217" max="9217" width="43.5703125" style="97" customWidth="1"/>
    <col min="9218" max="9218" width="53" style="97" customWidth="1"/>
    <col min="9219" max="9219" width="34.28515625" style="97" customWidth="1"/>
    <col min="9220" max="9220" width="31.42578125" style="97" customWidth="1"/>
    <col min="9221" max="9221" width="32.28515625" style="97" customWidth="1"/>
    <col min="9222" max="9471" width="9.140625" style="97"/>
    <col min="9472" max="9472" width="4.85546875" style="97" customWidth="1"/>
    <col min="9473" max="9473" width="43.5703125" style="97" customWidth="1"/>
    <col min="9474" max="9474" width="53" style="97" customWidth="1"/>
    <col min="9475" max="9475" width="34.28515625" style="97" customWidth="1"/>
    <col min="9476" max="9476" width="31.42578125" style="97" customWidth="1"/>
    <col min="9477" max="9477" width="32.28515625" style="97" customWidth="1"/>
    <col min="9478" max="9727" width="9.140625" style="97"/>
    <col min="9728" max="9728" width="4.85546875" style="97" customWidth="1"/>
    <col min="9729" max="9729" width="43.5703125" style="97" customWidth="1"/>
    <col min="9730" max="9730" width="53" style="97" customWidth="1"/>
    <col min="9731" max="9731" width="34.28515625" style="97" customWidth="1"/>
    <col min="9732" max="9732" width="31.42578125" style="97" customWidth="1"/>
    <col min="9733" max="9733" width="32.28515625" style="97" customWidth="1"/>
    <col min="9734" max="9983" width="9.140625" style="97"/>
    <col min="9984" max="9984" width="4.85546875" style="97" customWidth="1"/>
    <col min="9985" max="9985" width="43.5703125" style="97" customWidth="1"/>
    <col min="9986" max="9986" width="53" style="97" customWidth="1"/>
    <col min="9987" max="9987" width="34.28515625" style="97" customWidth="1"/>
    <col min="9988" max="9988" width="31.42578125" style="97" customWidth="1"/>
    <col min="9989" max="9989" width="32.28515625" style="97" customWidth="1"/>
    <col min="9990" max="10239" width="9.140625" style="97"/>
    <col min="10240" max="10240" width="4.85546875" style="97" customWidth="1"/>
    <col min="10241" max="10241" width="43.5703125" style="97" customWidth="1"/>
    <col min="10242" max="10242" width="53" style="97" customWidth="1"/>
    <col min="10243" max="10243" width="34.28515625" style="97" customWidth="1"/>
    <col min="10244" max="10244" width="31.42578125" style="97" customWidth="1"/>
    <col min="10245" max="10245" width="32.28515625" style="97" customWidth="1"/>
    <col min="10246" max="10495" width="9.140625" style="97"/>
    <col min="10496" max="10496" width="4.85546875" style="97" customWidth="1"/>
    <col min="10497" max="10497" width="43.5703125" style="97" customWidth="1"/>
    <col min="10498" max="10498" width="53" style="97" customWidth="1"/>
    <col min="10499" max="10499" width="34.28515625" style="97" customWidth="1"/>
    <col min="10500" max="10500" width="31.42578125" style="97" customWidth="1"/>
    <col min="10501" max="10501" width="32.28515625" style="97" customWidth="1"/>
    <col min="10502" max="10751" width="9.140625" style="97"/>
    <col min="10752" max="10752" width="4.85546875" style="97" customWidth="1"/>
    <col min="10753" max="10753" width="43.5703125" style="97" customWidth="1"/>
    <col min="10754" max="10754" width="53" style="97" customWidth="1"/>
    <col min="10755" max="10755" width="34.28515625" style="97" customWidth="1"/>
    <col min="10756" max="10756" width="31.42578125" style="97" customWidth="1"/>
    <col min="10757" max="10757" width="32.28515625" style="97" customWidth="1"/>
    <col min="10758" max="11007" width="9.140625" style="97"/>
    <col min="11008" max="11008" width="4.85546875" style="97" customWidth="1"/>
    <col min="11009" max="11009" width="43.5703125" style="97" customWidth="1"/>
    <col min="11010" max="11010" width="53" style="97" customWidth="1"/>
    <col min="11011" max="11011" width="34.28515625" style="97" customWidth="1"/>
    <col min="11012" max="11012" width="31.42578125" style="97" customWidth="1"/>
    <col min="11013" max="11013" width="32.28515625" style="97" customWidth="1"/>
    <col min="11014" max="11263" width="9.140625" style="97"/>
    <col min="11264" max="11264" width="4.85546875" style="97" customWidth="1"/>
    <col min="11265" max="11265" width="43.5703125" style="97" customWidth="1"/>
    <col min="11266" max="11266" width="53" style="97" customWidth="1"/>
    <col min="11267" max="11267" width="34.28515625" style="97" customWidth="1"/>
    <col min="11268" max="11268" width="31.42578125" style="97" customWidth="1"/>
    <col min="11269" max="11269" width="32.28515625" style="97" customWidth="1"/>
    <col min="11270" max="11519" width="9.140625" style="97"/>
    <col min="11520" max="11520" width="4.85546875" style="97" customWidth="1"/>
    <col min="11521" max="11521" width="43.5703125" style="97" customWidth="1"/>
    <col min="11522" max="11522" width="53" style="97" customWidth="1"/>
    <col min="11523" max="11523" width="34.28515625" style="97" customWidth="1"/>
    <col min="11524" max="11524" width="31.42578125" style="97" customWidth="1"/>
    <col min="11525" max="11525" width="32.28515625" style="97" customWidth="1"/>
    <col min="11526" max="11775" width="9.140625" style="97"/>
    <col min="11776" max="11776" width="4.85546875" style="97" customWidth="1"/>
    <col min="11777" max="11777" width="43.5703125" style="97" customWidth="1"/>
    <col min="11778" max="11778" width="53" style="97" customWidth="1"/>
    <col min="11779" max="11779" width="34.28515625" style="97" customWidth="1"/>
    <col min="11780" max="11780" width="31.42578125" style="97" customWidth="1"/>
    <col min="11781" max="11781" width="32.28515625" style="97" customWidth="1"/>
    <col min="11782" max="12031" width="9.140625" style="97"/>
    <col min="12032" max="12032" width="4.85546875" style="97" customWidth="1"/>
    <col min="12033" max="12033" width="43.5703125" style="97" customWidth="1"/>
    <col min="12034" max="12034" width="53" style="97" customWidth="1"/>
    <col min="12035" max="12035" width="34.28515625" style="97" customWidth="1"/>
    <col min="12036" max="12036" width="31.42578125" style="97" customWidth="1"/>
    <col min="12037" max="12037" width="32.28515625" style="97" customWidth="1"/>
    <col min="12038" max="12287" width="9.140625" style="97"/>
    <col min="12288" max="12288" width="4.85546875" style="97" customWidth="1"/>
    <col min="12289" max="12289" width="43.5703125" style="97" customWidth="1"/>
    <col min="12290" max="12290" width="53" style="97" customWidth="1"/>
    <col min="12291" max="12291" width="34.28515625" style="97" customWidth="1"/>
    <col min="12292" max="12292" width="31.42578125" style="97" customWidth="1"/>
    <col min="12293" max="12293" width="32.28515625" style="97" customWidth="1"/>
    <col min="12294" max="12543" width="9.140625" style="97"/>
    <col min="12544" max="12544" width="4.85546875" style="97" customWidth="1"/>
    <col min="12545" max="12545" width="43.5703125" style="97" customWidth="1"/>
    <col min="12546" max="12546" width="53" style="97" customWidth="1"/>
    <col min="12547" max="12547" width="34.28515625" style="97" customWidth="1"/>
    <col min="12548" max="12548" width="31.42578125" style="97" customWidth="1"/>
    <col min="12549" max="12549" width="32.28515625" style="97" customWidth="1"/>
    <col min="12550" max="12799" width="9.140625" style="97"/>
    <col min="12800" max="12800" width="4.85546875" style="97" customWidth="1"/>
    <col min="12801" max="12801" width="43.5703125" style="97" customWidth="1"/>
    <col min="12802" max="12802" width="53" style="97" customWidth="1"/>
    <col min="12803" max="12803" width="34.28515625" style="97" customWidth="1"/>
    <col min="12804" max="12804" width="31.42578125" style="97" customWidth="1"/>
    <col min="12805" max="12805" width="32.28515625" style="97" customWidth="1"/>
    <col min="12806" max="13055" width="9.140625" style="97"/>
    <col min="13056" max="13056" width="4.85546875" style="97" customWidth="1"/>
    <col min="13057" max="13057" width="43.5703125" style="97" customWidth="1"/>
    <col min="13058" max="13058" width="53" style="97" customWidth="1"/>
    <col min="13059" max="13059" width="34.28515625" style="97" customWidth="1"/>
    <col min="13060" max="13060" width="31.42578125" style="97" customWidth="1"/>
    <col min="13061" max="13061" width="32.28515625" style="97" customWidth="1"/>
    <col min="13062" max="13311" width="9.140625" style="97"/>
    <col min="13312" max="13312" width="4.85546875" style="97" customWidth="1"/>
    <col min="13313" max="13313" width="43.5703125" style="97" customWidth="1"/>
    <col min="13314" max="13314" width="53" style="97" customWidth="1"/>
    <col min="13315" max="13315" width="34.28515625" style="97" customWidth="1"/>
    <col min="13316" max="13316" width="31.42578125" style="97" customWidth="1"/>
    <col min="13317" max="13317" width="32.28515625" style="97" customWidth="1"/>
    <col min="13318" max="13567" width="9.140625" style="97"/>
    <col min="13568" max="13568" width="4.85546875" style="97" customWidth="1"/>
    <col min="13569" max="13569" width="43.5703125" style="97" customWidth="1"/>
    <col min="13570" max="13570" width="53" style="97" customWidth="1"/>
    <col min="13571" max="13571" width="34.28515625" style="97" customWidth="1"/>
    <col min="13572" max="13572" width="31.42578125" style="97" customWidth="1"/>
    <col min="13573" max="13573" width="32.28515625" style="97" customWidth="1"/>
    <col min="13574" max="13823" width="9.140625" style="97"/>
    <col min="13824" max="13824" width="4.85546875" style="97" customWidth="1"/>
    <col min="13825" max="13825" width="43.5703125" style="97" customWidth="1"/>
    <col min="13826" max="13826" width="53" style="97" customWidth="1"/>
    <col min="13827" max="13827" width="34.28515625" style="97" customWidth="1"/>
    <col min="13828" max="13828" width="31.42578125" style="97" customWidth="1"/>
    <col min="13829" max="13829" width="32.28515625" style="97" customWidth="1"/>
    <col min="13830" max="14079" width="9.140625" style="97"/>
    <col min="14080" max="14080" width="4.85546875" style="97" customWidth="1"/>
    <col min="14081" max="14081" width="43.5703125" style="97" customWidth="1"/>
    <col min="14082" max="14082" width="53" style="97" customWidth="1"/>
    <col min="14083" max="14083" width="34.28515625" style="97" customWidth="1"/>
    <col min="14084" max="14084" width="31.42578125" style="97" customWidth="1"/>
    <col min="14085" max="14085" width="32.28515625" style="97" customWidth="1"/>
    <col min="14086" max="14335" width="9.140625" style="97"/>
    <col min="14336" max="14336" width="4.85546875" style="97" customWidth="1"/>
    <col min="14337" max="14337" width="43.5703125" style="97" customWidth="1"/>
    <col min="14338" max="14338" width="53" style="97" customWidth="1"/>
    <col min="14339" max="14339" width="34.28515625" style="97" customWidth="1"/>
    <col min="14340" max="14340" width="31.42578125" style="97" customWidth="1"/>
    <col min="14341" max="14341" width="32.28515625" style="97" customWidth="1"/>
    <col min="14342" max="14591" width="9.140625" style="97"/>
    <col min="14592" max="14592" width="4.85546875" style="97" customWidth="1"/>
    <col min="14593" max="14593" width="43.5703125" style="97" customWidth="1"/>
    <col min="14594" max="14594" width="53" style="97" customWidth="1"/>
    <col min="14595" max="14595" width="34.28515625" style="97" customWidth="1"/>
    <col min="14596" max="14596" width="31.42578125" style="97" customWidth="1"/>
    <col min="14597" max="14597" width="32.28515625" style="97" customWidth="1"/>
    <col min="14598" max="14847" width="9.140625" style="97"/>
    <col min="14848" max="14848" width="4.85546875" style="97" customWidth="1"/>
    <col min="14849" max="14849" width="43.5703125" style="97" customWidth="1"/>
    <col min="14850" max="14850" width="53" style="97" customWidth="1"/>
    <col min="14851" max="14851" width="34.28515625" style="97" customWidth="1"/>
    <col min="14852" max="14852" width="31.42578125" style="97" customWidth="1"/>
    <col min="14853" max="14853" width="32.28515625" style="97" customWidth="1"/>
    <col min="14854" max="15103" width="9.140625" style="97"/>
    <col min="15104" max="15104" width="4.85546875" style="97" customWidth="1"/>
    <col min="15105" max="15105" width="43.5703125" style="97" customWidth="1"/>
    <col min="15106" max="15106" width="53" style="97" customWidth="1"/>
    <col min="15107" max="15107" width="34.28515625" style="97" customWidth="1"/>
    <col min="15108" max="15108" width="31.42578125" style="97" customWidth="1"/>
    <col min="15109" max="15109" width="32.28515625" style="97" customWidth="1"/>
    <col min="15110" max="15359" width="9.140625" style="97"/>
    <col min="15360" max="15360" width="4.85546875" style="97" customWidth="1"/>
    <col min="15361" max="15361" width="43.5703125" style="97" customWidth="1"/>
    <col min="15362" max="15362" width="53" style="97" customWidth="1"/>
    <col min="15363" max="15363" width="34.28515625" style="97" customWidth="1"/>
    <col min="15364" max="15364" width="31.42578125" style="97" customWidth="1"/>
    <col min="15365" max="15365" width="32.28515625" style="97" customWidth="1"/>
    <col min="15366" max="15615" width="9.140625" style="97"/>
    <col min="15616" max="15616" width="4.85546875" style="97" customWidth="1"/>
    <col min="15617" max="15617" width="43.5703125" style="97" customWidth="1"/>
    <col min="15618" max="15618" width="53" style="97" customWidth="1"/>
    <col min="15619" max="15619" width="34.28515625" style="97" customWidth="1"/>
    <col min="15620" max="15620" width="31.42578125" style="97" customWidth="1"/>
    <col min="15621" max="15621" width="32.28515625" style="97" customWidth="1"/>
    <col min="15622" max="15871" width="9.140625" style="97"/>
    <col min="15872" max="15872" width="4.85546875" style="97" customWidth="1"/>
    <col min="15873" max="15873" width="43.5703125" style="97" customWidth="1"/>
    <col min="15874" max="15874" width="53" style="97" customWidth="1"/>
    <col min="15875" max="15875" width="34.28515625" style="97" customWidth="1"/>
    <col min="15876" max="15876" width="31.42578125" style="97" customWidth="1"/>
    <col min="15877" max="15877" width="32.28515625" style="97" customWidth="1"/>
    <col min="15878" max="16127" width="9.140625" style="97"/>
    <col min="16128" max="16128" width="4.85546875" style="97" customWidth="1"/>
    <col min="16129" max="16129" width="43.5703125" style="97" customWidth="1"/>
    <col min="16130" max="16130" width="53" style="97" customWidth="1"/>
    <col min="16131" max="16131" width="34.28515625" style="97" customWidth="1"/>
    <col min="16132" max="16132" width="31.42578125" style="97" customWidth="1"/>
    <col min="16133" max="16133" width="32.28515625" style="97" customWidth="1"/>
    <col min="16134" max="16384" width="9.140625" style="97"/>
  </cols>
  <sheetData>
    <row r="1" spans="1:5" ht="15" customHeight="1" x14ac:dyDescent="0.15"/>
    <row r="2" spans="1:5" ht="15" customHeight="1" x14ac:dyDescent="0.15">
      <c r="A2" s="2390" t="s">
        <v>232</v>
      </c>
      <c r="B2" s="2390"/>
      <c r="C2" s="2390"/>
      <c r="D2" s="2390"/>
      <c r="E2" s="2390"/>
    </row>
    <row r="3" spans="1:5" ht="15" customHeight="1" x14ac:dyDescent="0.15">
      <c r="A3" s="115"/>
      <c r="B3" s="115"/>
      <c r="C3" s="115"/>
      <c r="D3" s="115"/>
      <c r="E3" s="115"/>
    </row>
    <row r="4" spans="1:5" ht="11.25" x14ac:dyDescent="0.15">
      <c r="A4" s="116" t="s">
        <v>1</v>
      </c>
      <c r="B4" s="116" t="s">
        <v>233</v>
      </c>
      <c r="C4" s="116" t="s">
        <v>234</v>
      </c>
      <c r="D4" s="116" t="s">
        <v>235</v>
      </c>
      <c r="E4" s="116" t="s">
        <v>236</v>
      </c>
    </row>
    <row r="5" spans="1:5" x14ac:dyDescent="0.15">
      <c r="A5" s="2389" t="s">
        <v>5</v>
      </c>
      <c r="B5" s="117" t="s">
        <v>237</v>
      </c>
      <c r="C5" s="118" t="s">
        <v>181</v>
      </c>
      <c r="D5" s="119" t="s">
        <v>238</v>
      </c>
      <c r="E5" s="120" t="s">
        <v>239</v>
      </c>
    </row>
    <row r="6" spans="1:5" x14ac:dyDescent="0.15">
      <c r="A6" s="2389"/>
      <c r="B6" s="117" t="s">
        <v>240</v>
      </c>
      <c r="C6" s="118" t="s">
        <v>181</v>
      </c>
      <c r="D6" s="119" t="s">
        <v>238</v>
      </c>
      <c r="E6" s="120" t="s">
        <v>239</v>
      </c>
    </row>
    <row r="7" spans="1:5" x14ac:dyDescent="0.15">
      <c r="A7" s="2389"/>
      <c r="B7" s="117" t="s">
        <v>241</v>
      </c>
      <c r="C7" s="118" t="s">
        <v>181</v>
      </c>
      <c r="D7" s="119" t="s">
        <v>238</v>
      </c>
      <c r="E7" s="120" t="s">
        <v>239</v>
      </c>
    </row>
    <row r="8" spans="1:5" x14ac:dyDescent="0.15">
      <c r="A8" s="2389"/>
      <c r="B8" s="117" t="s">
        <v>242</v>
      </c>
      <c r="C8" s="118" t="s">
        <v>181</v>
      </c>
      <c r="D8" s="119" t="s">
        <v>238</v>
      </c>
      <c r="E8" s="120" t="s">
        <v>239</v>
      </c>
    </row>
    <row r="9" spans="1:5" x14ac:dyDescent="0.15">
      <c r="A9" s="2389"/>
      <c r="B9" s="117" t="s">
        <v>243</v>
      </c>
      <c r="C9" s="118" t="s">
        <v>181</v>
      </c>
      <c r="D9" s="119" t="s">
        <v>238</v>
      </c>
      <c r="E9" s="120" t="s">
        <v>239</v>
      </c>
    </row>
    <row r="10" spans="1:5" x14ac:dyDescent="0.15">
      <c r="A10" s="2389"/>
      <c r="B10" s="117" t="s">
        <v>244</v>
      </c>
      <c r="C10" s="118" t="s">
        <v>181</v>
      </c>
      <c r="D10" s="119" t="s">
        <v>238</v>
      </c>
      <c r="E10" s="120" t="s">
        <v>239</v>
      </c>
    </row>
    <row r="11" spans="1:5" x14ac:dyDescent="0.15">
      <c r="A11" s="2389"/>
      <c r="B11" s="117" t="s">
        <v>245</v>
      </c>
      <c r="C11" s="118" t="s">
        <v>181</v>
      </c>
      <c r="D11" s="119" t="s">
        <v>238</v>
      </c>
      <c r="E11" s="120" t="s">
        <v>239</v>
      </c>
    </row>
    <row r="12" spans="1:5" x14ac:dyDescent="0.15">
      <c r="A12" s="2389"/>
      <c r="B12" s="117" t="s">
        <v>246</v>
      </c>
      <c r="C12" s="118" t="s">
        <v>247</v>
      </c>
      <c r="D12" s="119" t="s">
        <v>238</v>
      </c>
      <c r="E12" s="120" t="s">
        <v>239</v>
      </c>
    </row>
    <row r="13" spans="1:5" x14ac:dyDescent="0.15">
      <c r="A13" s="2389"/>
      <c r="B13" s="117" t="s">
        <v>246</v>
      </c>
      <c r="C13" s="118" t="s">
        <v>248</v>
      </c>
      <c r="D13" s="119" t="s">
        <v>238</v>
      </c>
      <c r="E13" s="120" t="s">
        <v>239</v>
      </c>
    </row>
    <row r="14" spans="1:5" x14ac:dyDescent="0.15">
      <c r="A14" s="2389"/>
      <c r="B14" s="117" t="s">
        <v>246</v>
      </c>
      <c r="C14" s="118" t="s">
        <v>249</v>
      </c>
      <c r="D14" s="119" t="s">
        <v>238</v>
      </c>
      <c r="E14" s="120" t="s">
        <v>239</v>
      </c>
    </row>
    <row r="15" spans="1:5" ht="21" x14ac:dyDescent="0.15">
      <c r="A15" s="2389" t="s">
        <v>7</v>
      </c>
      <c r="B15" s="117" t="s">
        <v>250</v>
      </c>
      <c r="C15" s="117" t="s">
        <v>251</v>
      </c>
      <c r="D15" s="119" t="s">
        <v>238</v>
      </c>
      <c r="E15" s="120" t="s">
        <v>252</v>
      </c>
    </row>
    <row r="16" spans="1:5" ht="21" x14ac:dyDescent="0.15">
      <c r="A16" s="2389"/>
      <c r="B16" s="117" t="s">
        <v>250</v>
      </c>
      <c r="C16" s="117" t="s">
        <v>253</v>
      </c>
      <c r="D16" s="119" t="s">
        <v>238</v>
      </c>
      <c r="E16" s="120" t="s">
        <v>252</v>
      </c>
    </row>
    <row r="17" spans="1:5" x14ac:dyDescent="0.15">
      <c r="A17" s="2389"/>
      <c r="B17" s="117" t="s">
        <v>250</v>
      </c>
      <c r="C17" s="117" t="s">
        <v>254</v>
      </c>
      <c r="D17" s="119" t="s">
        <v>238</v>
      </c>
      <c r="E17" s="120" t="s">
        <v>252</v>
      </c>
    </row>
    <row r="18" spans="1:5" x14ac:dyDescent="0.15">
      <c r="A18" s="2389"/>
      <c r="B18" s="117" t="s">
        <v>250</v>
      </c>
      <c r="C18" s="117" t="s">
        <v>255</v>
      </c>
      <c r="D18" s="119" t="s">
        <v>238</v>
      </c>
      <c r="E18" s="120" t="s">
        <v>252</v>
      </c>
    </row>
    <row r="19" spans="1:5" ht="21" x14ac:dyDescent="0.15">
      <c r="A19" s="2389"/>
      <c r="B19" s="117" t="s">
        <v>250</v>
      </c>
      <c r="C19" s="117" t="s">
        <v>256</v>
      </c>
      <c r="D19" s="119" t="s">
        <v>238</v>
      </c>
      <c r="E19" s="120" t="s">
        <v>252</v>
      </c>
    </row>
    <row r="20" spans="1:5" x14ac:dyDescent="0.15">
      <c r="A20" s="2389"/>
      <c r="B20" s="117" t="s">
        <v>257</v>
      </c>
      <c r="C20" s="118" t="s">
        <v>181</v>
      </c>
      <c r="D20" s="119" t="s">
        <v>238</v>
      </c>
      <c r="E20" s="120" t="s">
        <v>239</v>
      </c>
    </row>
    <row r="21" spans="1:5" x14ac:dyDescent="0.15">
      <c r="A21" s="2389"/>
      <c r="B21" s="117" t="s">
        <v>258</v>
      </c>
      <c r="C21" s="118" t="s">
        <v>181</v>
      </c>
      <c r="D21" s="119" t="s">
        <v>238</v>
      </c>
      <c r="E21" s="120" t="s">
        <v>239</v>
      </c>
    </row>
    <row r="22" spans="1:5" x14ac:dyDescent="0.15">
      <c r="A22" s="2389"/>
      <c r="B22" s="117" t="s">
        <v>259</v>
      </c>
      <c r="C22" s="118" t="s">
        <v>181</v>
      </c>
      <c r="D22" s="119" t="s">
        <v>238</v>
      </c>
      <c r="E22" s="120" t="s">
        <v>239</v>
      </c>
    </row>
    <row r="23" spans="1:5" ht="21" x14ac:dyDescent="0.15">
      <c r="A23" s="2389"/>
      <c r="B23" s="117" t="s">
        <v>260</v>
      </c>
      <c r="C23" s="118" t="s">
        <v>181</v>
      </c>
      <c r="D23" s="119" t="s">
        <v>238</v>
      </c>
      <c r="E23" s="120" t="s">
        <v>239</v>
      </c>
    </row>
    <row r="24" spans="1:5" x14ac:dyDescent="0.15">
      <c r="A24" s="2389"/>
      <c r="B24" s="117" t="s">
        <v>261</v>
      </c>
      <c r="C24" s="118" t="s">
        <v>181</v>
      </c>
      <c r="D24" s="119" t="s">
        <v>238</v>
      </c>
      <c r="E24" s="120" t="s">
        <v>239</v>
      </c>
    </row>
    <row r="25" spans="1:5" x14ac:dyDescent="0.15">
      <c r="A25" s="2389"/>
      <c r="B25" s="117" t="s">
        <v>262</v>
      </c>
      <c r="C25" s="118" t="s">
        <v>181</v>
      </c>
      <c r="D25" s="119" t="s">
        <v>238</v>
      </c>
      <c r="E25" s="120" t="s">
        <v>252</v>
      </c>
    </row>
    <row r="26" spans="1:5" ht="21" x14ac:dyDescent="0.15">
      <c r="A26" s="2389"/>
      <c r="B26" s="117" t="s">
        <v>263</v>
      </c>
      <c r="C26" s="118" t="s">
        <v>181</v>
      </c>
      <c r="D26" s="119" t="s">
        <v>238</v>
      </c>
      <c r="E26" s="120" t="s">
        <v>252</v>
      </c>
    </row>
    <row r="27" spans="1:5" x14ac:dyDescent="0.15">
      <c r="A27" s="2389"/>
      <c r="B27" s="117" t="s">
        <v>264</v>
      </c>
      <c r="C27" s="118" t="s">
        <v>181</v>
      </c>
      <c r="D27" s="119" t="s">
        <v>238</v>
      </c>
      <c r="E27" s="120" t="s">
        <v>252</v>
      </c>
    </row>
    <row r="28" spans="1:5" x14ac:dyDescent="0.15">
      <c r="A28" s="2389"/>
      <c r="B28" s="117" t="s">
        <v>265</v>
      </c>
      <c r="C28" s="118" t="s">
        <v>181</v>
      </c>
      <c r="D28" s="119" t="s">
        <v>238</v>
      </c>
      <c r="E28" s="120" t="s">
        <v>252</v>
      </c>
    </row>
    <row r="29" spans="1:5" ht="21" x14ac:dyDescent="0.15">
      <c r="A29" s="2389"/>
      <c r="B29" s="117" t="s">
        <v>266</v>
      </c>
      <c r="C29" s="118" t="s">
        <v>181</v>
      </c>
      <c r="D29" s="119" t="s">
        <v>238</v>
      </c>
      <c r="E29" s="120" t="s">
        <v>252</v>
      </c>
    </row>
    <row r="30" spans="1:5" ht="21" x14ac:dyDescent="0.15">
      <c r="A30" s="2389"/>
      <c r="B30" s="117" t="s">
        <v>267</v>
      </c>
      <c r="C30" s="118" t="s">
        <v>181</v>
      </c>
      <c r="D30" s="119" t="s">
        <v>238</v>
      </c>
      <c r="E30" s="120" t="s">
        <v>252</v>
      </c>
    </row>
    <row r="31" spans="1:5" x14ac:dyDescent="0.15">
      <c r="A31" s="2389"/>
      <c r="B31" s="117" t="s">
        <v>268</v>
      </c>
      <c r="C31" s="118" t="s">
        <v>181</v>
      </c>
      <c r="D31" s="119" t="s">
        <v>269</v>
      </c>
      <c r="E31" s="120" t="s">
        <v>239</v>
      </c>
    </row>
    <row r="32" spans="1:5" x14ac:dyDescent="0.15">
      <c r="A32" s="2389"/>
      <c r="B32" s="117" t="s">
        <v>270</v>
      </c>
      <c r="C32" s="118" t="s">
        <v>181</v>
      </c>
      <c r="D32" s="119" t="s">
        <v>238</v>
      </c>
      <c r="E32" s="120" t="s">
        <v>239</v>
      </c>
    </row>
    <row r="33" spans="1:5" x14ac:dyDescent="0.15">
      <c r="A33" s="2389"/>
      <c r="B33" s="117" t="s">
        <v>271</v>
      </c>
      <c r="C33" s="118" t="s">
        <v>181</v>
      </c>
      <c r="D33" s="119" t="s">
        <v>238</v>
      </c>
      <c r="E33" s="120" t="s">
        <v>239</v>
      </c>
    </row>
    <row r="34" spans="1:5" x14ac:dyDescent="0.15">
      <c r="A34" s="2389" t="s">
        <v>9</v>
      </c>
      <c r="B34" s="117" t="s">
        <v>272</v>
      </c>
      <c r="C34" s="118" t="s">
        <v>181</v>
      </c>
      <c r="D34" s="119" t="s">
        <v>273</v>
      </c>
      <c r="E34" s="120" t="s">
        <v>239</v>
      </c>
    </row>
    <row r="35" spans="1:5" x14ac:dyDescent="0.15">
      <c r="A35" s="2389"/>
      <c r="B35" s="117" t="s">
        <v>274</v>
      </c>
      <c r="C35" s="118" t="s">
        <v>181</v>
      </c>
      <c r="D35" s="119" t="s">
        <v>238</v>
      </c>
      <c r="E35" s="120" t="s">
        <v>239</v>
      </c>
    </row>
    <row r="36" spans="1:5" x14ac:dyDescent="0.15">
      <c r="A36" s="2389" t="s">
        <v>10</v>
      </c>
      <c r="B36" s="117" t="s">
        <v>275</v>
      </c>
      <c r="C36" s="118" t="s">
        <v>181</v>
      </c>
      <c r="D36" s="119" t="s">
        <v>238</v>
      </c>
      <c r="E36" s="120" t="s">
        <v>239</v>
      </c>
    </row>
    <row r="37" spans="1:5" x14ac:dyDescent="0.15">
      <c r="A37" s="2389"/>
      <c r="B37" s="117" t="s">
        <v>276</v>
      </c>
      <c r="C37" s="118" t="s">
        <v>181</v>
      </c>
      <c r="D37" s="119" t="s">
        <v>269</v>
      </c>
      <c r="E37" s="120" t="s">
        <v>239</v>
      </c>
    </row>
    <row r="38" spans="1:5" x14ac:dyDescent="0.15">
      <c r="A38" s="2389"/>
      <c r="B38" s="117" t="s">
        <v>277</v>
      </c>
      <c r="C38" s="118" t="s">
        <v>181</v>
      </c>
      <c r="D38" s="119" t="s">
        <v>238</v>
      </c>
      <c r="E38" s="120" t="s">
        <v>239</v>
      </c>
    </row>
    <row r="39" spans="1:5" x14ac:dyDescent="0.15">
      <c r="A39" s="2389"/>
      <c r="B39" s="117" t="s">
        <v>278</v>
      </c>
      <c r="C39" s="118" t="s">
        <v>181</v>
      </c>
      <c r="D39" s="119" t="s">
        <v>238</v>
      </c>
      <c r="E39" s="120" t="s">
        <v>239</v>
      </c>
    </row>
    <row r="40" spans="1:5" ht="21" x14ac:dyDescent="0.15">
      <c r="A40" s="2389"/>
      <c r="B40" s="117" t="s">
        <v>279</v>
      </c>
      <c r="C40" s="118" t="s">
        <v>181</v>
      </c>
      <c r="D40" s="119" t="s">
        <v>238</v>
      </c>
      <c r="E40" s="120" t="s">
        <v>239</v>
      </c>
    </row>
    <row r="41" spans="1:5" x14ac:dyDescent="0.15">
      <c r="A41" s="2389" t="s">
        <v>280</v>
      </c>
      <c r="B41" s="117" t="s">
        <v>281</v>
      </c>
      <c r="C41" s="118" t="s">
        <v>181</v>
      </c>
      <c r="D41" s="119" t="s">
        <v>238</v>
      </c>
      <c r="E41" s="120" t="s">
        <v>239</v>
      </c>
    </row>
    <row r="42" spans="1:5" ht="21" x14ac:dyDescent="0.15">
      <c r="A42" s="2389"/>
      <c r="B42" s="117" t="s">
        <v>282</v>
      </c>
      <c r="C42" s="118" t="s">
        <v>181</v>
      </c>
      <c r="D42" s="119" t="s">
        <v>238</v>
      </c>
      <c r="E42" s="120" t="s">
        <v>239</v>
      </c>
    </row>
    <row r="43" spans="1:5" x14ac:dyDescent="0.15">
      <c r="A43" s="2389"/>
      <c r="B43" s="117" t="s">
        <v>283</v>
      </c>
      <c r="C43" s="118" t="s">
        <v>181</v>
      </c>
      <c r="D43" s="119" t="s">
        <v>238</v>
      </c>
      <c r="E43" s="120" t="s">
        <v>239</v>
      </c>
    </row>
    <row r="44" spans="1:5" ht="31.5" x14ac:dyDescent="0.15">
      <c r="A44" s="2389"/>
      <c r="B44" s="117" t="s">
        <v>284</v>
      </c>
      <c r="C44" s="118" t="s">
        <v>285</v>
      </c>
      <c r="D44" s="119" t="s">
        <v>238</v>
      </c>
      <c r="E44" s="120" t="s">
        <v>252</v>
      </c>
    </row>
    <row r="45" spans="1:5" ht="42" x14ac:dyDescent="0.15">
      <c r="A45" s="2389"/>
      <c r="B45" s="117" t="s">
        <v>284</v>
      </c>
      <c r="C45" s="118" t="s">
        <v>286</v>
      </c>
      <c r="D45" s="119" t="s">
        <v>238</v>
      </c>
      <c r="E45" s="120" t="s">
        <v>252</v>
      </c>
    </row>
    <row r="46" spans="1:5" x14ac:dyDescent="0.15">
      <c r="A46" s="2389"/>
      <c r="B46" s="117" t="s">
        <v>287</v>
      </c>
      <c r="C46" s="118" t="s">
        <v>181</v>
      </c>
      <c r="D46" s="119" t="s">
        <v>269</v>
      </c>
      <c r="E46" s="120" t="s">
        <v>239</v>
      </c>
    </row>
    <row r="47" spans="1:5" ht="21" x14ac:dyDescent="0.15">
      <c r="A47" s="2389"/>
      <c r="B47" s="117" t="s">
        <v>288</v>
      </c>
      <c r="C47" s="118" t="s">
        <v>181</v>
      </c>
      <c r="D47" s="119" t="s">
        <v>238</v>
      </c>
      <c r="E47" s="120" t="s">
        <v>239</v>
      </c>
    </row>
    <row r="48" spans="1:5" ht="21" x14ac:dyDescent="0.15">
      <c r="A48" s="2389"/>
      <c r="B48" s="117" t="s">
        <v>289</v>
      </c>
      <c r="C48" s="118" t="s">
        <v>181</v>
      </c>
      <c r="D48" s="119" t="s">
        <v>269</v>
      </c>
      <c r="E48" s="120" t="s">
        <v>239</v>
      </c>
    </row>
    <row r="49" spans="1:5" x14ac:dyDescent="0.15">
      <c r="A49" s="2389"/>
      <c r="B49" s="117" t="s">
        <v>290</v>
      </c>
      <c r="C49" s="118" t="s">
        <v>181</v>
      </c>
      <c r="D49" s="119" t="s">
        <v>238</v>
      </c>
      <c r="E49" s="120" t="s">
        <v>239</v>
      </c>
    </row>
    <row r="50" spans="1:5" x14ac:dyDescent="0.15">
      <c r="A50" s="2389"/>
      <c r="B50" s="117" t="s">
        <v>291</v>
      </c>
      <c r="C50" s="118" t="s">
        <v>181</v>
      </c>
      <c r="D50" s="119" t="s">
        <v>238</v>
      </c>
      <c r="E50" s="120" t="s">
        <v>239</v>
      </c>
    </row>
    <row r="51" spans="1:5" ht="17.100000000000001" customHeight="1" x14ac:dyDescent="0.15">
      <c r="A51" s="2389"/>
      <c r="B51" s="117" t="s">
        <v>292</v>
      </c>
      <c r="C51" s="118" t="s">
        <v>181</v>
      </c>
      <c r="D51" s="119" t="s">
        <v>238</v>
      </c>
      <c r="E51" s="120" t="s">
        <v>252</v>
      </c>
    </row>
    <row r="52" spans="1:5" x14ac:dyDescent="0.15">
      <c r="A52" s="121" t="s">
        <v>13</v>
      </c>
      <c r="B52" s="117" t="s">
        <v>293</v>
      </c>
      <c r="C52" s="118" t="s">
        <v>181</v>
      </c>
      <c r="D52" s="119" t="s">
        <v>273</v>
      </c>
      <c r="E52" s="120" t="s">
        <v>239</v>
      </c>
    </row>
    <row r="53" spans="1:5" x14ac:dyDescent="0.15">
      <c r="A53" s="2389" t="s">
        <v>14</v>
      </c>
      <c r="B53" s="117" t="s">
        <v>294</v>
      </c>
      <c r="C53" s="118" t="s">
        <v>181</v>
      </c>
      <c r="D53" s="119" t="s">
        <v>238</v>
      </c>
      <c r="E53" s="120" t="s">
        <v>239</v>
      </c>
    </row>
    <row r="54" spans="1:5" ht="21" x14ac:dyDescent="0.15">
      <c r="A54" s="2389"/>
      <c r="B54" s="117" t="s">
        <v>295</v>
      </c>
      <c r="C54" s="118" t="s">
        <v>181</v>
      </c>
      <c r="D54" s="119" t="s">
        <v>238</v>
      </c>
      <c r="E54" s="120" t="s">
        <v>239</v>
      </c>
    </row>
    <row r="55" spans="1:5" ht="21" x14ac:dyDescent="0.15">
      <c r="A55" s="2389"/>
      <c r="B55" s="117" t="s">
        <v>296</v>
      </c>
      <c r="C55" s="118" t="s">
        <v>181</v>
      </c>
      <c r="D55" s="119" t="s">
        <v>238</v>
      </c>
      <c r="E55" s="120" t="s">
        <v>252</v>
      </c>
    </row>
    <row r="56" spans="1:5" ht="21" x14ac:dyDescent="0.15">
      <c r="A56" s="2389"/>
      <c r="B56" s="117" t="s">
        <v>297</v>
      </c>
      <c r="C56" s="118" t="s">
        <v>181</v>
      </c>
      <c r="D56" s="119" t="s">
        <v>238</v>
      </c>
      <c r="E56" s="120" t="s">
        <v>239</v>
      </c>
    </row>
    <row r="57" spans="1:5" ht="31.5" x14ac:dyDescent="0.15">
      <c r="A57" s="2389"/>
      <c r="B57" s="117" t="s">
        <v>298</v>
      </c>
      <c r="C57" s="118" t="s">
        <v>181</v>
      </c>
      <c r="D57" s="119" t="s">
        <v>269</v>
      </c>
      <c r="E57" s="120" t="s">
        <v>239</v>
      </c>
    </row>
    <row r="58" spans="1:5" x14ac:dyDescent="0.15">
      <c r="A58" s="2389" t="s">
        <v>15</v>
      </c>
      <c r="B58" s="117" t="s">
        <v>299</v>
      </c>
      <c r="C58" s="118" t="s">
        <v>181</v>
      </c>
      <c r="D58" s="119" t="s">
        <v>238</v>
      </c>
      <c r="E58" s="120" t="s">
        <v>239</v>
      </c>
    </row>
    <row r="59" spans="1:5" ht="17.100000000000001" customHeight="1" x14ac:dyDescent="0.15">
      <c r="A59" s="2389"/>
      <c r="B59" s="117" t="s">
        <v>300</v>
      </c>
      <c r="C59" s="118" t="s">
        <v>181</v>
      </c>
      <c r="D59" s="119" t="s">
        <v>269</v>
      </c>
      <c r="E59" s="120" t="s">
        <v>239</v>
      </c>
    </row>
    <row r="60" spans="1:5" x14ac:dyDescent="0.15">
      <c r="A60" s="121" t="s">
        <v>301</v>
      </c>
      <c r="B60" s="117" t="s">
        <v>302</v>
      </c>
      <c r="C60" s="118" t="s">
        <v>181</v>
      </c>
      <c r="D60" s="119" t="s">
        <v>238</v>
      </c>
      <c r="E60" s="120" t="s">
        <v>239</v>
      </c>
    </row>
    <row r="61" spans="1:5" ht="21" x14ac:dyDescent="0.15">
      <c r="A61" s="2389" t="s">
        <v>303</v>
      </c>
      <c r="B61" s="117" t="s">
        <v>304</v>
      </c>
      <c r="C61" s="118" t="s">
        <v>181</v>
      </c>
      <c r="D61" s="119" t="s">
        <v>269</v>
      </c>
      <c r="E61" s="120" t="s">
        <v>239</v>
      </c>
    </row>
    <row r="62" spans="1:5" ht="21" x14ac:dyDescent="0.15">
      <c r="A62" s="2389"/>
      <c r="B62" s="117" t="s">
        <v>305</v>
      </c>
      <c r="C62" s="118" t="s">
        <v>181</v>
      </c>
      <c r="D62" s="119" t="s">
        <v>269</v>
      </c>
      <c r="E62" s="120" t="s">
        <v>239</v>
      </c>
    </row>
    <row r="63" spans="1:5" x14ac:dyDescent="0.15">
      <c r="A63" s="2389"/>
      <c r="B63" s="117" t="s">
        <v>306</v>
      </c>
      <c r="C63" s="118" t="s">
        <v>181</v>
      </c>
      <c r="D63" s="119" t="s">
        <v>238</v>
      </c>
      <c r="E63" s="120" t="s">
        <v>239</v>
      </c>
    </row>
    <row r="64" spans="1:5" x14ac:dyDescent="0.15">
      <c r="A64" s="2389"/>
      <c r="B64" s="117" t="s">
        <v>307</v>
      </c>
      <c r="C64" s="118" t="s">
        <v>181</v>
      </c>
      <c r="D64" s="119" t="s">
        <v>269</v>
      </c>
      <c r="E64" s="120" t="s">
        <v>239</v>
      </c>
    </row>
    <row r="65" spans="1:5" ht="11.25" customHeight="1" x14ac:dyDescent="0.15">
      <c r="A65" s="122"/>
      <c r="B65" s="123"/>
      <c r="C65" s="123"/>
      <c r="D65" s="124"/>
      <c r="E65" s="125"/>
    </row>
    <row r="66" spans="1:5" ht="26.25" customHeight="1" x14ac:dyDescent="0.15">
      <c r="A66" s="2391" t="s">
        <v>308</v>
      </c>
      <c r="B66" s="2392"/>
      <c r="C66" s="2392"/>
      <c r="D66" s="2392"/>
      <c r="E66" s="2392"/>
    </row>
    <row r="67" spans="1:5" ht="17.25" customHeight="1" x14ac:dyDescent="0.15">
      <c r="A67" s="2393" t="s">
        <v>309</v>
      </c>
      <c r="B67" s="2394"/>
      <c r="C67" s="2394"/>
      <c r="D67" s="2394"/>
      <c r="E67" s="2394"/>
    </row>
    <row r="68" spans="1:5" ht="15.75" customHeight="1" x14ac:dyDescent="0.15">
      <c r="A68" s="2352" t="s">
        <v>184</v>
      </c>
      <c r="B68" s="2353"/>
      <c r="C68" s="2353"/>
      <c r="D68" s="2353"/>
      <c r="E68" s="2353"/>
    </row>
    <row r="69" spans="1:5" ht="15.75" customHeight="1" x14ac:dyDescent="0.15">
      <c r="A69" s="2352" t="s">
        <v>199</v>
      </c>
      <c r="B69" s="2353"/>
      <c r="C69" s="2353"/>
      <c r="D69" s="2353"/>
      <c r="E69" s="2353"/>
    </row>
    <row r="70" spans="1:5" x14ac:dyDescent="0.15">
      <c r="A70" s="126"/>
      <c r="B70" s="126"/>
      <c r="C70" s="126"/>
      <c r="D70" s="126"/>
      <c r="E70" s="126"/>
    </row>
  </sheetData>
  <mergeCells count="13">
    <mergeCell ref="A69:E69"/>
    <mergeCell ref="A53:A57"/>
    <mergeCell ref="A58:A59"/>
    <mergeCell ref="A61:A64"/>
    <mergeCell ref="A66:E66"/>
    <mergeCell ref="A67:E67"/>
    <mergeCell ref="A68:E68"/>
    <mergeCell ref="A41:A51"/>
    <mergeCell ref="A2:E2"/>
    <mergeCell ref="A5:A14"/>
    <mergeCell ref="A15:A33"/>
    <mergeCell ref="A34:A35"/>
    <mergeCell ref="A36:A4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dimension ref="A1:H11"/>
  <sheetViews>
    <sheetView zoomScaleNormal="100" workbookViewId="0">
      <selection activeCell="F37" sqref="F37"/>
    </sheetView>
  </sheetViews>
  <sheetFormatPr baseColWidth="10" defaultRowHeight="11.25" x14ac:dyDescent="0.15"/>
  <cols>
    <col min="1" max="1" width="11.42578125" style="1431"/>
    <col min="2" max="6" width="12.5703125" style="1431" bestFit="1" customWidth="1"/>
    <col min="7" max="16384" width="11.42578125" style="1431"/>
  </cols>
  <sheetData>
    <row r="1" spans="1:8" ht="15" customHeight="1" x14ac:dyDescent="0.15">
      <c r="A1" s="1408"/>
      <c r="G1" s="1456"/>
    </row>
    <row r="2" spans="1:8" s="1065" customFormat="1" ht="28.5" customHeight="1" x14ac:dyDescent="0.15">
      <c r="A2" s="2631" t="s">
        <v>3079</v>
      </c>
      <c r="B2" s="2631"/>
      <c r="C2" s="2631"/>
      <c r="D2" s="2631"/>
      <c r="E2" s="2631"/>
      <c r="F2" s="2631"/>
      <c r="G2" s="1457"/>
      <c r="H2" s="1457"/>
    </row>
    <row r="3" spans="1:8" s="1065" customFormat="1" ht="11.25" customHeight="1" x14ac:dyDescent="0.15">
      <c r="A3" s="1432"/>
      <c r="B3" s="1432"/>
      <c r="C3" s="1432"/>
      <c r="D3" s="1432"/>
      <c r="E3" s="1447"/>
      <c r="F3" s="1458"/>
      <c r="G3" s="1457"/>
      <c r="H3" s="1457"/>
    </row>
    <row r="4" spans="1:8" s="1065" customFormat="1" ht="15" customHeight="1" x14ac:dyDescent="0.15">
      <c r="A4" s="3303" t="s">
        <v>141</v>
      </c>
      <c r="B4" s="3298" t="s">
        <v>3080</v>
      </c>
      <c r="C4" s="3298"/>
      <c r="D4" s="3298"/>
      <c r="E4" s="3298"/>
      <c r="F4" s="3298"/>
      <c r="G4" s="1457"/>
      <c r="H4" s="1457"/>
    </row>
    <row r="5" spans="1:8" s="1065" customFormat="1" ht="15" customHeight="1" x14ac:dyDescent="0.15">
      <c r="A5" s="2887"/>
      <c r="B5" s="1459">
        <v>2011</v>
      </c>
      <c r="C5" s="1459">
        <v>2012</v>
      </c>
      <c r="D5" s="1459">
        <v>2013</v>
      </c>
      <c r="E5" s="1459">
        <v>2014</v>
      </c>
      <c r="F5" s="1459">
        <v>2015</v>
      </c>
      <c r="G5" s="1460"/>
      <c r="H5" s="1460"/>
    </row>
    <row r="6" spans="1:8" s="1065" customFormat="1" ht="33" customHeight="1" x14ac:dyDescent="0.15">
      <c r="A6" s="1461" t="s">
        <v>3081</v>
      </c>
      <c r="B6" s="1462">
        <v>1755028</v>
      </c>
      <c r="C6" s="1462">
        <v>1885140</v>
      </c>
      <c r="D6" s="1462">
        <v>2010682</v>
      </c>
      <c r="E6" s="1462">
        <v>2174431</v>
      </c>
      <c r="F6" s="1463">
        <v>2375497</v>
      </c>
    </row>
    <row r="7" spans="1:8" s="1065" customFormat="1" ht="11.25" customHeight="1" x14ac:dyDescent="0.15">
      <c r="A7" s="1461"/>
      <c r="B7" s="1464"/>
      <c r="C7" s="1464"/>
      <c r="D7" s="1464"/>
      <c r="E7" s="785"/>
      <c r="F7" s="1465"/>
    </row>
    <row r="8" spans="1:8" s="1065" customFormat="1" ht="15" customHeight="1" x14ac:dyDescent="0.15">
      <c r="A8" s="379" t="s">
        <v>3082</v>
      </c>
      <c r="B8" s="1466"/>
      <c r="C8" s="785"/>
      <c r="D8" s="785"/>
      <c r="E8" s="785"/>
      <c r="F8" s="380"/>
    </row>
    <row r="9" spans="1:8" s="1065" customFormat="1" x14ac:dyDescent="0.15">
      <c r="A9" s="1449"/>
    </row>
    <row r="10" spans="1:8" s="1065" customFormat="1" x14ac:dyDescent="0.15">
      <c r="A10" s="1449"/>
    </row>
    <row r="11" spans="1:8" s="1065" customFormat="1" x14ac:dyDescent="0.15">
      <c r="A11" s="1449"/>
    </row>
  </sheetData>
  <mergeCells count="3">
    <mergeCell ref="A2:F2"/>
    <mergeCell ref="A4:A5"/>
    <mergeCell ref="B4:F4"/>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1:F9"/>
  <sheetViews>
    <sheetView zoomScaleNormal="100" workbookViewId="0">
      <selection activeCell="F37" sqref="F37"/>
    </sheetView>
  </sheetViews>
  <sheetFormatPr baseColWidth="10" defaultRowHeight="11.25" x14ac:dyDescent="0.15"/>
  <cols>
    <col min="1" max="1" width="26.85546875" style="1431" customWidth="1"/>
    <col min="2" max="6" width="10.28515625" style="1431" customWidth="1"/>
    <col min="7" max="16384" width="11.42578125" style="1431"/>
  </cols>
  <sheetData>
    <row r="1" spans="1:6" ht="15" customHeight="1" x14ac:dyDescent="0.15">
      <c r="A1" s="1408"/>
    </row>
    <row r="2" spans="1:6" s="1065" customFormat="1" ht="42" customHeight="1" x14ac:dyDescent="0.15">
      <c r="A2" s="2631" t="s">
        <v>3083</v>
      </c>
      <c r="B2" s="2631"/>
      <c r="C2" s="2631"/>
      <c r="D2" s="2631"/>
      <c r="E2" s="2631"/>
      <c r="F2" s="2631"/>
    </row>
    <row r="3" spans="1:6" s="1065" customFormat="1" ht="11.25" customHeight="1" x14ac:dyDescent="0.15">
      <c r="A3" s="1432"/>
      <c r="B3" s="1432"/>
      <c r="C3" s="1432"/>
      <c r="D3" s="1432"/>
      <c r="E3" s="785"/>
      <c r="F3" s="1467"/>
    </row>
    <row r="4" spans="1:6" s="1065" customFormat="1" ht="15" customHeight="1" x14ac:dyDescent="0.15">
      <c r="A4" s="3303" t="s">
        <v>141</v>
      </c>
      <c r="B4" s="3304" t="s">
        <v>3084</v>
      </c>
      <c r="C4" s="3304"/>
      <c r="D4" s="3304"/>
      <c r="E4" s="3304"/>
      <c r="F4" s="3304"/>
    </row>
    <row r="5" spans="1:6" s="1065" customFormat="1" ht="15" customHeight="1" x14ac:dyDescent="0.15">
      <c r="A5" s="2887"/>
      <c r="B5" s="1468">
        <v>2011</v>
      </c>
      <c r="C5" s="1459">
        <v>2012</v>
      </c>
      <c r="D5" s="1468">
        <v>2013</v>
      </c>
      <c r="E5" s="1459">
        <v>2014</v>
      </c>
      <c r="F5" s="1459">
        <v>2015</v>
      </c>
    </row>
    <row r="6" spans="1:6" s="1065" customFormat="1" ht="15" customHeight="1" x14ac:dyDescent="0.15">
      <c r="A6" s="1469" t="s">
        <v>3085</v>
      </c>
      <c r="B6" s="1470">
        <v>0.116882128926429</v>
      </c>
      <c r="C6" s="1203">
        <v>0.12506909077074899</v>
      </c>
      <c r="D6" s="1471">
        <v>0.13102834626660601</v>
      </c>
      <c r="E6" s="1472">
        <v>0.13973704343958099</v>
      </c>
      <c r="F6" s="1472">
        <f>15.08/100</f>
        <v>0.15079999999999999</v>
      </c>
    </row>
    <row r="7" spans="1:6" s="1065" customFormat="1" ht="11.25" customHeight="1" x14ac:dyDescent="0.15">
      <c r="A7" s="1469"/>
      <c r="B7" s="1473"/>
      <c r="C7" s="1474"/>
      <c r="D7" s="1475"/>
      <c r="E7" s="1475"/>
      <c r="F7" s="1475"/>
    </row>
    <row r="8" spans="1:6" s="1065" customFormat="1" ht="25.5" customHeight="1" x14ac:dyDescent="0.15">
      <c r="A8" s="3305" t="s">
        <v>3086</v>
      </c>
      <c r="B8" s="3305"/>
      <c r="C8" s="3305"/>
      <c r="D8" s="3305"/>
      <c r="E8" s="3305"/>
      <c r="F8" s="3305"/>
    </row>
    <row r="9" spans="1:6" s="1065" customFormat="1" ht="15" customHeight="1" x14ac:dyDescent="0.15">
      <c r="F9" s="1067"/>
    </row>
  </sheetData>
  <mergeCells count="4">
    <mergeCell ref="A2:F2"/>
    <mergeCell ref="A4:A5"/>
    <mergeCell ref="B4:F4"/>
    <mergeCell ref="A8:F8"/>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AI67"/>
  <sheetViews>
    <sheetView zoomScaleNormal="100" workbookViewId="0">
      <selection sqref="A1:XFD1048576"/>
    </sheetView>
  </sheetViews>
  <sheetFormatPr baseColWidth="10" defaultRowHeight="10.5" x14ac:dyDescent="0.15"/>
  <cols>
    <col min="1" max="1" width="18.7109375" style="2137" customWidth="1"/>
    <col min="2" max="6" width="12.5703125" style="2137" customWidth="1"/>
    <col min="7" max="8" width="11.42578125" style="2137"/>
    <col min="9" max="9" width="19.5703125" style="2137" customWidth="1"/>
    <col min="10" max="16384" width="11.42578125" style="2137"/>
  </cols>
  <sheetData>
    <row r="1" spans="1:35" ht="15" customHeight="1" x14ac:dyDescent="0.15"/>
    <row r="2" spans="1:35" s="785" customFormat="1" ht="22.5" customHeight="1" x14ac:dyDescent="0.15">
      <c r="A2" s="3306" t="s">
        <v>3087</v>
      </c>
      <c r="B2" s="3306"/>
      <c r="C2" s="3306"/>
      <c r="D2" s="3306"/>
      <c r="E2" s="3306"/>
      <c r="F2" s="3306"/>
      <c r="G2" s="2237"/>
      <c r="H2" s="2237"/>
      <c r="I2" s="2237"/>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row>
    <row r="3" spans="1:35" s="785" customFormat="1" ht="15" customHeight="1" x14ac:dyDescent="0.15">
      <c r="A3" s="3307"/>
      <c r="B3" s="2501"/>
      <c r="C3" s="2099"/>
      <c r="D3" s="2099"/>
      <c r="E3" s="2099"/>
      <c r="F3" s="2099"/>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2"/>
      <c r="AH3" s="1422"/>
      <c r="AI3" s="1422"/>
    </row>
    <row r="4" spans="1:35" s="785" customFormat="1" ht="24.75" customHeight="1" x14ac:dyDescent="0.15">
      <c r="A4" s="3308" t="s">
        <v>3088</v>
      </c>
      <c r="B4" s="3309" t="s">
        <v>3089</v>
      </c>
      <c r="C4" s="3310"/>
      <c r="D4" s="3310"/>
      <c r="E4" s="3310"/>
      <c r="F4" s="3311"/>
      <c r="G4" s="2238"/>
      <c r="H4" s="2238"/>
      <c r="I4" s="2238"/>
      <c r="J4" s="2238"/>
      <c r="K4" s="1422"/>
      <c r="L4" s="1422"/>
      <c r="M4" s="1422"/>
      <c r="N4" s="1422"/>
      <c r="O4" s="1422"/>
      <c r="P4" s="1422"/>
      <c r="Q4" s="1422"/>
      <c r="R4" s="1422"/>
      <c r="S4" s="1422"/>
      <c r="T4" s="1422"/>
      <c r="U4" s="1422"/>
      <c r="V4" s="1422"/>
      <c r="W4" s="1422"/>
      <c r="X4" s="1422"/>
      <c r="Y4" s="1422"/>
      <c r="Z4" s="1422"/>
      <c r="AA4" s="1422"/>
      <c r="AB4" s="1422"/>
      <c r="AC4" s="1422"/>
      <c r="AD4" s="1422"/>
      <c r="AE4" s="1422"/>
      <c r="AF4" s="1422"/>
      <c r="AG4" s="1422"/>
      <c r="AH4" s="1422"/>
      <c r="AI4" s="1422"/>
    </row>
    <row r="5" spans="1:35" s="785" customFormat="1" ht="29.25" customHeight="1" x14ac:dyDescent="0.15">
      <c r="A5" s="3308"/>
      <c r="B5" s="1476" t="s">
        <v>3090</v>
      </c>
      <c r="C5" s="1476" t="s">
        <v>3091</v>
      </c>
      <c r="D5" s="1476" t="s">
        <v>3092</v>
      </c>
      <c r="E5" s="1476" t="s">
        <v>3093</v>
      </c>
      <c r="F5" s="1476" t="s">
        <v>3094</v>
      </c>
      <c r="G5" s="2239"/>
      <c r="H5" s="2239"/>
      <c r="I5" s="2239"/>
      <c r="J5" s="2239"/>
      <c r="K5" s="2239"/>
      <c r="L5" s="1422"/>
      <c r="M5" s="1422"/>
      <c r="N5" s="1422"/>
      <c r="O5" s="1422"/>
      <c r="P5" s="1422"/>
      <c r="Q5" s="1422"/>
      <c r="R5" s="1422"/>
      <c r="S5" s="1422"/>
      <c r="T5" s="1422"/>
      <c r="U5" s="1422"/>
      <c r="V5" s="1422"/>
      <c r="W5" s="1422"/>
      <c r="X5" s="1422"/>
      <c r="Y5" s="1422"/>
      <c r="Z5" s="1422"/>
      <c r="AA5" s="1422"/>
      <c r="AB5" s="1422"/>
      <c r="AC5" s="1422"/>
      <c r="AD5" s="1422"/>
      <c r="AE5" s="1422"/>
      <c r="AF5" s="1422"/>
      <c r="AG5" s="1422"/>
      <c r="AH5" s="1422"/>
      <c r="AI5" s="1422"/>
    </row>
    <row r="6" spans="1:35" s="785" customFormat="1" ht="12.75" customHeight="1" x14ac:dyDescent="0.15">
      <c r="A6" s="1477" t="s">
        <v>3095</v>
      </c>
      <c r="B6" s="1294">
        <v>105.503</v>
      </c>
      <c r="C6" s="1294">
        <v>122.089</v>
      </c>
      <c r="D6" s="1294">
        <v>137.38999999999999</v>
      </c>
      <c r="E6" s="1294">
        <v>141.23400000000001</v>
      </c>
      <c r="F6" s="1478">
        <v>142.089</v>
      </c>
      <c r="G6" s="2239"/>
      <c r="H6" s="2239"/>
      <c r="I6" s="2239"/>
      <c r="J6" s="2239"/>
      <c r="K6" s="2239"/>
      <c r="L6" s="1422"/>
      <c r="M6" s="1422"/>
      <c r="N6" s="1422"/>
      <c r="O6" s="1422"/>
      <c r="P6" s="1422"/>
      <c r="Q6" s="1422"/>
      <c r="R6" s="1422"/>
      <c r="S6" s="1422"/>
      <c r="T6" s="1422"/>
      <c r="U6" s="1422"/>
      <c r="V6" s="1422"/>
      <c r="W6" s="1422"/>
      <c r="X6" s="1422"/>
      <c r="Y6" s="1422"/>
      <c r="Z6" s="1422"/>
      <c r="AA6" s="1422"/>
      <c r="AB6" s="1422"/>
      <c r="AC6" s="1422"/>
      <c r="AD6" s="1422"/>
      <c r="AE6" s="1422"/>
      <c r="AF6" s="1422"/>
      <c r="AG6" s="1422"/>
      <c r="AH6" s="1422"/>
      <c r="AI6" s="1422"/>
    </row>
    <row r="7" spans="1:35" s="785" customFormat="1" ht="12.75" customHeight="1" x14ac:dyDescent="0.15">
      <c r="A7" s="1477" t="s">
        <v>3096</v>
      </c>
      <c r="B7" s="1294">
        <v>61.921999999999997</v>
      </c>
      <c r="C7" s="1294">
        <v>76.358000000000004</v>
      </c>
      <c r="D7" s="1294">
        <v>88.712999999999994</v>
      </c>
      <c r="E7" s="1294">
        <v>92.4</v>
      </c>
      <c r="F7" s="1478">
        <v>95.301999999999992</v>
      </c>
      <c r="G7" s="2239"/>
      <c r="H7" s="2239"/>
      <c r="I7" s="2239"/>
      <c r="J7" s="2239"/>
      <c r="K7" s="2239"/>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row>
    <row r="8" spans="1:35" s="785" customFormat="1" ht="12.75" customHeight="1" x14ac:dyDescent="0.15">
      <c r="A8" s="1477" t="s">
        <v>3097</v>
      </c>
      <c r="B8" s="1294">
        <v>44.647999999999996</v>
      </c>
      <c r="C8" s="1294">
        <v>58.575000000000003</v>
      </c>
      <c r="D8" s="1294">
        <v>79.87700000000001</v>
      </c>
      <c r="E8" s="1294">
        <v>88.907000000000011</v>
      </c>
      <c r="F8" s="1478">
        <v>98.100999999999999</v>
      </c>
      <c r="G8" s="2239"/>
      <c r="H8" s="2239"/>
      <c r="I8" s="2239"/>
      <c r="J8" s="2239"/>
      <c r="K8" s="2239"/>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row>
    <row r="9" spans="1:35" s="785" customFormat="1" ht="12.75" customHeight="1" x14ac:dyDescent="0.15">
      <c r="A9" s="1477" t="s">
        <v>3098</v>
      </c>
      <c r="B9" s="1294">
        <v>62.968000000000004</v>
      </c>
      <c r="C9" s="1294">
        <v>73.349000000000004</v>
      </c>
      <c r="D9" s="1294">
        <v>83.097000000000008</v>
      </c>
      <c r="E9" s="1294">
        <v>88.897999999999996</v>
      </c>
      <c r="F9" s="1478">
        <v>90.367999999999995</v>
      </c>
      <c r="G9" s="2239"/>
      <c r="H9" s="2239"/>
      <c r="I9" s="2239"/>
      <c r="J9" s="2239"/>
      <c r="K9" s="2239"/>
      <c r="L9" s="1422"/>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row>
    <row r="10" spans="1:35" s="785" customFormat="1" ht="12.75" customHeight="1" x14ac:dyDescent="0.15">
      <c r="A10" s="1479" t="s">
        <v>3099</v>
      </c>
      <c r="B10" s="1480">
        <v>24.681774632973159</v>
      </c>
      <c r="C10" s="1480">
        <v>35.18245869227669</v>
      </c>
      <c r="D10" s="1480">
        <v>44.126111005591603</v>
      </c>
      <c r="E10" s="1480">
        <v>57.215088767748703</v>
      </c>
      <c r="F10" s="1481">
        <v>67.461718735284137</v>
      </c>
      <c r="G10" s="2239"/>
      <c r="H10" s="2239"/>
      <c r="I10" s="2239"/>
      <c r="J10" s="2239"/>
      <c r="K10" s="2239"/>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row>
    <row r="11" spans="1:35" s="785" customFormat="1" ht="12.75" customHeight="1" x14ac:dyDescent="0.15">
      <c r="A11" s="1477" t="s">
        <v>3100</v>
      </c>
      <c r="B11" s="1294">
        <v>54.826999999999998</v>
      </c>
      <c r="C11" s="1294">
        <v>65.579000000000008</v>
      </c>
      <c r="D11" s="1294">
        <v>76.638999999999996</v>
      </c>
      <c r="E11" s="1294">
        <v>89.917000000000002</v>
      </c>
      <c r="F11" s="1478">
        <v>98.281000000000006</v>
      </c>
      <c r="G11" s="2239"/>
      <c r="H11" s="2239"/>
      <c r="I11" s="2239"/>
      <c r="J11" s="2239"/>
      <c r="K11" s="2239"/>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row>
    <row r="12" spans="1:35" s="785" customFormat="1" ht="12.75" customHeight="1" x14ac:dyDescent="0.15">
      <c r="A12" s="1477" t="s">
        <v>3101</v>
      </c>
      <c r="B12" s="1294">
        <v>114.68</v>
      </c>
      <c r="C12" s="1294">
        <v>129.72399999999999</v>
      </c>
      <c r="D12" s="1294">
        <v>137.87899999999999</v>
      </c>
      <c r="E12" s="1294">
        <v>146.404</v>
      </c>
      <c r="F12" s="1478">
        <v>154.405</v>
      </c>
      <c r="G12" s="2239"/>
      <c r="H12" s="2239"/>
      <c r="I12" s="2239"/>
      <c r="J12" s="2239"/>
      <c r="K12" s="2239"/>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row>
    <row r="13" spans="1:35" s="785" customFormat="1" ht="12.75" customHeight="1" x14ac:dyDescent="0.15">
      <c r="A13" s="1477" t="s">
        <v>3102</v>
      </c>
      <c r="B13" s="1294">
        <v>59.759</v>
      </c>
      <c r="C13" s="1294">
        <v>86.97</v>
      </c>
      <c r="D13" s="1294">
        <v>113.911</v>
      </c>
      <c r="E13" s="1294">
        <v>124.46499999999999</v>
      </c>
      <c r="F13" s="1478">
        <v>132.857</v>
      </c>
      <c r="G13" s="2239"/>
      <c r="H13" s="2239"/>
      <c r="I13" s="2239"/>
      <c r="J13" s="2239"/>
      <c r="K13" s="2239"/>
      <c r="L13" s="1422"/>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row>
    <row r="14" spans="1:35" s="785" customFormat="1" ht="12.75" customHeight="1" x14ac:dyDescent="0.15">
      <c r="A14" s="1477" t="s">
        <v>3103</v>
      </c>
      <c r="B14" s="1294">
        <v>112.173</v>
      </c>
      <c r="C14" s="1294">
        <v>128.46199999999999</v>
      </c>
      <c r="D14" s="1294">
        <v>145.64499999999998</v>
      </c>
      <c r="E14" s="1294">
        <v>162.98399999999998</v>
      </c>
      <c r="F14" s="1478">
        <v>170.46199999999999</v>
      </c>
      <c r="G14" s="2239"/>
      <c r="H14" s="2239"/>
      <c r="I14" s="2239"/>
      <c r="J14" s="2239"/>
      <c r="K14" s="2239"/>
      <c r="L14" s="1422"/>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row>
    <row r="15" spans="1:35" s="785" customFormat="1" ht="12.75" customHeight="1" x14ac:dyDescent="0.15">
      <c r="A15" s="1477" t="s">
        <v>3104</v>
      </c>
      <c r="B15" s="1294">
        <v>72.61699999999999</v>
      </c>
      <c r="C15" s="1294">
        <v>82.043000000000006</v>
      </c>
      <c r="D15" s="1294">
        <v>89.811000000000007</v>
      </c>
      <c r="E15" s="1294">
        <v>98.462999999999994</v>
      </c>
      <c r="F15" s="1478">
        <v>108.175</v>
      </c>
      <c r="G15" s="2239"/>
      <c r="H15" s="2239"/>
      <c r="I15" s="2239"/>
      <c r="J15" s="2239"/>
      <c r="K15" s="2239"/>
      <c r="L15" s="1422"/>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row>
    <row r="16" spans="1:35" s="785" customFormat="1" ht="12.75" customHeight="1" x14ac:dyDescent="0.15">
      <c r="A16" s="1477" t="s">
        <v>3105</v>
      </c>
      <c r="B16" s="1294">
        <v>61.756</v>
      </c>
      <c r="C16" s="1294">
        <v>72.53</v>
      </c>
      <c r="D16" s="1294">
        <v>77.614999999999995</v>
      </c>
      <c r="E16" s="1294">
        <v>98.524000000000001</v>
      </c>
      <c r="F16" s="1478">
        <v>101.97799999999999</v>
      </c>
      <c r="G16" s="2239"/>
      <c r="H16" s="2239"/>
      <c r="I16" s="2239"/>
      <c r="J16" s="2239"/>
      <c r="K16" s="2239"/>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row>
    <row r="17" spans="1:35" s="785" customFormat="1" ht="12.75" customHeight="1" x14ac:dyDescent="0.15">
      <c r="A17" s="1477" t="s">
        <v>3106</v>
      </c>
      <c r="B17" s="1294">
        <v>51.721000000000004</v>
      </c>
      <c r="C17" s="1294">
        <v>63.282000000000004</v>
      </c>
      <c r="D17" s="1294">
        <v>72.222999999999999</v>
      </c>
      <c r="E17" s="1294">
        <v>66.224000000000004</v>
      </c>
      <c r="F17" s="1478">
        <v>74.302999999999997</v>
      </c>
      <c r="G17" s="2239"/>
      <c r="H17" s="2239"/>
      <c r="I17" s="2239"/>
      <c r="J17" s="2239"/>
      <c r="K17" s="2239"/>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row>
    <row r="18" spans="1:35" s="785" customFormat="1" ht="12.75" customHeight="1" x14ac:dyDescent="0.15">
      <c r="A18" s="1477" t="s">
        <v>3107</v>
      </c>
      <c r="B18" s="1294">
        <v>36.718999999999994</v>
      </c>
      <c r="C18" s="1294">
        <v>41.039000000000001</v>
      </c>
      <c r="D18" s="1294">
        <v>48.683</v>
      </c>
      <c r="E18" s="1294">
        <v>56.745000000000005</v>
      </c>
      <c r="F18" s="1478">
        <v>61.286000000000001</v>
      </c>
      <c r="G18" s="2239"/>
      <c r="H18" s="2239"/>
      <c r="I18" s="2239"/>
      <c r="J18" s="2239"/>
      <c r="K18" s="2239"/>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row>
    <row r="19" spans="1:35" s="785" customFormat="1" ht="12.75" customHeight="1" x14ac:dyDescent="0.15">
      <c r="A19" s="1477" t="s">
        <v>3108</v>
      </c>
      <c r="B19" s="1294">
        <v>87.741</v>
      </c>
      <c r="C19" s="1294">
        <v>98.965999999999994</v>
      </c>
      <c r="D19" s="1294">
        <v>109.84399999999999</v>
      </c>
      <c r="E19" s="1294">
        <v>121.077</v>
      </c>
      <c r="F19" s="1478">
        <v>129.56700000000001</v>
      </c>
      <c r="G19" s="2239"/>
      <c r="H19" s="2239"/>
      <c r="I19" s="2239"/>
      <c r="J19" s="2239"/>
      <c r="K19" s="2239"/>
      <c r="L19" s="1422"/>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row>
    <row r="20" spans="1:35" s="785" customFormat="1" ht="12.75" customHeight="1" x14ac:dyDescent="0.15">
      <c r="A20" s="1477" t="s">
        <v>3109</v>
      </c>
      <c r="B20" s="1294">
        <v>74.323000000000008</v>
      </c>
      <c r="C20" s="1294">
        <v>84.266999999999996</v>
      </c>
      <c r="D20" s="1294">
        <v>89.652000000000001</v>
      </c>
      <c r="E20" s="1294">
        <v>97.962999999999994</v>
      </c>
      <c r="F20" s="1478">
        <v>114.59399999999999</v>
      </c>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row>
    <row r="21" spans="1:35" s="785" customFormat="1" ht="12.75" customHeight="1" x14ac:dyDescent="0.15">
      <c r="A21" s="1477" t="s">
        <v>3110</v>
      </c>
      <c r="B21" s="1294">
        <v>64.5</v>
      </c>
      <c r="C21" s="1294">
        <v>76.451999999999998</v>
      </c>
      <c r="D21" s="1294">
        <v>76.311999999999998</v>
      </c>
      <c r="E21" s="1294">
        <v>76.067000000000007</v>
      </c>
      <c r="F21" s="1478">
        <v>75.769000000000005</v>
      </c>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row>
    <row r="22" spans="1:35" s="785" customFormat="1" ht="12.75" customHeight="1" x14ac:dyDescent="0.15">
      <c r="A22" s="1477" t="s">
        <v>3111</v>
      </c>
      <c r="B22" s="1294">
        <v>63.119</v>
      </c>
      <c r="C22" s="1294">
        <v>67.094999999999999</v>
      </c>
      <c r="D22" s="1294">
        <v>75.858999999999995</v>
      </c>
      <c r="E22" s="1294">
        <v>89.828000000000003</v>
      </c>
      <c r="F22" s="1478">
        <v>99.426999999999992</v>
      </c>
      <c r="G22" s="1422"/>
      <c r="H22" s="1422"/>
      <c r="I22" s="1422"/>
      <c r="J22" s="1422"/>
      <c r="K22" s="1422"/>
      <c r="L22" s="1422"/>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row>
    <row r="23" spans="1:35" s="785" customFormat="1" ht="12.75" customHeight="1" x14ac:dyDescent="0.15">
      <c r="A23" s="1477" t="s">
        <v>3112</v>
      </c>
      <c r="B23" s="1294">
        <v>106.46599999999999</v>
      </c>
      <c r="C23" s="1294">
        <v>111.593</v>
      </c>
      <c r="D23" s="1294">
        <v>136.44399999999999</v>
      </c>
      <c r="E23" s="1294">
        <v>144.63900000000001</v>
      </c>
      <c r="F23" s="1478">
        <v>159.77199999999999</v>
      </c>
      <c r="G23" s="1422"/>
      <c r="H23" s="1422"/>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row>
    <row r="24" spans="1:35" s="785" customFormat="1" ht="12.75" customHeight="1" x14ac:dyDescent="0.15">
      <c r="A24" s="1477" t="s">
        <v>3113</v>
      </c>
      <c r="B24" s="1294">
        <v>133.87199999999999</v>
      </c>
      <c r="C24" s="1294">
        <v>138.30500000000001</v>
      </c>
      <c r="D24" s="1294">
        <v>139.96</v>
      </c>
      <c r="E24" s="1294">
        <v>142.571</v>
      </c>
      <c r="F24" s="1478">
        <v>145.13400000000001</v>
      </c>
      <c r="G24" s="1422"/>
      <c r="H24" s="1422"/>
      <c r="I24" s="1422"/>
      <c r="J24" s="1422"/>
      <c r="K24" s="1422"/>
      <c r="L24" s="1422"/>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row>
    <row r="25" spans="1:35" s="785" customFormat="1" ht="12.75" customHeight="1" x14ac:dyDescent="0.15">
      <c r="A25" s="1477" t="s">
        <v>3114</v>
      </c>
      <c r="B25" s="1294">
        <v>86.170999999999992</v>
      </c>
      <c r="C25" s="1294">
        <v>96.54</v>
      </c>
      <c r="D25" s="1294">
        <v>114.68199999999999</v>
      </c>
      <c r="E25" s="1294">
        <v>121.071</v>
      </c>
      <c r="F25" s="1478">
        <v>119.32300000000001</v>
      </c>
    </row>
    <row r="26" spans="1:35" s="785" customFormat="1" ht="12.75" customHeight="1" x14ac:dyDescent="0.15">
      <c r="A26" s="1477" t="s">
        <v>3115</v>
      </c>
      <c r="B26" s="1294">
        <v>17.934000000000001</v>
      </c>
      <c r="C26" s="1294">
        <v>26.749000000000002</v>
      </c>
      <c r="D26" s="1294">
        <v>33.846000000000004</v>
      </c>
      <c r="E26" s="1294">
        <v>45.242999999999995</v>
      </c>
      <c r="F26" s="1478">
        <v>56.727000000000004</v>
      </c>
    </row>
    <row r="27" spans="1:35" s="785" customFormat="1" ht="12.75" customHeight="1" x14ac:dyDescent="0.15">
      <c r="A27" s="1477" t="s">
        <v>3116</v>
      </c>
      <c r="B27" s="1294">
        <v>84.552999999999997</v>
      </c>
      <c r="C27" s="1294">
        <v>97.846000000000004</v>
      </c>
      <c r="D27" s="1294">
        <v>105.96000000000001</v>
      </c>
      <c r="E27" s="1294">
        <v>107.977</v>
      </c>
      <c r="F27" s="1478">
        <v>116.337</v>
      </c>
    </row>
    <row r="28" spans="1:35" s="785" customFormat="1" ht="12.75" customHeight="1" x14ac:dyDescent="0.15">
      <c r="A28" s="1477" t="s">
        <v>3117</v>
      </c>
      <c r="B28" s="1294">
        <v>80.450999999999993</v>
      </c>
      <c r="C28" s="1294">
        <v>94.728000000000009</v>
      </c>
      <c r="D28" s="1294">
        <v>112.61</v>
      </c>
      <c r="E28" s="1294">
        <v>126.226</v>
      </c>
      <c r="F28" s="1478">
        <v>150.24799999999999</v>
      </c>
    </row>
    <row r="29" spans="1:35" ht="12.75" customHeight="1" x14ac:dyDescent="0.15">
      <c r="A29" s="1477" t="s">
        <v>3118</v>
      </c>
      <c r="B29" s="1294">
        <v>110.505</v>
      </c>
      <c r="C29" s="1294">
        <v>112.80199999999999</v>
      </c>
      <c r="D29" s="1294">
        <v>118.684</v>
      </c>
      <c r="E29" s="1294">
        <v>126.26400000000001</v>
      </c>
      <c r="F29" s="1478">
        <v>131.88800000000001</v>
      </c>
    </row>
    <row r="30" spans="1:35" ht="12.75" customHeight="1" x14ac:dyDescent="0.15">
      <c r="A30" s="1477" t="s">
        <v>3119</v>
      </c>
      <c r="B30" s="1294">
        <v>64.673000000000002</v>
      </c>
      <c r="C30" s="1294">
        <v>72.066000000000003</v>
      </c>
      <c r="D30" s="1294">
        <v>71.097999999999999</v>
      </c>
      <c r="E30" s="1294">
        <v>68.825999999999993</v>
      </c>
      <c r="F30" s="1478">
        <v>75.926000000000002</v>
      </c>
    </row>
    <row r="31" spans="1:35" ht="12.75" customHeight="1" x14ac:dyDescent="0.15">
      <c r="A31" s="1477" t="s">
        <v>3120</v>
      </c>
      <c r="B31" s="1294">
        <v>44.656000000000006</v>
      </c>
      <c r="C31" s="1294">
        <v>48.962999999999994</v>
      </c>
      <c r="D31" s="1294">
        <v>55.638000000000005</v>
      </c>
      <c r="E31" s="1294">
        <v>63.040999999999997</v>
      </c>
      <c r="F31" s="1478">
        <v>74.766999999999996</v>
      </c>
    </row>
    <row r="32" spans="1:35" ht="12.75" customHeight="1" x14ac:dyDescent="0.15">
      <c r="A32" s="1477" t="s">
        <v>3121</v>
      </c>
      <c r="B32" s="1294">
        <v>38.450000000000003</v>
      </c>
      <c r="C32" s="1294">
        <v>50.835999999999999</v>
      </c>
      <c r="D32" s="1294">
        <v>60.801999999999992</v>
      </c>
      <c r="E32" s="1294">
        <v>77.215999999999994</v>
      </c>
      <c r="F32" s="1478">
        <v>98.860000000000014</v>
      </c>
    </row>
    <row r="33" spans="1:28" ht="12.75" customHeight="1" x14ac:dyDescent="0.15">
      <c r="A33" s="1477" t="s">
        <v>3122</v>
      </c>
      <c r="B33" s="1294">
        <v>48.844000000000001</v>
      </c>
      <c r="C33" s="1294">
        <v>56.592999999999996</v>
      </c>
      <c r="D33" s="1294">
        <v>62.209000000000003</v>
      </c>
      <c r="E33" s="1294">
        <v>69.887</v>
      </c>
      <c r="F33" s="1478">
        <v>76.766999999999996</v>
      </c>
    </row>
    <row r="34" spans="1:28" ht="12.75" customHeight="1" x14ac:dyDescent="0.15">
      <c r="A34" s="1477" t="s">
        <v>3123</v>
      </c>
      <c r="B34" s="1294">
        <v>65.966999999999999</v>
      </c>
      <c r="C34" s="1294">
        <v>72.477000000000004</v>
      </c>
      <c r="D34" s="1294">
        <v>84.525000000000006</v>
      </c>
      <c r="E34" s="1294">
        <v>98.77600000000001</v>
      </c>
      <c r="F34" s="1478">
        <v>108.44199999999999</v>
      </c>
    </row>
    <row r="35" spans="1:28" ht="12.75" customHeight="1" x14ac:dyDescent="0.15">
      <c r="A35" s="1477" t="s">
        <v>3124</v>
      </c>
      <c r="B35" s="1294">
        <v>123.453</v>
      </c>
      <c r="C35" s="1294">
        <v>133.70999999999998</v>
      </c>
      <c r="D35" s="1294">
        <v>140.30100000000002</v>
      </c>
      <c r="E35" s="1294">
        <v>146.483</v>
      </c>
      <c r="F35" s="1478">
        <v>152.52500000000001</v>
      </c>
    </row>
    <row r="36" spans="1:28" ht="12.75" customHeight="1" x14ac:dyDescent="0.15">
      <c r="A36" s="1477" t="s">
        <v>3125</v>
      </c>
      <c r="B36" s="1294">
        <v>87.329000000000008</v>
      </c>
      <c r="C36" s="1294">
        <v>94.669999999999987</v>
      </c>
      <c r="D36" s="1294">
        <v>107.95099999999999</v>
      </c>
      <c r="E36" s="1294">
        <v>130.80000000000001</v>
      </c>
      <c r="F36" s="1478">
        <v>154.34800000000001</v>
      </c>
    </row>
    <row r="37" spans="1:28" ht="12.75" customHeight="1" x14ac:dyDescent="0.15">
      <c r="A37" s="1477" t="s">
        <v>3126</v>
      </c>
      <c r="B37" s="1294">
        <v>25.076999999999998</v>
      </c>
      <c r="C37" s="1294">
        <v>34.019999999999996</v>
      </c>
      <c r="D37" s="1294">
        <v>39.866999999999997</v>
      </c>
      <c r="E37" s="1294">
        <v>48.811</v>
      </c>
      <c r="F37" s="1478">
        <v>57.883000000000003</v>
      </c>
    </row>
    <row r="38" spans="1:28" ht="12.75" customHeight="1" x14ac:dyDescent="0.15">
      <c r="A38" s="1477" t="s">
        <v>3127</v>
      </c>
      <c r="B38" s="1294">
        <v>82.335000000000008</v>
      </c>
      <c r="C38" s="1294">
        <v>93.393000000000001</v>
      </c>
      <c r="D38" s="1294">
        <v>105.471</v>
      </c>
      <c r="E38" s="1294">
        <v>116.02199999999999</v>
      </c>
      <c r="F38" s="1478">
        <v>121.994</v>
      </c>
    </row>
    <row r="39" spans="1:28" ht="12.75" customHeight="1" x14ac:dyDescent="0.15">
      <c r="A39" s="1482" t="s">
        <v>3128</v>
      </c>
      <c r="B39" s="1294">
        <v>98.128000000000014</v>
      </c>
      <c r="C39" s="1294">
        <v>110.992</v>
      </c>
      <c r="D39" s="1294">
        <v>120.267</v>
      </c>
      <c r="E39" s="1294">
        <v>127.846</v>
      </c>
      <c r="F39" s="1478">
        <v>143.38200000000001</v>
      </c>
    </row>
    <row r="40" spans="1:28" x14ac:dyDescent="0.15">
      <c r="A40" s="2103"/>
      <c r="B40" s="2103"/>
      <c r="C40" s="2104"/>
      <c r="D40" s="2104"/>
      <c r="E40" s="2104"/>
      <c r="F40" s="2104"/>
    </row>
    <row r="41" spans="1:28" ht="88.5" customHeight="1" x14ac:dyDescent="0.15">
      <c r="A41" s="2535" t="s">
        <v>3129</v>
      </c>
      <c r="B41" s="2535"/>
      <c r="C41" s="2535"/>
      <c r="D41" s="2535"/>
      <c r="E41" s="2535"/>
      <c r="F41" s="2535"/>
    </row>
    <row r="42" spans="1:28" x14ac:dyDescent="0.15">
      <c r="A42" s="2544" t="s">
        <v>3130</v>
      </c>
      <c r="B42" s="2544"/>
      <c r="C42" s="2544"/>
      <c r="D42" s="2544"/>
      <c r="E42" s="2544"/>
      <c r="F42" s="2544"/>
    </row>
    <row r="43" spans="1:28" x14ac:dyDescent="0.15">
      <c r="A43" s="1204" t="s">
        <v>2454</v>
      </c>
      <c r="B43" s="1204"/>
      <c r="C43" s="1204"/>
      <c r="D43" s="1204"/>
      <c r="E43" s="1204"/>
      <c r="F43" s="1204"/>
    </row>
    <row r="44" spans="1:28" ht="12" customHeight="1" x14ac:dyDescent="0.15">
      <c r="C44" s="738"/>
      <c r="D44" s="738"/>
      <c r="E44" s="738"/>
      <c r="F44" s="738"/>
    </row>
    <row r="45" spans="1:28" x14ac:dyDescent="0.15">
      <c r="A45" s="1484"/>
      <c r="B45" s="1484"/>
      <c r="C45" s="1484"/>
      <c r="D45" s="1484"/>
      <c r="E45" s="1484"/>
      <c r="F45" s="1484"/>
    </row>
    <row r="47" spans="1:28" x14ac:dyDescent="0.15">
      <c r="A47" s="1483"/>
      <c r="B47" s="1483"/>
      <c r="C47" s="2240"/>
      <c r="D47" s="2240"/>
      <c r="E47" s="2240"/>
      <c r="F47" s="2240"/>
      <c r="G47" s="2240"/>
      <c r="H47" s="2240"/>
      <c r="I47" s="2240"/>
      <c r="J47" s="2240"/>
      <c r="K47" s="2240"/>
      <c r="L47" s="2240"/>
      <c r="M47" s="2240"/>
      <c r="N47" s="2240"/>
      <c r="O47" s="2240"/>
      <c r="P47" s="2240"/>
      <c r="Q47" s="2240"/>
      <c r="R47" s="2240"/>
      <c r="S47" s="2240"/>
      <c r="T47" s="2240"/>
      <c r="U47" s="2240"/>
      <c r="V47" s="2240"/>
      <c r="W47" s="2240"/>
      <c r="X47" s="1484"/>
      <c r="Y47" s="1484"/>
      <c r="Z47" s="1484"/>
      <c r="AA47" s="1484"/>
      <c r="AB47" s="1484"/>
    </row>
    <row r="48" spans="1:28" x14ac:dyDescent="0.15">
      <c r="A48" s="1484"/>
      <c r="B48" s="1484"/>
    </row>
    <row r="49" spans="1:13" x14ac:dyDescent="0.15">
      <c r="A49" s="1483"/>
      <c r="B49" s="1483"/>
      <c r="C49" s="2240"/>
      <c r="D49" s="2240"/>
      <c r="E49" s="2240"/>
      <c r="F49" s="2240"/>
      <c r="G49" s="2240"/>
      <c r="H49" s="2240"/>
      <c r="I49" s="2240"/>
      <c r="J49" s="2240"/>
      <c r="K49" s="2240"/>
      <c r="L49" s="1484"/>
      <c r="M49" s="1484"/>
    </row>
    <row r="64" spans="1:13" ht="10.5" customHeight="1" x14ac:dyDescent="0.15"/>
    <row r="65" ht="10.5" customHeight="1" x14ac:dyDescent="0.15"/>
    <row r="66" ht="10.5" customHeight="1" x14ac:dyDescent="0.15"/>
    <row r="67" ht="10.5" customHeight="1" x14ac:dyDescent="0.15"/>
  </sheetData>
  <mergeCells count="6">
    <mergeCell ref="A42:F42"/>
    <mergeCell ref="A2:F2"/>
    <mergeCell ref="A3:B3"/>
    <mergeCell ref="A4:A5"/>
    <mergeCell ref="B4:F4"/>
    <mergeCell ref="A41:F41"/>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K35"/>
  <sheetViews>
    <sheetView workbookViewId="0">
      <selection activeCell="E34" sqref="E34"/>
    </sheetView>
  </sheetViews>
  <sheetFormatPr baseColWidth="10" defaultColWidth="9.140625" defaultRowHeight="10.5" x14ac:dyDescent="0.15"/>
  <cols>
    <col min="1" max="1" width="28.7109375" style="97" customWidth="1"/>
    <col min="2" max="10" width="11.28515625" style="97" customWidth="1"/>
    <col min="11" max="11" width="45.7109375" style="97" customWidth="1"/>
    <col min="12" max="12" width="9.140625" style="97" customWidth="1"/>
    <col min="13" max="16384" width="9.140625" style="97"/>
  </cols>
  <sheetData>
    <row r="1" spans="1:11" ht="15" customHeight="1" x14ac:dyDescent="0.15"/>
    <row r="2" spans="1:11" x14ac:dyDescent="0.15">
      <c r="A2" s="2688" t="s">
        <v>3131</v>
      </c>
      <c r="B2" s="2688"/>
      <c r="C2" s="2688"/>
      <c r="D2" s="2688"/>
      <c r="E2" s="2688"/>
      <c r="F2" s="2688"/>
      <c r="G2" s="2688"/>
      <c r="H2" s="2354"/>
      <c r="I2" s="2354"/>
      <c r="J2" s="2354"/>
      <c r="K2" s="2354"/>
    </row>
    <row r="3" spans="1:11" x14ac:dyDescent="0.15">
      <c r="A3" s="3312"/>
      <c r="B3" s="3312"/>
      <c r="C3" s="3312"/>
      <c r="D3" s="3312"/>
      <c r="E3" s="3312"/>
      <c r="F3" s="3312"/>
      <c r="G3" s="3312"/>
      <c r="H3" s="3312"/>
      <c r="I3" s="3312"/>
      <c r="J3" s="3312"/>
      <c r="K3" s="3312"/>
    </row>
    <row r="4" spans="1:11" ht="15" customHeight="1" x14ac:dyDescent="0.15">
      <c r="A4" s="3313" t="s">
        <v>1</v>
      </c>
      <c r="B4" s="3314">
        <v>2013</v>
      </c>
      <c r="C4" s="3314"/>
      <c r="D4" s="3314"/>
      <c r="E4" s="3315">
        <v>2014</v>
      </c>
      <c r="F4" s="3315"/>
      <c r="G4" s="3315"/>
      <c r="H4" s="3315">
        <v>2015</v>
      </c>
      <c r="I4" s="3315"/>
      <c r="J4" s="3315"/>
      <c r="K4" s="3313" t="s">
        <v>3132</v>
      </c>
    </row>
    <row r="5" spans="1:11" ht="21" customHeight="1" x14ac:dyDescent="0.15">
      <c r="A5" s="3313"/>
      <c r="B5" s="3282" t="s">
        <v>69</v>
      </c>
      <c r="C5" s="3314" t="s">
        <v>3133</v>
      </c>
      <c r="D5" s="3314"/>
      <c r="E5" s="3282" t="s">
        <v>69</v>
      </c>
      <c r="F5" s="3314" t="s">
        <v>3133</v>
      </c>
      <c r="G5" s="3314"/>
      <c r="H5" s="3282" t="s">
        <v>69</v>
      </c>
      <c r="I5" s="3316" t="s">
        <v>3133</v>
      </c>
      <c r="J5" s="3316"/>
      <c r="K5" s="3313"/>
    </row>
    <row r="6" spans="1:11" x14ac:dyDescent="0.15">
      <c r="A6" s="3313"/>
      <c r="B6" s="3282"/>
      <c r="C6" s="1459" t="s">
        <v>3134</v>
      </c>
      <c r="D6" s="1459" t="s">
        <v>3135</v>
      </c>
      <c r="E6" s="3282"/>
      <c r="F6" s="1459" t="s">
        <v>3134</v>
      </c>
      <c r="G6" s="1459" t="s">
        <v>3135</v>
      </c>
      <c r="H6" s="3282"/>
      <c r="I6" s="1485" t="s">
        <v>359</v>
      </c>
      <c r="J6" s="1485" t="s">
        <v>360</v>
      </c>
      <c r="K6" s="3313"/>
    </row>
    <row r="7" spans="1:11" s="167" customFormat="1" x14ac:dyDescent="0.15">
      <c r="A7" s="146" t="s">
        <v>4</v>
      </c>
      <c r="B7" s="1486">
        <f>SUM(C7:D7)</f>
        <v>105070</v>
      </c>
      <c r="C7" s="1487">
        <f>SUM(C8:C23)</f>
        <v>46036</v>
      </c>
      <c r="D7" s="1487">
        <f>SUM(D8:D23)</f>
        <v>59034</v>
      </c>
      <c r="E7" s="1486">
        <f>SUM(F7:G7)</f>
        <v>89928</v>
      </c>
      <c r="F7" s="1487">
        <f>SUM(F8:F23)</f>
        <v>40361</v>
      </c>
      <c r="G7" s="1487">
        <f>SUM(G8:G23)</f>
        <v>49567</v>
      </c>
      <c r="H7" s="1486">
        <f>SUM(H8:H23)</f>
        <v>94334</v>
      </c>
      <c r="I7" s="1487">
        <f>SUM(I8:I23)</f>
        <v>51773</v>
      </c>
      <c r="J7" s="1487">
        <f>SUM(J8:J23)</f>
        <v>42561</v>
      </c>
      <c r="K7" s="1488"/>
    </row>
    <row r="8" spans="1:11" s="167" customFormat="1" x14ac:dyDescent="0.15">
      <c r="A8" s="476" t="s">
        <v>5</v>
      </c>
      <c r="B8" s="1486">
        <f t="shared" ref="B8:B23" si="0">SUM(C8:D8)</f>
        <v>3436</v>
      </c>
      <c r="C8" s="1489">
        <v>1652</v>
      </c>
      <c r="D8" s="1489">
        <v>1784</v>
      </c>
      <c r="E8" s="1486">
        <f t="shared" ref="E8:E23" si="1">SUM(F8:G8)</f>
        <v>2985</v>
      </c>
      <c r="F8" s="1489">
        <v>1542</v>
      </c>
      <c r="G8" s="1489">
        <v>1443</v>
      </c>
      <c r="H8" s="1486">
        <f>SUM(I8:J8)</f>
        <v>3228</v>
      </c>
      <c r="I8" s="1489">
        <v>1614</v>
      </c>
      <c r="J8" s="1489">
        <v>1614</v>
      </c>
      <c r="K8" s="1488" t="s">
        <v>3136</v>
      </c>
    </row>
    <row r="9" spans="1:11" s="167" customFormat="1" x14ac:dyDescent="0.15">
      <c r="A9" s="476" t="s">
        <v>6</v>
      </c>
      <c r="B9" s="1486">
        <f t="shared" si="0"/>
        <v>4183</v>
      </c>
      <c r="C9" s="1489">
        <v>2019</v>
      </c>
      <c r="D9" s="1489">
        <v>2164</v>
      </c>
      <c r="E9" s="1486">
        <f t="shared" si="1"/>
        <v>3555</v>
      </c>
      <c r="F9" s="1489">
        <v>1736</v>
      </c>
      <c r="G9" s="1489">
        <v>1819</v>
      </c>
      <c r="H9" s="1486">
        <f t="shared" ref="H9:H23" si="2">SUM(I9:J9)</f>
        <v>4014</v>
      </c>
      <c r="I9" s="1489">
        <v>2016</v>
      </c>
      <c r="J9" s="1489">
        <v>1998</v>
      </c>
      <c r="K9" s="1488" t="s">
        <v>3137</v>
      </c>
    </row>
    <row r="10" spans="1:11" s="167" customFormat="1" x14ac:dyDescent="0.15">
      <c r="A10" s="1490" t="s">
        <v>7</v>
      </c>
      <c r="B10" s="1486">
        <f t="shared" si="0"/>
        <v>2689</v>
      </c>
      <c r="C10" s="1489">
        <v>1300</v>
      </c>
      <c r="D10" s="1489">
        <v>1389</v>
      </c>
      <c r="E10" s="1486">
        <f t="shared" si="1"/>
        <v>2633</v>
      </c>
      <c r="F10" s="1489">
        <v>1316</v>
      </c>
      <c r="G10" s="1489">
        <v>1317</v>
      </c>
      <c r="H10" s="1486">
        <f t="shared" si="2"/>
        <v>3061</v>
      </c>
      <c r="I10" s="1489">
        <v>1595</v>
      </c>
      <c r="J10" s="1489">
        <v>1466</v>
      </c>
      <c r="K10" s="1488" t="s">
        <v>3138</v>
      </c>
    </row>
    <row r="11" spans="1:11" s="167" customFormat="1" x14ac:dyDescent="0.15">
      <c r="A11" s="476" t="s">
        <v>8</v>
      </c>
      <c r="B11" s="1486">
        <f t="shared" si="0"/>
        <v>2484</v>
      </c>
      <c r="C11" s="1489">
        <v>1131</v>
      </c>
      <c r="D11" s="1489">
        <v>1353</v>
      </c>
      <c r="E11" s="1486">
        <f t="shared" si="1"/>
        <v>2928</v>
      </c>
      <c r="F11" s="1489">
        <v>1369</v>
      </c>
      <c r="G11" s="1489">
        <v>1559</v>
      </c>
      <c r="H11" s="1486">
        <f t="shared" si="2"/>
        <v>3400</v>
      </c>
      <c r="I11" s="1489">
        <v>1847</v>
      </c>
      <c r="J11" s="1489">
        <v>1553</v>
      </c>
      <c r="K11" s="1488" t="s">
        <v>3139</v>
      </c>
    </row>
    <row r="12" spans="1:11" s="167" customFormat="1" x14ac:dyDescent="0.15">
      <c r="A12" s="476" t="s">
        <v>9</v>
      </c>
      <c r="B12" s="1486">
        <f t="shared" si="0"/>
        <v>2092</v>
      </c>
      <c r="C12" s="1489">
        <v>926</v>
      </c>
      <c r="D12" s="1489">
        <v>1166</v>
      </c>
      <c r="E12" s="1486">
        <f t="shared" si="1"/>
        <v>1414</v>
      </c>
      <c r="F12" s="1489">
        <v>618</v>
      </c>
      <c r="G12" s="1489">
        <v>796</v>
      </c>
      <c r="H12" s="1486">
        <f t="shared" si="2"/>
        <v>3295</v>
      </c>
      <c r="I12" s="1489">
        <v>1838</v>
      </c>
      <c r="J12" s="1489">
        <v>1457</v>
      </c>
      <c r="K12" s="1488" t="s">
        <v>3140</v>
      </c>
    </row>
    <row r="13" spans="1:11" s="167" customFormat="1" ht="11.25" x14ac:dyDescent="0.15">
      <c r="A13" s="476" t="s">
        <v>3141</v>
      </c>
      <c r="B13" s="1486">
        <f t="shared" si="0"/>
        <v>4979</v>
      </c>
      <c r="C13" s="1489">
        <v>2145</v>
      </c>
      <c r="D13" s="1489">
        <v>2834</v>
      </c>
      <c r="E13" s="1486">
        <f t="shared" si="1"/>
        <v>3237</v>
      </c>
      <c r="F13" s="1489">
        <v>1438</v>
      </c>
      <c r="G13" s="1489">
        <v>1799</v>
      </c>
      <c r="H13" s="1486">
        <f t="shared" si="2"/>
        <v>2733</v>
      </c>
      <c r="I13" s="1489">
        <v>1460</v>
      </c>
      <c r="J13" s="1489">
        <v>1273</v>
      </c>
      <c r="K13" s="1488" t="s">
        <v>3140</v>
      </c>
    </row>
    <row r="14" spans="1:11" s="167" customFormat="1" ht="11.25" x14ac:dyDescent="0.15">
      <c r="A14" s="476" t="s">
        <v>3142</v>
      </c>
      <c r="B14" s="1486">
        <f t="shared" si="0"/>
        <v>466</v>
      </c>
      <c r="C14" s="1489">
        <v>251</v>
      </c>
      <c r="D14" s="1489">
        <v>215</v>
      </c>
      <c r="E14" s="1486">
        <f t="shared" si="1"/>
        <v>352</v>
      </c>
      <c r="F14" s="1489">
        <v>179</v>
      </c>
      <c r="G14" s="1489">
        <v>173</v>
      </c>
      <c r="H14" s="1486">
        <f t="shared" si="2"/>
        <v>184</v>
      </c>
      <c r="I14" s="1489">
        <v>98</v>
      </c>
      <c r="J14" s="1489">
        <v>86</v>
      </c>
      <c r="K14" s="1488" t="s">
        <v>3143</v>
      </c>
    </row>
    <row r="15" spans="1:11" s="167" customFormat="1" x14ac:dyDescent="0.15">
      <c r="A15" s="476" t="s">
        <v>11</v>
      </c>
      <c r="B15" s="1486">
        <f t="shared" si="0"/>
        <v>24881</v>
      </c>
      <c r="C15" s="1489">
        <v>10372</v>
      </c>
      <c r="D15" s="1489">
        <v>14509</v>
      </c>
      <c r="E15" s="1486">
        <f t="shared" si="1"/>
        <v>21724</v>
      </c>
      <c r="F15" s="1489">
        <v>9291</v>
      </c>
      <c r="G15" s="1489">
        <v>12433</v>
      </c>
      <c r="H15" s="1486">
        <f t="shared" si="2"/>
        <v>20197</v>
      </c>
      <c r="I15" s="1489">
        <v>11629</v>
      </c>
      <c r="J15" s="1489">
        <v>8568</v>
      </c>
      <c r="K15" s="1488" t="s">
        <v>3140</v>
      </c>
    </row>
    <row r="16" spans="1:11" s="167" customFormat="1" x14ac:dyDescent="0.15">
      <c r="A16" s="476" t="s">
        <v>12</v>
      </c>
      <c r="B16" s="1486">
        <f t="shared" si="0"/>
        <v>2563</v>
      </c>
      <c r="C16" s="1489">
        <v>1125</v>
      </c>
      <c r="D16" s="1489">
        <v>1438</v>
      </c>
      <c r="E16" s="1486">
        <f t="shared" si="1"/>
        <v>1888</v>
      </c>
      <c r="F16" s="1489">
        <v>843</v>
      </c>
      <c r="G16" s="1489">
        <v>1045</v>
      </c>
      <c r="H16" s="1486">
        <f t="shared" si="2"/>
        <v>2337</v>
      </c>
      <c r="I16" s="1489">
        <v>1267</v>
      </c>
      <c r="J16" s="1489">
        <v>1070</v>
      </c>
      <c r="K16" s="1488" t="s">
        <v>3140</v>
      </c>
    </row>
    <row r="17" spans="1:11" s="167" customFormat="1" x14ac:dyDescent="0.15">
      <c r="A17" s="476" t="s">
        <v>13</v>
      </c>
      <c r="B17" s="1486">
        <f t="shared" si="0"/>
        <v>2465</v>
      </c>
      <c r="C17" s="1489">
        <v>1089</v>
      </c>
      <c r="D17" s="1489">
        <v>1376</v>
      </c>
      <c r="E17" s="1486">
        <f t="shared" si="1"/>
        <v>1919</v>
      </c>
      <c r="F17" s="1489">
        <v>843</v>
      </c>
      <c r="G17" s="1489">
        <v>1076</v>
      </c>
      <c r="H17" s="1486">
        <f t="shared" si="2"/>
        <v>2154</v>
      </c>
      <c r="I17" s="1489">
        <v>1191</v>
      </c>
      <c r="J17" s="1489">
        <v>963</v>
      </c>
      <c r="K17" s="1488" t="s">
        <v>3144</v>
      </c>
    </row>
    <row r="18" spans="1:11" s="167" customFormat="1" x14ac:dyDescent="0.15">
      <c r="A18" s="476" t="s">
        <v>14</v>
      </c>
      <c r="B18" s="1486">
        <f t="shared" si="0"/>
        <v>10303</v>
      </c>
      <c r="C18" s="1489">
        <v>4726</v>
      </c>
      <c r="D18" s="1489">
        <v>5577</v>
      </c>
      <c r="E18" s="1486">
        <f t="shared" si="1"/>
        <v>7807</v>
      </c>
      <c r="F18" s="1489">
        <v>3670</v>
      </c>
      <c r="G18" s="1489">
        <v>4137</v>
      </c>
      <c r="H18" s="1486">
        <f t="shared" si="2"/>
        <v>8119</v>
      </c>
      <c r="I18" s="1489">
        <v>4242</v>
      </c>
      <c r="J18" s="1489">
        <v>3877</v>
      </c>
      <c r="K18" s="1488" t="s">
        <v>3144</v>
      </c>
    </row>
    <row r="19" spans="1:11" s="167" customFormat="1" x14ac:dyDescent="0.15">
      <c r="A19" s="476" t="s">
        <v>15</v>
      </c>
      <c r="B19" s="1486">
        <f t="shared" si="0"/>
        <v>12984</v>
      </c>
      <c r="C19" s="1489">
        <v>5804</v>
      </c>
      <c r="D19" s="1489">
        <v>7180</v>
      </c>
      <c r="E19" s="1486">
        <f t="shared" si="1"/>
        <v>13283</v>
      </c>
      <c r="F19" s="1489">
        <v>6004</v>
      </c>
      <c r="G19" s="1489">
        <v>7279</v>
      </c>
      <c r="H19" s="1486">
        <f t="shared" si="2"/>
        <v>12807</v>
      </c>
      <c r="I19" s="1489">
        <v>7011</v>
      </c>
      <c r="J19" s="1489">
        <v>5796</v>
      </c>
      <c r="K19" s="1488" t="s">
        <v>3145</v>
      </c>
    </row>
    <row r="20" spans="1:11" s="167" customFormat="1" x14ac:dyDescent="0.15">
      <c r="A20" s="476" t="s">
        <v>16</v>
      </c>
      <c r="B20" s="1486">
        <f t="shared" si="0"/>
        <v>4481</v>
      </c>
      <c r="C20" s="1489">
        <v>1921</v>
      </c>
      <c r="D20" s="1489">
        <v>2560</v>
      </c>
      <c r="E20" s="1486">
        <f t="shared" si="1"/>
        <v>3868</v>
      </c>
      <c r="F20" s="1489">
        <v>1693</v>
      </c>
      <c r="G20" s="1489">
        <v>2175</v>
      </c>
      <c r="H20" s="1486">
        <f t="shared" si="2"/>
        <v>6032</v>
      </c>
      <c r="I20" s="1489">
        <v>3365</v>
      </c>
      <c r="J20" s="1489">
        <v>2667</v>
      </c>
      <c r="K20" s="1488" t="s">
        <v>3146</v>
      </c>
    </row>
    <row r="21" spans="1:11" s="167" customFormat="1" x14ac:dyDescent="0.15">
      <c r="A21" s="476" t="s">
        <v>17</v>
      </c>
      <c r="B21" s="1486">
        <f t="shared" si="0"/>
        <v>21791</v>
      </c>
      <c r="C21" s="1489">
        <v>9132</v>
      </c>
      <c r="D21" s="1489">
        <v>12659</v>
      </c>
      <c r="E21" s="1486">
        <f t="shared" si="1"/>
        <v>17846</v>
      </c>
      <c r="F21" s="1489">
        <v>7671</v>
      </c>
      <c r="G21" s="1489">
        <v>10175</v>
      </c>
      <c r="H21" s="1486">
        <f t="shared" si="2"/>
        <v>18175</v>
      </c>
      <c r="I21" s="1489">
        <v>10241</v>
      </c>
      <c r="J21" s="1489">
        <v>7934</v>
      </c>
      <c r="K21" s="1488" t="s">
        <v>3147</v>
      </c>
    </row>
    <row r="22" spans="1:11" s="167" customFormat="1" x14ac:dyDescent="0.15">
      <c r="A22" s="476" t="s">
        <v>18</v>
      </c>
      <c r="B22" s="1486">
        <f t="shared" si="0"/>
        <v>2807</v>
      </c>
      <c r="C22" s="1489">
        <v>1207</v>
      </c>
      <c r="D22" s="1489">
        <v>1600</v>
      </c>
      <c r="E22" s="1486">
        <f t="shared" si="1"/>
        <v>1788</v>
      </c>
      <c r="F22" s="1489">
        <v>807</v>
      </c>
      <c r="G22" s="1489">
        <v>981</v>
      </c>
      <c r="H22" s="1486">
        <f t="shared" si="2"/>
        <v>2315</v>
      </c>
      <c r="I22" s="1489">
        <v>1252</v>
      </c>
      <c r="J22" s="1489">
        <v>1063</v>
      </c>
      <c r="K22" s="1488" t="s">
        <v>3148</v>
      </c>
    </row>
    <row r="23" spans="1:11" s="167" customFormat="1" x14ac:dyDescent="0.15">
      <c r="A23" s="476" t="s">
        <v>19</v>
      </c>
      <c r="B23" s="1486">
        <f t="shared" si="0"/>
        <v>2466</v>
      </c>
      <c r="C23" s="1489">
        <v>1236</v>
      </c>
      <c r="D23" s="1489">
        <v>1230</v>
      </c>
      <c r="E23" s="1486">
        <f t="shared" si="1"/>
        <v>2701</v>
      </c>
      <c r="F23" s="1489">
        <v>1341</v>
      </c>
      <c r="G23" s="1489">
        <v>1360</v>
      </c>
      <c r="H23" s="1486">
        <f t="shared" si="2"/>
        <v>2283</v>
      </c>
      <c r="I23" s="1489">
        <v>1107</v>
      </c>
      <c r="J23" s="1489">
        <v>1176</v>
      </c>
      <c r="K23" s="1488" t="s">
        <v>3149</v>
      </c>
    </row>
    <row r="24" spans="1:11" s="167" customFormat="1" x14ac:dyDescent="0.15">
      <c r="A24" s="3317"/>
      <c r="B24" s="3317"/>
      <c r="C24" s="3317"/>
      <c r="D24" s="3317"/>
      <c r="E24" s="3317"/>
      <c r="F24" s="3317"/>
      <c r="G24" s="3317"/>
      <c r="H24" s="3317"/>
      <c r="I24" s="3317"/>
      <c r="J24" s="3317"/>
      <c r="K24" s="3317"/>
    </row>
    <row r="25" spans="1:11" s="167" customFormat="1" x14ac:dyDescent="0.15">
      <c r="A25" s="2414" t="s">
        <v>3150</v>
      </c>
      <c r="B25" s="2414"/>
      <c r="C25" s="2414"/>
      <c r="D25" s="2414"/>
      <c r="E25" s="2414"/>
      <c r="F25" s="2414"/>
      <c r="G25" s="2414"/>
      <c r="H25" s="2408"/>
      <c r="I25" s="2408"/>
      <c r="J25" s="2408"/>
      <c r="K25" s="2408"/>
    </row>
    <row r="26" spans="1:11" s="167" customFormat="1" x14ac:dyDescent="0.15">
      <c r="A26" s="2414" t="s">
        <v>3151</v>
      </c>
      <c r="B26" s="2414"/>
      <c r="C26" s="2414"/>
      <c r="D26" s="2414"/>
      <c r="E26" s="2414"/>
      <c r="F26" s="2414"/>
      <c r="G26" s="2414"/>
      <c r="H26" s="2408"/>
      <c r="I26" s="2408"/>
      <c r="J26" s="2408"/>
      <c r="K26" s="2408"/>
    </row>
    <row r="27" spans="1:11" s="167" customFormat="1" x14ac:dyDescent="0.15">
      <c r="A27" s="2463" t="s">
        <v>3152</v>
      </c>
      <c r="B27" s="2463"/>
      <c r="C27" s="2463"/>
      <c r="D27" s="2463"/>
      <c r="E27" s="2463"/>
      <c r="F27" s="2463"/>
      <c r="G27" s="2463"/>
      <c r="H27" s="2408"/>
      <c r="I27" s="2408"/>
      <c r="J27" s="2408"/>
      <c r="K27" s="2408"/>
    </row>
    <row r="28" spans="1:11" s="167" customFormat="1" x14ac:dyDescent="0.15">
      <c r="A28" s="476"/>
      <c r="B28" s="476"/>
      <c r="C28" s="476"/>
      <c r="D28" s="476"/>
      <c r="E28" s="476"/>
      <c r="F28" s="476"/>
      <c r="G28" s="476"/>
      <c r="H28" s="760"/>
      <c r="I28" s="760"/>
      <c r="J28" s="760"/>
      <c r="K28" s="760"/>
    </row>
    <row r="29" spans="1:11" s="167" customFormat="1" x14ac:dyDescent="0.15"/>
    <row r="34" spans="5:5" x14ac:dyDescent="0.15">
      <c r="E34" s="2090"/>
    </row>
    <row r="35" spans="5:5" x14ac:dyDescent="0.15">
      <c r="E35" s="1491"/>
    </row>
  </sheetData>
  <mergeCells count="17">
    <mergeCell ref="A27:K27"/>
    <mergeCell ref="F5:G5"/>
    <mergeCell ref="H5:H6"/>
    <mergeCell ref="I5:J5"/>
    <mergeCell ref="A24:K24"/>
    <mergeCell ref="A25:K25"/>
    <mergeCell ref="A26:K26"/>
    <mergeCell ref="A2:K2"/>
    <mergeCell ref="A3:K3"/>
    <mergeCell ref="A4:A6"/>
    <mergeCell ref="B4:D4"/>
    <mergeCell ref="E4:G4"/>
    <mergeCell ref="H4:J4"/>
    <mergeCell ref="K4:K6"/>
    <mergeCell ref="B5:B6"/>
    <mergeCell ref="C5:D5"/>
    <mergeCell ref="E5:E6"/>
  </mergeCells>
  <conditionalFormatting sqref="H7:J23">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2:I18"/>
  <sheetViews>
    <sheetView workbookViewId="0">
      <selection sqref="A1:XFD1048576"/>
    </sheetView>
  </sheetViews>
  <sheetFormatPr baseColWidth="10" defaultColWidth="9.140625" defaultRowHeight="10.5" x14ac:dyDescent="0.15"/>
  <cols>
    <col min="1" max="1" width="24.42578125" style="2090" customWidth="1"/>
    <col min="2" max="9" width="13.28515625" style="2090" customWidth="1"/>
    <col min="10" max="10" width="7.42578125" style="2090" customWidth="1"/>
    <col min="11" max="11" width="10.140625" style="2090" customWidth="1"/>
    <col min="12" max="16384" width="9.140625" style="2090"/>
  </cols>
  <sheetData>
    <row r="2" spans="1:9" ht="21" customHeight="1" x14ac:dyDescent="0.15">
      <c r="A2" s="2688" t="s">
        <v>3153</v>
      </c>
      <c r="B2" s="2688"/>
      <c r="C2" s="2688"/>
      <c r="D2" s="2688"/>
      <c r="E2" s="2688"/>
      <c r="F2" s="2688"/>
      <c r="G2" s="2688"/>
      <c r="H2" s="2354"/>
      <c r="I2" s="2354"/>
    </row>
    <row r="3" spans="1:9" ht="10.5" customHeight="1" x14ac:dyDescent="0.15">
      <c r="A3" s="2347"/>
      <c r="B3" s="2347"/>
      <c r="C3" s="2347"/>
      <c r="D3" s="2347"/>
      <c r="E3" s="2347"/>
      <c r="F3" s="2347"/>
      <c r="G3" s="2347"/>
      <c r="H3" s="2348"/>
      <c r="I3" s="2348"/>
    </row>
    <row r="4" spans="1:9" ht="12.75" customHeight="1" x14ac:dyDescent="0.15">
      <c r="A4" s="3313" t="s">
        <v>3154</v>
      </c>
      <c r="B4" s="3282">
        <v>2012</v>
      </c>
      <c r="C4" s="3282"/>
      <c r="D4" s="3282">
        <v>2013</v>
      </c>
      <c r="E4" s="3282"/>
      <c r="F4" s="3282">
        <v>2014</v>
      </c>
      <c r="G4" s="3282"/>
      <c r="H4" s="3318">
        <v>2015</v>
      </c>
      <c r="I4" s="3319"/>
    </row>
    <row r="5" spans="1:9" ht="21" x14ac:dyDescent="0.15">
      <c r="A5" s="3313"/>
      <c r="B5" s="1492" t="s">
        <v>3155</v>
      </c>
      <c r="C5" s="1492" t="s">
        <v>727</v>
      </c>
      <c r="D5" s="1492" t="s">
        <v>3155</v>
      </c>
      <c r="E5" s="1492" t="s">
        <v>727</v>
      </c>
      <c r="F5" s="1492" t="s">
        <v>3155</v>
      </c>
      <c r="G5" s="1492" t="s">
        <v>727</v>
      </c>
      <c r="H5" s="2130" t="s">
        <v>3155</v>
      </c>
      <c r="I5" s="2129" t="s">
        <v>727</v>
      </c>
    </row>
    <row r="6" spans="1:9" s="2093" customFormat="1" x14ac:dyDescent="0.15">
      <c r="A6" s="2146" t="s">
        <v>215</v>
      </c>
      <c r="B6" s="1493">
        <f t="shared" ref="B6:G6" si="0">SUM(B7:B15)</f>
        <v>84256</v>
      </c>
      <c r="C6" s="1494">
        <f t="shared" si="0"/>
        <v>1</v>
      </c>
      <c r="D6" s="1493">
        <f t="shared" si="0"/>
        <v>105070</v>
      </c>
      <c r="E6" s="1494">
        <f t="shared" si="0"/>
        <v>0.99999999999999989</v>
      </c>
      <c r="F6" s="1493">
        <f t="shared" si="0"/>
        <v>89928</v>
      </c>
      <c r="G6" s="1494">
        <f t="shared" si="0"/>
        <v>0.99999999999999978</v>
      </c>
      <c r="H6" s="1495">
        <f>SUM(H7:H15)</f>
        <v>94334</v>
      </c>
      <c r="I6" s="1496">
        <f>SUM(I7:I15)</f>
        <v>1</v>
      </c>
    </row>
    <row r="7" spans="1:9" s="2093" customFormat="1" x14ac:dyDescent="0.15">
      <c r="A7" s="2092" t="s">
        <v>3156</v>
      </c>
      <c r="B7" s="1498">
        <v>70810</v>
      </c>
      <c r="C7" s="1499">
        <f>+B7/$B$6</f>
        <v>0.84041492593999245</v>
      </c>
      <c r="D7" s="1498">
        <v>90544</v>
      </c>
      <c r="E7" s="1499">
        <f>+D7/$D$6</f>
        <v>0.86174930998382027</v>
      </c>
      <c r="F7" s="1498">
        <v>76510</v>
      </c>
      <c r="G7" s="1499">
        <f>+F7/$F$6</f>
        <v>0.85079174450671646</v>
      </c>
      <c r="H7" s="1498">
        <v>78177</v>
      </c>
      <c r="I7" s="1499">
        <f>H7/H$6</f>
        <v>0.82872559204528595</v>
      </c>
    </row>
    <row r="8" spans="1:9" s="2093" customFormat="1" x14ac:dyDescent="0.15">
      <c r="A8" s="2092" t="s">
        <v>2093</v>
      </c>
      <c r="B8" s="1498">
        <v>6865</v>
      </c>
      <c r="C8" s="1499">
        <f t="shared" ref="C8:C15" si="1">+B8/$B$6</f>
        <v>8.1477876946448924E-2</v>
      </c>
      <c r="D8" s="1498">
        <v>6553</v>
      </c>
      <c r="E8" s="1499">
        <f t="shared" ref="E8:E15" si="2">+D8/$D$6</f>
        <v>6.2367945179404208E-2</v>
      </c>
      <c r="F8" s="1498">
        <v>5468</v>
      </c>
      <c r="G8" s="1499">
        <f t="shared" ref="G8:G15" si="3">+F8/$F$6</f>
        <v>6.0804198914687309E-2</v>
      </c>
      <c r="H8" s="1498">
        <v>6067</v>
      </c>
      <c r="I8" s="1499">
        <f t="shared" ref="I8:I15" si="4">H8/H$6</f>
        <v>6.4314033116373737E-2</v>
      </c>
    </row>
    <row r="9" spans="1:9" s="2093" customFormat="1" x14ac:dyDescent="0.15">
      <c r="A9" s="2092" t="s">
        <v>3157</v>
      </c>
      <c r="B9" s="1498">
        <v>381</v>
      </c>
      <c r="C9" s="1499">
        <f t="shared" si="1"/>
        <v>4.5219331560957081E-3</v>
      </c>
      <c r="D9" s="1498">
        <v>535</v>
      </c>
      <c r="E9" s="1499">
        <f t="shared" si="2"/>
        <v>5.0918435328828398E-3</v>
      </c>
      <c r="F9" s="1498">
        <v>398</v>
      </c>
      <c r="G9" s="1499">
        <f t="shared" si="3"/>
        <v>4.4257628324882127E-3</v>
      </c>
      <c r="H9" s="1498">
        <v>290</v>
      </c>
      <c r="I9" s="1499">
        <f t="shared" si="4"/>
        <v>3.0741832213199908E-3</v>
      </c>
    </row>
    <row r="10" spans="1:9" s="2093" customFormat="1" x14ac:dyDescent="0.15">
      <c r="A10" s="2092" t="s">
        <v>3158</v>
      </c>
      <c r="B10" s="1498">
        <v>1159</v>
      </c>
      <c r="C10" s="1499">
        <f t="shared" si="1"/>
        <v>1.3755696923661223E-2</v>
      </c>
      <c r="D10" s="1498">
        <v>1549</v>
      </c>
      <c r="E10" s="1499">
        <f t="shared" si="2"/>
        <v>1.4742552583991625E-2</v>
      </c>
      <c r="F10" s="1498">
        <v>1600</v>
      </c>
      <c r="G10" s="1499">
        <f t="shared" si="3"/>
        <v>1.7792011386887286E-2</v>
      </c>
      <c r="H10" s="1498">
        <v>1731</v>
      </c>
      <c r="I10" s="1499">
        <f t="shared" si="4"/>
        <v>1.8349693641741049E-2</v>
      </c>
    </row>
    <row r="11" spans="1:9" s="2093" customFormat="1" x14ac:dyDescent="0.15">
      <c r="A11" s="2092" t="s">
        <v>2099</v>
      </c>
      <c r="B11" s="1498">
        <v>524</v>
      </c>
      <c r="C11" s="1499">
        <f t="shared" si="1"/>
        <v>6.2191416635017094E-3</v>
      </c>
      <c r="D11" s="1498">
        <v>643</v>
      </c>
      <c r="E11" s="1499">
        <f t="shared" si="2"/>
        <v>6.1197297040068528E-3</v>
      </c>
      <c r="F11" s="1498">
        <v>506</v>
      </c>
      <c r="G11" s="1499">
        <f t="shared" si="3"/>
        <v>5.6267236011031049E-3</v>
      </c>
      <c r="H11" s="1498">
        <v>629</v>
      </c>
      <c r="I11" s="1499">
        <f t="shared" si="4"/>
        <v>6.6677974007250829E-3</v>
      </c>
    </row>
    <row r="12" spans="1:9" s="2093" customFormat="1" x14ac:dyDescent="0.15">
      <c r="A12" s="2092" t="s">
        <v>3159</v>
      </c>
      <c r="B12" s="1498">
        <v>679</v>
      </c>
      <c r="C12" s="1499">
        <f t="shared" si="1"/>
        <v>8.0587732624382829E-3</v>
      </c>
      <c r="D12" s="1498">
        <v>838</v>
      </c>
      <c r="E12" s="1499">
        <f t="shared" si="2"/>
        <v>7.9756352907585423E-3</v>
      </c>
      <c r="F12" s="1498">
        <v>1064</v>
      </c>
      <c r="G12" s="1499">
        <f t="shared" si="3"/>
        <v>1.1831687572280047E-2</v>
      </c>
      <c r="H12" s="1498">
        <v>1080</v>
      </c>
      <c r="I12" s="1499">
        <f t="shared" si="4"/>
        <v>1.1448682341467552E-2</v>
      </c>
    </row>
    <row r="13" spans="1:9" s="2093" customFormat="1" x14ac:dyDescent="0.15">
      <c r="A13" s="2092" t="s">
        <v>3160</v>
      </c>
      <c r="B13" s="1498">
        <v>3787</v>
      </c>
      <c r="C13" s="1499">
        <f t="shared" si="1"/>
        <v>4.4946353968856816E-2</v>
      </c>
      <c r="D13" s="1498">
        <v>4366</v>
      </c>
      <c r="E13" s="1499">
        <f t="shared" si="2"/>
        <v>4.1553250214142953E-2</v>
      </c>
      <c r="F13" s="1498">
        <v>4328</v>
      </c>
      <c r="G13" s="1499">
        <f t="shared" si="3"/>
        <v>4.8127390801530112E-2</v>
      </c>
      <c r="H13" s="1498">
        <v>6308</v>
      </c>
      <c r="I13" s="1499">
        <f t="shared" si="4"/>
        <v>6.6868785379608622E-2</v>
      </c>
    </row>
    <row r="14" spans="1:9" s="2093" customFormat="1" x14ac:dyDescent="0.15">
      <c r="A14" s="2092" t="s">
        <v>3161</v>
      </c>
      <c r="B14" s="1498">
        <v>31</v>
      </c>
      <c r="C14" s="1499">
        <f t="shared" si="1"/>
        <v>3.6792631978731487E-4</v>
      </c>
      <c r="D14" s="1498">
        <v>30</v>
      </c>
      <c r="E14" s="1499">
        <f t="shared" si="2"/>
        <v>2.8552393642333681E-4</v>
      </c>
      <c r="F14" s="1498">
        <v>42</v>
      </c>
      <c r="G14" s="1499">
        <f t="shared" si="3"/>
        <v>4.6704029890579129E-4</v>
      </c>
      <c r="H14" s="1498">
        <v>38</v>
      </c>
      <c r="I14" s="1499">
        <f t="shared" si="4"/>
        <v>4.0282400831089535E-4</v>
      </c>
    </row>
    <row r="15" spans="1:9" s="2093" customFormat="1" x14ac:dyDescent="0.15">
      <c r="A15" s="2092" t="s">
        <v>3162</v>
      </c>
      <c r="B15" s="1498">
        <v>20</v>
      </c>
      <c r="C15" s="1500">
        <f t="shared" si="1"/>
        <v>2.3737181921762248E-4</v>
      </c>
      <c r="D15" s="1498">
        <v>12</v>
      </c>
      <c r="E15" s="1499">
        <f t="shared" si="2"/>
        <v>1.1420957456933473E-4</v>
      </c>
      <c r="F15" s="1498">
        <v>12</v>
      </c>
      <c r="G15" s="1499">
        <f t="shared" si="3"/>
        <v>1.3344008540165466E-4</v>
      </c>
      <c r="H15" s="1498">
        <v>14</v>
      </c>
      <c r="I15" s="1499">
        <f t="shared" si="4"/>
        <v>1.4840884516717197E-4</v>
      </c>
    </row>
    <row r="16" spans="1:9" s="2093" customFormat="1" x14ac:dyDescent="0.15">
      <c r="A16" s="2477"/>
      <c r="B16" s="2477"/>
      <c r="C16" s="2477"/>
      <c r="D16" s="2477"/>
      <c r="E16" s="2477"/>
      <c r="F16" s="2477"/>
      <c r="G16" s="2477"/>
      <c r="H16" s="2477"/>
      <c r="I16" s="2477"/>
    </row>
    <row r="17" spans="1:9" s="2142" customFormat="1" ht="10.5" customHeight="1" x14ac:dyDescent="0.15">
      <c r="A17" s="2463" t="s">
        <v>3152</v>
      </c>
      <c r="B17" s="2463"/>
      <c r="C17" s="2463"/>
      <c r="D17" s="2463"/>
      <c r="E17" s="2463"/>
      <c r="F17" s="2463"/>
      <c r="G17" s="2463"/>
      <c r="H17" s="2408"/>
      <c r="I17" s="2408"/>
    </row>
    <row r="18" spans="1:9" s="2093" customFormat="1" x14ac:dyDescent="0.15"/>
  </sheetData>
  <mergeCells count="9">
    <mergeCell ref="A16:I16"/>
    <mergeCell ref="A17:I17"/>
    <mergeCell ref="A2:I2"/>
    <mergeCell ref="A3:I3"/>
    <mergeCell ref="A4:A5"/>
    <mergeCell ref="B4:C4"/>
    <mergeCell ref="D4:E4"/>
    <mergeCell ref="F4:G4"/>
    <mergeCell ref="H4:I4"/>
  </mergeCells>
  <conditionalFormatting sqref="D6:I15">
    <cfRule type="expression" dxfId="1"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1:U76"/>
  <sheetViews>
    <sheetView topLeftCell="A43" zoomScale="90" zoomScaleNormal="90" workbookViewId="0">
      <selection activeCell="D14" sqref="D14"/>
    </sheetView>
  </sheetViews>
  <sheetFormatPr baseColWidth="10" defaultColWidth="9.140625" defaultRowHeight="10.5" x14ac:dyDescent="0.15"/>
  <cols>
    <col min="1" max="1" width="31.7109375" style="2090" customWidth="1"/>
    <col min="2" max="2" width="13.42578125" style="2090" customWidth="1"/>
    <col min="3" max="8" width="9.42578125" style="2090" customWidth="1"/>
    <col min="9" max="11" width="9.28515625" style="2090" customWidth="1"/>
    <col min="12" max="12" width="12.42578125" style="2090" customWidth="1"/>
    <col min="13" max="14" width="11.85546875" style="2090" bestFit="1" customWidth="1"/>
    <col min="15" max="15" width="9.140625" style="2090" customWidth="1"/>
    <col min="16" max="19" width="11.85546875" style="2090" bestFit="1" customWidth="1"/>
    <col min="20" max="21" width="10.7109375" style="2090" bestFit="1" customWidth="1"/>
    <col min="22" max="16384" width="9.140625" style="2090"/>
  </cols>
  <sheetData>
    <row r="1" spans="1:21" ht="15" customHeight="1" x14ac:dyDescent="0.15"/>
    <row r="2" spans="1:21" x14ac:dyDescent="0.15">
      <c r="A2" s="2688" t="s">
        <v>3163</v>
      </c>
      <c r="B2" s="2354"/>
      <c r="C2" s="2354"/>
      <c r="D2" s="2354"/>
      <c r="E2" s="2354"/>
      <c r="F2" s="2354"/>
      <c r="G2" s="2354"/>
      <c r="H2" s="2354"/>
      <c r="I2" s="2354"/>
      <c r="J2" s="2354"/>
      <c r="K2" s="2354"/>
    </row>
    <row r="3" spans="1:21" ht="10.5" customHeight="1" x14ac:dyDescent="0.15">
      <c r="A3" s="2347"/>
      <c r="B3" s="2348"/>
      <c r="C3" s="2348"/>
      <c r="D3" s="2348"/>
      <c r="E3" s="2348"/>
      <c r="F3" s="2348"/>
      <c r="G3" s="2348"/>
      <c r="H3" s="2348"/>
      <c r="I3" s="2348"/>
      <c r="J3" s="2348"/>
      <c r="K3" s="2348"/>
    </row>
    <row r="4" spans="1:21" ht="15" customHeight="1" x14ac:dyDescent="0.15">
      <c r="A4" s="3289" t="s">
        <v>1</v>
      </c>
      <c r="B4" s="3282">
        <v>2011</v>
      </c>
      <c r="C4" s="3282"/>
      <c r="D4" s="3282"/>
      <c r="E4" s="3282"/>
      <c r="F4" s="3282"/>
      <c r="G4" s="3282"/>
      <c r="H4" s="3282"/>
      <c r="I4" s="3282"/>
      <c r="J4" s="3282"/>
      <c r="K4" s="3282"/>
      <c r="L4" s="3282">
        <v>2012</v>
      </c>
      <c r="M4" s="3282"/>
      <c r="N4" s="3282"/>
      <c r="O4" s="3282"/>
      <c r="P4" s="3282"/>
      <c r="Q4" s="3282"/>
      <c r="R4" s="3282"/>
      <c r="S4" s="3282"/>
      <c r="T4" s="3282"/>
      <c r="U4" s="3282"/>
    </row>
    <row r="5" spans="1:21" ht="15" customHeight="1" x14ac:dyDescent="0.15">
      <c r="A5" s="3320"/>
      <c r="B5" s="3322" t="s">
        <v>3164</v>
      </c>
      <c r="C5" s="3314" t="s">
        <v>3165</v>
      </c>
      <c r="D5" s="3314"/>
      <c r="E5" s="3314"/>
      <c r="F5" s="3314" t="s">
        <v>3166</v>
      </c>
      <c r="G5" s="3314"/>
      <c r="H5" s="3314"/>
      <c r="I5" s="3314" t="s">
        <v>3167</v>
      </c>
      <c r="J5" s="3314"/>
      <c r="K5" s="3325"/>
      <c r="L5" s="3322" t="s">
        <v>3168</v>
      </c>
      <c r="M5" s="3314" t="s">
        <v>3165</v>
      </c>
      <c r="N5" s="3314"/>
      <c r="O5" s="3314"/>
      <c r="P5" s="3314" t="s">
        <v>3166</v>
      </c>
      <c r="Q5" s="3314"/>
      <c r="R5" s="3314"/>
      <c r="S5" s="3314" t="s">
        <v>3167</v>
      </c>
      <c r="T5" s="3314"/>
      <c r="U5" s="3314"/>
    </row>
    <row r="6" spans="1:21" ht="15" customHeight="1" x14ac:dyDescent="0.15">
      <c r="A6" s="3320"/>
      <c r="B6" s="3323"/>
      <c r="C6" s="3282" t="s">
        <v>3169</v>
      </c>
      <c r="D6" s="3282"/>
      <c r="E6" s="3282"/>
      <c r="F6" s="3282" t="s">
        <v>3169</v>
      </c>
      <c r="G6" s="3282"/>
      <c r="H6" s="3282"/>
      <c r="I6" s="3282" t="s">
        <v>3169</v>
      </c>
      <c r="J6" s="3282"/>
      <c r="K6" s="3326"/>
      <c r="L6" s="3323"/>
      <c r="M6" s="3282" t="s">
        <v>3169</v>
      </c>
      <c r="N6" s="3282"/>
      <c r="O6" s="3282"/>
      <c r="P6" s="3282" t="s">
        <v>3169</v>
      </c>
      <c r="Q6" s="3282"/>
      <c r="R6" s="3282"/>
      <c r="S6" s="3282" t="s">
        <v>3169</v>
      </c>
      <c r="T6" s="3282"/>
      <c r="U6" s="3282"/>
    </row>
    <row r="7" spans="1:21" ht="15" customHeight="1" x14ac:dyDescent="0.15">
      <c r="A7" s="3321"/>
      <c r="B7" s="3324"/>
      <c r="C7" s="1501" t="s">
        <v>69</v>
      </c>
      <c r="D7" s="1501" t="s">
        <v>966</v>
      </c>
      <c r="E7" s="1501" t="s">
        <v>967</v>
      </c>
      <c r="F7" s="1501" t="s">
        <v>69</v>
      </c>
      <c r="G7" s="1501" t="s">
        <v>966</v>
      </c>
      <c r="H7" s="1501" t="s">
        <v>967</v>
      </c>
      <c r="I7" s="1501" t="s">
        <v>69</v>
      </c>
      <c r="J7" s="1501" t="s">
        <v>966</v>
      </c>
      <c r="K7" s="1502" t="s">
        <v>967</v>
      </c>
      <c r="L7" s="3324"/>
      <c r="M7" s="1501" t="s">
        <v>69</v>
      </c>
      <c r="N7" s="1501" t="s">
        <v>966</v>
      </c>
      <c r="O7" s="1501" t="s">
        <v>967</v>
      </c>
      <c r="P7" s="1501" t="s">
        <v>69</v>
      </c>
      <c r="Q7" s="1501" t="s">
        <v>966</v>
      </c>
      <c r="R7" s="1501" t="s">
        <v>967</v>
      </c>
      <c r="S7" s="1501" t="s">
        <v>69</v>
      </c>
      <c r="T7" s="1501" t="s">
        <v>966</v>
      </c>
      <c r="U7" s="1501" t="s">
        <v>967</v>
      </c>
    </row>
    <row r="8" spans="1:21" ht="15" customHeight="1" x14ac:dyDescent="0.15">
      <c r="A8" s="1503" t="s">
        <v>141</v>
      </c>
      <c r="B8" s="1504">
        <f>+C8+F8+I8</f>
        <v>58115</v>
      </c>
      <c r="C8" s="1505">
        <f t="shared" ref="C8:C23" si="0">+D8+E8</f>
        <v>24059</v>
      </c>
      <c r="D8" s="1505">
        <f>SUM(D9:D23)</f>
        <v>10857</v>
      </c>
      <c r="E8" s="1505">
        <f>SUM(E9:E23)</f>
        <v>13202</v>
      </c>
      <c r="F8" s="1505">
        <f t="shared" ref="F8:F23" si="1">+G8+H8</f>
        <v>21668</v>
      </c>
      <c r="G8" s="1505">
        <f>SUM(G9:G23)</f>
        <v>9337</v>
      </c>
      <c r="H8" s="1505">
        <f>SUM(H9:H23)</f>
        <v>12331</v>
      </c>
      <c r="I8" s="1505">
        <f t="shared" ref="I8:I23" si="2">+J8+K8</f>
        <v>12388</v>
      </c>
      <c r="J8" s="1505">
        <f>SUM(J9:J23)</f>
        <v>4502</v>
      </c>
      <c r="K8" s="1505">
        <f>SUM(K9:K23)</f>
        <v>7886</v>
      </c>
      <c r="L8" s="1504">
        <f>+M8+P8+S8</f>
        <v>63283</v>
      </c>
      <c r="M8" s="1505">
        <f t="shared" ref="M8:M23" si="3">+N8+O8</f>
        <v>25183</v>
      </c>
      <c r="N8" s="1505">
        <f>SUM(N9:N23)</f>
        <v>11476</v>
      </c>
      <c r="O8" s="1505">
        <f>SUM(O9:O23)</f>
        <v>13707</v>
      </c>
      <c r="P8" s="1505">
        <f t="shared" ref="P8:P23" si="4">+Q8+R8</f>
        <v>24258</v>
      </c>
      <c r="Q8" s="1505">
        <f>SUM(Q9:Q23)</f>
        <v>10540</v>
      </c>
      <c r="R8" s="1505">
        <f>SUM(R9:R23)</f>
        <v>13718</v>
      </c>
      <c r="S8" s="1505">
        <f>T8+U8</f>
        <v>13842</v>
      </c>
      <c r="T8" s="1505">
        <f>SUM(T9:T23)</f>
        <v>4903</v>
      </c>
      <c r="U8" s="1505">
        <f>SUM(U9:U23)</f>
        <v>8939</v>
      </c>
    </row>
    <row r="9" spans="1:21" ht="15" customHeight="1" x14ac:dyDescent="0.15">
      <c r="A9" s="1506" t="s">
        <v>5</v>
      </c>
      <c r="B9" s="1504">
        <f t="shared" ref="B9:B23" si="5">+C9+F9+I9</f>
        <v>3025</v>
      </c>
      <c r="C9" s="1505">
        <f t="shared" si="0"/>
        <v>1208</v>
      </c>
      <c r="D9" s="1507">
        <v>551</v>
      </c>
      <c r="E9" s="1507">
        <v>657</v>
      </c>
      <c r="F9" s="1505">
        <f t="shared" si="1"/>
        <v>1038</v>
      </c>
      <c r="G9" s="1507">
        <v>451</v>
      </c>
      <c r="H9" s="1507">
        <v>587</v>
      </c>
      <c r="I9" s="1505">
        <f t="shared" si="2"/>
        <v>779</v>
      </c>
      <c r="J9" s="1507">
        <v>274</v>
      </c>
      <c r="K9" s="1507">
        <v>505</v>
      </c>
      <c r="L9" s="1504">
        <f t="shared" ref="L9:L23" si="6">+M9+P9+S9</f>
        <v>3368</v>
      </c>
      <c r="M9" s="1505">
        <f t="shared" si="3"/>
        <v>1251</v>
      </c>
      <c r="N9" s="1507">
        <v>593</v>
      </c>
      <c r="O9" s="1507">
        <v>658</v>
      </c>
      <c r="P9" s="1505">
        <f>+Q9+R9</f>
        <v>1209</v>
      </c>
      <c r="Q9" s="1507">
        <v>536</v>
      </c>
      <c r="R9" s="1507">
        <v>673</v>
      </c>
      <c r="S9" s="1505">
        <f t="shared" ref="S9:S23" si="7">+T9+U9</f>
        <v>908</v>
      </c>
      <c r="T9" s="1507">
        <v>289</v>
      </c>
      <c r="U9" s="1507">
        <v>619</v>
      </c>
    </row>
    <row r="10" spans="1:21" ht="15" customHeight="1" x14ac:dyDescent="0.15">
      <c r="A10" s="1506" t="s">
        <v>6</v>
      </c>
      <c r="B10" s="1504">
        <f t="shared" si="5"/>
        <v>2656</v>
      </c>
      <c r="C10" s="1505">
        <f t="shared" si="0"/>
        <v>1175</v>
      </c>
      <c r="D10" s="1507">
        <v>547</v>
      </c>
      <c r="E10" s="1507">
        <v>628</v>
      </c>
      <c r="F10" s="1505">
        <f t="shared" si="1"/>
        <v>917</v>
      </c>
      <c r="G10" s="1507">
        <v>405</v>
      </c>
      <c r="H10" s="1507">
        <v>512</v>
      </c>
      <c r="I10" s="1505">
        <f t="shared" si="2"/>
        <v>564</v>
      </c>
      <c r="J10" s="1507">
        <v>188</v>
      </c>
      <c r="K10" s="1507">
        <v>376</v>
      </c>
      <c r="L10" s="1504">
        <f t="shared" si="6"/>
        <v>2850</v>
      </c>
      <c r="M10" s="1505">
        <f t="shared" si="3"/>
        <v>1217</v>
      </c>
      <c r="N10" s="1507">
        <v>565</v>
      </c>
      <c r="O10" s="1507">
        <v>652</v>
      </c>
      <c r="P10" s="1505">
        <f>+Q10+R10</f>
        <v>1028</v>
      </c>
      <c r="Q10" s="1507">
        <v>443</v>
      </c>
      <c r="R10" s="1507">
        <v>585</v>
      </c>
      <c r="S10" s="1505">
        <f t="shared" si="7"/>
        <v>605</v>
      </c>
      <c r="T10" s="1507">
        <v>208</v>
      </c>
      <c r="U10" s="1507">
        <v>397</v>
      </c>
    </row>
    <row r="11" spans="1:21" ht="15" customHeight="1" x14ac:dyDescent="0.15">
      <c r="A11" s="1506" t="s">
        <v>7</v>
      </c>
      <c r="B11" s="1504">
        <f t="shared" si="5"/>
        <v>1635</v>
      </c>
      <c r="C11" s="1505">
        <f t="shared" si="0"/>
        <v>709</v>
      </c>
      <c r="D11" s="1507">
        <v>336</v>
      </c>
      <c r="E11" s="1507">
        <v>373</v>
      </c>
      <c r="F11" s="1505">
        <f t="shared" si="1"/>
        <v>576</v>
      </c>
      <c r="G11" s="1507">
        <v>273</v>
      </c>
      <c r="H11" s="1507">
        <v>303</v>
      </c>
      <c r="I11" s="1505">
        <f t="shared" si="2"/>
        <v>350</v>
      </c>
      <c r="J11" s="1507">
        <v>135</v>
      </c>
      <c r="K11" s="1507">
        <v>215</v>
      </c>
      <c r="L11" s="1504">
        <f t="shared" si="6"/>
        <v>1702</v>
      </c>
      <c r="M11" s="1505">
        <f t="shared" si="3"/>
        <v>685</v>
      </c>
      <c r="N11" s="1507">
        <v>324</v>
      </c>
      <c r="O11" s="1507">
        <v>361</v>
      </c>
      <c r="P11" s="1505">
        <f t="shared" si="4"/>
        <v>620</v>
      </c>
      <c r="Q11" s="1507">
        <v>279</v>
      </c>
      <c r="R11" s="1507">
        <v>341</v>
      </c>
      <c r="S11" s="1505">
        <f t="shared" si="7"/>
        <v>397</v>
      </c>
      <c r="T11" s="1507">
        <v>125</v>
      </c>
      <c r="U11" s="1507">
        <v>272</v>
      </c>
    </row>
    <row r="12" spans="1:21" ht="15" customHeight="1" x14ac:dyDescent="0.15">
      <c r="A12" s="1506" t="s">
        <v>8</v>
      </c>
      <c r="B12" s="1504">
        <f t="shared" si="5"/>
        <v>1137</v>
      </c>
      <c r="C12" s="1505">
        <f t="shared" si="0"/>
        <v>411</v>
      </c>
      <c r="D12" s="1507">
        <v>197</v>
      </c>
      <c r="E12" s="1507">
        <v>214</v>
      </c>
      <c r="F12" s="1505">
        <f t="shared" si="1"/>
        <v>447</v>
      </c>
      <c r="G12" s="1507">
        <v>190</v>
      </c>
      <c r="H12" s="1507">
        <v>257</v>
      </c>
      <c r="I12" s="1505">
        <f t="shared" si="2"/>
        <v>279</v>
      </c>
      <c r="J12" s="1507">
        <v>109</v>
      </c>
      <c r="K12" s="1507">
        <v>170</v>
      </c>
      <c r="L12" s="1504">
        <f t="shared" si="6"/>
        <v>1267</v>
      </c>
      <c r="M12" s="1505">
        <f t="shared" si="3"/>
        <v>430</v>
      </c>
      <c r="N12" s="1507">
        <v>206</v>
      </c>
      <c r="O12" s="1507">
        <v>224</v>
      </c>
      <c r="P12" s="1505">
        <f t="shared" si="4"/>
        <v>517</v>
      </c>
      <c r="Q12" s="1507">
        <v>225</v>
      </c>
      <c r="R12" s="1507">
        <v>292</v>
      </c>
      <c r="S12" s="1505">
        <f t="shared" si="7"/>
        <v>320</v>
      </c>
      <c r="T12" s="1507">
        <v>108</v>
      </c>
      <c r="U12" s="1507">
        <v>212</v>
      </c>
    </row>
    <row r="13" spans="1:21" ht="15" customHeight="1" x14ac:dyDescent="0.15">
      <c r="A13" s="1506" t="s">
        <v>9</v>
      </c>
      <c r="B13" s="1504">
        <f t="shared" si="5"/>
        <v>805</v>
      </c>
      <c r="C13" s="1505">
        <f t="shared" si="0"/>
        <v>224</v>
      </c>
      <c r="D13" s="1507">
        <v>93</v>
      </c>
      <c r="E13" s="1507">
        <v>131</v>
      </c>
      <c r="F13" s="1505">
        <f t="shared" si="1"/>
        <v>353</v>
      </c>
      <c r="G13" s="1507">
        <v>160</v>
      </c>
      <c r="H13" s="1507">
        <v>193</v>
      </c>
      <c r="I13" s="1505">
        <f t="shared" si="2"/>
        <v>228</v>
      </c>
      <c r="J13" s="1507">
        <v>73</v>
      </c>
      <c r="K13" s="1507">
        <v>155</v>
      </c>
      <c r="L13" s="1504">
        <f t="shared" si="6"/>
        <v>910</v>
      </c>
      <c r="M13" s="1505">
        <f t="shared" si="3"/>
        <v>251</v>
      </c>
      <c r="N13" s="1507">
        <v>113</v>
      </c>
      <c r="O13" s="1507">
        <v>138</v>
      </c>
      <c r="P13" s="1505">
        <f t="shared" si="4"/>
        <v>380</v>
      </c>
      <c r="Q13" s="1507">
        <v>172</v>
      </c>
      <c r="R13" s="1507">
        <v>208</v>
      </c>
      <c r="S13" s="1505">
        <f t="shared" si="7"/>
        <v>279</v>
      </c>
      <c r="T13" s="1507">
        <v>89</v>
      </c>
      <c r="U13" s="1507">
        <v>190</v>
      </c>
    </row>
    <row r="14" spans="1:21" ht="15" customHeight="1" x14ac:dyDescent="0.15">
      <c r="A14" s="1506" t="s">
        <v>10</v>
      </c>
      <c r="B14" s="1504">
        <f t="shared" si="5"/>
        <v>1951</v>
      </c>
      <c r="C14" s="1505">
        <f t="shared" si="0"/>
        <v>710</v>
      </c>
      <c r="D14" s="1507">
        <v>319</v>
      </c>
      <c r="E14" s="1507">
        <v>391</v>
      </c>
      <c r="F14" s="1505">
        <f t="shared" si="1"/>
        <v>736</v>
      </c>
      <c r="G14" s="1507">
        <v>306</v>
      </c>
      <c r="H14" s="1507">
        <v>430</v>
      </c>
      <c r="I14" s="1505">
        <f t="shared" si="2"/>
        <v>505</v>
      </c>
      <c r="J14" s="1507">
        <v>174</v>
      </c>
      <c r="K14" s="1507">
        <v>331</v>
      </c>
      <c r="L14" s="1504">
        <f t="shared" si="6"/>
        <v>2157</v>
      </c>
      <c r="M14" s="1505">
        <f t="shared" si="3"/>
        <v>735</v>
      </c>
      <c r="N14" s="1507">
        <v>346</v>
      </c>
      <c r="O14" s="1507">
        <v>389</v>
      </c>
      <c r="P14" s="1505">
        <f t="shared" si="4"/>
        <v>837</v>
      </c>
      <c r="Q14" s="1507">
        <v>362</v>
      </c>
      <c r="R14" s="1507">
        <v>475</v>
      </c>
      <c r="S14" s="1505">
        <f t="shared" si="7"/>
        <v>585</v>
      </c>
      <c r="T14" s="1507">
        <v>228</v>
      </c>
      <c r="U14" s="1507">
        <v>357</v>
      </c>
    </row>
    <row r="15" spans="1:21" ht="15" customHeight="1" x14ac:dyDescent="0.15">
      <c r="A15" s="1506" t="s">
        <v>11</v>
      </c>
      <c r="B15" s="1504">
        <f t="shared" si="5"/>
        <v>9073</v>
      </c>
      <c r="C15" s="1505">
        <f t="shared" si="0"/>
        <v>3329</v>
      </c>
      <c r="D15" s="1507">
        <v>1481</v>
      </c>
      <c r="E15" s="1507">
        <v>1848</v>
      </c>
      <c r="F15" s="1505">
        <f t="shared" si="1"/>
        <v>3384</v>
      </c>
      <c r="G15" s="1507">
        <v>1450</v>
      </c>
      <c r="H15" s="1507">
        <v>1934</v>
      </c>
      <c r="I15" s="1505">
        <f t="shared" si="2"/>
        <v>2360</v>
      </c>
      <c r="J15" s="1507">
        <v>884</v>
      </c>
      <c r="K15" s="1507">
        <v>1476</v>
      </c>
      <c r="L15" s="1504">
        <f t="shared" si="6"/>
        <v>9891</v>
      </c>
      <c r="M15" s="1505">
        <f t="shared" si="3"/>
        <v>3484</v>
      </c>
      <c r="N15" s="1507">
        <v>1511</v>
      </c>
      <c r="O15" s="1507">
        <v>1973</v>
      </c>
      <c r="P15" s="1505">
        <f t="shared" si="4"/>
        <v>3829</v>
      </c>
      <c r="Q15" s="1507">
        <v>1604</v>
      </c>
      <c r="R15" s="1507">
        <v>2225</v>
      </c>
      <c r="S15" s="1505">
        <f t="shared" si="7"/>
        <v>2578</v>
      </c>
      <c r="T15" s="1507">
        <v>929</v>
      </c>
      <c r="U15" s="1507">
        <v>1649</v>
      </c>
    </row>
    <row r="16" spans="1:21" ht="15" customHeight="1" x14ac:dyDescent="0.15">
      <c r="A16" s="1506" t="s">
        <v>12</v>
      </c>
      <c r="B16" s="1504">
        <f t="shared" si="5"/>
        <v>1392</v>
      </c>
      <c r="C16" s="1505">
        <f t="shared" si="0"/>
        <v>501</v>
      </c>
      <c r="D16" s="1507">
        <v>233</v>
      </c>
      <c r="E16" s="1507">
        <v>268</v>
      </c>
      <c r="F16" s="1505">
        <f t="shared" si="1"/>
        <v>560</v>
      </c>
      <c r="G16" s="1507">
        <v>233</v>
      </c>
      <c r="H16" s="1507">
        <v>327</v>
      </c>
      <c r="I16" s="1505">
        <f t="shared" si="2"/>
        <v>331</v>
      </c>
      <c r="J16" s="1507">
        <v>118</v>
      </c>
      <c r="K16" s="1507">
        <v>213</v>
      </c>
      <c r="L16" s="1504">
        <f t="shared" si="6"/>
        <v>1407</v>
      </c>
      <c r="M16" s="1505">
        <f t="shared" si="3"/>
        <v>449</v>
      </c>
      <c r="N16" s="1507">
        <v>195</v>
      </c>
      <c r="O16" s="1507">
        <v>254</v>
      </c>
      <c r="P16" s="1505">
        <f t="shared" si="4"/>
        <v>564</v>
      </c>
      <c r="Q16" s="1507">
        <v>259</v>
      </c>
      <c r="R16" s="1507">
        <v>305</v>
      </c>
      <c r="S16" s="1505">
        <f t="shared" si="7"/>
        <v>394</v>
      </c>
      <c r="T16" s="1507">
        <v>137</v>
      </c>
      <c r="U16" s="1507">
        <v>257</v>
      </c>
    </row>
    <row r="17" spans="1:21" ht="15" customHeight="1" x14ac:dyDescent="0.15">
      <c r="A17" s="1506" t="s">
        <v>13</v>
      </c>
      <c r="B17" s="1504">
        <f t="shared" si="5"/>
        <v>1866</v>
      </c>
      <c r="C17" s="1505">
        <f t="shared" si="0"/>
        <v>634</v>
      </c>
      <c r="D17" s="1507">
        <v>292</v>
      </c>
      <c r="E17" s="1507">
        <v>342</v>
      </c>
      <c r="F17" s="1505">
        <f t="shared" si="1"/>
        <v>792</v>
      </c>
      <c r="G17" s="1507">
        <v>360</v>
      </c>
      <c r="H17" s="1507">
        <v>432</v>
      </c>
      <c r="I17" s="1505">
        <f t="shared" si="2"/>
        <v>440</v>
      </c>
      <c r="J17" s="1507">
        <v>168</v>
      </c>
      <c r="K17" s="1507">
        <v>272</v>
      </c>
      <c r="L17" s="1504">
        <f t="shared" si="6"/>
        <v>1890</v>
      </c>
      <c r="M17" s="1505">
        <f t="shared" si="3"/>
        <v>653</v>
      </c>
      <c r="N17" s="1507">
        <v>316</v>
      </c>
      <c r="O17" s="1507">
        <v>337</v>
      </c>
      <c r="P17" s="1505">
        <f t="shared" si="4"/>
        <v>793</v>
      </c>
      <c r="Q17" s="1507">
        <v>346</v>
      </c>
      <c r="R17" s="1507">
        <v>447</v>
      </c>
      <c r="S17" s="1505">
        <f t="shared" si="7"/>
        <v>444</v>
      </c>
      <c r="T17" s="1507">
        <v>169</v>
      </c>
      <c r="U17" s="1507">
        <v>275</v>
      </c>
    </row>
    <row r="18" spans="1:21" ht="15" customHeight="1" x14ac:dyDescent="0.15">
      <c r="A18" s="1506" t="s">
        <v>14</v>
      </c>
      <c r="B18" s="1504">
        <f t="shared" si="5"/>
        <v>5356</v>
      </c>
      <c r="C18" s="1505">
        <f t="shared" si="0"/>
        <v>2293</v>
      </c>
      <c r="D18" s="1507">
        <v>1019</v>
      </c>
      <c r="E18" s="1507">
        <v>1274</v>
      </c>
      <c r="F18" s="1505">
        <f t="shared" si="1"/>
        <v>1984</v>
      </c>
      <c r="G18" s="1507">
        <v>855</v>
      </c>
      <c r="H18" s="1507">
        <v>1129</v>
      </c>
      <c r="I18" s="1505">
        <f t="shared" si="2"/>
        <v>1079</v>
      </c>
      <c r="J18" s="1507">
        <v>374</v>
      </c>
      <c r="K18" s="1507">
        <v>705</v>
      </c>
      <c r="L18" s="1504">
        <f t="shared" si="6"/>
        <v>5668</v>
      </c>
      <c r="M18" s="1505">
        <f t="shared" si="3"/>
        <v>2374</v>
      </c>
      <c r="N18" s="1507">
        <v>1095</v>
      </c>
      <c r="O18" s="1507">
        <v>1279</v>
      </c>
      <c r="P18" s="1505">
        <f t="shared" si="4"/>
        <v>2144</v>
      </c>
      <c r="Q18" s="1507">
        <v>917</v>
      </c>
      <c r="R18" s="1507">
        <v>1227</v>
      </c>
      <c r="S18" s="1505">
        <f t="shared" si="7"/>
        <v>1150</v>
      </c>
      <c r="T18" s="1507">
        <v>408</v>
      </c>
      <c r="U18" s="1507">
        <v>742</v>
      </c>
    </row>
    <row r="19" spans="1:21" ht="15" customHeight="1" x14ac:dyDescent="0.15">
      <c r="A19" s="1506" t="s">
        <v>15</v>
      </c>
      <c r="B19" s="1504">
        <f t="shared" si="5"/>
        <v>15951</v>
      </c>
      <c r="C19" s="1505">
        <f t="shared" si="0"/>
        <v>7004</v>
      </c>
      <c r="D19" s="1507">
        <v>3182</v>
      </c>
      <c r="E19" s="1507">
        <v>3822</v>
      </c>
      <c r="F19" s="1505">
        <f t="shared" si="1"/>
        <v>5897</v>
      </c>
      <c r="G19" s="1507">
        <v>2466</v>
      </c>
      <c r="H19" s="1507">
        <v>3431</v>
      </c>
      <c r="I19" s="1505">
        <f t="shared" si="2"/>
        <v>3050</v>
      </c>
      <c r="J19" s="1507">
        <v>1117</v>
      </c>
      <c r="K19" s="1507">
        <v>1933</v>
      </c>
      <c r="L19" s="1504">
        <f t="shared" si="6"/>
        <v>17879</v>
      </c>
      <c r="M19" s="1505">
        <f t="shared" si="3"/>
        <v>7619</v>
      </c>
      <c r="N19" s="1507">
        <v>3490</v>
      </c>
      <c r="O19" s="1507">
        <v>4129</v>
      </c>
      <c r="P19" s="1505">
        <f t="shared" si="4"/>
        <v>6812</v>
      </c>
      <c r="Q19" s="1507">
        <v>3030</v>
      </c>
      <c r="R19" s="1507">
        <v>3782</v>
      </c>
      <c r="S19" s="1505">
        <f t="shared" si="7"/>
        <v>3448</v>
      </c>
      <c r="T19" s="1507">
        <v>1251</v>
      </c>
      <c r="U19" s="1507">
        <v>2197</v>
      </c>
    </row>
    <row r="20" spans="1:21" ht="15" customHeight="1" x14ac:dyDescent="0.15">
      <c r="A20" s="1506" t="s">
        <v>16</v>
      </c>
      <c r="B20" s="1504">
        <f t="shared" si="5"/>
        <v>3320</v>
      </c>
      <c r="C20" s="1505">
        <f t="shared" si="0"/>
        <v>1411</v>
      </c>
      <c r="D20" s="1507">
        <v>604</v>
      </c>
      <c r="E20" s="1507">
        <v>807</v>
      </c>
      <c r="F20" s="1505">
        <f t="shared" si="1"/>
        <v>1248</v>
      </c>
      <c r="G20" s="1507">
        <v>556</v>
      </c>
      <c r="H20" s="1507">
        <v>692</v>
      </c>
      <c r="I20" s="1505">
        <f t="shared" si="2"/>
        <v>661</v>
      </c>
      <c r="J20" s="1507">
        <v>255</v>
      </c>
      <c r="K20" s="1507">
        <v>406</v>
      </c>
      <c r="L20" s="1504">
        <f t="shared" si="6"/>
        <v>3517</v>
      </c>
      <c r="M20" s="1505">
        <f t="shared" si="3"/>
        <v>1395</v>
      </c>
      <c r="N20" s="1507">
        <v>627</v>
      </c>
      <c r="O20" s="1507">
        <v>768</v>
      </c>
      <c r="P20" s="1505">
        <f t="shared" si="4"/>
        <v>1384</v>
      </c>
      <c r="Q20" s="1507">
        <v>615</v>
      </c>
      <c r="R20" s="1507">
        <v>769</v>
      </c>
      <c r="S20" s="1505">
        <f t="shared" si="7"/>
        <v>738</v>
      </c>
      <c r="T20" s="1507">
        <v>251</v>
      </c>
      <c r="U20" s="1507">
        <v>487</v>
      </c>
    </row>
    <row r="21" spans="1:21" ht="15" customHeight="1" x14ac:dyDescent="0.15">
      <c r="A21" s="1506" t="s">
        <v>17</v>
      </c>
      <c r="B21" s="1504">
        <f t="shared" si="5"/>
        <v>6727</v>
      </c>
      <c r="C21" s="1505">
        <f t="shared" si="0"/>
        <v>3019</v>
      </c>
      <c r="D21" s="1507">
        <v>1310</v>
      </c>
      <c r="E21" s="1507">
        <v>1709</v>
      </c>
      <c r="F21" s="1505">
        <f t="shared" si="1"/>
        <v>2549</v>
      </c>
      <c r="G21" s="1507">
        <v>1122</v>
      </c>
      <c r="H21" s="1507">
        <v>1427</v>
      </c>
      <c r="I21" s="1505">
        <f t="shared" si="2"/>
        <v>1159</v>
      </c>
      <c r="J21" s="1507">
        <v>444</v>
      </c>
      <c r="K21" s="1507">
        <v>715</v>
      </c>
      <c r="L21" s="1504">
        <f t="shared" si="6"/>
        <v>7286</v>
      </c>
      <c r="M21" s="1505">
        <f t="shared" si="3"/>
        <v>3140</v>
      </c>
      <c r="N21" s="1507">
        <v>1385</v>
      </c>
      <c r="O21" s="1507">
        <v>1755</v>
      </c>
      <c r="P21" s="1505">
        <f t="shared" si="4"/>
        <v>2838</v>
      </c>
      <c r="Q21" s="1507">
        <v>1207</v>
      </c>
      <c r="R21" s="1507">
        <v>1631</v>
      </c>
      <c r="S21" s="1505">
        <f t="shared" si="7"/>
        <v>1308</v>
      </c>
      <c r="T21" s="1507">
        <v>508</v>
      </c>
      <c r="U21" s="1507">
        <v>800</v>
      </c>
    </row>
    <row r="22" spans="1:21" ht="15" customHeight="1" x14ac:dyDescent="0.15">
      <c r="A22" s="1506" t="s">
        <v>18</v>
      </c>
      <c r="B22" s="1504">
        <f t="shared" si="5"/>
        <v>1468</v>
      </c>
      <c r="C22" s="1505">
        <f t="shared" si="0"/>
        <v>719</v>
      </c>
      <c r="D22" s="1507">
        <v>336</v>
      </c>
      <c r="E22" s="1507">
        <v>383</v>
      </c>
      <c r="F22" s="1505">
        <f t="shared" si="1"/>
        <v>539</v>
      </c>
      <c r="G22" s="1507">
        <v>248</v>
      </c>
      <c r="H22" s="1507">
        <v>291</v>
      </c>
      <c r="I22" s="1505">
        <f t="shared" si="2"/>
        <v>210</v>
      </c>
      <c r="J22" s="1507">
        <v>70</v>
      </c>
      <c r="K22" s="1507">
        <v>140</v>
      </c>
      <c r="L22" s="1504">
        <f t="shared" si="6"/>
        <v>1617</v>
      </c>
      <c r="M22" s="1505">
        <f t="shared" si="3"/>
        <v>760</v>
      </c>
      <c r="N22" s="1507">
        <v>334</v>
      </c>
      <c r="O22" s="1507">
        <v>426</v>
      </c>
      <c r="P22" s="1505">
        <f t="shared" si="4"/>
        <v>608</v>
      </c>
      <c r="Q22" s="1507">
        <v>255</v>
      </c>
      <c r="R22" s="1507">
        <v>353</v>
      </c>
      <c r="S22" s="1505">
        <f t="shared" si="7"/>
        <v>249</v>
      </c>
      <c r="T22" s="1507">
        <v>77</v>
      </c>
      <c r="U22" s="1507">
        <v>172</v>
      </c>
    </row>
    <row r="23" spans="1:21" ht="15" customHeight="1" x14ac:dyDescent="0.15">
      <c r="A23" s="1506" t="s">
        <v>19</v>
      </c>
      <c r="B23" s="1504">
        <f t="shared" si="5"/>
        <v>1753</v>
      </c>
      <c r="C23" s="1505">
        <f t="shared" si="0"/>
        <v>712</v>
      </c>
      <c r="D23" s="1507">
        <v>357</v>
      </c>
      <c r="E23" s="1507">
        <v>355</v>
      </c>
      <c r="F23" s="1505">
        <f t="shared" si="1"/>
        <v>648</v>
      </c>
      <c r="G23" s="1507">
        <v>262</v>
      </c>
      <c r="H23" s="1507">
        <v>386</v>
      </c>
      <c r="I23" s="1505">
        <f t="shared" si="2"/>
        <v>393</v>
      </c>
      <c r="J23" s="1507">
        <v>119</v>
      </c>
      <c r="K23" s="1507">
        <v>274</v>
      </c>
      <c r="L23" s="1504">
        <f t="shared" si="6"/>
        <v>1874</v>
      </c>
      <c r="M23" s="1505">
        <f t="shared" si="3"/>
        <v>740</v>
      </c>
      <c r="N23" s="1507">
        <v>376</v>
      </c>
      <c r="O23" s="1507">
        <v>364</v>
      </c>
      <c r="P23" s="1505">
        <f t="shared" si="4"/>
        <v>695</v>
      </c>
      <c r="Q23" s="1507">
        <v>290</v>
      </c>
      <c r="R23" s="1507">
        <v>405</v>
      </c>
      <c r="S23" s="1505">
        <f t="shared" si="7"/>
        <v>439</v>
      </c>
      <c r="T23" s="1507">
        <v>126</v>
      </c>
      <c r="U23" s="1507">
        <v>313</v>
      </c>
    </row>
    <row r="24" spans="1:21" ht="10.5" customHeight="1" x14ac:dyDescent="0.15">
      <c r="A24" s="2347"/>
      <c r="B24" s="2348"/>
      <c r="C24" s="2348"/>
      <c r="D24" s="2348"/>
      <c r="E24" s="2348"/>
      <c r="F24" s="2348"/>
      <c r="G24" s="2348"/>
      <c r="H24" s="2348"/>
      <c r="I24" s="2348"/>
      <c r="J24" s="2348"/>
      <c r="K24" s="2348"/>
    </row>
    <row r="25" spans="1:21" s="2093" customFormat="1" ht="10.5" customHeight="1" x14ac:dyDescent="0.15">
      <c r="A25" s="2463" t="s">
        <v>3170</v>
      </c>
      <c r="B25" s="2408"/>
      <c r="C25" s="2408"/>
      <c r="D25" s="2408"/>
      <c r="E25" s="2408"/>
      <c r="F25" s="2408"/>
      <c r="G25" s="2408"/>
      <c r="H25" s="2408"/>
      <c r="I25" s="2408"/>
      <c r="J25" s="2408"/>
      <c r="K25" s="2408"/>
    </row>
    <row r="26" spans="1:21" ht="12.75" customHeight="1" x14ac:dyDescent="0.15">
      <c r="A26" s="2092"/>
      <c r="B26" s="2095"/>
      <c r="C26" s="2095"/>
      <c r="D26" s="2095"/>
      <c r="E26" s="2095"/>
      <c r="F26" s="2095"/>
      <c r="G26" s="2095"/>
      <c r="H26" s="2095"/>
      <c r="I26" s="2095"/>
      <c r="J26" s="2095"/>
      <c r="K26" s="2095"/>
    </row>
    <row r="27" spans="1:21" ht="12.75" customHeight="1" x14ac:dyDescent="0.15">
      <c r="A27" s="2089"/>
    </row>
    <row r="28" spans="1:21" ht="15" customHeight="1" x14ac:dyDescent="0.15">
      <c r="A28" s="1503" t="s">
        <v>3171</v>
      </c>
      <c r="B28" s="1484"/>
      <c r="C28" s="1484"/>
      <c r="D28" s="1484"/>
      <c r="E28" s="1484"/>
      <c r="F28" s="1484"/>
      <c r="G28" s="1484"/>
      <c r="H28" s="1484"/>
      <c r="I28" s="1484"/>
      <c r="J28" s="1484"/>
      <c r="K28" s="1484"/>
      <c r="L28" s="1484"/>
      <c r="M28" s="1484"/>
      <c r="N28" s="1484"/>
      <c r="O28" s="1484"/>
      <c r="P28" s="1484"/>
      <c r="Q28" s="1484"/>
      <c r="R28" s="1484"/>
      <c r="S28" s="1484"/>
      <c r="T28" s="1484"/>
      <c r="U28" s="1484"/>
    </row>
    <row r="29" spans="1:21" ht="15" customHeight="1" x14ac:dyDescent="0.15">
      <c r="A29" s="3331" t="s">
        <v>1</v>
      </c>
      <c r="B29" s="3326">
        <v>2013</v>
      </c>
      <c r="C29" s="3332"/>
      <c r="D29" s="3332"/>
      <c r="E29" s="3332"/>
      <c r="F29" s="3332"/>
      <c r="G29" s="3332"/>
      <c r="H29" s="3332"/>
      <c r="I29" s="3332"/>
      <c r="J29" s="3332"/>
      <c r="K29" s="3333"/>
      <c r="L29" s="3282">
        <v>2014</v>
      </c>
      <c r="M29" s="3282"/>
      <c r="N29" s="3282"/>
      <c r="O29" s="3282"/>
      <c r="P29" s="3282"/>
      <c r="Q29" s="3282"/>
      <c r="R29" s="3282"/>
      <c r="S29" s="3282"/>
      <c r="T29" s="3282"/>
      <c r="U29" s="3282"/>
    </row>
    <row r="30" spans="1:21" ht="15" customHeight="1" x14ac:dyDescent="0.15">
      <c r="A30" s="3320"/>
      <c r="B30" s="3335" t="s">
        <v>3172</v>
      </c>
      <c r="C30" s="3327" t="s">
        <v>3165</v>
      </c>
      <c r="D30" s="3327"/>
      <c r="E30" s="3327"/>
      <c r="F30" s="3327" t="s">
        <v>3166</v>
      </c>
      <c r="G30" s="3327"/>
      <c r="H30" s="3327"/>
      <c r="I30" s="3327" t="s">
        <v>3167</v>
      </c>
      <c r="J30" s="3327"/>
      <c r="K30" s="3329"/>
      <c r="L30" s="3330" t="s">
        <v>3173</v>
      </c>
      <c r="M30" s="3327" t="s">
        <v>3165</v>
      </c>
      <c r="N30" s="3327"/>
      <c r="O30" s="3327"/>
      <c r="P30" s="3327" t="s">
        <v>3166</v>
      </c>
      <c r="Q30" s="3327"/>
      <c r="R30" s="3327"/>
      <c r="S30" s="3327" t="s">
        <v>3167</v>
      </c>
      <c r="T30" s="3327"/>
      <c r="U30" s="3327"/>
    </row>
    <row r="31" spans="1:21" ht="15" customHeight="1" x14ac:dyDescent="0.15">
      <c r="A31" s="3320"/>
      <c r="B31" s="3323"/>
      <c r="C31" s="3328" t="s">
        <v>3169</v>
      </c>
      <c r="D31" s="3328"/>
      <c r="E31" s="3328"/>
      <c r="F31" s="3328" t="s">
        <v>3169</v>
      </c>
      <c r="G31" s="3328"/>
      <c r="H31" s="3328"/>
      <c r="I31" s="3328" t="s">
        <v>3169</v>
      </c>
      <c r="J31" s="3328"/>
      <c r="K31" s="3326"/>
      <c r="L31" s="3323"/>
      <c r="M31" s="3328" t="s">
        <v>3169</v>
      </c>
      <c r="N31" s="3328"/>
      <c r="O31" s="3328"/>
      <c r="P31" s="3328" t="s">
        <v>3169</v>
      </c>
      <c r="Q31" s="3328"/>
      <c r="R31" s="3328"/>
      <c r="S31" s="3328" t="s">
        <v>3169</v>
      </c>
      <c r="T31" s="3328"/>
      <c r="U31" s="3328"/>
    </row>
    <row r="32" spans="1:21" x14ac:dyDescent="0.15">
      <c r="A32" s="3321"/>
      <c r="B32" s="3324"/>
      <c r="C32" s="2107" t="s">
        <v>69</v>
      </c>
      <c r="D32" s="2107" t="s">
        <v>966</v>
      </c>
      <c r="E32" s="2107" t="s">
        <v>967</v>
      </c>
      <c r="F32" s="2107" t="s">
        <v>69</v>
      </c>
      <c r="G32" s="2107" t="s">
        <v>966</v>
      </c>
      <c r="H32" s="2107" t="s">
        <v>967</v>
      </c>
      <c r="I32" s="2107" t="s">
        <v>69</v>
      </c>
      <c r="J32" s="2107" t="s">
        <v>966</v>
      </c>
      <c r="K32" s="1502" t="s">
        <v>967</v>
      </c>
      <c r="L32" s="3324"/>
      <c r="M32" s="2107" t="s">
        <v>69</v>
      </c>
      <c r="N32" s="2107" t="s">
        <v>966</v>
      </c>
      <c r="O32" s="2107" t="s">
        <v>967</v>
      </c>
      <c r="P32" s="2107" t="s">
        <v>69</v>
      </c>
      <c r="Q32" s="2107" t="s">
        <v>966</v>
      </c>
      <c r="R32" s="2107" t="s">
        <v>967</v>
      </c>
      <c r="S32" s="2107" t="s">
        <v>69</v>
      </c>
      <c r="T32" s="2107" t="s">
        <v>966</v>
      </c>
      <c r="U32" s="2107" t="s">
        <v>967</v>
      </c>
    </row>
    <row r="33" spans="1:21" ht="15" customHeight="1" x14ac:dyDescent="0.15">
      <c r="A33" s="1503" t="s">
        <v>141</v>
      </c>
      <c r="B33" s="1504">
        <f>+I33+F33+C33</f>
        <v>69599</v>
      </c>
      <c r="C33" s="1505">
        <f t="shared" ref="C33:C48" si="8">+D33+E33</f>
        <v>27135</v>
      </c>
      <c r="D33" s="1505">
        <f>SUM(D34:D48)</f>
        <v>12469</v>
      </c>
      <c r="E33" s="1505">
        <f>SUM(E34:E48)</f>
        <v>14666</v>
      </c>
      <c r="F33" s="1505">
        <f t="shared" ref="F33:F48" si="9">+H33+G33</f>
        <v>26982</v>
      </c>
      <c r="G33" s="1505">
        <f>SUM(G34:G48)</f>
        <v>12113</v>
      </c>
      <c r="H33" s="1505">
        <f>SUM(H34:H48)</f>
        <v>14869</v>
      </c>
      <c r="I33" s="1505">
        <f t="shared" ref="I33:I48" si="10">+K33+J33</f>
        <v>15482</v>
      </c>
      <c r="J33" s="1505">
        <f>SUM(J34:J48)</f>
        <v>5388</v>
      </c>
      <c r="K33" s="1505">
        <f>SUM(K34:K48)</f>
        <v>10094</v>
      </c>
      <c r="L33" s="1509">
        <f>+M33+P33+S33</f>
        <v>76176</v>
      </c>
      <c r="M33" s="1487">
        <f t="shared" ref="M33:M47" si="11">+N33+O33</f>
        <v>30761</v>
      </c>
      <c r="N33" s="1487">
        <f>SUM(N34:N48)</f>
        <v>14401</v>
      </c>
      <c r="O33" s="1487">
        <f>SUM(O34:O48)</f>
        <v>16360</v>
      </c>
      <c r="P33" s="1487">
        <f>+Q33+R33</f>
        <v>27459</v>
      </c>
      <c r="Q33" s="1487">
        <f>SUM(Q34:Q48)</f>
        <v>12328</v>
      </c>
      <c r="R33" s="1487">
        <f>SUM(R34:R48)</f>
        <v>15131</v>
      </c>
      <c r="S33" s="1487">
        <f>T33+U33</f>
        <v>17956</v>
      </c>
      <c r="T33" s="1487">
        <f>SUM(T34:T48)</f>
        <v>6355</v>
      </c>
      <c r="U33" s="1487">
        <f>SUM(U34:U48)</f>
        <v>11601</v>
      </c>
    </row>
    <row r="34" spans="1:21" ht="15" customHeight="1" x14ac:dyDescent="0.15">
      <c r="A34" s="1506" t="s">
        <v>5</v>
      </c>
      <c r="B34" s="1504">
        <f t="shared" ref="B34:B48" si="12">+I34+F34+C34</f>
        <v>3643</v>
      </c>
      <c r="C34" s="1505">
        <f t="shared" si="8"/>
        <v>1343</v>
      </c>
      <c r="D34" s="1507">
        <v>648</v>
      </c>
      <c r="E34" s="1507">
        <v>695</v>
      </c>
      <c r="F34" s="1505">
        <f t="shared" si="9"/>
        <v>1362</v>
      </c>
      <c r="G34" s="1507">
        <v>633</v>
      </c>
      <c r="H34" s="1507">
        <v>729</v>
      </c>
      <c r="I34" s="1505">
        <f t="shared" si="10"/>
        <v>938</v>
      </c>
      <c r="J34" s="1507">
        <v>297</v>
      </c>
      <c r="K34" s="1507">
        <v>641</v>
      </c>
      <c r="L34" s="1509">
        <f>+M34+P34+S34</f>
        <v>3599</v>
      </c>
      <c r="M34" s="1487">
        <f t="shared" si="11"/>
        <v>1360</v>
      </c>
      <c r="N34" s="1489">
        <v>681</v>
      </c>
      <c r="O34" s="1489">
        <v>679</v>
      </c>
      <c r="P34" s="1487">
        <f t="shared" ref="P34:P48" si="13">+Q34+R34</f>
        <v>1137</v>
      </c>
      <c r="Q34" s="1489">
        <v>544</v>
      </c>
      <c r="R34" s="1489">
        <v>593</v>
      </c>
      <c r="S34" s="1487">
        <f t="shared" ref="S34:S48" si="14">+T34+U34</f>
        <v>1102</v>
      </c>
      <c r="T34" s="1419">
        <v>367</v>
      </c>
      <c r="U34" s="1419">
        <v>735</v>
      </c>
    </row>
    <row r="35" spans="1:21" ht="15" customHeight="1" x14ac:dyDescent="0.15">
      <c r="A35" s="1506" t="s">
        <v>6</v>
      </c>
      <c r="B35" s="1504">
        <f t="shared" si="12"/>
        <v>3080</v>
      </c>
      <c r="C35" s="1505">
        <f t="shared" si="8"/>
        <v>1256</v>
      </c>
      <c r="D35" s="1507">
        <v>609</v>
      </c>
      <c r="E35" s="1507">
        <v>647</v>
      </c>
      <c r="F35" s="1505">
        <f t="shared" si="9"/>
        <v>1168</v>
      </c>
      <c r="G35" s="1507">
        <v>501</v>
      </c>
      <c r="H35" s="1507">
        <v>667</v>
      </c>
      <c r="I35" s="1505">
        <f t="shared" si="10"/>
        <v>656</v>
      </c>
      <c r="J35" s="1507">
        <v>224</v>
      </c>
      <c r="K35" s="1507">
        <v>432</v>
      </c>
      <c r="L35" s="1509">
        <f t="shared" ref="L35:L47" si="15">+M35+P35+S35</f>
        <v>3208</v>
      </c>
      <c r="M35" s="1487">
        <f>+N35+O35</f>
        <v>1192</v>
      </c>
      <c r="N35" s="1489">
        <v>564</v>
      </c>
      <c r="O35" s="1489">
        <v>628</v>
      </c>
      <c r="P35" s="1487">
        <f t="shared" si="13"/>
        <v>1151</v>
      </c>
      <c r="Q35" s="1489">
        <v>513</v>
      </c>
      <c r="R35" s="1489">
        <v>638</v>
      </c>
      <c r="S35" s="1487">
        <f t="shared" si="14"/>
        <v>865</v>
      </c>
      <c r="T35" s="1419">
        <v>286</v>
      </c>
      <c r="U35" s="1419">
        <v>579</v>
      </c>
    </row>
    <row r="36" spans="1:21" ht="15" customHeight="1" x14ac:dyDescent="0.15">
      <c r="A36" s="1506" t="s">
        <v>7</v>
      </c>
      <c r="B36" s="1504">
        <f t="shared" si="12"/>
        <v>1592</v>
      </c>
      <c r="C36" s="1505">
        <f t="shared" si="8"/>
        <v>630</v>
      </c>
      <c r="D36" s="1507">
        <v>293</v>
      </c>
      <c r="E36" s="1507">
        <v>337</v>
      </c>
      <c r="F36" s="1505">
        <f t="shared" si="9"/>
        <v>530</v>
      </c>
      <c r="G36" s="1507">
        <v>256</v>
      </c>
      <c r="H36" s="1507">
        <v>274</v>
      </c>
      <c r="I36" s="1505">
        <f t="shared" si="10"/>
        <v>432</v>
      </c>
      <c r="J36" s="1507">
        <v>139</v>
      </c>
      <c r="K36" s="1507">
        <v>293</v>
      </c>
      <c r="L36" s="1509">
        <f>+M36+P36+S36</f>
        <v>1690</v>
      </c>
      <c r="M36" s="1487">
        <f t="shared" si="11"/>
        <v>604</v>
      </c>
      <c r="N36" s="1489">
        <v>287</v>
      </c>
      <c r="O36" s="1489">
        <v>317</v>
      </c>
      <c r="P36" s="1487">
        <f t="shared" si="13"/>
        <v>569</v>
      </c>
      <c r="Q36" s="1489">
        <v>248</v>
      </c>
      <c r="R36" s="1489">
        <v>321</v>
      </c>
      <c r="S36" s="1487">
        <f t="shared" si="14"/>
        <v>517</v>
      </c>
      <c r="T36" s="1419">
        <v>168</v>
      </c>
      <c r="U36" s="1419">
        <v>349</v>
      </c>
    </row>
    <row r="37" spans="1:21" ht="15" customHeight="1" x14ac:dyDescent="0.15">
      <c r="A37" s="1506" t="s">
        <v>8</v>
      </c>
      <c r="B37" s="1504">
        <f t="shared" si="12"/>
        <v>1498</v>
      </c>
      <c r="C37" s="1505">
        <f t="shared" si="8"/>
        <v>503</v>
      </c>
      <c r="D37" s="1507">
        <v>229</v>
      </c>
      <c r="E37" s="1507">
        <v>274</v>
      </c>
      <c r="F37" s="1505">
        <f t="shared" si="9"/>
        <v>640</v>
      </c>
      <c r="G37" s="1507">
        <v>278</v>
      </c>
      <c r="H37" s="1507">
        <v>362</v>
      </c>
      <c r="I37" s="1505">
        <f t="shared" si="10"/>
        <v>355</v>
      </c>
      <c r="J37" s="1507">
        <v>126</v>
      </c>
      <c r="K37" s="1507">
        <v>229</v>
      </c>
      <c r="L37" s="1509">
        <f t="shared" si="15"/>
        <v>1624</v>
      </c>
      <c r="M37" s="1487">
        <f>+N37+O37</f>
        <v>628</v>
      </c>
      <c r="N37" s="1489">
        <v>285</v>
      </c>
      <c r="O37" s="1489">
        <v>343</v>
      </c>
      <c r="P37" s="1487">
        <f t="shared" si="13"/>
        <v>600</v>
      </c>
      <c r="Q37" s="1489">
        <v>264</v>
      </c>
      <c r="R37" s="1489">
        <v>336</v>
      </c>
      <c r="S37" s="1487">
        <f t="shared" si="14"/>
        <v>396</v>
      </c>
      <c r="T37" s="1419">
        <v>142</v>
      </c>
      <c r="U37" s="1419">
        <v>254</v>
      </c>
    </row>
    <row r="38" spans="1:21" ht="15" customHeight="1" x14ac:dyDescent="0.15">
      <c r="A38" s="1506" t="s">
        <v>9</v>
      </c>
      <c r="B38" s="1504">
        <f t="shared" si="12"/>
        <v>955</v>
      </c>
      <c r="C38" s="1505">
        <f t="shared" si="8"/>
        <v>274</v>
      </c>
      <c r="D38" s="1507">
        <v>128</v>
      </c>
      <c r="E38" s="1507">
        <v>146</v>
      </c>
      <c r="F38" s="1505">
        <f t="shared" si="9"/>
        <v>383</v>
      </c>
      <c r="G38" s="1507">
        <v>182</v>
      </c>
      <c r="H38" s="1507">
        <v>201</v>
      </c>
      <c r="I38" s="1505">
        <f t="shared" si="10"/>
        <v>298</v>
      </c>
      <c r="J38" s="1507">
        <v>107</v>
      </c>
      <c r="K38" s="1507">
        <v>191</v>
      </c>
      <c r="L38" s="1509">
        <f>+M38+P38+S38</f>
        <v>1006</v>
      </c>
      <c r="M38" s="1487">
        <f t="shared" si="11"/>
        <v>306</v>
      </c>
      <c r="N38" s="1489">
        <v>167</v>
      </c>
      <c r="O38" s="1489">
        <v>139</v>
      </c>
      <c r="P38" s="1487">
        <f t="shared" si="13"/>
        <v>383</v>
      </c>
      <c r="Q38" s="1489">
        <v>177</v>
      </c>
      <c r="R38" s="1489">
        <v>206</v>
      </c>
      <c r="S38" s="1487">
        <f t="shared" si="14"/>
        <v>317</v>
      </c>
      <c r="T38" s="1419">
        <v>104</v>
      </c>
      <c r="U38" s="1419">
        <v>213</v>
      </c>
    </row>
    <row r="39" spans="1:21" ht="15" customHeight="1" x14ac:dyDescent="0.15">
      <c r="A39" s="1506" t="s">
        <v>10</v>
      </c>
      <c r="B39" s="1504">
        <f t="shared" si="12"/>
        <v>2304</v>
      </c>
      <c r="C39" s="1505">
        <f t="shared" si="8"/>
        <v>815</v>
      </c>
      <c r="D39" s="1507">
        <v>365</v>
      </c>
      <c r="E39" s="1507">
        <v>450</v>
      </c>
      <c r="F39" s="1505">
        <f t="shared" si="9"/>
        <v>832</v>
      </c>
      <c r="G39" s="1507">
        <v>381</v>
      </c>
      <c r="H39" s="1507">
        <v>451</v>
      </c>
      <c r="I39" s="1505">
        <f t="shared" si="10"/>
        <v>657</v>
      </c>
      <c r="J39" s="1507">
        <v>250</v>
      </c>
      <c r="K39" s="1507">
        <v>407</v>
      </c>
      <c r="L39" s="1509">
        <f t="shared" si="15"/>
        <v>2561</v>
      </c>
      <c r="M39" s="1487">
        <f>+N39+O39</f>
        <v>916</v>
      </c>
      <c r="N39" s="1489">
        <v>409</v>
      </c>
      <c r="O39" s="1489">
        <v>507</v>
      </c>
      <c r="P39" s="1487">
        <f t="shared" si="13"/>
        <v>967</v>
      </c>
      <c r="Q39" s="1489">
        <v>435</v>
      </c>
      <c r="R39" s="1489">
        <v>532</v>
      </c>
      <c r="S39" s="1487">
        <f t="shared" si="14"/>
        <v>678</v>
      </c>
      <c r="T39" s="1419">
        <v>259</v>
      </c>
      <c r="U39" s="1419">
        <v>419</v>
      </c>
    </row>
    <row r="40" spans="1:21" ht="15" customHeight="1" x14ac:dyDescent="0.15">
      <c r="A40" s="1506" t="s">
        <v>11</v>
      </c>
      <c r="B40" s="1504">
        <f t="shared" si="12"/>
        <v>10235</v>
      </c>
      <c r="C40" s="1505">
        <f t="shared" si="8"/>
        <v>3773</v>
      </c>
      <c r="D40" s="1507">
        <v>1758</v>
      </c>
      <c r="E40" s="1507">
        <v>2015</v>
      </c>
      <c r="F40" s="1505">
        <f t="shared" si="9"/>
        <v>3647</v>
      </c>
      <c r="G40" s="1507">
        <v>1597</v>
      </c>
      <c r="H40" s="1507">
        <v>2050</v>
      </c>
      <c r="I40" s="1505">
        <f t="shared" si="10"/>
        <v>2815</v>
      </c>
      <c r="J40" s="1507">
        <v>966</v>
      </c>
      <c r="K40" s="1507">
        <v>1849</v>
      </c>
      <c r="L40" s="1509">
        <f t="shared" si="15"/>
        <v>10498</v>
      </c>
      <c r="M40" s="1487">
        <f t="shared" si="11"/>
        <v>3718</v>
      </c>
      <c r="N40" s="1489">
        <v>1761</v>
      </c>
      <c r="O40" s="1489">
        <v>1957</v>
      </c>
      <c r="P40" s="1487">
        <f t="shared" si="13"/>
        <v>3612</v>
      </c>
      <c r="Q40" s="1489">
        <v>1607</v>
      </c>
      <c r="R40" s="1489">
        <v>2005</v>
      </c>
      <c r="S40" s="1487">
        <f t="shared" si="14"/>
        <v>3168</v>
      </c>
      <c r="T40" s="1419">
        <v>1093</v>
      </c>
      <c r="U40" s="1419">
        <v>2075</v>
      </c>
    </row>
    <row r="41" spans="1:21" ht="15" customHeight="1" x14ac:dyDescent="0.15">
      <c r="A41" s="1506" t="s">
        <v>12</v>
      </c>
      <c r="B41" s="1504">
        <f t="shared" si="12"/>
        <v>1399</v>
      </c>
      <c r="C41" s="1505">
        <f t="shared" si="8"/>
        <v>465</v>
      </c>
      <c r="D41" s="1507">
        <v>209</v>
      </c>
      <c r="E41" s="1507">
        <v>256</v>
      </c>
      <c r="F41" s="1505">
        <f t="shared" si="9"/>
        <v>531</v>
      </c>
      <c r="G41" s="1507">
        <v>229</v>
      </c>
      <c r="H41" s="1507">
        <v>302</v>
      </c>
      <c r="I41" s="1505">
        <f t="shared" si="10"/>
        <v>403</v>
      </c>
      <c r="J41" s="1507">
        <v>150</v>
      </c>
      <c r="K41" s="1507">
        <v>253</v>
      </c>
      <c r="L41" s="1509">
        <f>+M41+P41+S41</f>
        <v>1538</v>
      </c>
      <c r="M41" s="1487">
        <f>+N41+O41</f>
        <v>539</v>
      </c>
      <c r="N41" s="1489">
        <v>242</v>
      </c>
      <c r="O41" s="1489">
        <v>297</v>
      </c>
      <c r="P41" s="1487">
        <f t="shared" si="13"/>
        <v>556</v>
      </c>
      <c r="Q41" s="1489">
        <v>250</v>
      </c>
      <c r="R41" s="1489">
        <v>306</v>
      </c>
      <c r="S41" s="1487">
        <f t="shared" si="14"/>
        <v>443</v>
      </c>
      <c r="T41" s="1419">
        <v>157</v>
      </c>
      <c r="U41" s="1419">
        <v>286</v>
      </c>
    </row>
    <row r="42" spans="1:21" ht="15" customHeight="1" x14ac:dyDescent="0.15">
      <c r="A42" s="1506" t="s">
        <v>13</v>
      </c>
      <c r="B42" s="1504">
        <f t="shared" si="12"/>
        <v>1978</v>
      </c>
      <c r="C42" s="1505">
        <f t="shared" si="8"/>
        <v>669</v>
      </c>
      <c r="D42" s="1507">
        <v>313</v>
      </c>
      <c r="E42" s="1507">
        <v>356</v>
      </c>
      <c r="F42" s="1505">
        <f t="shared" si="9"/>
        <v>832</v>
      </c>
      <c r="G42" s="1507">
        <v>364</v>
      </c>
      <c r="H42" s="1507">
        <v>468</v>
      </c>
      <c r="I42" s="1505">
        <f t="shared" si="10"/>
        <v>477</v>
      </c>
      <c r="J42" s="1507">
        <v>176</v>
      </c>
      <c r="K42" s="1507">
        <v>301</v>
      </c>
      <c r="L42" s="1509">
        <f>+M42+P42+S42</f>
        <v>2066</v>
      </c>
      <c r="M42" s="1487">
        <f t="shared" si="11"/>
        <v>726</v>
      </c>
      <c r="N42" s="1489">
        <v>339</v>
      </c>
      <c r="O42" s="1489">
        <v>387</v>
      </c>
      <c r="P42" s="1487">
        <f t="shared" si="13"/>
        <v>830</v>
      </c>
      <c r="Q42" s="1489">
        <v>374</v>
      </c>
      <c r="R42" s="1489">
        <v>456</v>
      </c>
      <c r="S42" s="1487">
        <f t="shared" si="14"/>
        <v>510</v>
      </c>
      <c r="T42" s="1419">
        <v>195</v>
      </c>
      <c r="U42" s="1419">
        <v>315</v>
      </c>
    </row>
    <row r="43" spans="1:21" ht="15" customHeight="1" x14ac:dyDescent="0.15">
      <c r="A43" s="1506" t="s">
        <v>14</v>
      </c>
      <c r="B43" s="1504">
        <f t="shared" si="12"/>
        <v>6419</v>
      </c>
      <c r="C43" s="1505">
        <f t="shared" si="8"/>
        <v>2514</v>
      </c>
      <c r="D43" s="1507">
        <v>1169</v>
      </c>
      <c r="E43" s="1507">
        <v>1345</v>
      </c>
      <c r="F43" s="1505">
        <f t="shared" si="9"/>
        <v>2677</v>
      </c>
      <c r="G43" s="1507">
        <v>1207</v>
      </c>
      <c r="H43" s="1507">
        <v>1470</v>
      </c>
      <c r="I43" s="1505">
        <f t="shared" si="10"/>
        <v>1228</v>
      </c>
      <c r="J43" s="1507">
        <v>426</v>
      </c>
      <c r="K43" s="1507">
        <v>802</v>
      </c>
      <c r="L43" s="1509">
        <f t="shared" si="15"/>
        <v>7209</v>
      </c>
      <c r="M43" s="1487">
        <f>+N43+O43</f>
        <v>3020</v>
      </c>
      <c r="N43" s="1489">
        <v>1426</v>
      </c>
      <c r="O43" s="1489">
        <v>1594</v>
      </c>
      <c r="P43" s="1487">
        <f t="shared" si="13"/>
        <v>2673</v>
      </c>
      <c r="Q43" s="1489">
        <v>1206</v>
      </c>
      <c r="R43" s="1489">
        <v>1467</v>
      </c>
      <c r="S43" s="1487">
        <f t="shared" si="14"/>
        <v>1516</v>
      </c>
      <c r="T43" s="1419">
        <v>548</v>
      </c>
      <c r="U43" s="1419">
        <v>968</v>
      </c>
    </row>
    <row r="44" spans="1:21" ht="15" customHeight="1" x14ac:dyDescent="0.15">
      <c r="A44" s="1506" t="s">
        <v>15</v>
      </c>
      <c r="B44" s="1504">
        <f t="shared" si="12"/>
        <v>20126</v>
      </c>
      <c r="C44" s="1505">
        <f t="shared" si="8"/>
        <v>7926</v>
      </c>
      <c r="D44" s="1507">
        <v>3649</v>
      </c>
      <c r="E44" s="1507">
        <v>4277</v>
      </c>
      <c r="F44" s="1505">
        <f t="shared" si="9"/>
        <v>7856</v>
      </c>
      <c r="G44" s="1507">
        <v>3559</v>
      </c>
      <c r="H44" s="1507">
        <v>4297</v>
      </c>
      <c r="I44" s="1505">
        <f t="shared" si="10"/>
        <v>4344</v>
      </c>
      <c r="J44" s="1507">
        <v>1542</v>
      </c>
      <c r="K44" s="1507">
        <v>2802</v>
      </c>
      <c r="L44" s="1509">
        <f>+M44+P44+S44</f>
        <v>22753</v>
      </c>
      <c r="M44" s="1487">
        <f t="shared" si="11"/>
        <v>9747</v>
      </c>
      <c r="N44" s="1489">
        <v>4562</v>
      </c>
      <c r="O44" s="1489">
        <v>5185</v>
      </c>
      <c r="P44" s="1487">
        <f t="shared" si="13"/>
        <v>7926</v>
      </c>
      <c r="Q44" s="1489">
        <v>3561</v>
      </c>
      <c r="R44" s="1489">
        <v>4365</v>
      </c>
      <c r="S44" s="1487">
        <f t="shared" si="14"/>
        <v>5080</v>
      </c>
      <c r="T44" s="1419">
        <v>1863</v>
      </c>
      <c r="U44" s="1419">
        <v>3217</v>
      </c>
    </row>
    <row r="45" spans="1:21" ht="15" customHeight="1" x14ac:dyDescent="0.15">
      <c r="A45" s="1506" t="s">
        <v>16</v>
      </c>
      <c r="B45" s="1504">
        <f t="shared" si="12"/>
        <v>3870</v>
      </c>
      <c r="C45" s="1505">
        <f t="shared" si="8"/>
        <v>1520</v>
      </c>
      <c r="D45" s="1507">
        <v>664</v>
      </c>
      <c r="E45" s="1507">
        <v>856</v>
      </c>
      <c r="F45" s="1505">
        <f t="shared" si="9"/>
        <v>1547</v>
      </c>
      <c r="G45" s="1507">
        <v>737</v>
      </c>
      <c r="H45" s="1507">
        <v>810</v>
      </c>
      <c r="I45" s="1505">
        <f t="shared" si="10"/>
        <v>803</v>
      </c>
      <c r="J45" s="1507">
        <v>269</v>
      </c>
      <c r="K45" s="1507">
        <v>534</v>
      </c>
      <c r="L45" s="1509">
        <f t="shared" si="15"/>
        <v>4456</v>
      </c>
      <c r="M45" s="1487">
        <f>+N45+O45</f>
        <v>1755</v>
      </c>
      <c r="N45" s="1489">
        <v>783</v>
      </c>
      <c r="O45" s="1489">
        <v>972</v>
      </c>
      <c r="P45" s="1487">
        <f t="shared" si="13"/>
        <v>1726</v>
      </c>
      <c r="Q45" s="1489">
        <v>816</v>
      </c>
      <c r="R45" s="1489">
        <v>910</v>
      </c>
      <c r="S45" s="1487">
        <f t="shared" si="14"/>
        <v>975</v>
      </c>
      <c r="T45" s="1419">
        <v>332</v>
      </c>
      <c r="U45" s="1419">
        <v>643</v>
      </c>
    </row>
    <row r="46" spans="1:21" ht="15" customHeight="1" x14ac:dyDescent="0.15">
      <c r="A46" s="1506" t="s">
        <v>17</v>
      </c>
      <c r="B46" s="1504">
        <f t="shared" si="12"/>
        <v>8781</v>
      </c>
      <c r="C46" s="1505">
        <f t="shared" si="8"/>
        <v>3781</v>
      </c>
      <c r="D46" s="1507">
        <v>1662</v>
      </c>
      <c r="E46" s="1507">
        <v>2119</v>
      </c>
      <c r="F46" s="1505">
        <f t="shared" si="9"/>
        <v>3550</v>
      </c>
      <c r="G46" s="1507">
        <v>1546</v>
      </c>
      <c r="H46" s="1507">
        <v>2004</v>
      </c>
      <c r="I46" s="1505">
        <f t="shared" si="10"/>
        <v>1450</v>
      </c>
      <c r="J46" s="1507">
        <v>528</v>
      </c>
      <c r="K46" s="1507">
        <v>922</v>
      </c>
      <c r="L46" s="1509">
        <f>+M46+P46+S46</f>
        <v>10536</v>
      </c>
      <c r="M46" s="1487">
        <f t="shared" si="11"/>
        <v>4683</v>
      </c>
      <c r="N46" s="1489">
        <v>2145</v>
      </c>
      <c r="O46" s="1489">
        <v>2538</v>
      </c>
      <c r="P46" s="1487">
        <f t="shared" si="13"/>
        <v>4064</v>
      </c>
      <c r="Q46" s="1489">
        <v>1777</v>
      </c>
      <c r="R46" s="1489">
        <v>2287</v>
      </c>
      <c r="S46" s="1487">
        <f t="shared" si="14"/>
        <v>1789</v>
      </c>
      <c r="T46" s="1419">
        <v>650</v>
      </c>
      <c r="U46" s="1419">
        <v>1139</v>
      </c>
    </row>
    <row r="47" spans="1:21" ht="15" customHeight="1" x14ac:dyDescent="0.15">
      <c r="A47" s="1506" t="s">
        <v>18</v>
      </c>
      <c r="B47" s="1504">
        <f t="shared" si="12"/>
        <v>1672</v>
      </c>
      <c r="C47" s="1505">
        <f t="shared" si="8"/>
        <v>839</v>
      </c>
      <c r="D47" s="1507">
        <v>387</v>
      </c>
      <c r="E47" s="1507">
        <v>452</v>
      </c>
      <c r="F47" s="1505">
        <f t="shared" si="9"/>
        <v>684</v>
      </c>
      <c r="G47" s="1507">
        <v>302</v>
      </c>
      <c r="H47" s="1507">
        <v>382</v>
      </c>
      <c r="I47" s="1505">
        <f t="shared" si="10"/>
        <v>149</v>
      </c>
      <c r="J47" s="1507">
        <v>40</v>
      </c>
      <c r="K47" s="1507">
        <v>109</v>
      </c>
      <c r="L47" s="1509">
        <f t="shared" si="15"/>
        <v>1510</v>
      </c>
      <c r="M47" s="1487">
        <f t="shared" si="11"/>
        <v>820</v>
      </c>
      <c r="N47" s="1489">
        <v>391</v>
      </c>
      <c r="O47" s="1489">
        <v>429</v>
      </c>
      <c r="P47" s="1487">
        <f t="shared" si="13"/>
        <v>634</v>
      </c>
      <c r="Q47" s="1489">
        <v>263</v>
      </c>
      <c r="R47" s="1489">
        <v>371</v>
      </c>
      <c r="S47" s="1487">
        <f t="shared" si="14"/>
        <v>56</v>
      </c>
      <c r="T47" s="1419">
        <v>17</v>
      </c>
      <c r="U47" s="1419">
        <v>39</v>
      </c>
    </row>
    <row r="48" spans="1:21" x14ac:dyDescent="0.15">
      <c r="A48" s="1506" t="s">
        <v>19</v>
      </c>
      <c r="B48" s="1504">
        <f t="shared" si="12"/>
        <v>2047</v>
      </c>
      <c r="C48" s="1505">
        <f t="shared" si="8"/>
        <v>827</v>
      </c>
      <c r="D48" s="1507">
        <v>386</v>
      </c>
      <c r="E48" s="1507">
        <v>441</v>
      </c>
      <c r="F48" s="1505">
        <f t="shared" si="9"/>
        <v>743</v>
      </c>
      <c r="G48" s="1507">
        <v>341</v>
      </c>
      <c r="H48" s="1507">
        <v>402</v>
      </c>
      <c r="I48" s="1505">
        <f t="shared" si="10"/>
        <v>477</v>
      </c>
      <c r="J48" s="1507">
        <v>148</v>
      </c>
      <c r="K48" s="1507">
        <v>329</v>
      </c>
      <c r="L48" s="1509">
        <f>+M48+P48+S48</f>
        <v>1922</v>
      </c>
      <c r="M48" s="1487">
        <f>+N48+O48</f>
        <v>747</v>
      </c>
      <c r="N48" s="1489">
        <v>359</v>
      </c>
      <c r="O48" s="1489">
        <v>388</v>
      </c>
      <c r="P48" s="1487">
        <f t="shared" si="13"/>
        <v>631</v>
      </c>
      <c r="Q48" s="1489">
        <v>293</v>
      </c>
      <c r="R48" s="1489">
        <v>338</v>
      </c>
      <c r="S48" s="1487">
        <f t="shared" si="14"/>
        <v>544</v>
      </c>
      <c r="T48" s="1419">
        <v>174</v>
      </c>
      <c r="U48" s="1419">
        <v>370</v>
      </c>
    </row>
    <row r="49" spans="1:21" ht="12.75" customHeight="1" x14ac:dyDescent="0.15">
      <c r="A49" s="1510"/>
      <c r="B49" s="1484"/>
      <c r="C49" s="1484"/>
      <c r="D49" s="1484"/>
      <c r="E49" s="1484"/>
      <c r="F49" s="1484"/>
      <c r="G49" s="1484"/>
      <c r="H49" s="1484"/>
      <c r="I49" s="1484"/>
      <c r="J49" s="1484"/>
      <c r="K49" s="1484"/>
      <c r="L49" s="1484"/>
      <c r="M49" s="1484"/>
      <c r="N49" s="1484"/>
      <c r="O49" s="1484"/>
      <c r="P49" s="1484"/>
      <c r="Q49" s="1484"/>
      <c r="R49" s="1484"/>
      <c r="S49" s="1484"/>
      <c r="T49" s="1484"/>
      <c r="U49" s="1484"/>
    </row>
    <row r="50" spans="1:21" x14ac:dyDescent="0.15">
      <c r="A50" s="3334" t="s">
        <v>3174</v>
      </c>
      <c r="B50" s="3334"/>
      <c r="C50" s="3334"/>
      <c r="D50" s="3334"/>
      <c r="E50" s="3334"/>
      <c r="F50" s="3334"/>
      <c r="G50" s="3334"/>
      <c r="H50" s="3334"/>
      <c r="I50" s="3334"/>
      <c r="J50" s="3334"/>
      <c r="K50" s="3334"/>
      <c r="L50" s="3334"/>
      <c r="M50" s="3334"/>
      <c r="N50" s="1484"/>
      <c r="O50" s="1484"/>
      <c r="P50" s="1484"/>
      <c r="Q50" s="1484"/>
      <c r="R50" s="1484"/>
      <c r="S50" s="1484"/>
      <c r="T50" s="1484"/>
      <c r="U50" s="1484"/>
    </row>
    <row r="51" spans="1:21" x14ac:dyDescent="0.15">
      <c r="A51" s="2089"/>
    </row>
    <row r="52" spans="1:21" x14ac:dyDescent="0.15">
      <c r="A52" s="2089"/>
    </row>
    <row r="53" spans="1:21" ht="15" customHeight="1" x14ac:dyDescent="0.15">
      <c r="A53" s="1503" t="s">
        <v>3171</v>
      </c>
    </row>
    <row r="54" spans="1:21" ht="19.149999999999999" customHeight="1" x14ac:dyDescent="0.15">
      <c r="A54" s="2351" t="s">
        <v>1</v>
      </c>
      <c r="B54" s="2374">
        <v>2015</v>
      </c>
      <c r="C54" s="2374"/>
      <c r="D54" s="2374"/>
      <c r="E54" s="2374"/>
      <c r="F54" s="2374"/>
      <c r="G54" s="2374"/>
      <c r="H54" s="2374"/>
      <c r="I54" s="2374"/>
      <c r="J54" s="2374"/>
      <c r="K54" s="2374"/>
    </row>
    <row r="55" spans="1:21" x14ac:dyDescent="0.15">
      <c r="A55" s="2351"/>
      <c r="B55" s="2351" t="s">
        <v>3175</v>
      </c>
      <c r="C55" s="2351" t="s">
        <v>3165</v>
      </c>
      <c r="D55" s="2351"/>
      <c r="E55" s="2351"/>
      <c r="F55" s="2351" t="s">
        <v>3166</v>
      </c>
      <c r="G55" s="2351"/>
      <c r="H55" s="2351"/>
      <c r="I55" s="2351" t="s">
        <v>3167</v>
      </c>
      <c r="J55" s="2351"/>
      <c r="K55" s="2351"/>
    </row>
    <row r="56" spans="1:21" x14ac:dyDescent="0.15">
      <c r="A56" s="2351"/>
      <c r="B56" s="2351"/>
      <c r="C56" s="2351" t="s">
        <v>3169</v>
      </c>
      <c r="D56" s="2351"/>
      <c r="E56" s="2351"/>
      <c r="F56" s="2351" t="s">
        <v>3169</v>
      </c>
      <c r="G56" s="2351"/>
      <c r="H56" s="2351"/>
      <c r="I56" s="2351" t="s">
        <v>3169</v>
      </c>
      <c r="J56" s="2351"/>
      <c r="K56" s="2351"/>
    </row>
    <row r="57" spans="1:21" ht="14.25" customHeight="1" x14ac:dyDescent="0.15">
      <c r="A57" s="2351"/>
      <c r="B57" s="2351"/>
      <c r="C57" s="2091" t="s">
        <v>69</v>
      </c>
      <c r="D57" s="2091" t="s">
        <v>966</v>
      </c>
      <c r="E57" s="2091" t="s">
        <v>967</v>
      </c>
      <c r="F57" s="2091" t="s">
        <v>69</v>
      </c>
      <c r="G57" s="2091" t="s">
        <v>966</v>
      </c>
      <c r="H57" s="2091" t="s">
        <v>967</v>
      </c>
      <c r="I57" s="2091" t="s">
        <v>69</v>
      </c>
      <c r="J57" s="2091" t="s">
        <v>966</v>
      </c>
      <c r="K57" s="2091" t="s">
        <v>967</v>
      </c>
    </row>
    <row r="58" spans="1:21" s="2093" customFormat="1" ht="15" customHeight="1" x14ac:dyDescent="0.15">
      <c r="A58" s="2146" t="s">
        <v>141</v>
      </c>
      <c r="B58" s="769">
        <f t="shared" ref="B58:H58" si="16">SUM(B59:B73)</f>
        <v>78223</v>
      </c>
      <c r="C58" s="1511">
        <f t="shared" si="16"/>
        <v>31007</v>
      </c>
      <c r="D58" s="1511">
        <f t="shared" si="16"/>
        <v>14392</v>
      </c>
      <c r="E58" s="1511">
        <f t="shared" si="16"/>
        <v>16615</v>
      </c>
      <c r="F58" s="1511">
        <f t="shared" si="16"/>
        <v>27892</v>
      </c>
      <c r="G58" s="1511">
        <f t="shared" si="16"/>
        <v>12435</v>
      </c>
      <c r="H58" s="1511">
        <f t="shared" si="16"/>
        <v>15457</v>
      </c>
      <c r="I58" s="1511">
        <f>+J58+K58</f>
        <v>19324</v>
      </c>
      <c r="J58" s="1511">
        <f>SUM(J59:J73)</f>
        <v>6808</v>
      </c>
      <c r="K58" s="1511">
        <f>SUM(K59:K73)</f>
        <v>12516</v>
      </c>
    </row>
    <row r="59" spans="1:21" s="2093" customFormat="1" ht="15" customHeight="1" x14ac:dyDescent="0.15">
      <c r="A59" s="2092" t="s">
        <v>5</v>
      </c>
      <c r="B59" s="1511">
        <f>+C59+F59+I59</f>
        <v>3533</v>
      </c>
      <c r="C59" s="1511">
        <f t="shared" ref="C59:C73" si="17">+D59+E59</f>
        <v>1363</v>
      </c>
      <c r="D59" s="1512">
        <v>669</v>
      </c>
      <c r="E59" s="1512">
        <v>694</v>
      </c>
      <c r="F59" s="1511">
        <f t="shared" ref="F59:F73" si="18">+G59+H59</f>
        <v>1118</v>
      </c>
      <c r="G59" s="1512">
        <v>531</v>
      </c>
      <c r="H59" s="1512">
        <v>587</v>
      </c>
      <c r="I59" s="1511">
        <f t="shared" ref="I59:I73" si="19">+J59+K59</f>
        <v>1052</v>
      </c>
      <c r="J59" s="1512">
        <v>318</v>
      </c>
      <c r="K59" s="1512">
        <v>734</v>
      </c>
    </row>
    <row r="60" spans="1:21" s="2093" customFormat="1" ht="15" customHeight="1" x14ac:dyDescent="0.15">
      <c r="A60" s="2092" t="s">
        <v>6</v>
      </c>
      <c r="B60" s="1511">
        <f t="shared" ref="B60:B73" si="20">+C60+F60+I60</f>
        <v>3187</v>
      </c>
      <c r="C60" s="1511">
        <f t="shared" si="17"/>
        <v>1197</v>
      </c>
      <c r="D60" s="1512">
        <v>558</v>
      </c>
      <c r="E60" s="1512">
        <v>639</v>
      </c>
      <c r="F60" s="1511">
        <f t="shared" si="18"/>
        <v>1142</v>
      </c>
      <c r="G60" s="1512">
        <v>501</v>
      </c>
      <c r="H60" s="1512">
        <v>641</v>
      </c>
      <c r="I60" s="1511">
        <f t="shared" si="19"/>
        <v>848</v>
      </c>
      <c r="J60" s="1512">
        <v>273</v>
      </c>
      <c r="K60" s="1512">
        <v>575</v>
      </c>
    </row>
    <row r="61" spans="1:21" s="2093" customFormat="1" ht="15" customHeight="1" x14ac:dyDescent="0.15">
      <c r="A61" s="2092" t="s">
        <v>7</v>
      </c>
      <c r="B61" s="1511">
        <f t="shared" si="20"/>
        <v>1789</v>
      </c>
      <c r="C61" s="1511">
        <f t="shared" si="17"/>
        <v>616</v>
      </c>
      <c r="D61" s="1512">
        <v>291</v>
      </c>
      <c r="E61" s="1512">
        <v>325</v>
      </c>
      <c r="F61" s="1511">
        <f t="shared" si="18"/>
        <v>594</v>
      </c>
      <c r="G61" s="1512">
        <v>258</v>
      </c>
      <c r="H61" s="1512">
        <v>336</v>
      </c>
      <c r="I61" s="1511">
        <f t="shared" si="19"/>
        <v>579</v>
      </c>
      <c r="J61" s="1512">
        <v>202</v>
      </c>
      <c r="K61" s="1512">
        <v>377</v>
      </c>
    </row>
    <row r="62" spans="1:21" s="2093" customFormat="1" ht="15" customHeight="1" x14ac:dyDescent="0.15">
      <c r="A62" s="2092" t="s">
        <v>8</v>
      </c>
      <c r="B62" s="1511">
        <f t="shared" si="20"/>
        <v>2201</v>
      </c>
      <c r="C62" s="1511">
        <f t="shared" si="17"/>
        <v>770</v>
      </c>
      <c r="D62" s="1512">
        <v>358</v>
      </c>
      <c r="E62" s="1512">
        <v>412</v>
      </c>
      <c r="F62" s="1511">
        <f t="shared" si="18"/>
        <v>766</v>
      </c>
      <c r="G62" s="1512">
        <v>352</v>
      </c>
      <c r="H62" s="1512">
        <v>414</v>
      </c>
      <c r="I62" s="769">
        <f t="shared" si="19"/>
        <v>665</v>
      </c>
      <c r="J62" s="771">
        <v>252</v>
      </c>
      <c r="K62" s="771">
        <v>413</v>
      </c>
    </row>
    <row r="63" spans="1:21" s="2093" customFormat="1" ht="15" customHeight="1" x14ac:dyDescent="0.15">
      <c r="A63" s="2092" t="s">
        <v>9</v>
      </c>
      <c r="B63" s="1511">
        <f t="shared" si="20"/>
        <v>1061</v>
      </c>
      <c r="C63" s="1511">
        <f t="shared" si="17"/>
        <v>307</v>
      </c>
      <c r="D63" s="1512">
        <v>159</v>
      </c>
      <c r="E63" s="1512">
        <v>148</v>
      </c>
      <c r="F63" s="1511">
        <f t="shared" si="18"/>
        <v>389</v>
      </c>
      <c r="G63" s="1512">
        <v>177</v>
      </c>
      <c r="H63" s="1512">
        <v>212</v>
      </c>
      <c r="I63" s="1511">
        <f t="shared" si="19"/>
        <v>365</v>
      </c>
      <c r="J63" s="1512">
        <v>142</v>
      </c>
      <c r="K63" s="1512">
        <v>223</v>
      </c>
    </row>
    <row r="64" spans="1:21" s="2093" customFormat="1" ht="15" customHeight="1" x14ac:dyDescent="0.15">
      <c r="A64" s="2092" t="s">
        <v>10</v>
      </c>
      <c r="B64" s="1511">
        <f t="shared" si="20"/>
        <v>2762</v>
      </c>
      <c r="C64" s="1511">
        <f t="shared" si="17"/>
        <v>922</v>
      </c>
      <c r="D64" s="1512">
        <v>415</v>
      </c>
      <c r="E64" s="1512">
        <v>507</v>
      </c>
      <c r="F64" s="1511">
        <f t="shared" si="18"/>
        <v>985</v>
      </c>
      <c r="G64" s="1512">
        <v>410</v>
      </c>
      <c r="H64" s="1512">
        <v>575</v>
      </c>
      <c r="I64" s="1511">
        <f t="shared" si="19"/>
        <v>855</v>
      </c>
      <c r="J64" s="1512">
        <v>322</v>
      </c>
      <c r="K64" s="1512">
        <v>533</v>
      </c>
    </row>
    <row r="65" spans="1:11" s="2093" customFormat="1" ht="15" customHeight="1" x14ac:dyDescent="0.15">
      <c r="A65" s="2092" t="s">
        <v>11</v>
      </c>
      <c r="B65" s="1511">
        <f t="shared" si="20"/>
        <v>11181</v>
      </c>
      <c r="C65" s="1511">
        <f t="shared" si="17"/>
        <v>3742</v>
      </c>
      <c r="D65" s="1512">
        <v>1735</v>
      </c>
      <c r="E65" s="1512">
        <v>2007</v>
      </c>
      <c r="F65" s="1511">
        <f t="shared" si="18"/>
        <v>3673</v>
      </c>
      <c r="G65" s="1512">
        <v>1625</v>
      </c>
      <c r="H65" s="1512">
        <v>2048</v>
      </c>
      <c r="I65" s="1511">
        <f t="shared" si="19"/>
        <v>3766</v>
      </c>
      <c r="J65" s="1512">
        <v>1306</v>
      </c>
      <c r="K65" s="1512">
        <v>2460</v>
      </c>
    </row>
    <row r="66" spans="1:11" s="2093" customFormat="1" ht="15" customHeight="1" x14ac:dyDescent="0.15">
      <c r="A66" s="2092" t="s">
        <v>12</v>
      </c>
      <c r="B66" s="1511">
        <f t="shared" si="20"/>
        <v>1590</v>
      </c>
      <c r="C66" s="1511">
        <f t="shared" si="17"/>
        <v>541</v>
      </c>
      <c r="D66" s="1512">
        <v>245</v>
      </c>
      <c r="E66" s="1512">
        <v>296</v>
      </c>
      <c r="F66" s="1511">
        <f t="shared" si="18"/>
        <v>564</v>
      </c>
      <c r="G66" s="1512">
        <v>241</v>
      </c>
      <c r="H66" s="1512">
        <v>323</v>
      </c>
      <c r="I66" s="1511">
        <f t="shared" si="19"/>
        <v>485</v>
      </c>
      <c r="J66" s="1512">
        <v>169</v>
      </c>
      <c r="K66" s="1512">
        <v>316</v>
      </c>
    </row>
    <row r="67" spans="1:11" s="2093" customFormat="1" ht="15" customHeight="1" x14ac:dyDescent="0.15">
      <c r="A67" s="2092" t="s">
        <v>13</v>
      </c>
      <c r="B67" s="1511">
        <f t="shared" si="20"/>
        <v>2124</v>
      </c>
      <c r="C67" s="1511">
        <f t="shared" si="17"/>
        <v>729</v>
      </c>
      <c r="D67" s="1512">
        <v>355</v>
      </c>
      <c r="E67" s="1512">
        <v>374</v>
      </c>
      <c r="F67" s="1511">
        <f t="shared" si="18"/>
        <v>837</v>
      </c>
      <c r="G67" s="1512">
        <v>369</v>
      </c>
      <c r="H67" s="1512">
        <v>468</v>
      </c>
      <c r="I67" s="1511">
        <f t="shared" si="19"/>
        <v>558</v>
      </c>
      <c r="J67" s="1512">
        <v>215</v>
      </c>
      <c r="K67" s="1512">
        <v>343</v>
      </c>
    </row>
    <row r="68" spans="1:11" s="2093" customFormat="1" ht="15" customHeight="1" x14ac:dyDescent="0.15">
      <c r="A68" s="2092" t="s">
        <v>14</v>
      </c>
      <c r="B68" s="1511">
        <f t="shared" si="20"/>
        <v>7203</v>
      </c>
      <c r="C68" s="1511">
        <f t="shared" si="17"/>
        <v>3028</v>
      </c>
      <c r="D68" s="1512">
        <v>1399</v>
      </c>
      <c r="E68" s="1512">
        <v>1629</v>
      </c>
      <c r="F68" s="1511">
        <f t="shared" si="18"/>
        <v>2694</v>
      </c>
      <c r="G68" s="1512">
        <v>1213</v>
      </c>
      <c r="H68" s="1512">
        <v>1481</v>
      </c>
      <c r="I68" s="1511">
        <f t="shared" si="19"/>
        <v>1481</v>
      </c>
      <c r="J68" s="1512">
        <v>523</v>
      </c>
      <c r="K68" s="1512">
        <v>958</v>
      </c>
    </row>
    <row r="69" spans="1:11" s="2093" customFormat="1" ht="15" customHeight="1" x14ac:dyDescent="0.15">
      <c r="A69" s="2092" t="s">
        <v>15</v>
      </c>
      <c r="B69" s="1511">
        <f t="shared" si="20"/>
        <v>22939</v>
      </c>
      <c r="C69" s="1511">
        <f t="shared" si="17"/>
        <v>9762</v>
      </c>
      <c r="D69" s="1512">
        <v>4540</v>
      </c>
      <c r="E69" s="1512">
        <v>5222</v>
      </c>
      <c r="F69" s="1511">
        <f>+G69+H69</f>
        <v>7997</v>
      </c>
      <c r="G69" s="1512">
        <v>3652</v>
      </c>
      <c r="H69" s="1512">
        <v>4345</v>
      </c>
      <c r="I69" s="1511">
        <f t="shared" si="19"/>
        <v>5180</v>
      </c>
      <c r="J69" s="1512">
        <v>1895</v>
      </c>
      <c r="K69" s="1512">
        <v>3285</v>
      </c>
    </row>
    <row r="70" spans="1:11" s="2093" customFormat="1" ht="15" customHeight="1" x14ac:dyDescent="0.15">
      <c r="A70" s="2092" t="s">
        <v>16</v>
      </c>
      <c r="B70" s="1511">
        <f t="shared" si="20"/>
        <v>4524</v>
      </c>
      <c r="C70" s="1511">
        <f t="shared" si="17"/>
        <v>1759</v>
      </c>
      <c r="D70" s="1512">
        <v>810</v>
      </c>
      <c r="E70" s="1512">
        <v>949</v>
      </c>
      <c r="F70" s="1511">
        <f t="shared" si="18"/>
        <v>1745</v>
      </c>
      <c r="G70" s="1512">
        <v>796</v>
      </c>
      <c r="H70" s="1512">
        <v>949</v>
      </c>
      <c r="I70" s="1511">
        <f t="shared" si="19"/>
        <v>1020</v>
      </c>
      <c r="J70" s="1512">
        <v>352</v>
      </c>
      <c r="K70" s="1512">
        <v>668</v>
      </c>
    </row>
    <row r="71" spans="1:11" s="2093" customFormat="1" ht="15" customHeight="1" x14ac:dyDescent="0.15">
      <c r="A71" s="2092" t="s">
        <v>17</v>
      </c>
      <c r="B71" s="1511">
        <f t="shared" si="20"/>
        <v>10757</v>
      </c>
      <c r="C71" s="1511">
        <f>+D71+E71</f>
        <v>4697</v>
      </c>
      <c r="D71" s="1512">
        <v>2129</v>
      </c>
      <c r="E71" s="1512">
        <v>2568</v>
      </c>
      <c r="F71" s="1511">
        <f t="shared" si="18"/>
        <v>4110</v>
      </c>
      <c r="G71" s="1512">
        <v>1768</v>
      </c>
      <c r="H71" s="1512">
        <v>2342</v>
      </c>
      <c r="I71" s="1511">
        <f t="shared" si="19"/>
        <v>1950</v>
      </c>
      <c r="J71" s="1512">
        <v>670</v>
      </c>
      <c r="K71" s="1512">
        <v>1280</v>
      </c>
    </row>
    <row r="72" spans="1:11" s="2093" customFormat="1" ht="15" customHeight="1" x14ac:dyDescent="0.15">
      <c r="A72" s="2092" t="s">
        <v>18</v>
      </c>
      <c r="B72" s="1511">
        <f t="shared" si="20"/>
        <v>1511</v>
      </c>
      <c r="C72" s="1511">
        <f t="shared" si="17"/>
        <v>823</v>
      </c>
      <c r="D72" s="1512">
        <v>381</v>
      </c>
      <c r="E72" s="1512">
        <v>442</v>
      </c>
      <c r="F72" s="1511">
        <f t="shared" si="18"/>
        <v>641</v>
      </c>
      <c r="G72" s="1512">
        <v>271</v>
      </c>
      <c r="H72" s="1512">
        <v>370</v>
      </c>
      <c r="I72" s="1511">
        <f t="shared" si="19"/>
        <v>47</v>
      </c>
      <c r="J72" s="1512">
        <v>15</v>
      </c>
      <c r="K72" s="1512">
        <v>32</v>
      </c>
    </row>
    <row r="73" spans="1:11" s="2093" customFormat="1" ht="15" customHeight="1" x14ac:dyDescent="0.15">
      <c r="A73" s="2092" t="s">
        <v>19</v>
      </c>
      <c r="B73" s="1511">
        <f t="shared" si="20"/>
        <v>1861</v>
      </c>
      <c r="C73" s="1511">
        <f t="shared" si="17"/>
        <v>751</v>
      </c>
      <c r="D73" s="1512">
        <v>348</v>
      </c>
      <c r="E73" s="1512">
        <v>403</v>
      </c>
      <c r="F73" s="1511">
        <f t="shared" si="18"/>
        <v>637</v>
      </c>
      <c r="G73" s="1512">
        <v>271</v>
      </c>
      <c r="H73" s="1512">
        <v>366</v>
      </c>
      <c r="I73" s="1511">
        <f t="shared" si="19"/>
        <v>473</v>
      </c>
      <c r="J73" s="1512">
        <v>154</v>
      </c>
      <c r="K73" s="1512">
        <v>319</v>
      </c>
    </row>
    <row r="74" spans="1:11" s="2093" customFormat="1" x14ac:dyDescent="0.15">
      <c r="A74" s="2356"/>
      <c r="B74" s="2357"/>
      <c r="C74" s="2357"/>
      <c r="D74" s="2357"/>
      <c r="E74" s="2357"/>
      <c r="F74" s="2357"/>
      <c r="G74" s="2357"/>
      <c r="H74" s="2357"/>
      <c r="I74" s="2357"/>
      <c r="J74" s="2357"/>
      <c r="K74" s="2357"/>
    </row>
    <row r="75" spans="1:11" s="2093" customFormat="1" x14ac:dyDescent="0.15">
      <c r="A75" s="2463" t="s">
        <v>3170</v>
      </c>
      <c r="B75" s="2408"/>
      <c r="C75" s="2408"/>
      <c r="D75" s="2408"/>
      <c r="E75" s="2408"/>
      <c r="F75" s="2408"/>
      <c r="G75" s="2408"/>
      <c r="H75" s="2408"/>
      <c r="I75" s="2408"/>
      <c r="J75" s="2408"/>
      <c r="K75" s="2408"/>
    </row>
    <row r="76" spans="1:11" s="2093" customFormat="1" x14ac:dyDescent="0.15"/>
  </sheetData>
  <mergeCells count="50">
    <mergeCell ref="A29:A32"/>
    <mergeCell ref="B29:K29"/>
    <mergeCell ref="L29:U29"/>
    <mergeCell ref="A74:K74"/>
    <mergeCell ref="A75:K75"/>
    <mergeCell ref="A50:M50"/>
    <mergeCell ref="A54:A57"/>
    <mergeCell ref="B54:K54"/>
    <mergeCell ref="B55:B57"/>
    <mergeCell ref="C55:E55"/>
    <mergeCell ref="F55:H55"/>
    <mergeCell ref="I55:K55"/>
    <mergeCell ref="C56:E56"/>
    <mergeCell ref="F56:H56"/>
    <mergeCell ref="I56:K56"/>
    <mergeCell ref="B30:B32"/>
    <mergeCell ref="P30:R30"/>
    <mergeCell ref="S30:U30"/>
    <mergeCell ref="C31:E31"/>
    <mergeCell ref="F31:H31"/>
    <mergeCell ref="I31:K31"/>
    <mergeCell ref="M31:O31"/>
    <mergeCell ref="P31:R31"/>
    <mergeCell ref="S31:U31"/>
    <mergeCell ref="C30:E30"/>
    <mergeCell ref="F30:H30"/>
    <mergeCell ref="I30:K30"/>
    <mergeCell ref="L30:L32"/>
    <mergeCell ref="M30:O30"/>
    <mergeCell ref="M6:O6"/>
    <mergeCell ref="P6:R6"/>
    <mergeCell ref="S6:U6"/>
    <mergeCell ref="A24:K24"/>
    <mergeCell ref="A25:K25"/>
    <mergeCell ref="A2:K2"/>
    <mergeCell ref="A3:K3"/>
    <mergeCell ref="A4:A7"/>
    <mergeCell ref="B4:K4"/>
    <mergeCell ref="L4:U4"/>
    <mergeCell ref="B5:B7"/>
    <mergeCell ref="C5:E5"/>
    <mergeCell ref="F5:H5"/>
    <mergeCell ref="I5:K5"/>
    <mergeCell ref="L5:L7"/>
    <mergeCell ref="M5:O5"/>
    <mergeCell ref="P5:R5"/>
    <mergeCell ref="S5:U5"/>
    <mergeCell ref="C6:E6"/>
    <mergeCell ref="F6:H6"/>
    <mergeCell ref="I6:K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M48"/>
  <sheetViews>
    <sheetView topLeftCell="A3" zoomScale="80" zoomScaleNormal="80" workbookViewId="0">
      <selection activeCell="A24" sqref="A24:L24"/>
    </sheetView>
  </sheetViews>
  <sheetFormatPr baseColWidth="10" defaultColWidth="9.140625" defaultRowHeight="10.5" x14ac:dyDescent="0.15"/>
  <cols>
    <col min="1" max="1" width="21.28515625" style="2135" customWidth="1"/>
    <col min="2" max="2" width="18.85546875" style="2135" bestFit="1" customWidth="1"/>
    <col min="3" max="3" width="18" style="2135" customWidth="1"/>
    <col min="4" max="4" width="22" style="2135" bestFit="1" customWidth="1"/>
    <col min="5" max="5" width="20.85546875" style="2135" bestFit="1" customWidth="1"/>
    <col min="6" max="6" width="20.7109375" style="2135" customWidth="1"/>
    <col min="7" max="7" width="18.28515625" style="2135" customWidth="1"/>
    <col min="8" max="8" width="21.7109375" style="2135" bestFit="1" customWidth="1"/>
    <col min="9" max="9" width="20.7109375" style="2135" bestFit="1" customWidth="1"/>
    <col min="10" max="10" width="20.5703125" style="2135" customWidth="1"/>
    <col min="11" max="12" width="20.7109375" style="2135" bestFit="1" customWidth="1"/>
    <col min="13" max="13" width="20.5703125" style="2135" customWidth="1"/>
    <col min="14" max="16384" width="9.140625" style="2135"/>
  </cols>
  <sheetData>
    <row r="1" spans="1:13" ht="15" customHeight="1" x14ac:dyDescent="0.15"/>
    <row r="2" spans="1:13" ht="15" customHeight="1" x14ac:dyDescent="0.15">
      <c r="A2" s="2458" t="s">
        <v>3176</v>
      </c>
      <c r="B2" s="2458"/>
      <c r="C2" s="2458"/>
      <c r="D2" s="2458"/>
      <c r="E2" s="2458"/>
      <c r="F2" s="2458"/>
      <c r="G2" s="2458"/>
      <c r="H2" s="2458"/>
      <c r="I2" s="2458"/>
      <c r="J2" s="2458"/>
      <c r="K2" s="2458"/>
      <c r="L2" s="2458"/>
    </row>
    <row r="3" spans="1:13" ht="10.5" customHeight="1" x14ac:dyDescent="0.15">
      <c r="A3" s="3336"/>
      <c r="B3" s="3336"/>
      <c r="C3" s="3336"/>
      <c r="D3" s="3336"/>
      <c r="E3" s="3336"/>
      <c r="F3" s="3336"/>
      <c r="G3" s="3336"/>
      <c r="H3" s="3336"/>
      <c r="I3" s="3336"/>
      <c r="J3" s="3336"/>
      <c r="K3" s="3336"/>
      <c r="L3" s="3336"/>
    </row>
    <row r="4" spans="1:13" ht="13.5" customHeight="1" x14ac:dyDescent="0.15">
      <c r="A4" s="2785" t="s">
        <v>1</v>
      </c>
      <c r="B4" s="3328">
        <v>2011</v>
      </c>
      <c r="C4" s="3328"/>
      <c r="D4" s="3328"/>
      <c r="E4" s="3328"/>
      <c r="F4" s="3328">
        <v>2012</v>
      </c>
      <c r="G4" s="3328"/>
      <c r="H4" s="3328"/>
      <c r="I4" s="3328"/>
      <c r="J4" s="3328">
        <v>2013</v>
      </c>
      <c r="K4" s="3328"/>
      <c r="L4" s="3328"/>
      <c r="M4" s="3328"/>
    </row>
    <row r="5" spans="1:13" ht="13.5" customHeight="1" x14ac:dyDescent="0.15">
      <c r="A5" s="2785"/>
      <c r="B5" s="2785" t="s">
        <v>3177</v>
      </c>
      <c r="C5" s="3328" t="s">
        <v>3178</v>
      </c>
      <c r="D5" s="3328"/>
      <c r="E5" s="3328"/>
      <c r="F5" s="3328" t="s">
        <v>3179</v>
      </c>
      <c r="G5" s="3328" t="s">
        <v>3178</v>
      </c>
      <c r="H5" s="3328"/>
      <c r="I5" s="3328"/>
      <c r="J5" s="3328" t="s">
        <v>3180</v>
      </c>
      <c r="K5" s="3328" t="s">
        <v>3178</v>
      </c>
      <c r="L5" s="3328"/>
      <c r="M5" s="3328"/>
    </row>
    <row r="6" spans="1:13" ht="13.5" customHeight="1" x14ac:dyDescent="0.15">
      <c r="A6" s="2785"/>
      <c r="B6" s="2785"/>
      <c r="C6" s="2132" t="s">
        <v>1980</v>
      </c>
      <c r="D6" s="2132" t="s">
        <v>3181</v>
      </c>
      <c r="E6" s="2132" t="s">
        <v>3182</v>
      </c>
      <c r="F6" s="3328"/>
      <c r="G6" s="2132" t="s">
        <v>1980</v>
      </c>
      <c r="H6" s="2132" t="s">
        <v>3181</v>
      </c>
      <c r="I6" s="2132" t="s">
        <v>3182</v>
      </c>
      <c r="J6" s="3328"/>
      <c r="K6" s="2132" t="s">
        <v>1980</v>
      </c>
      <c r="L6" s="2132" t="s">
        <v>3181</v>
      </c>
      <c r="M6" s="2132" t="s">
        <v>3182</v>
      </c>
    </row>
    <row r="7" spans="1:13" ht="12" customHeight="1" x14ac:dyDescent="0.15">
      <c r="A7" s="767" t="s">
        <v>141</v>
      </c>
      <c r="B7" s="1513">
        <f>SUM(C7:E7)</f>
        <v>13492785644</v>
      </c>
      <c r="C7" s="1514">
        <f>SUM(C8:C22)</f>
        <v>2250825500</v>
      </c>
      <c r="D7" s="1514">
        <f>SUM(D8:D22)</f>
        <v>4162514544</v>
      </c>
      <c r="E7" s="1514">
        <f>SUM(E8:E22)</f>
        <v>7079445600</v>
      </c>
      <c r="F7" s="1514">
        <f t="shared" ref="F7:F21" si="0">SUM(G7:I7)</f>
        <v>14831648956</v>
      </c>
      <c r="G7" s="1514">
        <f t="shared" ref="G7:M7" si="1">SUM(G8:G22)</f>
        <v>2287577000</v>
      </c>
      <c r="H7" s="1514">
        <f>SUM(H8:H22)</f>
        <v>4543366089</v>
      </c>
      <c r="I7" s="1514">
        <f t="shared" si="1"/>
        <v>8000705867</v>
      </c>
      <c r="J7" s="1514">
        <f t="shared" ref="J7:J21" si="2">SUM(K7:M7)</f>
        <v>16687652500</v>
      </c>
      <c r="K7" s="1514">
        <f t="shared" si="1"/>
        <v>2504868000</v>
      </c>
      <c r="L7" s="1514">
        <f t="shared" si="1"/>
        <v>5145283500</v>
      </c>
      <c r="M7" s="1514">
        <f t="shared" si="1"/>
        <v>9037501000</v>
      </c>
    </row>
    <row r="8" spans="1:13" ht="12" customHeight="1" x14ac:dyDescent="0.15">
      <c r="A8" s="2106" t="s">
        <v>5</v>
      </c>
      <c r="B8" s="1513">
        <f t="shared" ref="B8:B22" si="3">SUM(C8:E8)</f>
        <v>756425500</v>
      </c>
      <c r="C8" s="405">
        <v>112948000</v>
      </c>
      <c r="D8" s="405">
        <v>200334000</v>
      </c>
      <c r="E8" s="405">
        <v>443143500</v>
      </c>
      <c r="F8" s="1514">
        <f t="shared" si="0"/>
        <v>865698400</v>
      </c>
      <c r="G8" s="405">
        <v>116039500</v>
      </c>
      <c r="H8" s="405">
        <v>230249000</v>
      </c>
      <c r="I8" s="405">
        <v>519409900</v>
      </c>
      <c r="J8" s="1514">
        <f t="shared" si="2"/>
        <v>922181150</v>
      </c>
      <c r="K8" s="405">
        <v>124588750</v>
      </c>
      <c r="L8" s="405">
        <v>257848000</v>
      </c>
      <c r="M8" s="405">
        <v>539744400</v>
      </c>
    </row>
    <row r="9" spans="1:13" ht="12.75" customHeight="1" x14ac:dyDescent="0.15">
      <c r="A9" s="2106" t="s">
        <v>6</v>
      </c>
      <c r="B9" s="1513">
        <f t="shared" si="3"/>
        <v>604914950</v>
      </c>
      <c r="C9" s="405">
        <v>109815750</v>
      </c>
      <c r="D9" s="405">
        <v>175630000</v>
      </c>
      <c r="E9" s="405">
        <v>319469200</v>
      </c>
      <c r="F9" s="1514">
        <f t="shared" si="0"/>
        <v>663602300</v>
      </c>
      <c r="G9" s="405">
        <v>112106500</v>
      </c>
      <c r="H9" s="405">
        <v>194640500</v>
      </c>
      <c r="I9" s="405">
        <v>356855300</v>
      </c>
      <c r="J9" s="1514">
        <f t="shared" si="2"/>
        <v>724553400</v>
      </c>
      <c r="K9" s="405">
        <v>116968500</v>
      </c>
      <c r="L9" s="405">
        <v>222625500</v>
      </c>
      <c r="M9" s="405">
        <v>384959400</v>
      </c>
    </row>
    <row r="10" spans="1:13" ht="12.75" customHeight="1" x14ac:dyDescent="0.15">
      <c r="A10" s="2106" t="s">
        <v>7</v>
      </c>
      <c r="B10" s="1513">
        <f t="shared" si="3"/>
        <v>373598800</v>
      </c>
      <c r="C10" s="405">
        <v>66291500</v>
      </c>
      <c r="D10" s="405">
        <v>110722000</v>
      </c>
      <c r="E10" s="405">
        <v>196585300</v>
      </c>
      <c r="F10" s="1514">
        <f t="shared" si="0"/>
        <v>410205000</v>
      </c>
      <c r="G10" s="405">
        <v>62271000</v>
      </c>
      <c r="H10" s="405">
        <v>118791500</v>
      </c>
      <c r="I10" s="405">
        <v>229142500</v>
      </c>
      <c r="J10" s="1514">
        <f t="shared" si="2"/>
        <v>413600000</v>
      </c>
      <c r="K10" s="405">
        <v>57970000</v>
      </c>
      <c r="L10" s="405">
        <v>101904000</v>
      </c>
      <c r="M10" s="405">
        <v>253726000</v>
      </c>
    </row>
    <row r="11" spans="1:13" ht="12.75" customHeight="1" x14ac:dyDescent="0.15">
      <c r="A11" s="2106" t="s">
        <v>8</v>
      </c>
      <c r="B11" s="1513">
        <f t="shared" si="3"/>
        <v>284037800</v>
      </c>
      <c r="C11" s="405">
        <v>38428500</v>
      </c>
      <c r="D11" s="405">
        <v>86246000</v>
      </c>
      <c r="E11" s="405">
        <v>159363300</v>
      </c>
      <c r="F11" s="1514">
        <f t="shared" si="0"/>
        <v>324856350</v>
      </c>
      <c r="G11" s="405">
        <v>40158250</v>
      </c>
      <c r="H11" s="405">
        <v>99684500</v>
      </c>
      <c r="I11" s="405">
        <v>185013600</v>
      </c>
      <c r="J11" s="1514">
        <f t="shared" si="2"/>
        <v>379635250</v>
      </c>
      <c r="K11" s="405">
        <v>46796750</v>
      </c>
      <c r="L11" s="405">
        <v>123423500</v>
      </c>
      <c r="M11" s="405">
        <v>209415000</v>
      </c>
    </row>
    <row r="12" spans="1:13" ht="12.75" customHeight="1" x14ac:dyDescent="0.15">
      <c r="A12" s="2106" t="s">
        <v>9</v>
      </c>
      <c r="B12" s="1513">
        <f t="shared" si="3"/>
        <v>216050300</v>
      </c>
      <c r="C12" s="405">
        <v>20944000</v>
      </c>
      <c r="D12" s="405">
        <v>67936000</v>
      </c>
      <c r="E12" s="405">
        <v>127170300</v>
      </c>
      <c r="F12" s="1514">
        <f t="shared" si="0"/>
        <v>254706000</v>
      </c>
      <c r="G12" s="405">
        <v>21972500</v>
      </c>
      <c r="H12" s="405">
        <v>72182000</v>
      </c>
      <c r="I12" s="405">
        <v>160551500</v>
      </c>
      <c r="J12" s="1514">
        <f t="shared" si="2"/>
        <v>277326500</v>
      </c>
      <c r="K12" s="405">
        <v>25432000</v>
      </c>
      <c r="L12" s="405">
        <v>73436500</v>
      </c>
      <c r="M12" s="405">
        <v>178458000</v>
      </c>
    </row>
    <row r="13" spans="1:13" ht="12.75" customHeight="1" x14ac:dyDescent="0.15">
      <c r="A13" s="2106" t="s">
        <v>10</v>
      </c>
      <c r="B13" s="1513">
        <f t="shared" si="3"/>
        <v>497462100</v>
      </c>
      <c r="C13" s="405">
        <v>66385000</v>
      </c>
      <c r="D13" s="405">
        <v>141276000</v>
      </c>
      <c r="E13" s="405">
        <v>289801100</v>
      </c>
      <c r="F13" s="1514">
        <f t="shared" si="0"/>
        <v>550496450</v>
      </c>
      <c r="G13" s="405">
        <v>62598250</v>
      </c>
      <c r="H13" s="405">
        <v>152470000</v>
      </c>
      <c r="I13" s="405">
        <v>335428200</v>
      </c>
      <c r="J13" s="1514">
        <f t="shared" si="2"/>
        <v>619808950</v>
      </c>
      <c r="K13" s="405">
        <v>75781750</v>
      </c>
      <c r="L13" s="405">
        <v>159128500</v>
      </c>
      <c r="M13" s="405">
        <v>384898700</v>
      </c>
    </row>
    <row r="14" spans="1:13" ht="12.75" customHeight="1" x14ac:dyDescent="0.15">
      <c r="A14" s="2106" t="s">
        <v>11</v>
      </c>
      <c r="B14" s="1513">
        <f t="shared" si="3"/>
        <v>2338513300</v>
      </c>
      <c r="C14" s="405">
        <v>311261500</v>
      </c>
      <c r="D14" s="405">
        <v>650217000</v>
      </c>
      <c r="E14" s="405">
        <v>1377034800</v>
      </c>
      <c r="F14" s="1514">
        <f t="shared" si="0"/>
        <v>2503969150</v>
      </c>
      <c r="G14" s="405">
        <v>307007250</v>
      </c>
      <c r="H14" s="405">
        <v>706959000</v>
      </c>
      <c r="I14" s="405">
        <v>1490002900</v>
      </c>
      <c r="J14" s="1514">
        <f t="shared" si="2"/>
        <v>2718504650</v>
      </c>
      <c r="K14" s="405">
        <v>347960250</v>
      </c>
      <c r="L14" s="405">
        <v>698563500</v>
      </c>
      <c r="M14" s="405">
        <v>1671980900</v>
      </c>
    </row>
    <row r="15" spans="1:13" ht="12.75" customHeight="1" x14ac:dyDescent="0.15">
      <c r="A15" s="2106" t="s">
        <v>12</v>
      </c>
      <c r="B15" s="1513">
        <f t="shared" si="3"/>
        <v>340950950</v>
      </c>
      <c r="C15" s="405">
        <v>46609750</v>
      </c>
      <c r="D15" s="405">
        <v>106436000</v>
      </c>
      <c r="E15" s="405">
        <v>187905200</v>
      </c>
      <c r="F15" s="1514">
        <f t="shared" si="0"/>
        <v>363771100</v>
      </c>
      <c r="G15" s="405">
        <v>39924500</v>
      </c>
      <c r="H15" s="405">
        <v>103930500</v>
      </c>
      <c r="I15" s="405">
        <v>219916100</v>
      </c>
      <c r="J15" s="1514">
        <f t="shared" si="2"/>
        <v>385850000</v>
      </c>
      <c r="K15" s="405">
        <v>43477500</v>
      </c>
      <c r="L15" s="405">
        <v>102000500</v>
      </c>
      <c r="M15" s="405">
        <v>240372000</v>
      </c>
    </row>
    <row r="16" spans="1:13" ht="12.75" customHeight="1" x14ac:dyDescent="0.15">
      <c r="A16" s="2106" t="s">
        <v>13</v>
      </c>
      <c r="B16" s="1513">
        <f t="shared" si="3"/>
        <v>457499250</v>
      </c>
      <c r="C16" s="405">
        <v>59045250</v>
      </c>
      <c r="D16" s="405">
        <v>150250500</v>
      </c>
      <c r="E16" s="405">
        <v>248203500</v>
      </c>
      <c r="F16" s="1514">
        <f t="shared" si="0"/>
        <v>473556800</v>
      </c>
      <c r="G16" s="405">
        <v>60962000</v>
      </c>
      <c r="H16" s="405">
        <v>151022500</v>
      </c>
      <c r="I16" s="405">
        <v>261572300</v>
      </c>
      <c r="J16" s="1514">
        <f t="shared" si="2"/>
        <v>496633550</v>
      </c>
      <c r="K16" s="405">
        <v>62317750</v>
      </c>
      <c r="L16" s="405">
        <v>157584500</v>
      </c>
      <c r="M16" s="405">
        <v>276731300</v>
      </c>
    </row>
    <row r="17" spans="1:13" ht="12.75" customHeight="1" x14ac:dyDescent="0.15">
      <c r="A17" s="2106" t="s">
        <v>14</v>
      </c>
      <c r="B17" s="1513">
        <f t="shared" si="3"/>
        <v>1215344600</v>
      </c>
      <c r="C17" s="405">
        <v>214208500</v>
      </c>
      <c r="D17" s="405">
        <v>381654000</v>
      </c>
      <c r="E17" s="405">
        <v>619482100</v>
      </c>
      <c r="F17" s="1514">
        <f t="shared" si="0"/>
        <v>1289065900</v>
      </c>
      <c r="G17" s="405">
        <v>216733000</v>
      </c>
      <c r="H17" s="405">
        <v>404817500</v>
      </c>
      <c r="I17" s="405">
        <v>667515400</v>
      </c>
      <c r="J17" s="1514">
        <f t="shared" si="2"/>
        <v>1462088300</v>
      </c>
      <c r="K17" s="405">
        <v>233282500</v>
      </c>
      <c r="L17" s="405">
        <v>514731000</v>
      </c>
      <c r="M17" s="405">
        <v>714074800</v>
      </c>
    </row>
    <row r="18" spans="1:13" ht="12.75" customHeight="1" x14ac:dyDescent="0.15">
      <c r="A18" s="2106" t="s">
        <v>15</v>
      </c>
      <c r="B18" s="1513">
        <f t="shared" si="3"/>
        <v>3534450666</v>
      </c>
      <c r="C18" s="405">
        <v>654780500</v>
      </c>
      <c r="D18" s="405">
        <v>1132725866</v>
      </c>
      <c r="E18" s="405">
        <v>1746944300</v>
      </c>
      <c r="F18" s="1514">
        <f t="shared" si="0"/>
        <v>3952737200</v>
      </c>
      <c r="G18" s="405">
        <v>695359500</v>
      </c>
      <c r="H18" s="405">
        <v>1264536000</v>
      </c>
      <c r="I18" s="405">
        <v>1992841700</v>
      </c>
      <c r="J18" s="1514">
        <f t="shared" si="2"/>
        <v>4781242250</v>
      </c>
      <c r="K18" s="405">
        <v>736639750</v>
      </c>
      <c r="L18" s="405">
        <v>1509163500</v>
      </c>
      <c r="M18" s="405">
        <v>2535439000</v>
      </c>
    </row>
    <row r="19" spans="1:13" ht="12.75" customHeight="1" x14ac:dyDescent="0.15">
      <c r="A19" s="2106" t="s">
        <v>16</v>
      </c>
      <c r="B19" s="1513">
        <f t="shared" si="3"/>
        <v>743641478</v>
      </c>
      <c r="C19" s="405">
        <v>131928500</v>
      </c>
      <c r="D19" s="405">
        <v>240801178</v>
      </c>
      <c r="E19" s="405">
        <v>370911800</v>
      </c>
      <c r="F19" s="1514">
        <f t="shared" si="0"/>
        <v>811040289</v>
      </c>
      <c r="G19" s="405">
        <v>124168000</v>
      </c>
      <c r="H19" s="405">
        <v>258573089</v>
      </c>
      <c r="I19" s="405">
        <v>428299200</v>
      </c>
      <c r="J19" s="1514">
        <f t="shared" si="2"/>
        <v>903677050</v>
      </c>
      <c r="K19" s="405">
        <v>140203250</v>
      </c>
      <c r="L19" s="405">
        <v>296448000</v>
      </c>
      <c r="M19" s="405">
        <v>467025800</v>
      </c>
    </row>
    <row r="20" spans="1:13" ht="12.75" customHeight="1" x14ac:dyDescent="0.15">
      <c r="A20" s="2106" t="s">
        <v>17</v>
      </c>
      <c r="B20" s="1513">
        <f t="shared" si="3"/>
        <v>1427657150</v>
      </c>
      <c r="C20" s="405">
        <v>282136250</v>
      </c>
      <c r="D20" s="405">
        <v>488712500</v>
      </c>
      <c r="E20" s="405">
        <v>656808400</v>
      </c>
      <c r="F20" s="1514">
        <f t="shared" si="0"/>
        <v>1593594550</v>
      </c>
      <c r="G20" s="405">
        <v>288681250</v>
      </c>
      <c r="H20" s="405">
        <v>537119000</v>
      </c>
      <c r="I20" s="405">
        <v>767794300</v>
      </c>
      <c r="J20" s="1514">
        <f t="shared" si="2"/>
        <v>1837593950</v>
      </c>
      <c r="K20" s="405">
        <v>338610250</v>
      </c>
      <c r="L20" s="405">
        <v>656103500</v>
      </c>
      <c r="M20" s="405">
        <v>842880200</v>
      </c>
    </row>
    <row r="21" spans="1:13" ht="12.75" customHeight="1" x14ac:dyDescent="0.15">
      <c r="A21" s="2106" t="s">
        <v>18</v>
      </c>
      <c r="B21" s="1513">
        <f t="shared" si="3"/>
        <v>289823700</v>
      </c>
      <c r="C21" s="405">
        <v>69470500</v>
      </c>
      <c r="D21" s="405">
        <v>105281500</v>
      </c>
      <c r="E21" s="405">
        <v>115071700</v>
      </c>
      <c r="F21" s="1514">
        <f t="shared" si="0"/>
        <v>319828317</v>
      </c>
      <c r="G21" s="405">
        <v>70919750</v>
      </c>
      <c r="H21" s="405">
        <v>116089500</v>
      </c>
      <c r="I21" s="405">
        <v>132819067</v>
      </c>
      <c r="J21" s="1514">
        <f t="shared" si="2"/>
        <v>271405500</v>
      </c>
      <c r="K21" s="405">
        <v>78169000</v>
      </c>
      <c r="L21" s="405">
        <v>131626000</v>
      </c>
      <c r="M21" s="405">
        <v>61610500</v>
      </c>
    </row>
    <row r="22" spans="1:13" ht="12.75" customHeight="1" x14ac:dyDescent="0.15">
      <c r="A22" s="2106" t="s">
        <v>19</v>
      </c>
      <c r="B22" s="1513">
        <f t="shared" si="3"/>
        <v>412415100</v>
      </c>
      <c r="C22" s="405">
        <v>66572000</v>
      </c>
      <c r="D22" s="405">
        <v>124292000</v>
      </c>
      <c r="E22" s="405">
        <v>221551100</v>
      </c>
      <c r="F22" s="1514">
        <f>SUM(G22:I22)</f>
        <v>454521150</v>
      </c>
      <c r="G22" s="405">
        <v>68675750</v>
      </c>
      <c r="H22" s="405">
        <v>132301500</v>
      </c>
      <c r="I22" s="405">
        <v>253543900</v>
      </c>
      <c r="J22" s="1514">
        <f>SUM(K22:M22)</f>
        <v>493552000</v>
      </c>
      <c r="K22" s="405">
        <v>76670000</v>
      </c>
      <c r="L22" s="405">
        <v>140697000</v>
      </c>
      <c r="M22" s="405">
        <v>276185000</v>
      </c>
    </row>
    <row r="23" spans="1:13" ht="10.5" customHeight="1" x14ac:dyDescent="0.15">
      <c r="A23" s="1515"/>
      <c r="B23" s="2106"/>
      <c r="C23" s="2106"/>
      <c r="D23" s="2106"/>
      <c r="E23" s="2106"/>
      <c r="F23" s="2106"/>
      <c r="G23" s="2106"/>
      <c r="H23" s="2106"/>
      <c r="I23" s="2106"/>
      <c r="J23" s="2106"/>
      <c r="K23" s="2106"/>
      <c r="L23" s="2106"/>
    </row>
    <row r="24" spans="1:13" ht="10.5" customHeight="1" x14ac:dyDescent="0.15">
      <c r="A24" s="3337" t="s">
        <v>3152</v>
      </c>
      <c r="B24" s="2462"/>
      <c r="C24" s="2462"/>
      <c r="D24" s="2462"/>
      <c r="E24" s="2462"/>
      <c r="F24" s="2462"/>
      <c r="G24" s="2462"/>
      <c r="H24" s="2462"/>
      <c r="I24" s="2462"/>
      <c r="J24" s="2462"/>
      <c r="K24" s="2462"/>
      <c r="L24" s="2462"/>
    </row>
    <row r="25" spans="1:13" ht="13.5" customHeight="1" x14ac:dyDescent="0.15">
      <c r="A25" s="2088"/>
      <c r="B25" s="2088"/>
      <c r="C25" s="2088"/>
      <c r="D25" s="2088"/>
      <c r="E25" s="2088"/>
      <c r="F25" s="2088"/>
      <c r="G25" s="2088"/>
      <c r="H25" s="2088"/>
      <c r="I25" s="2088"/>
      <c r="J25" s="2088"/>
      <c r="K25" s="2088"/>
      <c r="L25" s="2088"/>
    </row>
    <row r="26" spans="1:13" ht="13.5" customHeight="1" x14ac:dyDescent="0.15">
      <c r="A26" s="2109"/>
    </row>
    <row r="27" spans="1:13" ht="15" customHeight="1" x14ac:dyDescent="0.15">
      <c r="A27" s="3338" t="s">
        <v>3183</v>
      </c>
      <c r="B27" s="3338"/>
      <c r="C27" s="3338"/>
      <c r="D27" s="3338"/>
      <c r="E27" s="3338"/>
      <c r="F27" s="3338"/>
      <c r="G27" s="3338"/>
      <c r="H27" s="3338"/>
    </row>
    <row r="28" spans="1:13" ht="13.5" customHeight="1" x14ac:dyDescent="0.15">
      <c r="A28" s="2785" t="s">
        <v>1</v>
      </c>
      <c r="B28" s="3328">
        <v>2014</v>
      </c>
      <c r="C28" s="3328"/>
      <c r="D28" s="3328"/>
      <c r="E28" s="3328"/>
      <c r="F28" s="2785">
        <v>2015</v>
      </c>
      <c r="G28" s="2785"/>
      <c r="H28" s="2785"/>
      <c r="I28" s="2785"/>
    </row>
    <row r="29" spans="1:13" ht="13.5" customHeight="1" x14ac:dyDescent="0.15">
      <c r="A29" s="2785"/>
      <c r="B29" s="2900" t="s">
        <v>3184</v>
      </c>
      <c r="C29" s="3328" t="s">
        <v>3178</v>
      </c>
      <c r="D29" s="3328"/>
      <c r="E29" s="3328"/>
      <c r="F29" s="2900" t="s">
        <v>3185</v>
      </c>
      <c r="G29" s="2785" t="s">
        <v>3178</v>
      </c>
      <c r="H29" s="2785"/>
      <c r="I29" s="2785"/>
    </row>
    <row r="30" spans="1:13" ht="13.5" customHeight="1" x14ac:dyDescent="0.15">
      <c r="A30" s="2785"/>
      <c r="B30" s="2900"/>
      <c r="C30" s="2132" t="s">
        <v>1980</v>
      </c>
      <c r="D30" s="2132" t="s">
        <v>3181</v>
      </c>
      <c r="E30" s="2132" t="s">
        <v>3182</v>
      </c>
      <c r="F30" s="2900"/>
      <c r="G30" s="2133" t="s">
        <v>1980</v>
      </c>
      <c r="H30" s="2133" t="s">
        <v>3181</v>
      </c>
      <c r="I30" s="2133" t="s">
        <v>3182</v>
      </c>
    </row>
    <row r="31" spans="1:13" ht="12" customHeight="1" x14ac:dyDescent="0.15">
      <c r="A31" s="767" t="s">
        <v>141</v>
      </c>
      <c r="B31" s="1516">
        <f t="shared" ref="B31:B45" si="4">SUM(C31:E31)</f>
        <v>19777256855</v>
      </c>
      <c r="C31" s="1514">
        <f t="shared" ref="C31:E31" si="5">SUM(C32:C46)</f>
        <v>2901196949.999999</v>
      </c>
      <c r="D31" s="1514">
        <f t="shared" si="5"/>
        <v>5323102499.9999971</v>
      </c>
      <c r="E31" s="1514">
        <f t="shared" si="5"/>
        <v>11552957405.000004</v>
      </c>
      <c r="F31" s="1516">
        <f t="shared" ref="F31:F45" si="6">SUM(G31:I31)</f>
        <v>20829604508</v>
      </c>
      <c r="G31" s="1517">
        <f>SUM(G32:G46)</f>
        <v>3061978000</v>
      </c>
      <c r="H31" s="1517">
        <f>SUM(H32:H46)</f>
        <v>5669840460</v>
      </c>
      <c r="I31" s="1517">
        <f>SUM(I32:I46)</f>
        <v>12097786048</v>
      </c>
    </row>
    <row r="32" spans="1:13" ht="12" customHeight="1" x14ac:dyDescent="0.15">
      <c r="A32" s="2106" t="s">
        <v>5</v>
      </c>
      <c r="B32" s="1516">
        <f t="shared" si="4"/>
        <v>1082037785.5200217</v>
      </c>
      <c r="C32" s="405">
        <v>153670905.76889598</v>
      </c>
      <c r="D32" s="405">
        <v>281954654.155994</v>
      </c>
      <c r="E32" s="405">
        <v>646412225.59513175</v>
      </c>
      <c r="F32" s="1516">
        <f t="shared" si="6"/>
        <v>1020751266</v>
      </c>
      <c r="G32" s="1518">
        <v>134665183</v>
      </c>
      <c r="H32" s="1518">
        <v>227294476</v>
      </c>
      <c r="I32" s="1518">
        <v>658791607</v>
      </c>
    </row>
    <row r="33" spans="1:9" ht="12" customHeight="1" x14ac:dyDescent="0.15">
      <c r="A33" s="2106" t="s">
        <v>6</v>
      </c>
      <c r="B33" s="1516">
        <f t="shared" si="4"/>
        <v>981874344.03479564</v>
      </c>
      <c r="C33" s="405">
        <v>131484935.663743</v>
      </c>
      <c r="D33" s="405">
        <v>241247940.697032</v>
      </c>
      <c r="E33" s="405">
        <v>609141467.67402065</v>
      </c>
      <c r="F33" s="1516">
        <f t="shared" si="6"/>
        <v>880511043</v>
      </c>
      <c r="G33" s="1518">
        <v>118264287</v>
      </c>
      <c r="H33" s="1518">
        <v>230855491</v>
      </c>
      <c r="I33" s="1518">
        <v>531391265</v>
      </c>
    </row>
    <row r="34" spans="1:9" ht="12" customHeight="1" x14ac:dyDescent="0.15">
      <c r="A34" s="2106" t="s">
        <v>7</v>
      </c>
      <c r="B34" s="1516">
        <f t="shared" si="4"/>
        <v>537608668.33007514</v>
      </c>
      <c r="C34" s="405">
        <v>76516949.330015495</v>
      </c>
      <c r="D34" s="405">
        <v>140392938.25639102</v>
      </c>
      <c r="E34" s="405">
        <v>320698780.74366862</v>
      </c>
      <c r="F34" s="1516">
        <f t="shared" si="6"/>
        <v>544308061</v>
      </c>
      <c r="G34" s="1518">
        <v>59329745</v>
      </c>
      <c r="H34" s="1518">
        <v>119951813</v>
      </c>
      <c r="I34" s="1518">
        <v>365026503</v>
      </c>
    </row>
    <row r="35" spans="1:9" ht="12" customHeight="1" x14ac:dyDescent="0.15">
      <c r="A35" s="2106" t="s">
        <v>8</v>
      </c>
      <c r="B35" s="1516">
        <f t="shared" si="4"/>
        <v>386272009.55814201</v>
      </c>
      <c r="C35" s="405">
        <v>61622341.586666003</v>
      </c>
      <c r="D35" s="405">
        <v>113064382.11850299</v>
      </c>
      <c r="E35" s="405">
        <v>211585285.85297301</v>
      </c>
      <c r="F35" s="1516">
        <f t="shared" si="6"/>
        <v>645836469</v>
      </c>
      <c r="G35" s="1518">
        <v>76076442</v>
      </c>
      <c r="H35" s="1518">
        <v>155870697</v>
      </c>
      <c r="I35" s="1518">
        <v>413889330</v>
      </c>
    </row>
    <row r="36" spans="1:9" ht="12" customHeight="1" x14ac:dyDescent="0.15">
      <c r="A36" s="2106" t="s">
        <v>9</v>
      </c>
      <c r="B36" s="1516">
        <f t="shared" si="4"/>
        <v>274067006.78167599</v>
      </c>
      <c r="C36" s="405">
        <v>43722170.624929599</v>
      </c>
      <c r="D36" s="405">
        <v>80221232.742916405</v>
      </c>
      <c r="E36" s="405">
        <v>150123603.41382998</v>
      </c>
      <c r="F36" s="1516">
        <f t="shared" si="6"/>
        <v>342463909</v>
      </c>
      <c r="G36" s="1518">
        <v>30331776</v>
      </c>
      <c r="H36" s="1518">
        <v>79054524</v>
      </c>
      <c r="I36" s="1518">
        <v>233077609</v>
      </c>
    </row>
    <row r="37" spans="1:9" ht="12" customHeight="1" x14ac:dyDescent="0.15">
      <c r="A37" s="2106" t="s">
        <v>10</v>
      </c>
      <c r="B37" s="1516">
        <f t="shared" si="4"/>
        <v>651345016.11726499</v>
      </c>
      <c r="C37" s="405">
        <v>103909690.78982401</v>
      </c>
      <c r="D37" s="405">
        <v>190653011.274378</v>
      </c>
      <c r="E37" s="405">
        <v>356782314.05306298</v>
      </c>
      <c r="F37" s="1516">
        <f t="shared" si="6"/>
        <v>829831460</v>
      </c>
      <c r="G37" s="1518">
        <v>91044729</v>
      </c>
      <c r="H37" s="1518">
        <v>200332508</v>
      </c>
      <c r="I37" s="1518">
        <v>538454223</v>
      </c>
    </row>
    <row r="38" spans="1:9" ht="12" customHeight="1" x14ac:dyDescent="0.15">
      <c r="A38" s="2106" t="s">
        <v>11</v>
      </c>
      <c r="B38" s="1516">
        <f t="shared" si="4"/>
        <v>2808933258.0437279</v>
      </c>
      <c r="C38" s="405">
        <v>436760502.254372</v>
      </c>
      <c r="D38" s="405">
        <v>801366112.51142597</v>
      </c>
      <c r="E38" s="405">
        <v>1570806643.27793</v>
      </c>
      <c r="F38" s="1516">
        <f t="shared" si="6"/>
        <v>3498367756</v>
      </c>
      <c r="G38" s="1518">
        <v>369810550</v>
      </c>
      <c r="H38" s="1518">
        <v>745879948</v>
      </c>
      <c r="I38" s="1518">
        <v>2382677258</v>
      </c>
    </row>
    <row r="39" spans="1:9" ht="12" customHeight="1" x14ac:dyDescent="0.15">
      <c r="A39" s="2106" t="s">
        <v>12</v>
      </c>
      <c r="B39" s="1516">
        <f t="shared" si="4"/>
        <v>397378009.832955</v>
      </c>
      <c r="C39" s="405">
        <v>63394092.388333</v>
      </c>
      <c r="D39" s="405">
        <v>116315182.14493001</v>
      </c>
      <c r="E39" s="405">
        <v>217668735.299692</v>
      </c>
      <c r="F39" s="1516">
        <f t="shared" si="6"/>
        <v>470886512</v>
      </c>
      <c r="G39" s="1518">
        <v>53451111</v>
      </c>
      <c r="H39" s="1518">
        <v>114562927</v>
      </c>
      <c r="I39" s="1518">
        <v>302872474</v>
      </c>
    </row>
    <row r="40" spans="1:9" ht="12" customHeight="1" x14ac:dyDescent="0.15">
      <c r="A40" s="2106" t="s">
        <v>13</v>
      </c>
      <c r="B40" s="1516">
        <f t="shared" si="4"/>
        <v>500029012.37301272</v>
      </c>
      <c r="C40" s="405">
        <v>79770104.592719704</v>
      </c>
      <c r="D40" s="405">
        <v>146361812.21091101</v>
      </c>
      <c r="E40" s="405">
        <v>273897095.56938201</v>
      </c>
      <c r="F40" s="1516">
        <f t="shared" si="6"/>
        <v>589070883</v>
      </c>
      <c r="G40" s="1518">
        <v>72025619</v>
      </c>
      <c r="H40" s="1518">
        <v>170318242</v>
      </c>
      <c r="I40" s="1518">
        <v>346727022</v>
      </c>
    </row>
    <row r="41" spans="1:9" ht="12" customHeight="1" x14ac:dyDescent="0.15">
      <c r="A41" s="2106" t="s">
        <v>14</v>
      </c>
      <c r="B41" s="1516">
        <f t="shared" si="4"/>
        <v>1918829900.3075387</v>
      </c>
      <c r="C41" s="405">
        <v>266820150.95995799</v>
      </c>
      <c r="D41" s="405">
        <v>489560356.32993799</v>
      </c>
      <c r="E41" s="405">
        <v>1162449393.0176427</v>
      </c>
      <c r="F41" s="1516">
        <f t="shared" si="6"/>
        <v>1767241525</v>
      </c>
      <c r="G41" s="1518">
        <v>299168139</v>
      </c>
      <c r="H41" s="1518">
        <v>548091021</v>
      </c>
      <c r="I41" s="1518">
        <v>919982365</v>
      </c>
    </row>
    <row r="42" spans="1:9" ht="12" customHeight="1" x14ac:dyDescent="0.15">
      <c r="A42" s="2106" t="s">
        <v>15</v>
      </c>
      <c r="B42" s="1516">
        <f t="shared" si="4"/>
        <v>6111247705.7149258</v>
      </c>
      <c r="C42" s="405">
        <v>864724627.10435808</v>
      </c>
      <c r="D42" s="405">
        <v>1586592673.1898601</v>
      </c>
      <c r="E42" s="405">
        <v>3659930405.4207082</v>
      </c>
      <c r="F42" s="1516">
        <f t="shared" si="6"/>
        <v>5842225366</v>
      </c>
      <c r="G42" s="1518">
        <v>964441807</v>
      </c>
      <c r="H42" s="1518">
        <v>1627281938</v>
      </c>
      <c r="I42" s="1518">
        <v>3250501621</v>
      </c>
    </row>
    <row r="43" spans="1:9" ht="12" customHeight="1" x14ac:dyDescent="0.15">
      <c r="A43" s="2106" t="s">
        <v>16</v>
      </c>
      <c r="B43" s="1516">
        <f t="shared" si="4"/>
        <v>1159206216.3293712</v>
      </c>
      <c r="C43" s="405">
        <v>166811151.58482501</v>
      </c>
      <c r="D43" s="405">
        <v>306064315.29202497</v>
      </c>
      <c r="E43" s="405">
        <v>686330749.4525212</v>
      </c>
      <c r="F43" s="1516">
        <f t="shared" si="6"/>
        <v>1167648573</v>
      </c>
      <c r="G43" s="1518">
        <v>173691410</v>
      </c>
      <c r="H43" s="1518">
        <v>355080521</v>
      </c>
      <c r="I43" s="1518">
        <v>638876642</v>
      </c>
    </row>
    <row r="44" spans="1:9" ht="12" customHeight="1" x14ac:dyDescent="0.15">
      <c r="A44" s="2106" t="s">
        <v>17</v>
      </c>
      <c r="B44" s="1516">
        <f t="shared" si="4"/>
        <v>2240632453.3633752</v>
      </c>
      <c r="C44" s="405">
        <v>340169134.55798197</v>
      </c>
      <c r="D44" s="405">
        <v>624140725.98154008</v>
      </c>
      <c r="E44" s="405">
        <v>1276322592.823853</v>
      </c>
      <c r="F44" s="1516">
        <f t="shared" si="6"/>
        <v>2506788763</v>
      </c>
      <c r="G44" s="1518">
        <v>464165098</v>
      </c>
      <c r="H44" s="1518">
        <v>835821003</v>
      </c>
      <c r="I44" s="1518">
        <v>1206802662</v>
      </c>
    </row>
    <row r="45" spans="1:9" ht="12" customHeight="1" x14ac:dyDescent="0.15">
      <c r="A45" s="2106" t="s">
        <v>18</v>
      </c>
      <c r="B45" s="1516">
        <f t="shared" si="4"/>
        <v>208012005.14717168</v>
      </c>
      <c r="C45" s="405">
        <v>33184353.300590198</v>
      </c>
      <c r="D45" s="405">
        <v>60886495.146513499</v>
      </c>
      <c r="E45" s="405">
        <v>113941156.700068</v>
      </c>
      <c r="F45" s="1516">
        <f t="shared" si="6"/>
        <v>240732553</v>
      </c>
      <c r="G45" s="1518">
        <v>81312873</v>
      </c>
      <c r="H45" s="1518">
        <v>130333135</v>
      </c>
      <c r="I45" s="1518">
        <v>29086545</v>
      </c>
    </row>
    <row r="46" spans="1:9" ht="12" customHeight="1" x14ac:dyDescent="0.15">
      <c r="A46" s="2106" t="s">
        <v>19</v>
      </c>
      <c r="B46" s="1516">
        <f>SUM(C46:E46)</f>
        <v>519783463.5459491</v>
      </c>
      <c r="C46" s="405">
        <v>78635839.492786989</v>
      </c>
      <c r="D46" s="405">
        <v>144280667.94763902</v>
      </c>
      <c r="E46" s="405">
        <v>296866956.10552311</v>
      </c>
      <c r="F46" s="1516">
        <f>SUM(G46:I46)</f>
        <v>482940369</v>
      </c>
      <c r="G46" s="1518">
        <v>74199231</v>
      </c>
      <c r="H46" s="1518">
        <v>129112216</v>
      </c>
      <c r="I46" s="1518">
        <v>279628922</v>
      </c>
    </row>
    <row r="47" spans="1:9" ht="10.5" customHeight="1" x14ac:dyDescent="0.15">
      <c r="A47" s="2106"/>
      <c r="B47" s="2106"/>
      <c r="C47" s="2106"/>
      <c r="D47" s="2106"/>
      <c r="E47" s="2106"/>
      <c r="F47" s="2106"/>
      <c r="G47" s="2106"/>
      <c r="H47" s="2106"/>
      <c r="I47" s="2134"/>
    </row>
    <row r="48" spans="1:9" ht="10.5" customHeight="1" x14ac:dyDescent="0.15">
      <c r="A48" s="2462" t="s">
        <v>3152</v>
      </c>
      <c r="B48" s="2462"/>
      <c r="C48" s="2462"/>
      <c r="D48" s="2462"/>
      <c r="E48" s="2462"/>
      <c r="F48" s="2462"/>
      <c r="G48" s="2462"/>
      <c r="H48" s="2462"/>
      <c r="I48" s="2134"/>
    </row>
  </sheetData>
  <mergeCells count="22">
    <mergeCell ref="G29:I29"/>
    <mergeCell ref="A48:H48"/>
    <mergeCell ref="J5:J6"/>
    <mergeCell ref="K5:M5"/>
    <mergeCell ref="A24:L24"/>
    <mergeCell ref="A27:H27"/>
    <mergeCell ref="A28:A30"/>
    <mergeCell ref="B28:E28"/>
    <mergeCell ref="F28:I28"/>
    <mergeCell ref="B29:B30"/>
    <mergeCell ref="C29:E29"/>
    <mergeCell ref="F29:F30"/>
    <mergeCell ref="A2:L2"/>
    <mergeCell ref="A3:L3"/>
    <mergeCell ref="A4:A6"/>
    <mergeCell ref="B4:E4"/>
    <mergeCell ref="F4:I4"/>
    <mergeCell ref="J4:M4"/>
    <mergeCell ref="B5:B6"/>
    <mergeCell ref="C5:E5"/>
    <mergeCell ref="F5:F6"/>
    <mergeCell ref="G5:I5"/>
  </mergeCells>
  <conditionalFormatting sqref="G31:I46">
    <cfRule type="expression" dxfId="0"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U21"/>
  <sheetViews>
    <sheetView workbookViewId="0">
      <selection activeCell="L34" sqref="L34"/>
    </sheetView>
  </sheetViews>
  <sheetFormatPr baseColWidth="10" defaultColWidth="9.140625" defaultRowHeight="10.5" x14ac:dyDescent="0.15"/>
  <cols>
    <col min="1" max="1" width="25.140625" style="99" customWidth="1"/>
    <col min="2" max="20" width="11.42578125" style="99" customWidth="1"/>
    <col min="21" max="21" width="11.28515625" style="99" customWidth="1"/>
    <col min="22" max="16384" width="9.140625" style="99"/>
  </cols>
  <sheetData>
    <row r="1" spans="1:21" ht="15" customHeight="1" x14ac:dyDescent="0.15"/>
    <row r="2" spans="1:21" ht="15" customHeight="1" x14ac:dyDescent="0.15">
      <c r="A2" s="2416" t="s">
        <v>3186</v>
      </c>
      <c r="B2" s="2416"/>
      <c r="C2" s="2416"/>
      <c r="D2" s="2416"/>
      <c r="E2" s="2416"/>
      <c r="F2" s="2416"/>
      <c r="G2" s="2416"/>
      <c r="H2" s="2416"/>
      <c r="I2" s="2416"/>
      <c r="J2" s="2416"/>
      <c r="K2" s="2416"/>
      <c r="L2" s="2416"/>
      <c r="M2" s="2416"/>
      <c r="N2" s="2416"/>
      <c r="O2" s="2416"/>
      <c r="P2" s="2416"/>
      <c r="Q2" s="2416"/>
      <c r="R2" s="2416"/>
      <c r="S2" s="2416"/>
      <c r="T2" s="2416"/>
    </row>
    <row r="3" spans="1:21" ht="10.5" customHeight="1" x14ac:dyDescent="0.15">
      <c r="A3" s="3339"/>
      <c r="B3" s="3339"/>
      <c r="C3" s="3339"/>
      <c r="D3" s="3339"/>
      <c r="E3" s="3339"/>
      <c r="F3" s="3339"/>
      <c r="G3" s="3339"/>
      <c r="H3" s="3339"/>
      <c r="I3" s="3339"/>
      <c r="J3" s="3339"/>
      <c r="K3" s="3339"/>
      <c r="L3" s="3339"/>
      <c r="M3" s="3339"/>
      <c r="N3" s="3339"/>
      <c r="O3" s="3339"/>
      <c r="P3" s="3339"/>
      <c r="Q3" s="3339"/>
      <c r="R3" s="3339"/>
      <c r="S3" s="3339"/>
      <c r="T3" s="3339"/>
    </row>
    <row r="4" spans="1:21" ht="11.25" customHeight="1" x14ac:dyDescent="0.15">
      <c r="A4" s="2785" t="s">
        <v>3187</v>
      </c>
      <c r="B4" s="3328">
        <v>2011</v>
      </c>
      <c r="C4" s="3328"/>
      <c r="D4" s="3328"/>
      <c r="E4" s="3328"/>
      <c r="F4" s="3326">
        <v>2012</v>
      </c>
      <c r="G4" s="3332"/>
      <c r="H4" s="3332"/>
      <c r="I4" s="3333"/>
      <c r="J4" s="3326">
        <v>2013</v>
      </c>
      <c r="K4" s="3332"/>
      <c r="L4" s="3332"/>
      <c r="M4" s="3333"/>
      <c r="N4" s="3326">
        <v>2014</v>
      </c>
      <c r="O4" s="3332"/>
      <c r="P4" s="3332"/>
      <c r="Q4" s="3333"/>
      <c r="R4" s="1519"/>
      <c r="S4" s="2786">
        <v>2015</v>
      </c>
      <c r="T4" s="3340"/>
      <c r="U4" s="3340"/>
    </row>
    <row r="5" spans="1:21" ht="33" customHeight="1" x14ac:dyDescent="0.15">
      <c r="A5" s="2785"/>
      <c r="B5" s="766" t="s">
        <v>3177</v>
      </c>
      <c r="C5" s="1520" t="s">
        <v>3165</v>
      </c>
      <c r="D5" s="1520" t="s">
        <v>3166</v>
      </c>
      <c r="E5" s="1520" t="s">
        <v>3188</v>
      </c>
      <c r="F5" s="1521" t="s">
        <v>3179</v>
      </c>
      <c r="G5" s="1520" t="s">
        <v>3165</v>
      </c>
      <c r="H5" s="1520" t="s">
        <v>3166</v>
      </c>
      <c r="I5" s="1520" t="s">
        <v>3188</v>
      </c>
      <c r="J5" s="1520" t="s">
        <v>3180</v>
      </c>
      <c r="K5" s="1520" t="s">
        <v>3165</v>
      </c>
      <c r="L5" s="1520" t="s">
        <v>3166</v>
      </c>
      <c r="M5" s="1520" t="s">
        <v>3188</v>
      </c>
      <c r="N5" s="1520" t="s">
        <v>3184</v>
      </c>
      <c r="O5" s="1520" t="s">
        <v>3165</v>
      </c>
      <c r="P5" s="1520" t="s">
        <v>3166</v>
      </c>
      <c r="Q5" s="1520" t="s">
        <v>3188</v>
      </c>
      <c r="R5" s="1520" t="s">
        <v>3184</v>
      </c>
      <c r="S5" s="1522" t="s">
        <v>3165</v>
      </c>
      <c r="T5" s="1522" t="s">
        <v>3166</v>
      </c>
      <c r="U5" s="1522" t="s">
        <v>3188</v>
      </c>
    </row>
    <row r="6" spans="1:21" ht="11.25" customHeight="1" x14ac:dyDescent="0.15">
      <c r="A6" s="768" t="s">
        <v>141</v>
      </c>
      <c r="B6" s="768">
        <f>SUM(C6:E6)</f>
        <v>58115</v>
      </c>
      <c r="C6" s="1505">
        <f>SUM(C7:C15)</f>
        <v>24059</v>
      </c>
      <c r="D6" s="1505">
        <f>SUM(D7:D15)</f>
        <v>21668</v>
      </c>
      <c r="E6" s="1505">
        <f>SUM(E7:E15)</f>
        <v>12388</v>
      </c>
      <c r="F6" s="1505">
        <f t="shared" ref="F6:F14" si="0">SUM(G6:I6)</f>
        <v>63283</v>
      </c>
      <c r="G6" s="1505">
        <f t="shared" ref="G6:U6" si="1">SUM(G7:G15)</f>
        <v>25183</v>
      </c>
      <c r="H6" s="1505">
        <f t="shared" si="1"/>
        <v>24258</v>
      </c>
      <c r="I6" s="1505">
        <f t="shared" si="1"/>
        <v>13842</v>
      </c>
      <c r="J6" s="1505">
        <f t="shared" ref="J6:J14" si="2">SUM(K6:M6)</f>
        <v>69599</v>
      </c>
      <c r="K6" s="1505">
        <f t="shared" si="1"/>
        <v>27135</v>
      </c>
      <c r="L6" s="1505">
        <f t="shared" si="1"/>
        <v>26982</v>
      </c>
      <c r="M6" s="1505">
        <f t="shared" si="1"/>
        <v>15482</v>
      </c>
      <c r="N6" s="1505">
        <f t="shared" ref="N6:N14" si="3">SUM(O6:Q6)</f>
        <v>76176</v>
      </c>
      <c r="O6" s="1505">
        <f t="shared" si="1"/>
        <v>30761</v>
      </c>
      <c r="P6" s="1505">
        <f t="shared" si="1"/>
        <v>27459</v>
      </c>
      <c r="Q6" s="1505">
        <f t="shared" si="1"/>
        <v>17956</v>
      </c>
      <c r="R6" s="1505">
        <f t="shared" ref="R6:R14" si="4">SUM(S6:U6)</f>
        <v>78223</v>
      </c>
      <c r="S6" s="1505">
        <f t="shared" si="1"/>
        <v>31007</v>
      </c>
      <c r="T6" s="1505">
        <f t="shared" si="1"/>
        <v>27892</v>
      </c>
      <c r="U6" s="1505">
        <f t="shared" si="1"/>
        <v>19324</v>
      </c>
    </row>
    <row r="7" spans="1:21" ht="11.25" customHeight="1" x14ac:dyDescent="0.15">
      <c r="A7" s="770" t="s">
        <v>3158</v>
      </c>
      <c r="B7" s="768">
        <f t="shared" ref="B7:B15" si="5">SUM(C7:E7)</f>
        <v>1097</v>
      </c>
      <c r="C7" s="1507">
        <v>462</v>
      </c>
      <c r="D7" s="1507">
        <v>420</v>
      </c>
      <c r="E7" s="1507">
        <v>215</v>
      </c>
      <c r="F7" s="1505">
        <f t="shared" si="0"/>
        <v>1122</v>
      </c>
      <c r="G7" s="1507">
        <v>444</v>
      </c>
      <c r="H7" s="1507">
        <v>425</v>
      </c>
      <c r="I7" s="1507">
        <v>253</v>
      </c>
      <c r="J7" s="1505">
        <f t="shared" si="2"/>
        <v>1018</v>
      </c>
      <c r="K7" s="1507">
        <v>404</v>
      </c>
      <c r="L7" s="1507">
        <v>357</v>
      </c>
      <c r="M7" s="1507">
        <v>257</v>
      </c>
      <c r="N7" s="1505">
        <f t="shared" si="3"/>
        <v>1076</v>
      </c>
      <c r="O7" s="1507">
        <v>412</v>
      </c>
      <c r="P7" s="1507">
        <v>381</v>
      </c>
      <c r="Q7" s="1507">
        <v>283</v>
      </c>
      <c r="R7" s="1505">
        <f t="shared" si="4"/>
        <v>1141</v>
      </c>
      <c r="S7" s="1507">
        <v>425</v>
      </c>
      <c r="T7" s="1507">
        <v>389</v>
      </c>
      <c r="U7" s="1507">
        <v>327</v>
      </c>
    </row>
    <row r="8" spans="1:21" ht="11.25" customHeight="1" x14ac:dyDescent="0.15">
      <c r="A8" s="770" t="s">
        <v>2093</v>
      </c>
      <c r="B8" s="768">
        <f t="shared" si="5"/>
        <v>5767</v>
      </c>
      <c r="C8" s="1507">
        <v>2366</v>
      </c>
      <c r="D8" s="1507">
        <v>1986</v>
      </c>
      <c r="E8" s="1507">
        <v>1415</v>
      </c>
      <c r="F8" s="1505">
        <f t="shared" si="0"/>
        <v>6211</v>
      </c>
      <c r="G8" s="1507">
        <v>2407</v>
      </c>
      <c r="H8" s="1507">
        <v>2252</v>
      </c>
      <c r="I8" s="1507">
        <v>1552</v>
      </c>
      <c r="J8" s="1505">
        <f t="shared" si="2"/>
        <v>6570</v>
      </c>
      <c r="K8" s="1507">
        <v>2486</v>
      </c>
      <c r="L8" s="1507">
        <v>2477</v>
      </c>
      <c r="M8" s="1507">
        <v>1607</v>
      </c>
      <c r="N8" s="1505">
        <f t="shared" si="3"/>
        <v>6678</v>
      </c>
      <c r="O8" s="1507">
        <v>2462</v>
      </c>
      <c r="P8" s="1507">
        <v>2229</v>
      </c>
      <c r="Q8" s="1507">
        <v>1987</v>
      </c>
      <c r="R8" s="1505">
        <f t="shared" si="4"/>
        <v>6617</v>
      </c>
      <c r="S8" s="1507">
        <v>2465</v>
      </c>
      <c r="T8" s="1507">
        <v>2207</v>
      </c>
      <c r="U8" s="1507">
        <v>1945</v>
      </c>
    </row>
    <row r="9" spans="1:21" ht="11.25" customHeight="1" x14ac:dyDescent="0.15">
      <c r="A9" s="770" t="s">
        <v>3159</v>
      </c>
      <c r="B9" s="768">
        <f t="shared" si="5"/>
        <v>278</v>
      </c>
      <c r="C9" s="1507">
        <v>72</v>
      </c>
      <c r="D9" s="1507">
        <v>111</v>
      </c>
      <c r="E9" s="1507">
        <v>95</v>
      </c>
      <c r="F9" s="1505">
        <f t="shared" si="0"/>
        <v>330</v>
      </c>
      <c r="G9" s="1507">
        <v>93</v>
      </c>
      <c r="H9" s="1507">
        <v>126</v>
      </c>
      <c r="I9" s="1507">
        <v>111</v>
      </c>
      <c r="J9" s="1505">
        <f t="shared" si="2"/>
        <v>368</v>
      </c>
      <c r="K9" s="1507">
        <v>110</v>
      </c>
      <c r="L9" s="1507">
        <v>156</v>
      </c>
      <c r="M9" s="1507">
        <v>102</v>
      </c>
      <c r="N9" s="1505">
        <f t="shared" si="3"/>
        <v>388</v>
      </c>
      <c r="O9" s="1507">
        <v>138</v>
      </c>
      <c r="P9" s="1507">
        <v>131</v>
      </c>
      <c r="Q9" s="1507">
        <v>119</v>
      </c>
      <c r="R9" s="1505">
        <f t="shared" si="4"/>
        <v>493</v>
      </c>
      <c r="S9" s="1507">
        <v>186</v>
      </c>
      <c r="T9" s="1507">
        <v>153</v>
      </c>
      <c r="U9" s="1507">
        <v>154</v>
      </c>
    </row>
    <row r="10" spans="1:21" ht="11.25" customHeight="1" x14ac:dyDescent="0.15">
      <c r="A10" s="770" t="s">
        <v>3160</v>
      </c>
      <c r="B10" s="768">
        <f t="shared" si="5"/>
        <v>1102</v>
      </c>
      <c r="C10" s="1507">
        <v>408</v>
      </c>
      <c r="D10" s="1507">
        <v>410</v>
      </c>
      <c r="E10" s="1507">
        <v>284</v>
      </c>
      <c r="F10" s="1505">
        <f t="shared" si="0"/>
        <v>1271</v>
      </c>
      <c r="G10" s="1507">
        <v>439</v>
      </c>
      <c r="H10" s="1507">
        <v>511</v>
      </c>
      <c r="I10" s="1507">
        <v>321</v>
      </c>
      <c r="J10" s="1505">
        <f t="shared" si="2"/>
        <v>1609</v>
      </c>
      <c r="K10" s="1507">
        <v>550</v>
      </c>
      <c r="L10" s="1507">
        <v>649</v>
      </c>
      <c r="M10" s="1507">
        <v>410</v>
      </c>
      <c r="N10" s="1505">
        <f t="shared" si="3"/>
        <v>1857</v>
      </c>
      <c r="O10" s="1507">
        <v>670</v>
      </c>
      <c r="P10" s="1507">
        <v>677</v>
      </c>
      <c r="Q10" s="1507">
        <v>510</v>
      </c>
      <c r="R10" s="1505">
        <f t="shared" si="4"/>
        <v>2402</v>
      </c>
      <c r="S10" s="1507">
        <v>800</v>
      </c>
      <c r="T10" s="1507">
        <v>825</v>
      </c>
      <c r="U10" s="1507">
        <v>777</v>
      </c>
    </row>
    <row r="11" spans="1:21" ht="11.25" customHeight="1" x14ac:dyDescent="0.15">
      <c r="A11" s="770" t="s">
        <v>3189</v>
      </c>
      <c r="B11" s="768">
        <f t="shared" si="5"/>
        <v>55</v>
      </c>
      <c r="C11" s="1507">
        <v>32</v>
      </c>
      <c r="D11" s="1507">
        <v>17</v>
      </c>
      <c r="E11" s="1507">
        <v>6</v>
      </c>
      <c r="F11" s="1505">
        <f t="shared" si="0"/>
        <v>49</v>
      </c>
      <c r="G11" s="1507">
        <v>27</v>
      </c>
      <c r="H11" s="1507">
        <v>18</v>
      </c>
      <c r="I11" s="1507">
        <v>4</v>
      </c>
      <c r="J11" s="1505">
        <f t="shared" si="2"/>
        <v>43</v>
      </c>
      <c r="K11" s="1507">
        <v>25</v>
      </c>
      <c r="L11" s="1507">
        <v>13</v>
      </c>
      <c r="M11" s="1507">
        <v>5</v>
      </c>
      <c r="N11" s="1505">
        <f t="shared" si="3"/>
        <v>49</v>
      </c>
      <c r="O11" s="1507">
        <v>26</v>
      </c>
      <c r="P11" s="1507">
        <v>14</v>
      </c>
      <c r="Q11" s="1507">
        <v>9</v>
      </c>
      <c r="R11" s="1505">
        <f t="shared" si="4"/>
        <v>41</v>
      </c>
      <c r="S11" s="1507">
        <v>23</v>
      </c>
      <c r="T11" s="1507">
        <v>10</v>
      </c>
      <c r="U11" s="1507">
        <v>8</v>
      </c>
    </row>
    <row r="12" spans="1:21" ht="11.25" customHeight="1" x14ac:dyDescent="0.15">
      <c r="A12" s="770" t="s">
        <v>3156</v>
      </c>
      <c r="B12" s="768">
        <f t="shared" si="5"/>
        <v>49390</v>
      </c>
      <c r="C12" s="1507">
        <v>20542</v>
      </c>
      <c r="D12" s="1507">
        <v>18592</v>
      </c>
      <c r="E12" s="1507">
        <v>10256</v>
      </c>
      <c r="F12" s="1505">
        <f t="shared" si="0"/>
        <v>53749</v>
      </c>
      <c r="G12" s="1507">
        <v>21579</v>
      </c>
      <c r="H12" s="1507">
        <v>20750</v>
      </c>
      <c r="I12" s="1507">
        <v>11420</v>
      </c>
      <c r="J12" s="1505">
        <f t="shared" si="2"/>
        <v>59413</v>
      </c>
      <c r="K12" s="1507">
        <v>23360</v>
      </c>
      <c r="L12" s="1507">
        <v>23108</v>
      </c>
      <c r="M12" s="1507">
        <v>12945</v>
      </c>
      <c r="N12" s="1505">
        <f t="shared" si="3"/>
        <v>65498</v>
      </c>
      <c r="O12" s="1507">
        <v>26808</v>
      </c>
      <c r="P12" s="1507">
        <v>23789</v>
      </c>
      <c r="Q12" s="1507">
        <v>14901</v>
      </c>
      <c r="R12" s="1505">
        <f t="shared" si="4"/>
        <v>66903</v>
      </c>
      <c r="S12" s="1507">
        <v>26857</v>
      </c>
      <c r="T12" s="1507">
        <v>24078</v>
      </c>
      <c r="U12" s="1507">
        <v>15968</v>
      </c>
    </row>
    <row r="13" spans="1:21" ht="11.25" customHeight="1" x14ac:dyDescent="0.15">
      <c r="A13" s="770" t="s">
        <v>2099</v>
      </c>
      <c r="B13" s="768">
        <f t="shared" si="5"/>
        <v>279</v>
      </c>
      <c r="C13" s="1507">
        <v>127</v>
      </c>
      <c r="D13" s="1507">
        <v>84</v>
      </c>
      <c r="E13" s="1507">
        <v>68</v>
      </c>
      <c r="F13" s="1505">
        <f t="shared" si="0"/>
        <v>340</v>
      </c>
      <c r="G13" s="1507">
        <v>142</v>
      </c>
      <c r="H13" s="1507">
        <v>114</v>
      </c>
      <c r="I13" s="1507">
        <v>84</v>
      </c>
      <c r="J13" s="1505">
        <f t="shared" si="2"/>
        <v>316</v>
      </c>
      <c r="K13" s="1507">
        <v>127</v>
      </c>
      <c r="L13" s="1507">
        <v>111</v>
      </c>
      <c r="M13" s="1507">
        <v>78</v>
      </c>
      <c r="N13" s="1505">
        <f t="shared" si="3"/>
        <v>339</v>
      </c>
      <c r="O13" s="1507">
        <v>119</v>
      </c>
      <c r="P13" s="1507">
        <v>117</v>
      </c>
      <c r="Q13" s="1507">
        <v>103</v>
      </c>
      <c r="R13" s="1505">
        <f t="shared" si="4"/>
        <v>370</v>
      </c>
      <c r="S13" s="1507">
        <v>129</v>
      </c>
      <c r="T13" s="1507">
        <v>122</v>
      </c>
      <c r="U13" s="1507">
        <v>119</v>
      </c>
    </row>
    <row r="14" spans="1:21" ht="11.25" customHeight="1" x14ac:dyDescent="0.15">
      <c r="A14" s="770" t="s">
        <v>3157</v>
      </c>
      <c r="B14" s="768">
        <f t="shared" si="5"/>
        <v>120</v>
      </c>
      <c r="C14" s="1507">
        <v>35</v>
      </c>
      <c r="D14" s="1507">
        <v>37</v>
      </c>
      <c r="E14" s="1507">
        <v>48</v>
      </c>
      <c r="F14" s="1505">
        <f t="shared" si="0"/>
        <v>186</v>
      </c>
      <c r="G14" s="1507">
        <v>37</v>
      </c>
      <c r="H14" s="1507">
        <v>55</v>
      </c>
      <c r="I14" s="1507">
        <v>94</v>
      </c>
      <c r="J14" s="1505">
        <f t="shared" si="2"/>
        <v>239</v>
      </c>
      <c r="K14" s="1507">
        <v>59</v>
      </c>
      <c r="L14" s="1507">
        <v>105</v>
      </c>
      <c r="M14" s="1507">
        <v>75</v>
      </c>
      <c r="N14" s="1505">
        <f t="shared" si="3"/>
        <v>278</v>
      </c>
      <c r="O14" s="1507">
        <v>116</v>
      </c>
      <c r="P14" s="1507">
        <v>118</v>
      </c>
      <c r="Q14" s="1507">
        <v>44</v>
      </c>
      <c r="R14" s="1505">
        <f t="shared" si="4"/>
        <v>237</v>
      </c>
      <c r="S14" s="1507">
        <v>110</v>
      </c>
      <c r="T14" s="1507">
        <v>102</v>
      </c>
      <c r="U14" s="1507">
        <v>25</v>
      </c>
    </row>
    <row r="15" spans="1:21" ht="11.25" customHeight="1" x14ac:dyDescent="0.15">
      <c r="A15" s="770" t="s">
        <v>3190</v>
      </c>
      <c r="B15" s="768">
        <f t="shared" si="5"/>
        <v>27</v>
      </c>
      <c r="C15" s="1507">
        <v>15</v>
      </c>
      <c r="D15" s="1507">
        <v>11</v>
      </c>
      <c r="E15" s="1507">
        <v>1</v>
      </c>
      <c r="F15" s="1505">
        <f>SUM(G15:I15)</f>
        <v>25</v>
      </c>
      <c r="G15" s="1507">
        <v>15</v>
      </c>
      <c r="H15" s="1507">
        <v>7</v>
      </c>
      <c r="I15" s="1507">
        <v>3</v>
      </c>
      <c r="J15" s="1505">
        <f>SUM(K15:M15)</f>
        <v>23</v>
      </c>
      <c r="K15" s="1507">
        <v>14</v>
      </c>
      <c r="L15" s="1507">
        <v>6</v>
      </c>
      <c r="M15" s="1507">
        <v>3</v>
      </c>
      <c r="N15" s="1505">
        <f>SUM(O15:Q15)</f>
        <v>13</v>
      </c>
      <c r="O15" s="1507">
        <v>10</v>
      </c>
      <c r="P15" s="1507">
        <v>3</v>
      </c>
      <c r="Q15" s="1507">
        <v>0</v>
      </c>
      <c r="R15" s="1505">
        <f>SUM(S15:U15)</f>
        <v>19</v>
      </c>
      <c r="S15" s="1507">
        <v>12</v>
      </c>
      <c r="T15" s="1507">
        <v>6</v>
      </c>
      <c r="U15" s="1507">
        <v>1</v>
      </c>
    </row>
    <row r="16" spans="1:21" ht="11.25" customHeight="1" x14ac:dyDescent="0.15">
      <c r="A16" s="98"/>
    </row>
    <row r="17" spans="1:12" ht="11.25" customHeight="1" x14ac:dyDescent="0.15">
      <c r="A17" s="1523" t="s">
        <v>460</v>
      </c>
    </row>
    <row r="18" spans="1:12" ht="15" customHeight="1" x14ac:dyDescent="0.15">
      <c r="A18" s="3337" t="s">
        <v>3174</v>
      </c>
      <c r="B18" s="2462"/>
      <c r="C18" s="2462"/>
      <c r="D18" s="2462"/>
      <c r="E18" s="2462"/>
      <c r="F18" s="2462"/>
      <c r="G18" s="2462"/>
      <c r="H18" s="2462"/>
      <c r="I18" s="2462"/>
      <c r="J18" s="2462"/>
      <c r="K18" s="2462"/>
      <c r="L18" s="2462"/>
    </row>
    <row r="21" spans="1:12" x14ac:dyDescent="0.15">
      <c r="C21" s="1524"/>
    </row>
  </sheetData>
  <mergeCells count="9">
    <mergeCell ref="A18:L18"/>
    <mergeCell ref="A2:T2"/>
    <mergeCell ref="A3:T3"/>
    <mergeCell ref="A4:A5"/>
    <mergeCell ref="B4:E4"/>
    <mergeCell ref="F4:I4"/>
    <mergeCell ref="J4:M4"/>
    <mergeCell ref="N4:Q4"/>
    <mergeCell ref="S4:U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P28"/>
  <sheetViews>
    <sheetView workbookViewId="0">
      <selection activeCell="G37" sqref="G37"/>
    </sheetView>
  </sheetViews>
  <sheetFormatPr baseColWidth="10" defaultColWidth="9.140625" defaultRowHeight="10.5" x14ac:dyDescent="0.15"/>
  <cols>
    <col min="1" max="1" width="28.7109375" style="2135" customWidth="1"/>
    <col min="2" max="4" width="9.85546875" style="2135" customWidth="1"/>
    <col min="5" max="16" width="10" style="2135" customWidth="1"/>
    <col min="17" max="17" width="6.140625" style="2135" customWidth="1"/>
    <col min="18" max="18" width="9.140625" style="2135" customWidth="1"/>
    <col min="19" max="16384" width="9.140625" style="2135"/>
  </cols>
  <sheetData>
    <row r="1" spans="1:16" ht="15" customHeight="1" x14ac:dyDescent="0.15"/>
    <row r="2" spans="1:16" ht="15" customHeight="1" x14ac:dyDescent="0.15">
      <c r="A2" s="2458" t="s">
        <v>3191</v>
      </c>
      <c r="B2" s="2458"/>
      <c r="C2" s="2458"/>
      <c r="D2" s="2458"/>
      <c r="E2" s="2458"/>
      <c r="F2" s="2458"/>
      <c r="G2" s="2458"/>
      <c r="H2" s="2458"/>
      <c r="I2" s="2458"/>
      <c r="J2" s="2458"/>
      <c r="K2" s="2458"/>
      <c r="L2" s="2458"/>
      <c r="M2" s="2458"/>
      <c r="N2" s="3343"/>
      <c r="O2" s="3343"/>
      <c r="P2" s="3343"/>
    </row>
    <row r="3" spans="1:16" ht="10.5" customHeight="1" x14ac:dyDescent="0.15">
      <c r="A3" s="2862"/>
      <c r="B3" s="2862"/>
      <c r="C3" s="2862"/>
      <c r="D3" s="2862"/>
      <c r="E3" s="2862"/>
      <c r="F3" s="2862"/>
      <c r="G3" s="2862"/>
      <c r="H3" s="2862"/>
      <c r="I3" s="2862"/>
      <c r="J3" s="2862"/>
      <c r="K3" s="2862"/>
      <c r="L3" s="2862"/>
      <c r="M3" s="2862"/>
      <c r="N3" s="3344"/>
      <c r="O3" s="3344"/>
      <c r="P3" s="3344"/>
    </row>
    <row r="4" spans="1:16" ht="12.75" customHeight="1" x14ac:dyDescent="0.15">
      <c r="A4" s="2785" t="s">
        <v>1</v>
      </c>
      <c r="B4" s="3327">
        <v>2011</v>
      </c>
      <c r="C4" s="3327"/>
      <c r="D4" s="3327"/>
      <c r="E4" s="3328">
        <v>2012</v>
      </c>
      <c r="F4" s="3328"/>
      <c r="G4" s="3328"/>
      <c r="H4" s="3328">
        <v>2013</v>
      </c>
      <c r="I4" s="3328"/>
      <c r="J4" s="3328"/>
      <c r="K4" s="3328" t="s">
        <v>2022</v>
      </c>
      <c r="L4" s="3328"/>
      <c r="M4" s="3328"/>
      <c r="N4" s="2786">
        <v>2015</v>
      </c>
      <c r="O4" s="3340"/>
      <c r="P4" s="3340"/>
    </row>
    <row r="5" spans="1:16" ht="17.25" customHeight="1" x14ac:dyDescent="0.15">
      <c r="A5" s="2785"/>
      <c r="B5" s="2132" t="s">
        <v>69</v>
      </c>
      <c r="C5" s="2132" t="s">
        <v>966</v>
      </c>
      <c r="D5" s="2132" t="s">
        <v>967</v>
      </c>
      <c r="E5" s="2132" t="s">
        <v>69</v>
      </c>
      <c r="F5" s="2132" t="s">
        <v>966</v>
      </c>
      <c r="G5" s="2132" t="s">
        <v>967</v>
      </c>
      <c r="H5" s="2132" t="s">
        <v>69</v>
      </c>
      <c r="I5" s="2132" t="s">
        <v>966</v>
      </c>
      <c r="J5" s="2132" t="s">
        <v>967</v>
      </c>
      <c r="K5" s="2132" t="s">
        <v>69</v>
      </c>
      <c r="L5" s="2132" t="s">
        <v>966</v>
      </c>
      <c r="M5" s="2132" t="s">
        <v>967</v>
      </c>
      <c r="N5" s="2111" t="s">
        <v>69</v>
      </c>
      <c r="O5" s="2111" t="s">
        <v>966</v>
      </c>
      <c r="P5" s="2111" t="s">
        <v>967</v>
      </c>
    </row>
    <row r="6" spans="1:16" x14ac:dyDescent="0.15">
      <c r="A6" s="767" t="s">
        <v>141</v>
      </c>
      <c r="B6" s="1526">
        <f>SUM(B7:B21)</f>
        <v>43</v>
      </c>
      <c r="C6" s="1526">
        <f t="shared" ref="C6:P6" si="0">SUM(C7:C21)</f>
        <v>19</v>
      </c>
      <c r="D6" s="1526">
        <f t="shared" si="0"/>
        <v>24</v>
      </c>
      <c r="E6" s="1526">
        <f t="shared" si="0"/>
        <v>72</v>
      </c>
      <c r="F6" s="1526">
        <f t="shared" si="0"/>
        <v>23</v>
      </c>
      <c r="G6" s="1526">
        <f t="shared" si="0"/>
        <v>49</v>
      </c>
      <c r="H6" s="1526">
        <f t="shared" si="0"/>
        <v>71</v>
      </c>
      <c r="I6" s="1526">
        <f t="shared" si="0"/>
        <v>21</v>
      </c>
      <c r="J6" s="1526">
        <f t="shared" si="0"/>
        <v>50</v>
      </c>
      <c r="K6" s="1526">
        <f>SUM(K7:K21)</f>
        <v>72</v>
      </c>
      <c r="L6" s="1526">
        <f t="shared" si="0"/>
        <v>27</v>
      </c>
      <c r="M6" s="1526">
        <f t="shared" si="0"/>
        <v>45</v>
      </c>
      <c r="N6" s="1527">
        <f t="shared" si="0"/>
        <v>69</v>
      </c>
      <c r="O6" s="1527">
        <f t="shared" si="0"/>
        <v>35</v>
      </c>
      <c r="P6" s="1527">
        <f t="shared" si="0"/>
        <v>34</v>
      </c>
    </row>
    <row r="7" spans="1:16" x14ac:dyDescent="0.15">
      <c r="A7" s="2106" t="s">
        <v>5</v>
      </c>
      <c r="B7" s="1528">
        <f t="shared" ref="B7:B21" si="1">SUM(C7:D7)</f>
        <v>0</v>
      </c>
      <c r="C7" s="1529">
        <v>0</v>
      </c>
      <c r="D7" s="1529">
        <v>0</v>
      </c>
      <c r="E7" s="1528">
        <f t="shared" ref="E7:E21" si="2">SUM(F7:G7)</f>
        <v>5</v>
      </c>
      <c r="F7" s="1529">
        <v>1</v>
      </c>
      <c r="G7" s="1529">
        <v>4</v>
      </c>
      <c r="H7" s="1528">
        <f t="shared" ref="H7:H21" si="3">SUM(I7:J7)</f>
        <v>2</v>
      </c>
      <c r="I7" s="1529">
        <v>2</v>
      </c>
      <c r="J7" s="1529">
        <v>0</v>
      </c>
      <c r="K7" s="1528">
        <v>4</v>
      </c>
      <c r="L7" s="1530">
        <v>1</v>
      </c>
      <c r="M7" s="1530">
        <v>3</v>
      </c>
      <c r="N7" s="1527">
        <f t="shared" ref="N7:N21" si="4">+O7+P7</f>
        <v>6</v>
      </c>
      <c r="O7" s="434">
        <v>4</v>
      </c>
      <c r="P7" s="434">
        <v>2</v>
      </c>
    </row>
    <row r="8" spans="1:16" x14ac:dyDescent="0.15">
      <c r="A8" s="2106" t="s">
        <v>6</v>
      </c>
      <c r="B8" s="1528">
        <f t="shared" si="1"/>
        <v>11</v>
      </c>
      <c r="C8" s="1529">
        <v>4</v>
      </c>
      <c r="D8" s="1529">
        <v>7</v>
      </c>
      <c r="E8" s="1528">
        <f t="shared" si="2"/>
        <v>3</v>
      </c>
      <c r="F8" s="1529">
        <v>2</v>
      </c>
      <c r="G8" s="1529">
        <v>1</v>
      </c>
      <c r="H8" s="1528">
        <f t="shared" si="3"/>
        <v>4</v>
      </c>
      <c r="I8" s="1529">
        <v>1</v>
      </c>
      <c r="J8" s="1529">
        <v>3</v>
      </c>
      <c r="K8" s="1528">
        <v>5</v>
      </c>
      <c r="L8" s="1530">
        <v>0</v>
      </c>
      <c r="M8" s="1530">
        <v>5</v>
      </c>
      <c r="N8" s="1527">
        <f t="shared" si="4"/>
        <v>3</v>
      </c>
      <c r="O8" s="434">
        <v>0</v>
      </c>
      <c r="P8" s="434">
        <v>3</v>
      </c>
    </row>
    <row r="9" spans="1:16" x14ac:dyDescent="0.15">
      <c r="A9" s="2106" t="s">
        <v>7</v>
      </c>
      <c r="B9" s="1528">
        <f t="shared" si="1"/>
        <v>0</v>
      </c>
      <c r="C9" s="1529">
        <v>0</v>
      </c>
      <c r="D9" s="1529">
        <v>0</v>
      </c>
      <c r="E9" s="1528">
        <f t="shared" si="2"/>
        <v>3</v>
      </c>
      <c r="F9" s="1529">
        <v>0</v>
      </c>
      <c r="G9" s="1529">
        <v>3</v>
      </c>
      <c r="H9" s="1528">
        <f t="shared" si="3"/>
        <v>1</v>
      </c>
      <c r="I9" s="1529">
        <v>0</v>
      </c>
      <c r="J9" s="1529">
        <v>1</v>
      </c>
      <c r="K9" s="1528">
        <v>1</v>
      </c>
      <c r="L9" s="1530">
        <v>1</v>
      </c>
      <c r="M9" s="1530">
        <v>0</v>
      </c>
      <c r="N9" s="1527">
        <f t="shared" si="4"/>
        <v>0</v>
      </c>
      <c r="O9" s="434">
        <v>0</v>
      </c>
      <c r="P9" s="434">
        <v>0</v>
      </c>
    </row>
    <row r="10" spans="1:16" x14ac:dyDescent="0.15">
      <c r="A10" s="2106" t="s">
        <v>8</v>
      </c>
      <c r="B10" s="1528">
        <f t="shared" si="1"/>
        <v>0</v>
      </c>
      <c r="C10" s="1529">
        <v>0</v>
      </c>
      <c r="D10" s="1529">
        <v>0</v>
      </c>
      <c r="E10" s="1528">
        <f t="shared" si="2"/>
        <v>0</v>
      </c>
      <c r="F10" s="1529">
        <v>0</v>
      </c>
      <c r="G10" s="1529">
        <v>0</v>
      </c>
      <c r="H10" s="1528">
        <f t="shared" si="3"/>
        <v>0</v>
      </c>
      <c r="I10" s="1529">
        <v>0</v>
      </c>
      <c r="J10" s="1529">
        <v>0</v>
      </c>
      <c r="K10" s="1528">
        <v>0</v>
      </c>
      <c r="L10" s="1530">
        <v>0</v>
      </c>
      <c r="M10" s="1530">
        <v>0</v>
      </c>
      <c r="N10" s="1527">
        <f t="shared" si="4"/>
        <v>0</v>
      </c>
      <c r="O10" s="434">
        <v>0</v>
      </c>
      <c r="P10" s="434">
        <v>0</v>
      </c>
    </row>
    <row r="11" spans="1:16" x14ac:dyDescent="0.15">
      <c r="A11" s="2106" t="s">
        <v>9</v>
      </c>
      <c r="B11" s="1528">
        <f t="shared" si="1"/>
        <v>0</v>
      </c>
      <c r="C11" s="1529">
        <v>0</v>
      </c>
      <c r="D11" s="1529">
        <v>0</v>
      </c>
      <c r="E11" s="1528">
        <f t="shared" si="2"/>
        <v>0</v>
      </c>
      <c r="F11" s="1529">
        <v>0</v>
      </c>
      <c r="G11" s="1529">
        <v>0</v>
      </c>
      <c r="H11" s="1528">
        <f t="shared" si="3"/>
        <v>0</v>
      </c>
      <c r="I11" s="1529">
        <v>0</v>
      </c>
      <c r="J11" s="1529">
        <v>0</v>
      </c>
      <c r="K11" s="1528">
        <v>2</v>
      </c>
      <c r="L11" s="1530">
        <v>1</v>
      </c>
      <c r="M11" s="1530">
        <v>1</v>
      </c>
      <c r="N11" s="1527">
        <f t="shared" si="4"/>
        <v>0</v>
      </c>
      <c r="O11" s="434">
        <v>0</v>
      </c>
      <c r="P11" s="434">
        <v>0</v>
      </c>
    </row>
    <row r="12" spans="1:16" x14ac:dyDescent="0.15">
      <c r="A12" s="2106" t="s">
        <v>10</v>
      </c>
      <c r="B12" s="1528">
        <f t="shared" si="1"/>
        <v>0</v>
      </c>
      <c r="C12" s="1529">
        <v>0</v>
      </c>
      <c r="D12" s="1529">
        <v>0</v>
      </c>
      <c r="E12" s="1528">
        <f t="shared" si="2"/>
        <v>1</v>
      </c>
      <c r="F12" s="1529">
        <v>0</v>
      </c>
      <c r="G12" s="1529">
        <v>1</v>
      </c>
      <c r="H12" s="1528">
        <f t="shared" si="3"/>
        <v>2</v>
      </c>
      <c r="I12" s="1529">
        <v>1</v>
      </c>
      <c r="J12" s="1529">
        <v>1</v>
      </c>
      <c r="K12" s="1528">
        <v>1</v>
      </c>
      <c r="L12" s="1530">
        <v>1</v>
      </c>
      <c r="M12" s="1530">
        <v>0</v>
      </c>
      <c r="N12" s="1527">
        <f t="shared" si="4"/>
        <v>0</v>
      </c>
      <c r="O12" s="434">
        <v>0</v>
      </c>
      <c r="P12" s="434">
        <v>0</v>
      </c>
    </row>
    <row r="13" spans="1:16" x14ac:dyDescent="0.15">
      <c r="A13" s="2106" t="s">
        <v>11</v>
      </c>
      <c r="B13" s="1528">
        <f t="shared" si="1"/>
        <v>16</v>
      </c>
      <c r="C13" s="1529">
        <v>8</v>
      </c>
      <c r="D13" s="1529">
        <v>8</v>
      </c>
      <c r="E13" s="1528">
        <f t="shared" si="2"/>
        <v>21</v>
      </c>
      <c r="F13" s="1529">
        <v>9</v>
      </c>
      <c r="G13" s="1529">
        <v>12</v>
      </c>
      <c r="H13" s="1528">
        <f t="shared" si="3"/>
        <v>13</v>
      </c>
      <c r="I13" s="1529">
        <v>7</v>
      </c>
      <c r="J13" s="1529">
        <v>6</v>
      </c>
      <c r="K13" s="1528">
        <v>15</v>
      </c>
      <c r="L13" s="1530">
        <v>8</v>
      </c>
      <c r="M13" s="1530">
        <v>7</v>
      </c>
      <c r="N13" s="1527">
        <f t="shared" si="4"/>
        <v>20</v>
      </c>
      <c r="O13" s="434">
        <v>9</v>
      </c>
      <c r="P13" s="434">
        <v>11</v>
      </c>
    </row>
    <row r="14" spans="1:16" x14ac:dyDescent="0.15">
      <c r="A14" s="2106" t="s">
        <v>12</v>
      </c>
      <c r="B14" s="1528">
        <f t="shared" si="1"/>
        <v>0</v>
      </c>
      <c r="C14" s="1529">
        <v>0</v>
      </c>
      <c r="D14" s="1529">
        <v>0</v>
      </c>
      <c r="E14" s="1528">
        <f t="shared" si="2"/>
        <v>0</v>
      </c>
      <c r="F14" s="1529">
        <v>0</v>
      </c>
      <c r="G14" s="1529">
        <v>0</v>
      </c>
      <c r="H14" s="1528">
        <f t="shared" si="3"/>
        <v>0</v>
      </c>
      <c r="I14" s="1529">
        <v>0</v>
      </c>
      <c r="J14" s="1529">
        <v>0</v>
      </c>
      <c r="K14" s="1528">
        <v>1</v>
      </c>
      <c r="L14" s="1530">
        <v>1</v>
      </c>
      <c r="M14" s="1530">
        <v>0</v>
      </c>
      <c r="N14" s="1527">
        <f t="shared" si="4"/>
        <v>0</v>
      </c>
      <c r="O14" s="434">
        <v>0</v>
      </c>
      <c r="P14" s="434">
        <v>0</v>
      </c>
    </row>
    <row r="15" spans="1:16" x14ac:dyDescent="0.15">
      <c r="A15" s="2106" t="s">
        <v>13</v>
      </c>
      <c r="B15" s="1528">
        <f t="shared" si="1"/>
        <v>0</v>
      </c>
      <c r="C15" s="1529">
        <v>0</v>
      </c>
      <c r="D15" s="1529">
        <v>0</v>
      </c>
      <c r="E15" s="1528">
        <f t="shared" si="2"/>
        <v>0</v>
      </c>
      <c r="F15" s="1529">
        <v>0</v>
      </c>
      <c r="G15" s="1529">
        <v>0</v>
      </c>
      <c r="H15" s="1528">
        <f t="shared" si="3"/>
        <v>0</v>
      </c>
      <c r="I15" s="1529">
        <v>0</v>
      </c>
      <c r="J15" s="1529">
        <v>0</v>
      </c>
      <c r="K15" s="1528">
        <v>0</v>
      </c>
      <c r="L15" s="1530">
        <v>0</v>
      </c>
      <c r="M15" s="1530">
        <v>0</v>
      </c>
      <c r="N15" s="1527">
        <f t="shared" si="4"/>
        <v>0</v>
      </c>
      <c r="O15" s="434">
        <v>0</v>
      </c>
      <c r="P15" s="434">
        <v>0</v>
      </c>
    </row>
    <row r="16" spans="1:16" x14ac:dyDescent="0.15">
      <c r="A16" s="2106" t="s">
        <v>14</v>
      </c>
      <c r="B16" s="1528">
        <f t="shared" si="1"/>
        <v>0</v>
      </c>
      <c r="C16" s="1529">
        <v>0</v>
      </c>
      <c r="D16" s="1529">
        <v>0</v>
      </c>
      <c r="E16" s="1528">
        <f t="shared" si="2"/>
        <v>4</v>
      </c>
      <c r="F16" s="1529">
        <v>2</v>
      </c>
      <c r="G16" s="1529">
        <v>2</v>
      </c>
      <c r="H16" s="1528">
        <f t="shared" si="3"/>
        <v>5</v>
      </c>
      <c r="I16" s="1529">
        <v>1</v>
      </c>
      <c r="J16" s="1529">
        <v>4</v>
      </c>
      <c r="K16" s="1528">
        <v>5</v>
      </c>
      <c r="L16" s="1530">
        <v>2</v>
      </c>
      <c r="M16" s="1530">
        <v>3</v>
      </c>
      <c r="N16" s="1527">
        <f t="shared" si="4"/>
        <v>8</v>
      </c>
      <c r="O16" s="434">
        <v>0</v>
      </c>
      <c r="P16" s="434">
        <v>8</v>
      </c>
    </row>
    <row r="17" spans="1:16" x14ac:dyDescent="0.15">
      <c r="A17" s="2106" t="s">
        <v>15</v>
      </c>
      <c r="B17" s="1528">
        <f t="shared" si="1"/>
        <v>16</v>
      </c>
      <c r="C17" s="1529">
        <v>7</v>
      </c>
      <c r="D17" s="1529">
        <v>9</v>
      </c>
      <c r="E17" s="1528">
        <f t="shared" si="2"/>
        <v>29</v>
      </c>
      <c r="F17" s="1529">
        <v>8</v>
      </c>
      <c r="G17" s="1529">
        <v>21</v>
      </c>
      <c r="H17" s="1528">
        <f t="shared" si="3"/>
        <v>41</v>
      </c>
      <c r="I17" s="1529">
        <v>8</v>
      </c>
      <c r="J17" s="1529">
        <v>33</v>
      </c>
      <c r="K17" s="1528">
        <v>30</v>
      </c>
      <c r="L17" s="1530">
        <v>10</v>
      </c>
      <c r="M17" s="1530">
        <v>20</v>
      </c>
      <c r="N17" s="1527">
        <f t="shared" si="4"/>
        <v>21</v>
      </c>
      <c r="O17" s="434">
        <v>16</v>
      </c>
      <c r="P17" s="434">
        <v>5</v>
      </c>
    </row>
    <row r="18" spans="1:16" x14ac:dyDescent="0.15">
      <c r="A18" s="2106" t="s">
        <v>16</v>
      </c>
      <c r="B18" s="1528">
        <f t="shared" si="1"/>
        <v>0</v>
      </c>
      <c r="C18" s="1529">
        <v>0</v>
      </c>
      <c r="D18" s="1529">
        <v>0</v>
      </c>
      <c r="E18" s="1528">
        <f t="shared" si="2"/>
        <v>2</v>
      </c>
      <c r="F18" s="1529">
        <v>0</v>
      </c>
      <c r="G18" s="1529">
        <v>2</v>
      </c>
      <c r="H18" s="1528">
        <f t="shared" si="3"/>
        <v>1</v>
      </c>
      <c r="I18" s="1529">
        <v>0</v>
      </c>
      <c r="J18" s="1529">
        <v>1</v>
      </c>
      <c r="K18" s="1528">
        <v>3</v>
      </c>
      <c r="L18" s="1530">
        <v>0</v>
      </c>
      <c r="M18" s="1530">
        <v>3</v>
      </c>
      <c r="N18" s="1527">
        <f t="shared" si="4"/>
        <v>2</v>
      </c>
      <c r="O18" s="434">
        <v>2</v>
      </c>
      <c r="P18" s="434">
        <v>0</v>
      </c>
    </row>
    <row r="19" spans="1:16" x14ac:dyDescent="0.15">
      <c r="A19" s="2106" t="s">
        <v>17</v>
      </c>
      <c r="B19" s="1528">
        <f t="shared" si="1"/>
        <v>0</v>
      </c>
      <c r="C19" s="1529">
        <v>0</v>
      </c>
      <c r="D19" s="1529">
        <v>0</v>
      </c>
      <c r="E19" s="1528">
        <f t="shared" si="2"/>
        <v>4</v>
      </c>
      <c r="F19" s="1529">
        <v>1</v>
      </c>
      <c r="G19" s="1529">
        <v>3</v>
      </c>
      <c r="H19" s="1528">
        <f t="shared" si="3"/>
        <v>2</v>
      </c>
      <c r="I19" s="1529">
        <v>1</v>
      </c>
      <c r="J19" s="1529">
        <v>1</v>
      </c>
      <c r="K19" s="1528">
        <v>5</v>
      </c>
      <c r="L19" s="1530">
        <v>2</v>
      </c>
      <c r="M19" s="1530">
        <v>3</v>
      </c>
      <c r="N19" s="1527">
        <f t="shared" si="4"/>
        <v>5</v>
      </c>
      <c r="O19" s="434">
        <v>4</v>
      </c>
      <c r="P19" s="434">
        <v>1</v>
      </c>
    </row>
    <row r="20" spans="1:16" x14ac:dyDescent="0.15">
      <c r="A20" s="2106" t="s">
        <v>18</v>
      </c>
      <c r="B20" s="1528">
        <f t="shared" si="1"/>
        <v>0</v>
      </c>
      <c r="C20" s="1529">
        <v>0</v>
      </c>
      <c r="D20" s="1529">
        <v>0</v>
      </c>
      <c r="E20" s="1528">
        <f t="shared" si="2"/>
        <v>0</v>
      </c>
      <c r="F20" s="1529">
        <v>0</v>
      </c>
      <c r="G20" s="1529">
        <v>0</v>
      </c>
      <c r="H20" s="1528">
        <f t="shared" si="3"/>
        <v>0</v>
      </c>
      <c r="I20" s="1529">
        <v>0</v>
      </c>
      <c r="J20" s="1529">
        <v>0</v>
      </c>
      <c r="K20" s="1528">
        <v>0</v>
      </c>
      <c r="L20" s="1530">
        <v>0</v>
      </c>
      <c r="M20" s="1530">
        <v>0</v>
      </c>
      <c r="N20" s="1527">
        <f t="shared" si="4"/>
        <v>0</v>
      </c>
      <c r="O20" s="434">
        <v>0</v>
      </c>
      <c r="P20" s="434">
        <v>0</v>
      </c>
    </row>
    <row r="21" spans="1:16" x14ac:dyDescent="0.15">
      <c r="A21" s="2106" t="s">
        <v>19</v>
      </c>
      <c r="B21" s="1528">
        <f t="shared" si="1"/>
        <v>0</v>
      </c>
      <c r="C21" s="1529">
        <v>0</v>
      </c>
      <c r="D21" s="1529">
        <v>0</v>
      </c>
      <c r="E21" s="1528">
        <f t="shared" si="2"/>
        <v>0</v>
      </c>
      <c r="F21" s="1529">
        <v>0</v>
      </c>
      <c r="G21" s="1529">
        <v>0</v>
      </c>
      <c r="H21" s="1528">
        <f t="shared" si="3"/>
        <v>0</v>
      </c>
      <c r="I21" s="1529">
        <v>0</v>
      </c>
      <c r="J21" s="1529">
        <v>0</v>
      </c>
      <c r="K21" s="1528">
        <v>0</v>
      </c>
      <c r="L21" s="1530">
        <v>0</v>
      </c>
      <c r="M21" s="1530">
        <v>0</v>
      </c>
      <c r="N21" s="1527">
        <f t="shared" si="4"/>
        <v>4</v>
      </c>
      <c r="O21" s="434">
        <v>0</v>
      </c>
      <c r="P21" s="434">
        <v>4</v>
      </c>
    </row>
    <row r="22" spans="1:16" ht="11.25" customHeight="1" x14ac:dyDescent="0.15">
      <c r="A22" s="2645"/>
      <c r="B22" s="2645"/>
      <c r="C22" s="2645"/>
      <c r="D22" s="2645"/>
      <c r="E22" s="2645"/>
      <c r="F22" s="2645"/>
      <c r="G22" s="2645"/>
      <c r="H22" s="2645"/>
      <c r="I22" s="2645"/>
      <c r="J22" s="2645"/>
      <c r="K22" s="2645"/>
      <c r="L22" s="2645"/>
      <c r="M22" s="2645"/>
      <c r="N22" s="3341"/>
      <c r="O22" s="3341"/>
      <c r="P22" s="3341"/>
    </row>
    <row r="23" spans="1:16" x14ac:dyDescent="0.15">
      <c r="A23" s="2462" t="s">
        <v>3192</v>
      </c>
      <c r="B23" s="2462"/>
      <c r="C23" s="2462"/>
      <c r="D23" s="2462"/>
      <c r="E23" s="2462"/>
      <c r="F23" s="2462"/>
      <c r="G23" s="2462"/>
      <c r="H23" s="2462"/>
      <c r="I23" s="2462"/>
      <c r="J23" s="2462"/>
      <c r="K23" s="2462"/>
      <c r="L23" s="2462"/>
      <c r="M23" s="2462"/>
      <c r="N23" s="3342"/>
      <c r="O23" s="3342"/>
      <c r="P23" s="3342"/>
    </row>
    <row r="24" spans="1:16" x14ac:dyDescent="0.15">
      <c r="A24" s="2462" t="s">
        <v>460</v>
      </c>
      <c r="B24" s="2462"/>
      <c r="C24" s="2462"/>
      <c r="D24" s="2462"/>
      <c r="E24" s="2462"/>
      <c r="F24" s="2462"/>
      <c r="G24" s="2462"/>
      <c r="H24" s="2462"/>
      <c r="I24" s="2462"/>
      <c r="J24" s="2462"/>
      <c r="K24" s="2462"/>
      <c r="L24" s="2462"/>
      <c r="M24" s="2462"/>
      <c r="N24" s="3342"/>
      <c r="O24" s="3342"/>
      <c r="P24" s="3342"/>
    </row>
    <row r="25" spans="1:16" x14ac:dyDescent="0.15">
      <c r="A25" s="2462" t="s">
        <v>3193</v>
      </c>
      <c r="B25" s="2462"/>
      <c r="C25" s="2462"/>
      <c r="D25" s="2462"/>
      <c r="E25" s="2462"/>
      <c r="F25" s="2462"/>
      <c r="G25" s="2462"/>
      <c r="H25" s="2462"/>
      <c r="I25" s="2462"/>
      <c r="J25" s="2462"/>
      <c r="K25" s="2462"/>
      <c r="L25" s="2462"/>
      <c r="M25" s="2462"/>
      <c r="N25" s="3342"/>
      <c r="O25" s="3342"/>
      <c r="P25" s="3342"/>
    </row>
    <row r="26" spans="1:16" x14ac:dyDescent="0.15">
      <c r="A26" s="2134"/>
      <c r="B26" s="2134"/>
      <c r="C26" s="2134"/>
      <c r="D26" s="2134"/>
      <c r="E26" s="2134"/>
      <c r="F26" s="2134"/>
      <c r="G26" s="2134"/>
      <c r="H26" s="2134"/>
      <c r="I26" s="2134"/>
      <c r="J26" s="2134"/>
      <c r="K26" s="2134"/>
      <c r="L26" s="2134"/>
      <c r="M26" s="2134"/>
      <c r="N26" s="2134"/>
      <c r="O26" s="2134"/>
      <c r="P26" s="2134"/>
    </row>
    <row r="27" spans="1:16" x14ac:dyDescent="0.15">
      <c r="A27" s="2134"/>
      <c r="B27" s="2134"/>
      <c r="C27" s="2134"/>
      <c r="D27" s="2134"/>
      <c r="E27" s="2134"/>
      <c r="F27" s="2134"/>
      <c r="G27" s="2134"/>
      <c r="H27" s="2134"/>
      <c r="I27" s="2134"/>
      <c r="J27" s="2134"/>
      <c r="K27" s="2134"/>
      <c r="L27" s="2134"/>
      <c r="M27" s="2134"/>
      <c r="N27" s="2134"/>
      <c r="O27" s="2134"/>
      <c r="P27" s="2134"/>
    </row>
    <row r="28" spans="1:16" x14ac:dyDescent="0.15">
      <c r="A28" s="2134"/>
      <c r="B28" s="2134"/>
      <c r="C28" s="2134"/>
      <c r="D28" s="2134"/>
      <c r="E28" s="2134"/>
      <c r="F28" s="2134"/>
      <c r="G28" s="2134"/>
      <c r="H28" s="2134"/>
      <c r="I28" s="2134"/>
      <c r="J28" s="2134"/>
      <c r="K28" s="2134"/>
      <c r="L28" s="2134"/>
      <c r="M28" s="2134"/>
      <c r="N28" s="2134"/>
      <c r="O28" s="2134"/>
      <c r="P28" s="2134"/>
    </row>
  </sheetData>
  <mergeCells count="12">
    <mergeCell ref="A22:P22"/>
    <mergeCell ref="A23:P23"/>
    <mergeCell ref="A24:P24"/>
    <mergeCell ref="A25:P25"/>
    <mergeCell ref="A2:P2"/>
    <mergeCell ref="A3:P3"/>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1:S61"/>
  <sheetViews>
    <sheetView zoomScale="80" zoomScaleNormal="80" workbookViewId="0">
      <selection activeCell="A2" sqref="A2:XFD2"/>
    </sheetView>
  </sheetViews>
  <sheetFormatPr baseColWidth="10" defaultColWidth="9.140625" defaultRowHeight="10.5" x14ac:dyDescent="0.15"/>
  <cols>
    <col min="1" max="1" width="25.140625" style="2090" customWidth="1"/>
    <col min="2" max="2" width="16.5703125" style="2090" customWidth="1"/>
    <col min="3" max="3" width="15.28515625" style="2090" customWidth="1"/>
    <col min="4" max="4" width="17.85546875" style="2090" bestFit="1" customWidth="1"/>
    <col min="5" max="5" width="15.140625" style="2090" customWidth="1"/>
    <col min="6" max="6" width="15.7109375" style="2090" customWidth="1"/>
    <col min="7" max="7" width="13.42578125" style="2090" customWidth="1"/>
    <col min="8" max="8" width="19.28515625" style="2090" customWidth="1"/>
    <col min="9" max="9" width="14.7109375" style="2090" customWidth="1"/>
    <col min="10" max="10" width="16.85546875" style="2090" customWidth="1"/>
    <col min="11" max="11" width="10.5703125" style="2090" bestFit="1" customWidth="1"/>
    <col min="12" max="12" width="17.85546875" style="2090" bestFit="1" customWidth="1"/>
    <col min="13" max="13" width="9.140625" style="2090" customWidth="1"/>
    <col min="14" max="14" width="18.5703125" style="2090" customWidth="1"/>
    <col min="15" max="15" width="9.140625" style="2090"/>
    <col min="16" max="16" width="17.7109375" style="2090" customWidth="1"/>
    <col min="17" max="17" width="9.140625" style="2090"/>
    <col min="18" max="18" width="14.5703125" style="2090" bestFit="1" customWidth="1"/>
    <col min="19" max="16384" width="9.140625" style="2090"/>
  </cols>
  <sheetData>
    <row r="1" spans="1:19" ht="15" customHeight="1" x14ac:dyDescent="0.15"/>
    <row r="2" spans="1:19" ht="15" customHeight="1" x14ac:dyDescent="0.15">
      <c r="A2" s="2346" t="s">
        <v>3194</v>
      </c>
      <c r="B2" s="2346"/>
      <c r="C2" s="2346"/>
      <c r="D2" s="2346"/>
      <c r="E2" s="2346"/>
      <c r="F2" s="2346"/>
      <c r="G2" s="2346"/>
      <c r="H2" s="2346"/>
      <c r="I2" s="2346"/>
      <c r="J2" s="2346"/>
      <c r="K2" s="2346"/>
      <c r="L2" s="2346"/>
    </row>
    <row r="3" spans="1:19" ht="10.5" customHeight="1" x14ac:dyDescent="0.15">
      <c r="A3" s="2089"/>
      <c r="B3" s="126"/>
      <c r="C3" s="126"/>
      <c r="D3" s="126"/>
      <c r="E3" s="126"/>
      <c r="F3" s="126"/>
      <c r="G3" s="126"/>
      <c r="H3" s="126"/>
      <c r="I3" s="126"/>
      <c r="J3" s="126"/>
    </row>
    <row r="4" spans="1:19" ht="17.100000000000001" customHeight="1" x14ac:dyDescent="0.15">
      <c r="A4" s="3346" t="s">
        <v>1</v>
      </c>
      <c r="B4" s="3348" t="s">
        <v>3132</v>
      </c>
      <c r="C4" s="3346" t="s">
        <v>3195</v>
      </c>
      <c r="D4" s="3346"/>
      <c r="E4" s="3346"/>
      <c r="F4" s="3346"/>
      <c r="G4" s="3346"/>
      <c r="H4" s="3346"/>
      <c r="I4" s="3346"/>
      <c r="J4" s="3346"/>
      <c r="K4" s="3346" t="s">
        <v>3196</v>
      </c>
      <c r="L4" s="3346"/>
      <c r="M4" s="3346"/>
      <c r="N4" s="3346"/>
      <c r="O4" s="3346"/>
      <c r="P4" s="3346"/>
      <c r="Q4" s="3346"/>
      <c r="R4" s="3346"/>
      <c r="S4" s="1531"/>
    </row>
    <row r="5" spans="1:19" ht="17.100000000000001" customHeight="1" x14ac:dyDescent="0.15">
      <c r="A5" s="3347"/>
      <c r="B5" s="3349"/>
      <c r="C5" s="1532" t="s">
        <v>3197</v>
      </c>
      <c r="D5" s="2136" t="s">
        <v>3198</v>
      </c>
      <c r="E5" s="1532" t="s">
        <v>3199</v>
      </c>
      <c r="F5" s="1532" t="s">
        <v>3200</v>
      </c>
      <c r="G5" s="1532" t="s">
        <v>3201</v>
      </c>
      <c r="H5" s="1532" t="s">
        <v>3202</v>
      </c>
      <c r="I5" s="1532" t="s">
        <v>3203</v>
      </c>
      <c r="J5" s="1532" t="s">
        <v>3204</v>
      </c>
      <c r="K5" s="1532" t="s">
        <v>3197</v>
      </c>
      <c r="L5" s="2136" t="s">
        <v>3198</v>
      </c>
      <c r="M5" s="1532" t="s">
        <v>3199</v>
      </c>
      <c r="N5" s="1532" t="s">
        <v>3200</v>
      </c>
      <c r="O5" s="1532" t="s">
        <v>3201</v>
      </c>
      <c r="P5" s="1532" t="s">
        <v>3202</v>
      </c>
      <c r="Q5" s="1532" t="s">
        <v>3203</v>
      </c>
      <c r="R5" s="1532" t="s">
        <v>3204</v>
      </c>
      <c r="S5" s="1531"/>
    </row>
    <row r="6" spans="1:19" ht="12.75" customHeight="1" x14ac:dyDescent="0.15">
      <c r="A6" s="3345" t="s">
        <v>141</v>
      </c>
      <c r="B6" s="3345"/>
      <c r="C6" s="596">
        <f t="shared" ref="C6:D17" si="0">E6+G6+I6</f>
        <v>229</v>
      </c>
      <c r="D6" s="1533">
        <f t="shared" si="0"/>
        <v>867483149</v>
      </c>
      <c r="E6" s="596">
        <f t="shared" ref="E6:J6" si="1">SUM(E7:E17)</f>
        <v>136</v>
      </c>
      <c r="F6" s="1534">
        <f t="shared" si="1"/>
        <v>240945114</v>
      </c>
      <c r="G6" s="1535">
        <f t="shared" si="1"/>
        <v>18</v>
      </c>
      <c r="H6" s="1533">
        <f t="shared" si="1"/>
        <v>360264250</v>
      </c>
      <c r="I6" s="1535">
        <f t="shared" si="1"/>
        <v>75</v>
      </c>
      <c r="J6" s="1533">
        <f t="shared" si="1"/>
        <v>266273785</v>
      </c>
      <c r="K6" s="596">
        <f t="shared" ref="K6:L17" si="2">M6+O6+Q6</f>
        <v>526</v>
      </c>
      <c r="L6" s="1533">
        <f t="shared" si="2"/>
        <v>871349011</v>
      </c>
      <c r="M6" s="596">
        <f t="shared" ref="M6:R6" si="3">SUM(M7:M17)</f>
        <v>85</v>
      </c>
      <c r="N6" s="1533">
        <f t="shared" si="3"/>
        <v>223340320</v>
      </c>
      <c r="O6" s="1535">
        <f t="shared" si="3"/>
        <v>378</v>
      </c>
      <c r="P6" s="1533">
        <f t="shared" si="3"/>
        <v>549798000</v>
      </c>
      <c r="Q6" s="596">
        <f t="shared" si="3"/>
        <v>63</v>
      </c>
      <c r="R6" s="1533">
        <f t="shared" si="3"/>
        <v>98210691</v>
      </c>
      <c r="S6" s="1536"/>
    </row>
    <row r="7" spans="1:19" ht="12.75" customHeight="1" x14ac:dyDescent="0.15">
      <c r="A7" s="1537" t="s">
        <v>5</v>
      </c>
      <c r="B7" s="1538" t="s">
        <v>696</v>
      </c>
      <c r="C7" s="596">
        <f t="shared" si="0"/>
        <v>12</v>
      </c>
      <c r="D7" s="1533">
        <f t="shared" si="0"/>
        <v>166250000</v>
      </c>
      <c r="E7" s="1539">
        <v>10</v>
      </c>
      <c r="F7" s="1540">
        <v>17250000</v>
      </c>
      <c r="G7" s="1541">
        <v>1</v>
      </c>
      <c r="H7" s="1540">
        <v>65000000</v>
      </c>
      <c r="I7" s="1541">
        <v>1</v>
      </c>
      <c r="J7" s="1540">
        <v>84000000</v>
      </c>
      <c r="K7" s="596">
        <f t="shared" si="2"/>
        <v>32</v>
      </c>
      <c r="L7" s="1533">
        <f t="shared" si="2"/>
        <v>64700000</v>
      </c>
      <c r="M7" s="1541">
        <v>11</v>
      </c>
      <c r="N7" s="1540">
        <v>24700000</v>
      </c>
      <c r="O7" s="1541">
        <v>19</v>
      </c>
      <c r="P7" s="1540">
        <v>35000000</v>
      </c>
      <c r="Q7" s="1539">
        <v>2</v>
      </c>
      <c r="R7" s="1540">
        <v>5000000</v>
      </c>
      <c r="S7" s="1536"/>
    </row>
    <row r="8" spans="1:19" ht="12.75" customHeight="1" x14ac:dyDescent="0.15">
      <c r="A8" s="1537" t="s">
        <v>3205</v>
      </c>
      <c r="B8" s="1538" t="s">
        <v>1037</v>
      </c>
      <c r="C8" s="596">
        <f t="shared" si="0"/>
        <v>20</v>
      </c>
      <c r="D8" s="1533">
        <f t="shared" si="0"/>
        <v>58181619</v>
      </c>
      <c r="E8" s="1539">
        <v>16</v>
      </c>
      <c r="F8" s="1540">
        <v>23971619</v>
      </c>
      <c r="G8" s="1541">
        <v>2</v>
      </c>
      <c r="H8" s="1540">
        <v>20720000</v>
      </c>
      <c r="I8" s="1541">
        <v>2</v>
      </c>
      <c r="J8" s="1540">
        <v>13490000</v>
      </c>
      <c r="K8" s="596">
        <f t="shared" si="2"/>
        <v>38</v>
      </c>
      <c r="L8" s="1533">
        <f t="shared" si="2"/>
        <v>70497300</v>
      </c>
      <c r="M8" s="1541">
        <v>11</v>
      </c>
      <c r="N8" s="1540">
        <v>34500000</v>
      </c>
      <c r="O8" s="1541">
        <v>26</v>
      </c>
      <c r="P8" s="1540">
        <v>31000000</v>
      </c>
      <c r="Q8" s="1539">
        <v>1</v>
      </c>
      <c r="R8" s="1540">
        <v>4997300</v>
      </c>
      <c r="S8" s="1536"/>
    </row>
    <row r="9" spans="1:19" ht="12.75" customHeight="1" x14ac:dyDescent="0.15">
      <c r="A9" s="1537" t="s">
        <v>7</v>
      </c>
      <c r="B9" s="1538" t="s">
        <v>1018</v>
      </c>
      <c r="C9" s="596">
        <f t="shared" si="0"/>
        <v>14</v>
      </c>
      <c r="D9" s="1533">
        <f t="shared" si="0"/>
        <v>50918295</v>
      </c>
      <c r="E9" s="1539">
        <v>8</v>
      </c>
      <c r="F9" s="1540">
        <v>12918295</v>
      </c>
      <c r="G9" s="1541">
        <v>2</v>
      </c>
      <c r="H9" s="1540">
        <v>30000000</v>
      </c>
      <c r="I9" s="1541">
        <v>4</v>
      </c>
      <c r="J9" s="1540">
        <v>8000000</v>
      </c>
      <c r="K9" s="596">
        <f t="shared" si="2"/>
        <v>12</v>
      </c>
      <c r="L9" s="1533">
        <f t="shared" si="2"/>
        <v>45125000</v>
      </c>
      <c r="M9" s="1541">
        <v>8</v>
      </c>
      <c r="N9" s="1540">
        <v>8125000</v>
      </c>
      <c r="O9" s="1541">
        <v>2</v>
      </c>
      <c r="P9" s="1540">
        <v>32000000</v>
      </c>
      <c r="Q9" s="1539">
        <v>2</v>
      </c>
      <c r="R9" s="1540">
        <v>5000000</v>
      </c>
      <c r="S9" s="1536"/>
    </row>
    <row r="10" spans="1:19" ht="12.75" customHeight="1" x14ac:dyDescent="0.15">
      <c r="A10" s="1537" t="s">
        <v>10</v>
      </c>
      <c r="B10" s="1538" t="s">
        <v>511</v>
      </c>
      <c r="C10" s="596">
        <f t="shared" si="0"/>
        <v>6</v>
      </c>
      <c r="D10" s="1533">
        <f t="shared" si="0"/>
        <v>60097250</v>
      </c>
      <c r="E10" s="1539">
        <v>3</v>
      </c>
      <c r="F10" s="1540">
        <v>23817000</v>
      </c>
      <c r="G10" s="1541">
        <v>2</v>
      </c>
      <c r="H10" s="1540">
        <v>26280250</v>
      </c>
      <c r="I10" s="1541">
        <v>1</v>
      </c>
      <c r="J10" s="1540">
        <v>10000000</v>
      </c>
      <c r="K10" s="596">
        <f t="shared" si="2"/>
        <v>18</v>
      </c>
      <c r="L10" s="1533">
        <f t="shared" si="2"/>
        <v>49685031</v>
      </c>
      <c r="M10" s="1541">
        <v>1</v>
      </c>
      <c r="N10" s="1540">
        <v>14317000</v>
      </c>
      <c r="O10" s="1541">
        <v>11</v>
      </c>
      <c r="P10" s="1540">
        <v>29693000</v>
      </c>
      <c r="Q10" s="1539">
        <v>6</v>
      </c>
      <c r="R10" s="1540">
        <v>5675031</v>
      </c>
      <c r="S10" s="1536"/>
    </row>
    <row r="11" spans="1:19" ht="26.25" customHeight="1" x14ac:dyDescent="0.15">
      <c r="A11" s="1537" t="s">
        <v>3206</v>
      </c>
      <c r="B11" s="1538" t="s">
        <v>1026</v>
      </c>
      <c r="C11" s="596">
        <f t="shared" si="0"/>
        <v>28</v>
      </c>
      <c r="D11" s="1533">
        <f t="shared" si="0"/>
        <v>109534000</v>
      </c>
      <c r="E11" s="1539">
        <v>13</v>
      </c>
      <c r="F11" s="1540">
        <v>44000000</v>
      </c>
      <c r="G11" s="1541">
        <v>2</v>
      </c>
      <c r="H11" s="1540">
        <v>30000000</v>
      </c>
      <c r="I11" s="1541">
        <v>13</v>
      </c>
      <c r="J11" s="1540">
        <v>35534000</v>
      </c>
      <c r="K11" s="596">
        <f t="shared" si="2"/>
        <v>73</v>
      </c>
      <c r="L11" s="1533">
        <f t="shared" si="2"/>
        <v>121250000</v>
      </c>
      <c r="M11" s="1541">
        <v>10</v>
      </c>
      <c r="N11" s="1540">
        <v>26250000</v>
      </c>
      <c r="O11" s="1541">
        <v>46</v>
      </c>
      <c r="P11" s="1540">
        <v>75000000</v>
      </c>
      <c r="Q11" s="1539">
        <v>17</v>
      </c>
      <c r="R11" s="1540">
        <v>20000000</v>
      </c>
      <c r="S11" s="1536"/>
    </row>
    <row r="12" spans="1:19" ht="12.75" customHeight="1" x14ac:dyDescent="0.15">
      <c r="A12" s="1537" t="s">
        <v>14</v>
      </c>
      <c r="B12" s="1538" t="s">
        <v>3207</v>
      </c>
      <c r="C12" s="596">
        <f t="shared" si="0"/>
        <v>44</v>
      </c>
      <c r="D12" s="1533">
        <f t="shared" si="0"/>
        <v>66206000</v>
      </c>
      <c r="E12" s="1539">
        <v>23</v>
      </c>
      <c r="F12" s="1540">
        <v>22706000</v>
      </c>
      <c r="G12" s="1541">
        <v>1</v>
      </c>
      <c r="H12" s="1540">
        <v>20000000</v>
      </c>
      <c r="I12" s="1541">
        <v>20</v>
      </c>
      <c r="J12" s="1540">
        <v>23500000</v>
      </c>
      <c r="K12" s="596">
        <f t="shared" si="2"/>
        <v>82</v>
      </c>
      <c r="L12" s="1533">
        <f t="shared" si="2"/>
        <v>83972160</v>
      </c>
      <c r="M12" s="1541">
        <v>17</v>
      </c>
      <c r="N12" s="1540">
        <v>19023320</v>
      </c>
      <c r="O12" s="1541">
        <v>55</v>
      </c>
      <c r="P12" s="1540">
        <v>55000000</v>
      </c>
      <c r="Q12" s="1539">
        <v>10</v>
      </c>
      <c r="R12" s="1540">
        <v>9948840</v>
      </c>
      <c r="S12" s="1536"/>
    </row>
    <row r="13" spans="1:19" ht="12.75" customHeight="1" x14ac:dyDescent="0.15">
      <c r="A13" s="1537" t="s">
        <v>350</v>
      </c>
      <c r="B13" s="1538" t="s">
        <v>709</v>
      </c>
      <c r="C13" s="596">
        <f t="shared" si="0"/>
        <v>56</v>
      </c>
      <c r="D13" s="1533">
        <f t="shared" si="0"/>
        <v>134825000</v>
      </c>
      <c r="E13" s="1539">
        <v>34</v>
      </c>
      <c r="F13" s="1540">
        <v>44500000</v>
      </c>
      <c r="G13" s="1541">
        <v>1</v>
      </c>
      <c r="H13" s="1540">
        <v>55325000</v>
      </c>
      <c r="I13" s="1541">
        <v>21</v>
      </c>
      <c r="J13" s="1540">
        <v>35000000</v>
      </c>
      <c r="K13" s="596">
        <f t="shared" si="2"/>
        <v>150</v>
      </c>
      <c r="L13" s="1533">
        <f t="shared" si="2"/>
        <v>151214900</v>
      </c>
      <c r="M13" s="1541">
        <v>10</v>
      </c>
      <c r="N13" s="1540">
        <v>38000000</v>
      </c>
      <c r="O13" s="1541">
        <v>129</v>
      </c>
      <c r="P13" s="1540">
        <v>100000000</v>
      </c>
      <c r="Q13" s="1539">
        <v>11</v>
      </c>
      <c r="R13" s="1540">
        <v>13214900</v>
      </c>
      <c r="S13" s="1536"/>
    </row>
    <row r="14" spans="1:19" ht="12.75" customHeight="1" x14ac:dyDescent="0.15">
      <c r="A14" s="1537" t="s">
        <v>301</v>
      </c>
      <c r="B14" s="1538" t="s">
        <v>655</v>
      </c>
      <c r="C14" s="596">
        <f t="shared" si="0"/>
        <v>17</v>
      </c>
      <c r="D14" s="1533">
        <f t="shared" si="0"/>
        <v>54282200</v>
      </c>
      <c r="E14" s="1539">
        <v>12</v>
      </c>
      <c r="F14" s="1540">
        <v>13282200</v>
      </c>
      <c r="G14" s="1541">
        <v>3</v>
      </c>
      <c r="H14" s="1540">
        <v>20000000</v>
      </c>
      <c r="I14" s="1541">
        <v>2</v>
      </c>
      <c r="J14" s="1540">
        <v>21000000</v>
      </c>
      <c r="K14" s="596">
        <f t="shared" si="2"/>
        <v>55</v>
      </c>
      <c r="L14" s="1533">
        <f t="shared" si="2"/>
        <v>65040060</v>
      </c>
      <c r="M14" s="1541">
        <v>7</v>
      </c>
      <c r="N14" s="1540">
        <v>13840440</v>
      </c>
      <c r="O14" s="1541">
        <v>42</v>
      </c>
      <c r="P14" s="1540">
        <v>42000000</v>
      </c>
      <c r="Q14" s="1539">
        <v>6</v>
      </c>
      <c r="R14" s="1540">
        <v>9199620</v>
      </c>
      <c r="S14" s="1536"/>
    </row>
    <row r="15" spans="1:19" ht="12.75" customHeight="1" x14ac:dyDescent="0.15">
      <c r="A15" s="1537" t="s">
        <v>3208</v>
      </c>
      <c r="B15" s="1538" t="s">
        <v>1157</v>
      </c>
      <c r="C15" s="596">
        <f t="shared" si="0"/>
        <v>24</v>
      </c>
      <c r="D15" s="1533">
        <f t="shared" si="0"/>
        <v>81250198</v>
      </c>
      <c r="E15" s="1539">
        <v>12</v>
      </c>
      <c r="F15" s="1540">
        <v>23000000</v>
      </c>
      <c r="G15" s="1541">
        <v>3</v>
      </c>
      <c r="H15" s="1540">
        <v>40000000</v>
      </c>
      <c r="I15" s="1541">
        <v>9</v>
      </c>
      <c r="J15" s="1540">
        <v>18250198</v>
      </c>
      <c r="K15" s="596">
        <f t="shared" si="2"/>
        <v>54</v>
      </c>
      <c r="L15" s="1533">
        <f t="shared" si="2"/>
        <v>80000000</v>
      </c>
      <c r="M15" s="1541">
        <v>6</v>
      </c>
      <c r="N15" s="1540">
        <v>30000000</v>
      </c>
      <c r="O15" s="1541">
        <v>43</v>
      </c>
      <c r="P15" s="1540">
        <v>45000000</v>
      </c>
      <c r="Q15" s="1539">
        <v>5</v>
      </c>
      <c r="R15" s="1540">
        <v>5000000</v>
      </c>
      <c r="S15" s="1536"/>
    </row>
    <row r="16" spans="1:19" ht="12.75" customHeight="1" x14ac:dyDescent="0.15">
      <c r="A16" s="1537" t="s">
        <v>19</v>
      </c>
      <c r="B16" s="1538" t="s">
        <v>691</v>
      </c>
      <c r="C16" s="596">
        <f t="shared" si="0"/>
        <v>5</v>
      </c>
      <c r="D16" s="1533">
        <f t="shared" si="0"/>
        <v>30592275</v>
      </c>
      <c r="E16" s="1539">
        <v>4</v>
      </c>
      <c r="F16" s="1540">
        <v>13153275</v>
      </c>
      <c r="G16" s="1541">
        <v>0</v>
      </c>
      <c r="H16" s="1540">
        <v>9939000</v>
      </c>
      <c r="I16" s="1541">
        <v>1</v>
      </c>
      <c r="J16" s="1540">
        <v>7500000</v>
      </c>
      <c r="K16" s="596">
        <f t="shared" si="2"/>
        <v>11</v>
      </c>
      <c r="L16" s="1533">
        <f t="shared" si="2"/>
        <v>30584560</v>
      </c>
      <c r="M16" s="1541">
        <v>4</v>
      </c>
      <c r="N16" s="1540">
        <v>14584560</v>
      </c>
      <c r="O16" s="1541">
        <v>5</v>
      </c>
      <c r="P16" s="1540">
        <v>10000000</v>
      </c>
      <c r="Q16" s="1539">
        <v>2</v>
      </c>
      <c r="R16" s="1540">
        <v>6000000</v>
      </c>
      <c r="S16" s="1536"/>
    </row>
    <row r="17" spans="1:19" ht="12.75" customHeight="1" x14ac:dyDescent="0.15">
      <c r="A17" s="2092" t="s">
        <v>3209</v>
      </c>
      <c r="B17" s="1538" t="s">
        <v>3210</v>
      </c>
      <c r="C17" s="596">
        <f>E17+G17+I17</f>
        <v>3</v>
      </c>
      <c r="D17" s="1533">
        <f t="shared" si="0"/>
        <v>55346312</v>
      </c>
      <c r="E17" s="1539">
        <v>1</v>
      </c>
      <c r="F17" s="1540">
        <v>2346725</v>
      </c>
      <c r="G17" s="1541">
        <v>1</v>
      </c>
      <c r="H17" s="1540">
        <v>43000000</v>
      </c>
      <c r="I17" s="1541">
        <v>1</v>
      </c>
      <c r="J17" s="1540">
        <v>9999587</v>
      </c>
      <c r="K17" s="596">
        <f t="shared" si="2"/>
        <v>1</v>
      </c>
      <c r="L17" s="1533">
        <f t="shared" si="2"/>
        <v>109280000</v>
      </c>
      <c r="M17" s="1541">
        <v>0</v>
      </c>
      <c r="N17" s="1540">
        <v>0</v>
      </c>
      <c r="O17" s="1541">
        <v>0</v>
      </c>
      <c r="P17" s="1540">
        <v>95105000</v>
      </c>
      <c r="Q17" s="1539">
        <v>1</v>
      </c>
      <c r="R17" s="1540">
        <v>14175000</v>
      </c>
      <c r="S17" s="1536"/>
    </row>
    <row r="18" spans="1:19" x14ac:dyDescent="0.15">
      <c r="A18" s="1538"/>
      <c r="B18" s="1538"/>
      <c r="C18" s="596"/>
      <c r="D18" s="1542"/>
      <c r="E18" s="1539"/>
      <c r="F18" s="1540"/>
      <c r="G18" s="1539"/>
      <c r="H18" s="1540"/>
      <c r="I18" s="1539"/>
      <c r="J18" s="1540"/>
      <c r="K18" s="573"/>
      <c r="L18" s="1542"/>
      <c r="M18" s="1539"/>
      <c r="N18" s="1540"/>
      <c r="O18" s="1539"/>
      <c r="P18" s="1540"/>
      <c r="Q18" s="1539"/>
      <c r="R18" s="1540"/>
      <c r="S18" s="1536"/>
    </row>
    <row r="19" spans="1:19" x14ac:dyDescent="0.15">
      <c r="A19" s="1531"/>
      <c r="B19" s="1531"/>
      <c r="C19" s="1531"/>
      <c r="D19" s="1531"/>
      <c r="E19" s="1531"/>
      <c r="F19" s="1531"/>
      <c r="G19" s="1531"/>
      <c r="H19" s="1531"/>
      <c r="I19" s="1531"/>
      <c r="J19" s="1531"/>
      <c r="K19" s="1531"/>
      <c r="L19" s="1531"/>
      <c r="M19" s="1531"/>
      <c r="N19" s="1531"/>
      <c r="O19" s="1531"/>
      <c r="P19" s="1531"/>
      <c r="Q19" s="1531"/>
      <c r="R19" s="1531"/>
      <c r="S19" s="1531"/>
    </row>
    <row r="20" spans="1:19" x14ac:dyDescent="0.15">
      <c r="A20" s="1543" t="s">
        <v>3211</v>
      </c>
      <c r="B20" s="1531"/>
      <c r="C20" s="1531"/>
      <c r="D20" s="1531"/>
      <c r="E20" s="1531"/>
      <c r="F20" s="1531"/>
      <c r="G20" s="1531"/>
      <c r="H20" s="1531"/>
      <c r="I20" s="1531"/>
      <c r="J20" s="1531"/>
      <c r="K20" s="1531"/>
      <c r="L20" s="1531"/>
      <c r="M20" s="1531"/>
      <c r="N20" s="1531"/>
      <c r="O20" s="1531"/>
      <c r="P20" s="1531"/>
      <c r="Q20" s="1531"/>
      <c r="R20" s="1531"/>
      <c r="S20" s="1531"/>
    </row>
    <row r="21" spans="1:19" x14ac:dyDescent="0.15">
      <c r="A21" s="1543"/>
      <c r="B21" s="1531"/>
      <c r="C21" s="1531"/>
      <c r="D21" s="1531"/>
      <c r="E21" s="1531"/>
      <c r="F21" s="1531"/>
      <c r="G21" s="1531"/>
      <c r="H21" s="1531"/>
      <c r="I21" s="1531"/>
      <c r="J21" s="1531"/>
      <c r="K21" s="1531"/>
      <c r="L21" s="1531"/>
      <c r="M21" s="1531"/>
      <c r="N21" s="1531"/>
      <c r="O21" s="1531"/>
      <c r="P21" s="1531"/>
      <c r="Q21" s="1531"/>
      <c r="R21" s="1531"/>
      <c r="S21" s="1531"/>
    </row>
    <row r="22" spans="1:19" ht="17.100000000000001" customHeight="1" x14ac:dyDescent="0.15">
      <c r="A22" s="3346" t="s">
        <v>1</v>
      </c>
      <c r="B22" s="3346" t="s">
        <v>3132</v>
      </c>
      <c r="C22" s="3348" t="s">
        <v>3212</v>
      </c>
      <c r="D22" s="3350"/>
      <c r="E22" s="3350"/>
      <c r="F22" s="3350"/>
      <c r="G22" s="3350"/>
      <c r="H22" s="3350"/>
      <c r="I22" s="3350"/>
      <c r="J22" s="3351"/>
      <c r="K22" s="3348" t="s">
        <v>3213</v>
      </c>
      <c r="L22" s="3350"/>
      <c r="M22" s="3350"/>
      <c r="N22" s="3350"/>
      <c r="O22" s="3350"/>
      <c r="P22" s="3350"/>
      <c r="Q22" s="3350"/>
      <c r="R22" s="3350"/>
      <c r="S22" s="1531"/>
    </row>
    <row r="23" spans="1:19" ht="17.100000000000001" customHeight="1" x14ac:dyDescent="0.15">
      <c r="A23" s="3347"/>
      <c r="B23" s="3347"/>
      <c r="C23" s="1532" t="s">
        <v>3197</v>
      </c>
      <c r="D23" s="2136" t="s">
        <v>3198</v>
      </c>
      <c r="E23" s="1532" t="s">
        <v>3199</v>
      </c>
      <c r="F23" s="1532" t="s">
        <v>3200</v>
      </c>
      <c r="G23" s="1532" t="s">
        <v>3201</v>
      </c>
      <c r="H23" s="1532" t="s">
        <v>3202</v>
      </c>
      <c r="I23" s="1532" t="s">
        <v>3203</v>
      </c>
      <c r="J23" s="1532" t="s">
        <v>3204</v>
      </c>
      <c r="K23" s="1532" t="s">
        <v>3197</v>
      </c>
      <c r="L23" s="2136" t="s">
        <v>3198</v>
      </c>
      <c r="M23" s="1532" t="s">
        <v>3199</v>
      </c>
      <c r="N23" s="1532" t="s">
        <v>3200</v>
      </c>
      <c r="O23" s="1532" t="s">
        <v>3201</v>
      </c>
      <c r="P23" s="1532" t="s">
        <v>3202</v>
      </c>
      <c r="Q23" s="1532" t="s">
        <v>3203</v>
      </c>
      <c r="R23" s="1532" t="s">
        <v>3204</v>
      </c>
      <c r="S23" s="1531"/>
    </row>
    <row r="24" spans="1:19" ht="12.75" customHeight="1" x14ac:dyDescent="0.15">
      <c r="A24" s="3345" t="s">
        <v>141</v>
      </c>
      <c r="B24" s="3345"/>
      <c r="C24" s="596">
        <f t="shared" ref="C24:D35" si="4">E24+G24+I24</f>
        <v>1280</v>
      </c>
      <c r="D24" s="1544">
        <f t="shared" si="4"/>
        <v>1185618000</v>
      </c>
      <c r="E24" s="596">
        <v>95</v>
      </c>
      <c r="F24" s="1533">
        <f>SUM(F25:F35)</f>
        <v>312000000</v>
      </c>
      <c r="G24" s="596">
        <f>SUM(G25:G35)</f>
        <v>29</v>
      </c>
      <c r="H24" s="1533">
        <f>SUM(H25:H35)</f>
        <v>707618000</v>
      </c>
      <c r="I24" s="1535">
        <f>SUM(I25:I35)</f>
        <v>1156</v>
      </c>
      <c r="J24" s="1533">
        <f>SUM(J25:J35)</f>
        <v>166000000</v>
      </c>
      <c r="K24" s="596">
        <f t="shared" ref="K24:L35" si="5">M24+O24+Q24</f>
        <v>567</v>
      </c>
      <c r="L24" s="1544">
        <f t="shared" si="5"/>
        <v>1048816000</v>
      </c>
      <c r="M24" s="596">
        <f t="shared" ref="M24:R24" si="6">SUM(M25:M35)</f>
        <v>93</v>
      </c>
      <c r="N24" s="1533">
        <f t="shared" si="6"/>
        <v>200141000</v>
      </c>
      <c r="O24" s="596">
        <f t="shared" si="6"/>
        <v>423</v>
      </c>
      <c r="P24" s="1533">
        <f t="shared" si="6"/>
        <v>755965000</v>
      </c>
      <c r="Q24" s="1535">
        <f t="shared" si="6"/>
        <v>51</v>
      </c>
      <c r="R24" s="1533">
        <f t="shared" si="6"/>
        <v>92710000</v>
      </c>
      <c r="S24" s="1536"/>
    </row>
    <row r="25" spans="1:19" ht="12.75" customHeight="1" x14ac:dyDescent="0.15">
      <c r="A25" s="1537" t="s">
        <v>5</v>
      </c>
      <c r="B25" s="1538" t="s">
        <v>696</v>
      </c>
      <c r="C25" s="596">
        <f t="shared" si="4"/>
        <v>9</v>
      </c>
      <c r="D25" s="1544">
        <f t="shared" si="4"/>
        <v>78000000</v>
      </c>
      <c r="E25" s="1539">
        <v>7</v>
      </c>
      <c r="F25" s="1540">
        <v>27000000</v>
      </c>
      <c r="G25" s="1539">
        <v>2</v>
      </c>
      <c r="H25" s="1540">
        <v>45000000</v>
      </c>
      <c r="I25" s="1541">
        <v>0</v>
      </c>
      <c r="J25" s="1540">
        <v>6000000</v>
      </c>
      <c r="K25" s="573">
        <f t="shared" si="5"/>
        <v>8</v>
      </c>
      <c r="L25" s="1545">
        <f t="shared" si="5"/>
        <v>32295000</v>
      </c>
      <c r="M25" s="1539">
        <v>5</v>
      </c>
      <c r="N25" s="1540">
        <v>10000000</v>
      </c>
      <c r="O25" s="1539">
        <v>2</v>
      </c>
      <c r="P25" s="1540">
        <v>16295000</v>
      </c>
      <c r="Q25" s="1541">
        <v>1</v>
      </c>
      <c r="R25" s="1540">
        <v>6000000</v>
      </c>
      <c r="S25" s="1536"/>
    </row>
    <row r="26" spans="1:19" ht="12.75" customHeight="1" x14ac:dyDescent="0.15">
      <c r="A26" s="1537" t="s">
        <v>3205</v>
      </c>
      <c r="B26" s="1538" t="s">
        <v>1037</v>
      </c>
      <c r="C26" s="596">
        <f t="shared" si="4"/>
        <v>11</v>
      </c>
      <c r="D26" s="1544">
        <f t="shared" si="4"/>
        <v>73700000</v>
      </c>
      <c r="E26" s="1539">
        <v>9</v>
      </c>
      <c r="F26" s="1540">
        <v>22000000</v>
      </c>
      <c r="G26" s="1539">
        <v>2</v>
      </c>
      <c r="H26" s="1540">
        <v>41700000</v>
      </c>
      <c r="I26" s="1541">
        <v>0</v>
      </c>
      <c r="J26" s="1540">
        <v>10000000</v>
      </c>
      <c r="K26" s="573">
        <f t="shared" si="5"/>
        <v>27</v>
      </c>
      <c r="L26" s="1545">
        <f t="shared" si="5"/>
        <v>62190000</v>
      </c>
      <c r="M26" s="1539">
        <v>11</v>
      </c>
      <c r="N26" s="1540">
        <v>16500000</v>
      </c>
      <c r="O26" s="1539">
        <v>15</v>
      </c>
      <c r="P26" s="1540">
        <v>43330000</v>
      </c>
      <c r="Q26" s="1541">
        <v>1</v>
      </c>
      <c r="R26" s="1540">
        <v>2360000</v>
      </c>
      <c r="S26" s="1536"/>
    </row>
    <row r="27" spans="1:19" ht="12.75" customHeight="1" x14ac:dyDescent="0.15">
      <c r="A27" s="1537" t="s">
        <v>7</v>
      </c>
      <c r="B27" s="1538" t="s">
        <v>1018</v>
      </c>
      <c r="C27" s="596">
        <f t="shared" si="4"/>
        <v>248</v>
      </c>
      <c r="D27" s="1544">
        <f t="shared" si="4"/>
        <v>41000000</v>
      </c>
      <c r="E27" s="1539">
        <v>6</v>
      </c>
      <c r="F27" s="1540">
        <v>14000000</v>
      </c>
      <c r="G27" s="1539">
        <v>2</v>
      </c>
      <c r="H27" s="1540">
        <v>22000000</v>
      </c>
      <c r="I27" s="1541">
        <v>240</v>
      </c>
      <c r="J27" s="1540">
        <v>5000000</v>
      </c>
      <c r="K27" s="573">
        <f t="shared" si="5"/>
        <v>17</v>
      </c>
      <c r="L27" s="1545">
        <f t="shared" si="5"/>
        <v>175661000</v>
      </c>
      <c r="M27" s="1539">
        <v>6</v>
      </c>
      <c r="N27" s="1540">
        <v>17161000</v>
      </c>
      <c r="O27" s="1539">
        <v>9</v>
      </c>
      <c r="P27" s="1540">
        <v>153000000</v>
      </c>
      <c r="Q27" s="1541">
        <v>2</v>
      </c>
      <c r="R27" s="1540">
        <v>5500000</v>
      </c>
      <c r="S27" s="1536"/>
    </row>
    <row r="28" spans="1:19" ht="12.75" customHeight="1" x14ac:dyDescent="0.15">
      <c r="A28" s="1537" t="s">
        <v>10</v>
      </c>
      <c r="B28" s="1538" t="s">
        <v>511</v>
      </c>
      <c r="C28" s="596">
        <f t="shared" si="4"/>
        <v>870</v>
      </c>
      <c r="D28" s="1544">
        <f t="shared" si="4"/>
        <v>56600000</v>
      </c>
      <c r="E28" s="1539">
        <v>2</v>
      </c>
      <c r="F28" s="1540">
        <v>15000000</v>
      </c>
      <c r="G28" s="1539">
        <v>2</v>
      </c>
      <c r="H28" s="1540">
        <v>25600000</v>
      </c>
      <c r="I28" s="1541">
        <v>866</v>
      </c>
      <c r="J28" s="1540">
        <v>16000000</v>
      </c>
      <c r="K28" s="573">
        <f t="shared" si="5"/>
        <v>25</v>
      </c>
      <c r="L28" s="1545">
        <f t="shared" si="5"/>
        <v>45200000</v>
      </c>
      <c r="M28" s="1539">
        <v>1</v>
      </c>
      <c r="N28" s="1540">
        <v>5000000</v>
      </c>
      <c r="O28" s="1539">
        <v>15</v>
      </c>
      <c r="P28" s="1540">
        <v>20200000</v>
      </c>
      <c r="Q28" s="1541">
        <v>9</v>
      </c>
      <c r="R28" s="1540">
        <v>20000000</v>
      </c>
      <c r="S28" s="1536"/>
    </row>
    <row r="29" spans="1:19" ht="24" customHeight="1" x14ac:dyDescent="0.15">
      <c r="A29" s="2241" t="s">
        <v>3206</v>
      </c>
      <c r="B29" s="1538" t="s">
        <v>1026</v>
      </c>
      <c r="C29" s="596">
        <f t="shared" si="4"/>
        <v>11</v>
      </c>
      <c r="D29" s="1544">
        <f t="shared" si="4"/>
        <v>122600000</v>
      </c>
      <c r="E29" s="1539">
        <v>9</v>
      </c>
      <c r="F29" s="1540">
        <v>30000000</v>
      </c>
      <c r="G29" s="1539">
        <v>2</v>
      </c>
      <c r="H29" s="1540">
        <v>73600000</v>
      </c>
      <c r="I29" s="1541">
        <v>0</v>
      </c>
      <c r="J29" s="1540">
        <v>19000000</v>
      </c>
      <c r="K29" s="573">
        <f t="shared" si="5"/>
        <v>103</v>
      </c>
      <c r="L29" s="1545">
        <f t="shared" si="5"/>
        <v>145442000</v>
      </c>
      <c r="M29" s="1539">
        <v>14</v>
      </c>
      <c r="N29" s="1540">
        <v>32242000</v>
      </c>
      <c r="O29" s="1539">
        <v>85</v>
      </c>
      <c r="P29" s="1540">
        <v>109200000</v>
      </c>
      <c r="Q29" s="1541">
        <v>4</v>
      </c>
      <c r="R29" s="1540">
        <v>4000000</v>
      </c>
      <c r="S29" s="1536"/>
    </row>
    <row r="30" spans="1:19" ht="12.75" customHeight="1" x14ac:dyDescent="0.15">
      <c r="A30" s="1537" t="s">
        <v>14</v>
      </c>
      <c r="B30" s="1538" t="s">
        <v>3207</v>
      </c>
      <c r="C30" s="596">
        <f t="shared" si="4"/>
        <v>34</v>
      </c>
      <c r="D30" s="1544">
        <f t="shared" si="4"/>
        <v>108400000</v>
      </c>
      <c r="E30" s="1539">
        <v>22</v>
      </c>
      <c r="F30" s="1540">
        <v>22000000</v>
      </c>
      <c r="G30" s="1539">
        <v>2</v>
      </c>
      <c r="H30" s="1540">
        <v>76400000</v>
      </c>
      <c r="I30" s="1541">
        <v>10</v>
      </c>
      <c r="J30" s="1540">
        <v>10000000</v>
      </c>
      <c r="K30" s="573">
        <f t="shared" si="5"/>
        <v>87</v>
      </c>
      <c r="L30" s="1545">
        <f t="shared" si="5"/>
        <v>116242000</v>
      </c>
      <c r="M30" s="1539">
        <v>14</v>
      </c>
      <c r="N30" s="1540">
        <v>32242000</v>
      </c>
      <c r="O30" s="1539">
        <v>55</v>
      </c>
      <c r="P30" s="1540">
        <v>66000000</v>
      </c>
      <c r="Q30" s="1541">
        <v>18</v>
      </c>
      <c r="R30" s="1540">
        <v>18000000</v>
      </c>
      <c r="S30" s="1536"/>
    </row>
    <row r="31" spans="1:19" ht="12.75" customHeight="1" x14ac:dyDescent="0.15">
      <c r="A31" s="1537" t="s">
        <v>350</v>
      </c>
      <c r="B31" s="1538" t="s">
        <v>709</v>
      </c>
      <c r="C31" s="596">
        <f t="shared" si="4"/>
        <v>15</v>
      </c>
      <c r="D31" s="1544">
        <f t="shared" si="4"/>
        <v>238300000</v>
      </c>
      <c r="E31" s="1539">
        <v>13</v>
      </c>
      <c r="F31" s="1540">
        <v>48100000</v>
      </c>
      <c r="G31" s="1539">
        <v>2</v>
      </c>
      <c r="H31" s="1540">
        <v>166200000</v>
      </c>
      <c r="I31" s="1541">
        <v>0</v>
      </c>
      <c r="J31" s="1540">
        <v>24000000</v>
      </c>
      <c r="K31" s="573">
        <f t="shared" si="5"/>
        <v>195</v>
      </c>
      <c r="L31" s="1545">
        <f t="shared" si="5"/>
        <v>218774000</v>
      </c>
      <c r="M31" s="1539">
        <v>10</v>
      </c>
      <c r="N31" s="1540">
        <v>24774000</v>
      </c>
      <c r="O31" s="1539">
        <v>171</v>
      </c>
      <c r="P31" s="1540">
        <v>180000000</v>
      </c>
      <c r="Q31" s="1541">
        <v>14</v>
      </c>
      <c r="R31" s="1540">
        <v>14000000</v>
      </c>
      <c r="S31" s="1536"/>
    </row>
    <row r="32" spans="1:19" ht="12.75" customHeight="1" x14ac:dyDescent="0.15">
      <c r="A32" s="1537" t="s">
        <v>301</v>
      </c>
      <c r="B32" s="1538" t="s">
        <v>655</v>
      </c>
      <c r="C32" s="596">
        <f t="shared" si="4"/>
        <v>12</v>
      </c>
      <c r="D32" s="1544">
        <f t="shared" si="4"/>
        <v>80100000</v>
      </c>
      <c r="E32" s="1539">
        <v>10</v>
      </c>
      <c r="F32" s="1540">
        <v>15000000</v>
      </c>
      <c r="G32" s="1539">
        <v>2</v>
      </c>
      <c r="H32" s="1540">
        <v>55100000</v>
      </c>
      <c r="I32" s="1541">
        <v>0</v>
      </c>
      <c r="J32" s="1540">
        <v>10000000</v>
      </c>
      <c r="K32" s="573">
        <f t="shared" si="5"/>
        <v>52</v>
      </c>
      <c r="L32" s="1545">
        <f t="shared" si="5"/>
        <v>64400000</v>
      </c>
      <c r="M32" s="1539">
        <v>18</v>
      </c>
      <c r="N32" s="1540">
        <v>18000000</v>
      </c>
      <c r="O32" s="1539">
        <v>34</v>
      </c>
      <c r="P32" s="1540">
        <v>46400000</v>
      </c>
      <c r="Q32" s="1541">
        <v>0</v>
      </c>
      <c r="R32" s="1540">
        <v>0</v>
      </c>
      <c r="S32" s="1536"/>
    </row>
    <row r="33" spans="1:19" ht="12.75" customHeight="1" x14ac:dyDescent="0.15">
      <c r="A33" s="1537" t="s">
        <v>3208</v>
      </c>
      <c r="B33" s="1538" t="s">
        <v>1157</v>
      </c>
      <c r="C33" s="596">
        <f t="shared" si="4"/>
        <v>17</v>
      </c>
      <c r="D33" s="1544">
        <f t="shared" si="4"/>
        <v>94800000</v>
      </c>
      <c r="E33" s="1539">
        <v>10</v>
      </c>
      <c r="F33" s="1540">
        <v>31000000</v>
      </c>
      <c r="G33" s="1539">
        <v>2</v>
      </c>
      <c r="H33" s="1540">
        <v>55800000</v>
      </c>
      <c r="I33" s="1541">
        <v>5</v>
      </c>
      <c r="J33" s="1540">
        <v>8000000</v>
      </c>
      <c r="K33" s="573">
        <f t="shared" si="5"/>
        <v>10</v>
      </c>
      <c r="L33" s="1545">
        <f t="shared" si="5"/>
        <v>12222000</v>
      </c>
      <c r="M33" s="1539">
        <v>10</v>
      </c>
      <c r="N33" s="1540">
        <v>12222000</v>
      </c>
      <c r="O33" s="1541">
        <v>0</v>
      </c>
      <c r="P33" s="1540">
        <v>0</v>
      </c>
      <c r="Q33" s="1541">
        <v>0</v>
      </c>
      <c r="R33" s="1540">
        <v>0</v>
      </c>
      <c r="S33" s="1536"/>
    </row>
    <row r="34" spans="1:19" ht="12.75" customHeight="1" x14ac:dyDescent="0.15">
      <c r="A34" s="1537" t="s">
        <v>19</v>
      </c>
      <c r="B34" s="1538" t="s">
        <v>691</v>
      </c>
      <c r="C34" s="596">
        <f t="shared" si="4"/>
        <v>10</v>
      </c>
      <c r="D34" s="1544">
        <f t="shared" si="4"/>
        <v>37000000</v>
      </c>
      <c r="E34" s="1539">
        <v>4</v>
      </c>
      <c r="F34" s="1540">
        <v>14000000</v>
      </c>
      <c r="G34" s="1539">
        <v>1</v>
      </c>
      <c r="H34" s="1540">
        <v>18000000</v>
      </c>
      <c r="I34" s="1541">
        <v>5</v>
      </c>
      <c r="J34" s="1540">
        <v>5000000</v>
      </c>
      <c r="K34" s="573">
        <f t="shared" si="5"/>
        <v>35</v>
      </c>
      <c r="L34" s="1545">
        <f t="shared" si="5"/>
        <v>56000000</v>
      </c>
      <c r="M34" s="1539">
        <v>2</v>
      </c>
      <c r="N34" s="1540">
        <v>8000000</v>
      </c>
      <c r="O34" s="1539">
        <v>33</v>
      </c>
      <c r="P34" s="1540">
        <v>48000000</v>
      </c>
      <c r="Q34" s="1541">
        <v>0</v>
      </c>
      <c r="R34" s="1540">
        <v>0</v>
      </c>
      <c r="S34" s="1536"/>
    </row>
    <row r="35" spans="1:19" ht="12.75" customHeight="1" x14ac:dyDescent="0.15">
      <c r="A35" s="2092" t="s">
        <v>3209</v>
      </c>
      <c r="B35" s="1538" t="s">
        <v>3214</v>
      </c>
      <c r="C35" s="596">
        <f t="shared" si="4"/>
        <v>43</v>
      </c>
      <c r="D35" s="1544">
        <f t="shared" si="4"/>
        <v>255118000</v>
      </c>
      <c r="E35" s="1539">
        <v>3</v>
      </c>
      <c r="F35" s="1540">
        <v>73900000</v>
      </c>
      <c r="G35" s="1539">
        <v>10</v>
      </c>
      <c r="H35" s="1540">
        <v>128218000</v>
      </c>
      <c r="I35" s="1541">
        <v>30</v>
      </c>
      <c r="J35" s="1540">
        <v>53000000</v>
      </c>
      <c r="K35" s="573">
        <f t="shared" si="5"/>
        <v>8</v>
      </c>
      <c r="L35" s="1545">
        <f t="shared" si="5"/>
        <v>120390000</v>
      </c>
      <c r="M35" s="1539">
        <v>2</v>
      </c>
      <c r="N35" s="1540">
        <v>24000000</v>
      </c>
      <c r="O35" s="1539">
        <v>4</v>
      </c>
      <c r="P35" s="1540">
        <v>73540000</v>
      </c>
      <c r="Q35" s="1541">
        <v>2</v>
      </c>
      <c r="R35" s="1540">
        <v>22850000</v>
      </c>
      <c r="S35" s="1536"/>
    </row>
    <row r="36" spans="1:19" x14ac:dyDescent="0.15">
      <c r="A36" s="2089"/>
    </row>
    <row r="37" spans="1:19" x14ac:dyDescent="0.15">
      <c r="A37" s="2089"/>
    </row>
    <row r="38" spans="1:19" x14ac:dyDescent="0.15">
      <c r="A38" s="1543" t="s">
        <v>3211</v>
      </c>
    </row>
    <row r="39" spans="1:19" ht="17.25" customHeight="1" x14ac:dyDescent="0.15">
      <c r="A39" s="2351" t="s">
        <v>1</v>
      </c>
      <c r="B39" s="2351" t="s">
        <v>3132</v>
      </c>
      <c r="C39" s="2785" t="s">
        <v>3215</v>
      </c>
      <c r="D39" s="2785"/>
      <c r="E39" s="2785"/>
      <c r="F39" s="2785"/>
      <c r="G39" s="2785"/>
      <c r="H39" s="2785"/>
      <c r="I39" s="2785"/>
      <c r="J39" s="2785"/>
    </row>
    <row r="40" spans="1:19" ht="21.75" customHeight="1" x14ac:dyDescent="0.15">
      <c r="A40" s="2351"/>
      <c r="B40" s="2351"/>
      <c r="C40" s="2091" t="s">
        <v>3197</v>
      </c>
      <c r="D40" s="2091" t="s">
        <v>3198</v>
      </c>
      <c r="E40" s="2091" t="s">
        <v>3216</v>
      </c>
      <c r="F40" s="2091" t="s">
        <v>3217</v>
      </c>
      <c r="G40" s="2091" t="s">
        <v>3218</v>
      </c>
      <c r="H40" s="2091" t="s">
        <v>3219</v>
      </c>
      <c r="I40" s="2091" t="s">
        <v>3220</v>
      </c>
      <c r="J40" s="2091" t="s">
        <v>3221</v>
      </c>
    </row>
    <row r="41" spans="1:19" s="2093" customFormat="1" ht="12.75" customHeight="1" x14ac:dyDescent="0.15">
      <c r="A41" s="767" t="s">
        <v>141</v>
      </c>
      <c r="B41" s="1527"/>
      <c r="C41" s="1527">
        <f>SUM(C42:C52)</f>
        <v>565</v>
      </c>
      <c r="D41" s="718">
        <f t="shared" ref="D41:D51" si="7">SUM(F41,H41,J41)</f>
        <v>1188977540</v>
      </c>
      <c r="E41" s="1527">
        <f>SUM(E42:E52)</f>
        <v>100</v>
      </c>
      <c r="F41" s="1527">
        <f t="shared" ref="F41:J41" si="8">SUM(F42:F52)</f>
        <v>350654400</v>
      </c>
      <c r="G41" s="1527">
        <f>SUM(G42:G52)</f>
        <v>420</v>
      </c>
      <c r="H41" s="1527">
        <f t="shared" si="8"/>
        <v>712166140</v>
      </c>
      <c r="I41" s="1527">
        <f>SUM(I42:I52)</f>
        <v>45</v>
      </c>
      <c r="J41" s="1527">
        <f t="shared" si="8"/>
        <v>126157000</v>
      </c>
    </row>
    <row r="42" spans="1:19" s="2093" customFormat="1" ht="12.75" customHeight="1" x14ac:dyDescent="0.15">
      <c r="A42" s="2092" t="s">
        <v>5</v>
      </c>
      <c r="B42" s="1546" t="s">
        <v>696</v>
      </c>
      <c r="C42" s="1527">
        <f t="shared" ref="C42:C52" si="9">SUM(E42,G42,I42)</f>
        <v>21</v>
      </c>
      <c r="D42" s="718">
        <f t="shared" si="7"/>
        <v>39297000</v>
      </c>
      <c r="E42" s="438">
        <v>11</v>
      </c>
      <c r="F42" s="438">
        <v>20000000</v>
      </c>
      <c r="G42" s="434">
        <v>10</v>
      </c>
      <c r="H42" s="434">
        <v>19297000</v>
      </c>
      <c r="I42" s="434">
        <v>0</v>
      </c>
      <c r="J42" s="434">
        <v>0</v>
      </c>
    </row>
    <row r="43" spans="1:19" s="2093" customFormat="1" ht="12.75" customHeight="1" x14ac:dyDescent="0.15">
      <c r="A43" s="2092" t="s">
        <v>3205</v>
      </c>
      <c r="B43" s="1546" t="s">
        <v>1037</v>
      </c>
      <c r="C43" s="1527">
        <f t="shared" si="9"/>
        <v>20</v>
      </c>
      <c r="D43" s="718">
        <f t="shared" si="7"/>
        <v>85130000</v>
      </c>
      <c r="E43" s="438">
        <v>3</v>
      </c>
      <c r="F43" s="438">
        <v>44000000</v>
      </c>
      <c r="G43" s="434">
        <v>15</v>
      </c>
      <c r="H43" s="434">
        <v>38350000</v>
      </c>
      <c r="I43" s="434">
        <v>2</v>
      </c>
      <c r="J43" s="434">
        <v>2780000</v>
      </c>
    </row>
    <row r="44" spans="1:19" s="2093" customFormat="1" ht="12.75" customHeight="1" x14ac:dyDescent="0.15">
      <c r="A44" s="2092" t="s">
        <v>7</v>
      </c>
      <c r="B44" s="1546" t="s">
        <v>1018</v>
      </c>
      <c r="C44" s="1527">
        <f t="shared" si="9"/>
        <v>11</v>
      </c>
      <c r="D44" s="718">
        <f t="shared" si="7"/>
        <v>37636000</v>
      </c>
      <c r="E44" s="438">
        <v>1</v>
      </c>
      <c r="F44" s="438">
        <v>20000000</v>
      </c>
      <c r="G44" s="434">
        <v>9</v>
      </c>
      <c r="H44" s="434">
        <v>10000000</v>
      </c>
      <c r="I44" s="434">
        <v>1</v>
      </c>
      <c r="J44" s="434">
        <v>7636000</v>
      </c>
    </row>
    <row r="45" spans="1:19" s="2093" customFormat="1" ht="12.75" customHeight="1" x14ac:dyDescent="0.15">
      <c r="A45" s="2092" t="s">
        <v>10</v>
      </c>
      <c r="B45" s="1546" t="s">
        <v>511</v>
      </c>
      <c r="C45" s="1527">
        <f t="shared" si="9"/>
        <v>16</v>
      </c>
      <c r="D45" s="718">
        <f t="shared" si="7"/>
        <v>50000000</v>
      </c>
      <c r="E45" s="438">
        <v>1</v>
      </c>
      <c r="F45" s="438">
        <v>20000000</v>
      </c>
      <c r="G45" s="434">
        <v>15</v>
      </c>
      <c r="H45" s="434">
        <v>30000000</v>
      </c>
      <c r="I45" s="434">
        <v>0</v>
      </c>
      <c r="J45" s="434">
        <v>0</v>
      </c>
    </row>
    <row r="46" spans="1:19" s="2093" customFormat="1" ht="25.5" customHeight="1" x14ac:dyDescent="0.15">
      <c r="A46" s="2092" t="s">
        <v>3206</v>
      </c>
      <c r="B46" s="1546" t="s">
        <v>1026</v>
      </c>
      <c r="C46" s="1527">
        <f t="shared" si="9"/>
        <v>114</v>
      </c>
      <c r="D46" s="718">
        <f t="shared" si="7"/>
        <v>286087000</v>
      </c>
      <c r="E46" s="438">
        <v>15</v>
      </c>
      <c r="F46" s="438">
        <v>54000000</v>
      </c>
      <c r="G46" s="434">
        <v>86</v>
      </c>
      <c r="H46" s="434">
        <v>186000000</v>
      </c>
      <c r="I46" s="434">
        <v>13</v>
      </c>
      <c r="J46" s="434">
        <v>46087000</v>
      </c>
    </row>
    <row r="47" spans="1:19" s="2093" customFormat="1" ht="12.75" customHeight="1" x14ac:dyDescent="0.15">
      <c r="A47" s="2092" t="s">
        <v>14</v>
      </c>
      <c r="B47" s="1546" t="s">
        <v>3207</v>
      </c>
      <c r="C47" s="1527">
        <f t="shared" si="9"/>
        <v>76</v>
      </c>
      <c r="D47" s="718">
        <f t="shared" si="7"/>
        <v>59774400</v>
      </c>
      <c r="E47" s="438">
        <v>20</v>
      </c>
      <c r="F47" s="438">
        <v>19774400</v>
      </c>
      <c r="G47" s="434">
        <v>55</v>
      </c>
      <c r="H47" s="434">
        <v>30000000</v>
      </c>
      <c r="I47" s="434">
        <v>1</v>
      </c>
      <c r="J47" s="434">
        <v>10000000</v>
      </c>
    </row>
    <row r="48" spans="1:19" s="2093" customFormat="1" ht="12.75" customHeight="1" x14ac:dyDescent="0.15">
      <c r="A48" s="2092" t="s">
        <v>350</v>
      </c>
      <c r="B48" s="1546" t="s">
        <v>709</v>
      </c>
      <c r="C48" s="1527">
        <f t="shared" si="9"/>
        <v>217</v>
      </c>
      <c r="D48" s="718">
        <f t="shared" si="7"/>
        <v>243654000</v>
      </c>
      <c r="E48" s="438">
        <v>23</v>
      </c>
      <c r="F48" s="438">
        <v>44000000</v>
      </c>
      <c r="G48" s="434">
        <v>172</v>
      </c>
      <c r="H48" s="434">
        <v>140000000</v>
      </c>
      <c r="I48" s="434">
        <v>22</v>
      </c>
      <c r="J48" s="434">
        <v>59654000</v>
      </c>
    </row>
    <row r="49" spans="1:18" s="2093" customFormat="1" ht="12.75" customHeight="1" x14ac:dyDescent="0.15">
      <c r="A49" s="2092" t="s">
        <v>301</v>
      </c>
      <c r="B49" s="1546" t="s">
        <v>655</v>
      </c>
      <c r="C49" s="1527">
        <f t="shared" si="9"/>
        <v>9</v>
      </c>
      <c r="D49" s="718">
        <f t="shared" si="7"/>
        <v>18660000</v>
      </c>
      <c r="E49" s="438">
        <v>5</v>
      </c>
      <c r="F49" s="438">
        <v>15000000</v>
      </c>
      <c r="G49" s="434">
        <v>4</v>
      </c>
      <c r="H49" s="434">
        <v>3660000</v>
      </c>
      <c r="I49" s="434">
        <v>0</v>
      </c>
      <c r="J49" s="434">
        <v>0</v>
      </c>
    </row>
    <row r="50" spans="1:18" s="2093" customFormat="1" ht="12.75" customHeight="1" x14ac:dyDescent="0.15">
      <c r="A50" s="2092" t="s">
        <v>3208</v>
      </c>
      <c r="B50" s="1546" t="s">
        <v>1157</v>
      </c>
      <c r="C50" s="1527">
        <f t="shared" si="9"/>
        <v>50</v>
      </c>
      <c r="D50" s="718">
        <f t="shared" si="7"/>
        <v>105080000</v>
      </c>
      <c r="E50" s="438">
        <v>17</v>
      </c>
      <c r="F50" s="438">
        <v>45880000</v>
      </c>
      <c r="G50" s="434">
        <v>33</v>
      </c>
      <c r="H50" s="434">
        <v>59200000</v>
      </c>
      <c r="I50" s="434">
        <v>0</v>
      </c>
      <c r="J50" s="434">
        <v>0</v>
      </c>
    </row>
    <row r="51" spans="1:18" s="2093" customFormat="1" ht="12.75" customHeight="1" x14ac:dyDescent="0.15">
      <c r="A51" s="2092" t="s">
        <v>19</v>
      </c>
      <c r="B51" s="1546" t="s">
        <v>691</v>
      </c>
      <c r="C51" s="1527">
        <f t="shared" si="9"/>
        <v>12</v>
      </c>
      <c r="D51" s="718">
        <f t="shared" si="7"/>
        <v>28000000</v>
      </c>
      <c r="E51" s="438">
        <v>2</v>
      </c>
      <c r="F51" s="438">
        <v>13000000</v>
      </c>
      <c r="G51" s="434">
        <v>10</v>
      </c>
      <c r="H51" s="434">
        <v>15000000</v>
      </c>
      <c r="I51" s="434">
        <v>0</v>
      </c>
      <c r="J51" s="434">
        <v>0</v>
      </c>
    </row>
    <row r="52" spans="1:18" s="2093" customFormat="1" ht="12.75" customHeight="1" x14ac:dyDescent="0.15">
      <c r="A52" s="2092" t="s">
        <v>3209</v>
      </c>
      <c r="B52" s="1546" t="s">
        <v>3210</v>
      </c>
      <c r="C52" s="1527">
        <f t="shared" si="9"/>
        <v>19</v>
      </c>
      <c r="D52" s="718">
        <f>SUM(F52,H52,J52)</f>
        <v>235659140</v>
      </c>
      <c r="E52" s="438">
        <v>2</v>
      </c>
      <c r="F52" s="438">
        <v>55000000</v>
      </c>
      <c r="G52" s="434">
        <v>11</v>
      </c>
      <c r="H52" s="434">
        <v>180659140</v>
      </c>
      <c r="I52" s="434">
        <v>6</v>
      </c>
      <c r="J52" s="434">
        <v>0</v>
      </c>
    </row>
    <row r="53" spans="1:18" s="2093" customFormat="1" ht="11.25" customHeight="1" x14ac:dyDescent="0.15">
      <c r="A53" s="2092"/>
      <c r="B53" s="833"/>
      <c r="C53" s="833"/>
      <c r="D53" s="833"/>
      <c r="E53" s="833"/>
      <c r="F53" s="833"/>
      <c r="G53" s="833"/>
      <c r="H53" s="833"/>
      <c r="I53" s="833"/>
      <c r="J53" s="833"/>
    </row>
    <row r="54" spans="1:18" s="2093" customFormat="1" ht="12.75" customHeight="1" x14ac:dyDescent="0.15">
      <c r="A54" s="2390" t="s">
        <v>3222</v>
      </c>
      <c r="B54" s="2390"/>
      <c r="C54" s="2390"/>
      <c r="D54" s="2390"/>
      <c r="E54" s="2390"/>
      <c r="F54" s="2390"/>
      <c r="G54" s="2390"/>
      <c r="H54" s="2390"/>
      <c r="I54" s="2390"/>
      <c r="J54" s="2390"/>
    </row>
    <row r="55" spans="1:18" s="2093" customFormat="1" ht="12.75" customHeight="1" x14ac:dyDescent="0.15">
      <c r="A55" s="2390" t="s">
        <v>3223</v>
      </c>
      <c r="B55" s="2390"/>
      <c r="C55" s="2390"/>
      <c r="D55" s="2390"/>
      <c r="E55" s="2390"/>
      <c r="F55" s="2390"/>
      <c r="G55" s="2390"/>
      <c r="H55" s="2390"/>
      <c r="I55" s="2390"/>
      <c r="J55" s="2390"/>
    </row>
    <row r="56" spans="1:18" s="2093" customFormat="1" ht="12.75" customHeight="1" x14ac:dyDescent="0.15">
      <c r="A56" s="2390" t="s">
        <v>3224</v>
      </c>
      <c r="B56" s="2390"/>
      <c r="C56" s="2390"/>
      <c r="D56" s="2390"/>
      <c r="E56" s="2390"/>
      <c r="F56" s="2390"/>
      <c r="G56" s="2390"/>
      <c r="H56" s="2390"/>
      <c r="I56" s="2390"/>
      <c r="J56" s="2390"/>
    </row>
    <row r="57" spans="1:18" s="2093" customFormat="1" ht="12.75" customHeight="1" x14ac:dyDescent="0.15">
      <c r="A57" s="3352" t="s">
        <v>4266</v>
      </c>
      <c r="B57" s="3352"/>
      <c r="C57" s="3352"/>
      <c r="D57" s="3352"/>
      <c r="E57" s="3352"/>
      <c r="F57" s="3352"/>
      <c r="G57" s="3352"/>
      <c r="H57" s="3352"/>
      <c r="I57" s="3352"/>
      <c r="J57" s="3352"/>
    </row>
    <row r="58" spans="1:18" s="2093" customFormat="1" x14ac:dyDescent="0.15">
      <c r="A58" s="2345" t="s">
        <v>460</v>
      </c>
      <c r="B58" s="2345"/>
      <c r="C58" s="2345"/>
      <c r="D58" s="2345"/>
      <c r="E58" s="2345"/>
      <c r="F58" s="2345"/>
      <c r="G58" s="2345"/>
      <c r="H58" s="2345"/>
      <c r="I58" s="2345"/>
      <c r="J58" s="2345"/>
      <c r="M58" s="2092"/>
      <c r="N58" s="2092"/>
      <c r="O58" s="2092"/>
      <c r="P58" s="2095"/>
      <c r="Q58" s="2095"/>
      <c r="R58" s="2095"/>
    </row>
    <row r="59" spans="1:18" s="2093" customFormat="1" ht="12.75" customHeight="1" x14ac:dyDescent="0.15">
      <c r="A59" s="2477" t="s">
        <v>3152</v>
      </c>
      <c r="B59" s="2477"/>
      <c r="C59" s="2477"/>
      <c r="D59" s="2477"/>
      <c r="E59" s="2477"/>
      <c r="F59" s="2477"/>
      <c r="G59" s="2477"/>
      <c r="H59" s="2477"/>
      <c r="I59" s="2477"/>
      <c r="J59" s="2477"/>
    </row>
    <row r="60" spans="1:18" s="2093" customFormat="1" x14ac:dyDescent="0.15"/>
    <row r="61" spans="1:18" s="2093" customFormat="1" x14ac:dyDescent="0.15"/>
  </sheetData>
  <mergeCells count="20">
    <mergeCell ref="A59:J59"/>
    <mergeCell ref="A22:A23"/>
    <mergeCell ref="B22:B23"/>
    <mergeCell ref="C22:J22"/>
    <mergeCell ref="K22:R22"/>
    <mergeCell ref="A24:B24"/>
    <mergeCell ref="A39:A40"/>
    <mergeCell ref="B39:B40"/>
    <mergeCell ref="C39:J39"/>
    <mergeCell ref="A54:J54"/>
    <mergeCell ref="A55:J55"/>
    <mergeCell ref="A56:J56"/>
    <mergeCell ref="A57:J57"/>
    <mergeCell ref="A58:J58"/>
    <mergeCell ref="A6:B6"/>
    <mergeCell ref="A2:L2"/>
    <mergeCell ref="A4:A5"/>
    <mergeCell ref="B4:B5"/>
    <mergeCell ref="C4:J4"/>
    <mergeCell ref="K4:R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G35"/>
  <sheetViews>
    <sheetView workbookViewId="0">
      <selection activeCell="D35" sqref="D35"/>
    </sheetView>
  </sheetViews>
  <sheetFormatPr baseColWidth="10" defaultColWidth="9.140625" defaultRowHeight="10.5" x14ac:dyDescent="0.15"/>
  <cols>
    <col min="1" max="1" width="41.42578125" style="97" customWidth="1"/>
    <col min="2" max="6" width="12.42578125" style="97" customWidth="1"/>
    <col min="7" max="7" width="10.28515625" style="97" bestFit="1" customWidth="1"/>
    <col min="8" max="16384" width="9.140625" style="97"/>
  </cols>
  <sheetData>
    <row r="1" spans="1:7" ht="15" customHeight="1" x14ac:dyDescent="0.15"/>
    <row r="2" spans="1:7" ht="26.25" customHeight="1" x14ac:dyDescent="0.15">
      <c r="A2" s="2398" t="s">
        <v>4338</v>
      </c>
      <c r="B2" s="2398"/>
      <c r="C2" s="2398"/>
      <c r="D2" s="2398"/>
      <c r="E2" s="2398"/>
      <c r="F2" s="2399"/>
    </row>
    <row r="3" spans="1:7" ht="5.25" customHeight="1" x14ac:dyDescent="0.15">
      <c r="A3" s="2400"/>
      <c r="B3" s="2401"/>
      <c r="C3" s="2401"/>
      <c r="D3" s="2401"/>
      <c r="E3" s="2401"/>
      <c r="F3" s="2401"/>
    </row>
    <row r="4" spans="1:7" ht="12.75" customHeight="1" x14ac:dyDescent="0.15">
      <c r="A4" s="2402" t="s">
        <v>310</v>
      </c>
      <c r="B4" s="2404" t="s">
        <v>2</v>
      </c>
      <c r="C4" s="2405"/>
      <c r="D4" s="2405"/>
      <c r="E4" s="2405"/>
      <c r="F4" s="2406"/>
    </row>
    <row r="5" spans="1:7" x14ac:dyDescent="0.15">
      <c r="A5" s="2403"/>
      <c r="B5" s="127">
        <v>2011</v>
      </c>
      <c r="C5" s="127">
        <v>2012</v>
      </c>
      <c r="D5" s="127">
        <v>2013</v>
      </c>
      <c r="E5" s="127">
        <v>2014</v>
      </c>
      <c r="F5" s="127">
        <v>2015</v>
      </c>
    </row>
    <row r="6" spans="1:7" ht="11.25" customHeight="1" x14ac:dyDescent="0.15">
      <c r="A6" s="146" t="s">
        <v>141</v>
      </c>
      <c r="B6" s="128">
        <f>SUM(B7,B9,B11,B15,B17,B20,B22,B24)</f>
        <v>8</v>
      </c>
      <c r="C6" s="128">
        <f>SUM(C7,C9,C11,C15,C17,C20,C22,C24)</f>
        <v>23</v>
      </c>
      <c r="D6" s="128">
        <f>SUM(D7,D9,D11,D15,D17,D20,D22,D24)</f>
        <v>16</v>
      </c>
      <c r="E6" s="128">
        <f>SUM(E7,E9,E11,E15,E17,E20,E22,E24)</f>
        <v>22</v>
      </c>
      <c r="F6" s="139">
        <f>SUM(F7,F11,F17,F20,F22,F24,F9)</f>
        <v>16</v>
      </c>
      <c r="G6" s="129"/>
    </row>
    <row r="7" spans="1:7" ht="11.25" customHeight="1" x14ac:dyDescent="0.15">
      <c r="A7" s="146" t="s">
        <v>311</v>
      </c>
      <c r="B7" s="128">
        <f>SUM(B8)</f>
        <v>0</v>
      </c>
      <c r="C7" s="128">
        <f>SUM(C8)</f>
        <v>0</v>
      </c>
      <c r="D7" s="128">
        <f>SUM(D8)</f>
        <v>0</v>
      </c>
      <c r="E7" s="128">
        <f>SUM(E8)</f>
        <v>1</v>
      </c>
      <c r="F7" s="2033">
        <f>SUM(F8)</f>
        <v>1</v>
      </c>
    </row>
    <row r="8" spans="1:7" ht="11.25" customHeight="1" x14ac:dyDescent="0.15">
      <c r="A8" s="2002" t="s">
        <v>312</v>
      </c>
      <c r="B8" s="130">
        <v>0</v>
      </c>
      <c r="C8" s="130">
        <v>0</v>
      </c>
      <c r="D8" s="130">
        <v>0</v>
      </c>
      <c r="E8" s="130">
        <v>1</v>
      </c>
      <c r="F8" s="2034">
        <v>1</v>
      </c>
    </row>
    <row r="9" spans="1:7" ht="11.25" customHeight="1" x14ac:dyDescent="0.15">
      <c r="A9" s="146" t="s">
        <v>313</v>
      </c>
      <c r="B9" s="128">
        <f>SUM(B10)</f>
        <v>0</v>
      </c>
      <c r="C9" s="128">
        <f>SUM(C10)</f>
        <v>1</v>
      </c>
      <c r="D9" s="128">
        <f>SUM(D10)</f>
        <v>0</v>
      </c>
      <c r="E9" s="128">
        <f>SUM(E10)</f>
        <v>0</v>
      </c>
      <c r="F9" s="2033">
        <v>0</v>
      </c>
    </row>
    <row r="10" spans="1:7" ht="11.25" customHeight="1" x14ac:dyDescent="0.15">
      <c r="A10" s="2002" t="s">
        <v>314</v>
      </c>
      <c r="B10" s="130">
        <v>0</v>
      </c>
      <c r="C10" s="130">
        <v>1</v>
      </c>
      <c r="D10" s="130">
        <v>0</v>
      </c>
      <c r="E10" s="130">
        <v>0</v>
      </c>
      <c r="F10" s="2034">
        <v>0</v>
      </c>
    </row>
    <row r="11" spans="1:7" ht="11.25" customHeight="1" x14ac:dyDescent="0.15">
      <c r="A11" s="146" t="s">
        <v>315</v>
      </c>
      <c r="B11" s="128">
        <f>SUM(B12:B14)</f>
        <v>0</v>
      </c>
      <c r="C11" s="128">
        <f>SUM(C12:C14)</f>
        <v>0</v>
      </c>
      <c r="D11" s="128">
        <f>SUM(D12:D14)</f>
        <v>2</v>
      </c>
      <c r="E11" s="128">
        <f>SUM(E12:E14)</f>
        <v>6</v>
      </c>
      <c r="F11" s="128">
        <f>SUM(F12:F14)</f>
        <v>3</v>
      </c>
    </row>
    <row r="12" spans="1:7" ht="11.25" customHeight="1" x14ac:dyDescent="0.15">
      <c r="A12" s="2002" t="s">
        <v>312</v>
      </c>
      <c r="B12" s="130">
        <v>0</v>
      </c>
      <c r="C12" s="130">
        <v>0</v>
      </c>
      <c r="D12" s="130">
        <v>0</v>
      </c>
      <c r="E12" s="130">
        <v>1</v>
      </c>
      <c r="F12" s="2034">
        <v>1</v>
      </c>
    </row>
    <row r="13" spans="1:7" ht="11.25" customHeight="1" x14ac:dyDescent="0.15">
      <c r="A13" s="2002" t="s">
        <v>316</v>
      </c>
      <c r="B13" s="130">
        <v>0</v>
      </c>
      <c r="C13" s="130">
        <v>0</v>
      </c>
      <c r="D13" s="130">
        <v>1</v>
      </c>
      <c r="E13" s="130">
        <v>2</v>
      </c>
      <c r="F13" s="2034">
        <v>0</v>
      </c>
    </row>
    <row r="14" spans="1:7" ht="11.25" customHeight="1" x14ac:dyDescent="0.15">
      <c r="A14" s="2002" t="s">
        <v>317</v>
      </c>
      <c r="B14" s="130">
        <v>0</v>
      </c>
      <c r="C14" s="130">
        <v>0</v>
      </c>
      <c r="D14" s="130">
        <v>1</v>
      </c>
      <c r="E14" s="130">
        <v>3</v>
      </c>
      <c r="F14" s="2034">
        <v>2</v>
      </c>
    </row>
    <row r="15" spans="1:7" ht="11.25" customHeight="1" x14ac:dyDescent="0.15">
      <c r="A15" s="146" t="s">
        <v>318</v>
      </c>
      <c r="B15" s="128">
        <f>SUM(B16)</f>
        <v>0</v>
      </c>
      <c r="C15" s="128">
        <f>SUM(C16)</f>
        <v>0</v>
      </c>
      <c r="D15" s="128">
        <f>SUM(D16)</f>
        <v>1</v>
      </c>
      <c r="E15" s="128">
        <f>SUM(E16)</f>
        <v>1</v>
      </c>
      <c r="F15" s="2033">
        <v>0</v>
      </c>
    </row>
    <row r="16" spans="1:7" ht="11.25" customHeight="1" x14ac:dyDescent="0.15">
      <c r="A16" s="2002" t="s">
        <v>312</v>
      </c>
      <c r="B16" s="130">
        <v>0</v>
      </c>
      <c r="C16" s="130">
        <v>0</v>
      </c>
      <c r="D16" s="130">
        <v>1</v>
      </c>
      <c r="E16" s="130">
        <v>1</v>
      </c>
      <c r="F16" s="2034">
        <v>0</v>
      </c>
    </row>
    <row r="17" spans="1:6" ht="11.25" customHeight="1" x14ac:dyDescent="0.15">
      <c r="A17" s="146" t="s">
        <v>319</v>
      </c>
      <c r="B17" s="128">
        <f>SUM(B18:B19)</f>
        <v>8</v>
      </c>
      <c r="C17" s="128">
        <f>SUM(C18:C19)</f>
        <v>12</v>
      </c>
      <c r="D17" s="128">
        <f>SUM(D18:D19)</f>
        <v>12</v>
      </c>
      <c r="E17" s="128">
        <f>SUM(E18:E19)</f>
        <v>12</v>
      </c>
      <c r="F17" s="2033">
        <f>SUM(F18:F19)</f>
        <v>12</v>
      </c>
    </row>
    <row r="18" spans="1:6" ht="11.25" customHeight="1" x14ac:dyDescent="0.15">
      <c r="A18" s="2002" t="s">
        <v>312</v>
      </c>
      <c r="B18" s="130">
        <v>4</v>
      </c>
      <c r="C18" s="130">
        <v>6</v>
      </c>
      <c r="D18" s="130">
        <v>6</v>
      </c>
      <c r="E18" s="130">
        <v>6</v>
      </c>
      <c r="F18" s="2034">
        <v>6</v>
      </c>
    </row>
    <row r="19" spans="1:6" ht="11.25" customHeight="1" x14ac:dyDescent="0.15">
      <c r="A19" s="2002" t="s">
        <v>316</v>
      </c>
      <c r="B19" s="130">
        <v>4</v>
      </c>
      <c r="C19" s="130">
        <v>6</v>
      </c>
      <c r="D19" s="130">
        <v>6</v>
      </c>
      <c r="E19" s="130">
        <v>6</v>
      </c>
      <c r="F19" s="2034">
        <v>6</v>
      </c>
    </row>
    <row r="20" spans="1:6" ht="11.25" customHeight="1" x14ac:dyDescent="0.15">
      <c r="A20" s="146" t="s">
        <v>320</v>
      </c>
      <c r="B20" s="128">
        <f>SUM(B21)</f>
        <v>0</v>
      </c>
      <c r="C20" s="128">
        <f>SUM(C21)</f>
        <v>10</v>
      </c>
      <c r="D20" s="128">
        <f>SUM(D21)</f>
        <v>0</v>
      </c>
      <c r="E20" s="128">
        <f>SUM(E21)</f>
        <v>0</v>
      </c>
      <c r="F20" s="2033">
        <v>0</v>
      </c>
    </row>
    <row r="21" spans="1:6" ht="11.25" customHeight="1" x14ac:dyDescent="0.15">
      <c r="A21" s="2002" t="s">
        <v>321</v>
      </c>
      <c r="B21" s="130">
        <v>0</v>
      </c>
      <c r="C21" s="130">
        <v>10</v>
      </c>
      <c r="D21" s="130">
        <v>0</v>
      </c>
      <c r="E21" s="130">
        <v>0</v>
      </c>
      <c r="F21" s="2034">
        <v>0</v>
      </c>
    </row>
    <row r="22" spans="1:6" ht="11.25" customHeight="1" x14ac:dyDescent="0.15">
      <c r="A22" s="146" t="s">
        <v>322</v>
      </c>
      <c r="B22" s="128">
        <f>SUM(B23)</f>
        <v>0</v>
      </c>
      <c r="C22" s="128">
        <f>SUM(C23)</f>
        <v>0</v>
      </c>
      <c r="D22" s="128">
        <f>SUM(D23)</f>
        <v>0</v>
      </c>
      <c r="E22" s="128">
        <f>SUM(E23)</f>
        <v>2</v>
      </c>
      <c r="F22" s="2033">
        <v>0</v>
      </c>
    </row>
    <row r="23" spans="1:6" ht="11.25" customHeight="1" x14ac:dyDescent="0.15">
      <c r="A23" s="2002" t="s">
        <v>312</v>
      </c>
      <c r="B23" s="130">
        <v>0</v>
      </c>
      <c r="C23" s="130">
        <v>0</v>
      </c>
      <c r="D23" s="130">
        <v>0</v>
      </c>
      <c r="E23" s="130">
        <v>2</v>
      </c>
      <c r="F23" s="2034">
        <v>0</v>
      </c>
    </row>
    <row r="24" spans="1:6" ht="11.25" customHeight="1" x14ac:dyDescent="0.15">
      <c r="A24" s="146" t="s">
        <v>323</v>
      </c>
      <c r="B24" s="128">
        <f>SUM(B25)</f>
        <v>0</v>
      </c>
      <c r="C24" s="128">
        <f>SUM(C25)</f>
        <v>0</v>
      </c>
      <c r="D24" s="128">
        <f>SUM(D25)</f>
        <v>1</v>
      </c>
      <c r="E24" s="128">
        <f>SUM(E25)</f>
        <v>0</v>
      </c>
      <c r="F24" s="2033">
        <v>0</v>
      </c>
    </row>
    <row r="25" spans="1:6" ht="11.25" customHeight="1" x14ac:dyDescent="0.15">
      <c r="A25" s="2002" t="s">
        <v>312</v>
      </c>
      <c r="B25" s="130">
        <v>0</v>
      </c>
      <c r="C25" s="130">
        <v>0</v>
      </c>
      <c r="D25" s="130">
        <v>1</v>
      </c>
      <c r="E25" s="130">
        <v>0</v>
      </c>
      <c r="F25" s="2034">
        <v>0</v>
      </c>
    </row>
    <row r="26" spans="1:6" x14ac:dyDescent="0.15">
      <c r="A26" s="2356"/>
      <c r="B26" s="2356"/>
      <c r="C26" s="2356"/>
      <c r="D26" s="2356"/>
      <c r="E26" s="2356"/>
      <c r="F26" s="2357"/>
    </row>
    <row r="27" spans="1:6" x14ac:dyDescent="0.15">
      <c r="A27" s="2396" t="s">
        <v>324</v>
      </c>
      <c r="B27" s="2396"/>
      <c r="C27" s="2396"/>
      <c r="D27" s="2396"/>
      <c r="E27" s="2396"/>
      <c r="F27" s="2397"/>
    </row>
    <row r="28" spans="1:6" ht="21.75" customHeight="1" x14ac:dyDescent="0.15">
      <c r="A28" s="2395" t="s">
        <v>325</v>
      </c>
      <c r="B28" s="2395"/>
      <c r="C28" s="2395"/>
      <c r="D28" s="2395"/>
      <c r="E28" s="2395"/>
      <c r="F28" s="2395"/>
    </row>
    <row r="29" spans="1:6" ht="10.5" customHeight="1" x14ac:dyDescent="0.15">
      <c r="A29" s="2396" t="s">
        <v>326</v>
      </c>
      <c r="B29" s="2396"/>
      <c r="C29" s="2396"/>
      <c r="D29" s="2396"/>
      <c r="E29" s="2396"/>
      <c r="F29" s="2397"/>
    </row>
    <row r="30" spans="1:6" ht="21.75" customHeight="1" x14ac:dyDescent="0.15">
      <c r="A30" s="2397" t="s">
        <v>327</v>
      </c>
      <c r="B30" s="2397"/>
      <c r="C30" s="2397"/>
      <c r="D30" s="2397"/>
      <c r="E30" s="2397"/>
      <c r="F30" s="2397"/>
    </row>
    <row r="31" spans="1:6" x14ac:dyDescent="0.15">
      <c r="A31" s="2009"/>
      <c r="B31" s="2009"/>
      <c r="C31" s="2009"/>
      <c r="D31" s="2009"/>
      <c r="E31" s="2009"/>
      <c r="F31" s="2009"/>
    </row>
    <row r="35" spans="1:1" ht="22.5" customHeight="1" x14ac:dyDescent="0.15">
      <c r="A35" s="1980"/>
    </row>
  </sheetData>
  <mergeCells count="9">
    <mergeCell ref="A28:F28"/>
    <mergeCell ref="A29:F29"/>
    <mergeCell ref="A30:F30"/>
    <mergeCell ref="A2:F2"/>
    <mergeCell ref="A3:F3"/>
    <mergeCell ref="A4:A5"/>
    <mergeCell ref="B4:F4"/>
    <mergeCell ref="A26:F26"/>
    <mergeCell ref="A27:F27"/>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2:U57"/>
  <sheetViews>
    <sheetView zoomScaleNormal="100" workbookViewId="0">
      <selection activeCell="A20" sqref="A20"/>
    </sheetView>
  </sheetViews>
  <sheetFormatPr baseColWidth="10" defaultColWidth="9.140625" defaultRowHeight="10.5" x14ac:dyDescent="0.15"/>
  <cols>
    <col min="1" max="1" width="28.7109375" style="97" customWidth="1"/>
    <col min="2" max="2" width="16.5703125" style="97" customWidth="1"/>
    <col min="3" max="3" width="10.5703125" style="97" customWidth="1"/>
    <col min="4" max="4" width="15.7109375" style="97" customWidth="1"/>
    <col min="5" max="5" width="10.7109375" style="97" customWidth="1"/>
    <col min="6" max="6" width="14.28515625" style="97" customWidth="1"/>
    <col min="7" max="7" width="10.7109375" style="97" customWidth="1"/>
    <col min="8" max="8" width="14.28515625" style="97" customWidth="1"/>
    <col min="9" max="9" width="10.7109375" style="97" customWidth="1"/>
    <col min="10" max="10" width="15.5703125" style="97" customWidth="1"/>
    <col min="11" max="11" width="10.7109375" style="97" customWidth="1"/>
    <col min="12" max="12" width="14.28515625" style="97" customWidth="1"/>
    <col min="13" max="13" width="10.7109375" style="97" customWidth="1"/>
    <col min="14" max="14" width="14.140625" style="97" customWidth="1"/>
    <col min="15" max="16384" width="9.140625" style="97"/>
  </cols>
  <sheetData>
    <row r="2" spans="1:21" ht="15" customHeight="1" x14ac:dyDescent="0.15">
      <c r="A2" s="2346" t="s">
        <v>3225</v>
      </c>
      <c r="B2" s="2346"/>
      <c r="C2" s="2346"/>
      <c r="D2" s="2346"/>
      <c r="E2" s="2346"/>
      <c r="F2" s="2346"/>
      <c r="G2" s="2346"/>
      <c r="H2" s="2346"/>
      <c r="I2" s="2346"/>
      <c r="J2" s="2346"/>
      <c r="K2" s="2346"/>
      <c r="L2" s="2346"/>
      <c r="M2" s="2346"/>
      <c r="N2" s="2346"/>
    </row>
    <row r="3" spans="1:21" ht="11.25" customHeight="1" x14ac:dyDescent="0.15">
      <c r="A3" s="1547"/>
      <c r="B3" s="1547"/>
      <c r="C3" s="1547"/>
      <c r="D3" s="1547"/>
      <c r="E3" s="1547"/>
      <c r="F3" s="1547"/>
      <c r="G3" s="1547"/>
      <c r="H3" s="1547"/>
      <c r="I3" s="1547"/>
      <c r="J3" s="1547"/>
      <c r="K3" s="1547"/>
      <c r="L3" s="1547"/>
      <c r="M3" s="1547"/>
      <c r="N3" s="1547"/>
    </row>
    <row r="4" spans="1:21" s="1190" customFormat="1" ht="11.25" customHeight="1" x14ac:dyDescent="0.15">
      <c r="A4" s="3354" t="s">
        <v>1</v>
      </c>
      <c r="B4" s="3356" t="s">
        <v>3132</v>
      </c>
      <c r="C4" s="3358" t="s">
        <v>3226</v>
      </c>
      <c r="D4" s="3359"/>
      <c r="E4" s="3359"/>
      <c r="F4" s="3359"/>
      <c r="G4" s="3359"/>
      <c r="H4" s="3360"/>
      <c r="I4" s="3354" t="s">
        <v>3227</v>
      </c>
      <c r="J4" s="3354"/>
      <c r="K4" s="3354"/>
      <c r="L4" s="3354"/>
      <c r="M4" s="3354"/>
      <c r="N4" s="3354"/>
      <c r="O4" s="1531"/>
      <c r="P4" s="1531"/>
      <c r="Q4" s="1531"/>
      <c r="R4" s="1531"/>
      <c r="S4" s="1531"/>
      <c r="T4" s="1531"/>
      <c r="U4" s="1531"/>
    </row>
    <row r="5" spans="1:21" s="1190" customFormat="1" ht="15" customHeight="1" x14ac:dyDescent="0.15">
      <c r="A5" s="3355"/>
      <c r="B5" s="3357"/>
      <c r="C5" s="1548" t="s">
        <v>3197</v>
      </c>
      <c r="D5" s="1549" t="s">
        <v>3198</v>
      </c>
      <c r="E5" s="1548" t="s">
        <v>3228</v>
      </c>
      <c r="F5" s="1548" t="s">
        <v>3229</v>
      </c>
      <c r="G5" s="1548" t="s">
        <v>3230</v>
      </c>
      <c r="H5" s="1548" t="s">
        <v>3231</v>
      </c>
      <c r="I5" s="1548" t="s">
        <v>3197</v>
      </c>
      <c r="J5" s="1549" t="s">
        <v>3198</v>
      </c>
      <c r="K5" s="1550" t="s">
        <v>3228</v>
      </c>
      <c r="L5" s="1548" t="s">
        <v>3229</v>
      </c>
      <c r="M5" s="1548" t="s">
        <v>3230</v>
      </c>
      <c r="N5" s="1548" t="s">
        <v>3231</v>
      </c>
      <c r="O5" s="1531"/>
      <c r="P5" s="1531"/>
      <c r="Q5" s="1531"/>
      <c r="R5" s="1531"/>
      <c r="S5" s="1531"/>
      <c r="T5" s="1531"/>
      <c r="U5" s="1531"/>
    </row>
    <row r="6" spans="1:21" s="461" customFormat="1" x14ac:dyDescent="0.15">
      <c r="A6" s="3353" t="s">
        <v>141</v>
      </c>
      <c r="B6" s="3353"/>
      <c r="C6" s="1551">
        <f>SUM(C7:C17)</f>
        <v>53</v>
      </c>
      <c r="D6" s="1551">
        <f>SUM(D7:D17)</f>
        <v>222084392</v>
      </c>
      <c r="E6" s="1551">
        <f t="shared" ref="E6:N6" si="0">SUM(E7:E17)</f>
        <v>12</v>
      </c>
      <c r="F6" s="1551">
        <f t="shared" si="0"/>
        <v>144364750</v>
      </c>
      <c r="G6" s="1551">
        <f t="shared" si="0"/>
        <v>41</v>
      </c>
      <c r="H6" s="1551">
        <f t="shared" si="0"/>
        <v>77719642</v>
      </c>
      <c r="I6" s="1551">
        <f>SUM(I7:I17)</f>
        <v>89</v>
      </c>
      <c r="J6" s="1551">
        <f>SUM(J7:J17)</f>
        <v>347738428</v>
      </c>
      <c r="K6" s="1551">
        <f t="shared" si="0"/>
        <v>17</v>
      </c>
      <c r="L6" s="1551">
        <f t="shared" si="0"/>
        <v>254211858</v>
      </c>
      <c r="M6" s="1551">
        <f t="shared" si="0"/>
        <v>72</v>
      </c>
      <c r="N6" s="1551">
        <f t="shared" si="0"/>
        <v>93526570</v>
      </c>
      <c r="O6" s="1536"/>
      <c r="P6" s="1536"/>
      <c r="Q6" s="1536"/>
      <c r="R6" s="1536"/>
      <c r="S6" s="1536"/>
      <c r="T6" s="1536"/>
      <c r="U6" s="1536"/>
    </row>
    <row r="7" spans="1:21" s="461" customFormat="1" ht="11.25" customHeight="1" x14ac:dyDescent="0.15">
      <c r="A7" s="1552" t="s">
        <v>5</v>
      </c>
      <c r="B7" s="1553" t="s">
        <v>696</v>
      </c>
      <c r="C7" s="1551">
        <f t="shared" ref="C7:D17" si="1">E7+G7</f>
        <v>1</v>
      </c>
      <c r="D7" s="1551">
        <f t="shared" si="1"/>
        <v>15750000</v>
      </c>
      <c r="E7" s="1554">
        <v>1</v>
      </c>
      <c r="F7" s="1554">
        <v>15750000</v>
      </c>
      <c r="G7" s="1554">
        <v>0</v>
      </c>
      <c r="H7" s="1554">
        <v>0</v>
      </c>
      <c r="I7" s="1551">
        <f t="shared" ref="I7:J17" si="2">K7+M7</f>
        <v>2</v>
      </c>
      <c r="J7" s="1551">
        <f t="shared" si="2"/>
        <v>17700000</v>
      </c>
      <c r="K7" s="1554">
        <v>2</v>
      </c>
      <c r="L7" s="1554">
        <v>17700000</v>
      </c>
      <c r="M7" s="1554">
        <v>0</v>
      </c>
      <c r="N7" s="1554">
        <v>0</v>
      </c>
      <c r="O7" s="1536"/>
      <c r="P7" s="1536"/>
      <c r="Q7" s="1536"/>
      <c r="R7" s="1536"/>
      <c r="S7" s="1536"/>
      <c r="T7" s="1536"/>
      <c r="U7" s="1536"/>
    </row>
    <row r="8" spans="1:21" s="461" customFormat="1" ht="11.25" customHeight="1" x14ac:dyDescent="0.15">
      <c r="A8" s="1552" t="s">
        <v>3205</v>
      </c>
      <c r="B8" s="1553" t="s">
        <v>1037</v>
      </c>
      <c r="C8" s="1551">
        <f t="shared" si="1"/>
        <v>8</v>
      </c>
      <c r="D8" s="1551">
        <f t="shared" si="1"/>
        <v>15624642</v>
      </c>
      <c r="E8" s="1554">
        <v>1</v>
      </c>
      <c r="F8" s="1554">
        <v>4677000</v>
      </c>
      <c r="G8" s="1554">
        <v>7</v>
      </c>
      <c r="H8" s="1554">
        <v>10947642</v>
      </c>
      <c r="I8" s="1551">
        <f t="shared" si="2"/>
        <v>2</v>
      </c>
      <c r="J8" s="1551">
        <f t="shared" si="2"/>
        <v>25400000</v>
      </c>
      <c r="K8" s="1554">
        <v>2</v>
      </c>
      <c r="L8" s="1554">
        <v>25400000</v>
      </c>
      <c r="M8" s="1554">
        <v>0</v>
      </c>
      <c r="N8" s="1554">
        <v>0</v>
      </c>
      <c r="O8" s="1536"/>
      <c r="P8" s="1536"/>
      <c r="Q8" s="1536"/>
      <c r="R8" s="1536"/>
      <c r="S8" s="1536"/>
      <c r="T8" s="1536"/>
      <c r="U8" s="1536"/>
    </row>
    <row r="9" spans="1:21" s="461" customFormat="1" ht="11.25" customHeight="1" x14ac:dyDescent="0.15">
      <c r="A9" s="1552" t="s">
        <v>7</v>
      </c>
      <c r="B9" s="1553" t="s">
        <v>1018</v>
      </c>
      <c r="C9" s="1551">
        <f t="shared" si="1"/>
        <v>1</v>
      </c>
      <c r="D9" s="1551">
        <f t="shared" si="1"/>
        <v>12000000</v>
      </c>
      <c r="E9" s="1554">
        <v>1</v>
      </c>
      <c r="F9" s="1554">
        <v>12000000</v>
      </c>
      <c r="G9" s="1554">
        <v>0</v>
      </c>
      <c r="H9" s="1554">
        <v>0</v>
      </c>
      <c r="I9" s="1551">
        <f t="shared" si="2"/>
        <v>2</v>
      </c>
      <c r="J9" s="1551">
        <f t="shared" si="2"/>
        <v>9800000</v>
      </c>
      <c r="K9" s="1554">
        <v>2</v>
      </c>
      <c r="L9" s="1554">
        <v>9800000</v>
      </c>
      <c r="M9" s="1554">
        <v>0</v>
      </c>
      <c r="N9" s="1554">
        <v>0</v>
      </c>
      <c r="O9" s="1536"/>
      <c r="P9" s="1536"/>
      <c r="Q9" s="1536"/>
      <c r="R9" s="1536"/>
      <c r="S9" s="1536"/>
      <c r="T9" s="1536"/>
      <c r="U9" s="1536"/>
    </row>
    <row r="10" spans="1:21" s="461" customFormat="1" ht="11.25" customHeight="1" x14ac:dyDescent="0.15">
      <c r="A10" s="1552" t="s">
        <v>10</v>
      </c>
      <c r="B10" s="1553" t="s">
        <v>511</v>
      </c>
      <c r="C10" s="1551">
        <f t="shared" si="1"/>
        <v>1</v>
      </c>
      <c r="D10" s="1551">
        <f t="shared" si="1"/>
        <v>10000000</v>
      </c>
      <c r="E10" s="1554">
        <v>1</v>
      </c>
      <c r="F10" s="1554">
        <v>10000000</v>
      </c>
      <c r="G10" s="1554">
        <v>0</v>
      </c>
      <c r="H10" s="1554">
        <v>0</v>
      </c>
      <c r="I10" s="1551">
        <f t="shared" si="2"/>
        <v>2</v>
      </c>
      <c r="J10" s="1551">
        <f t="shared" si="2"/>
        <v>66000000</v>
      </c>
      <c r="K10" s="1554">
        <v>2</v>
      </c>
      <c r="L10" s="1554">
        <v>66000000</v>
      </c>
      <c r="M10" s="1554">
        <v>0</v>
      </c>
      <c r="N10" s="1554">
        <v>0</v>
      </c>
      <c r="O10" s="1536"/>
      <c r="P10" s="1536"/>
      <c r="Q10" s="1536"/>
      <c r="R10" s="1536"/>
      <c r="S10" s="1536"/>
      <c r="T10" s="1536"/>
      <c r="U10" s="1536"/>
    </row>
    <row r="11" spans="1:21" s="461" customFormat="1" ht="25.5" customHeight="1" x14ac:dyDescent="0.15">
      <c r="A11" s="1552" t="s">
        <v>3206</v>
      </c>
      <c r="B11" s="1553" t="s">
        <v>1026</v>
      </c>
      <c r="C11" s="1551">
        <f t="shared" si="1"/>
        <v>19</v>
      </c>
      <c r="D11" s="1551">
        <f t="shared" si="1"/>
        <v>60500000</v>
      </c>
      <c r="E11" s="1554">
        <v>2</v>
      </c>
      <c r="F11" s="1554">
        <v>40500000</v>
      </c>
      <c r="G11" s="1554">
        <v>17</v>
      </c>
      <c r="H11" s="1554">
        <v>20000000</v>
      </c>
      <c r="I11" s="1551">
        <f t="shared" si="2"/>
        <v>2</v>
      </c>
      <c r="J11" s="1551">
        <f t="shared" si="2"/>
        <v>62837290</v>
      </c>
      <c r="K11" s="1554">
        <v>2</v>
      </c>
      <c r="L11" s="1554">
        <v>62837290</v>
      </c>
      <c r="M11" s="1554">
        <v>0</v>
      </c>
      <c r="N11" s="1554">
        <v>0</v>
      </c>
      <c r="O11" s="1536"/>
      <c r="P11" s="1536"/>
      <c r="Q11" s="1536"/>
      <c r="R11" s="1536"/>
      <c r="S11" s="1536"/>
      <c r="T11" s="1536"/>
      <c r="U11" s="1536"/>
    </row>
    <row r="12" spans="1:21" s="461" customFormat="1" ht="11.25" customHeight="1" x14ac:dyDescent="0.15">
      <c r="A12" s="1552" t="s">
        <v>14</v>
      </c>
      <c r="B12" s="1553" t="s">
        <v>3207</v>
      </c>
      <c r="C12" s="1551">
        <f t="shared" si="1"/>
        <v>1</v>
      </c>
      <c r="D12" s="1551">
        <f t="shared" si="1"/>
        <v>16500000</v>
      </c>
      <c r="E12" s="1554">
        <v>1</v>
      </c>
      <c r="F12" s="1554">
        <v>16500000</v>
      </c>
      <c r="G12" s="1554">
        <v>0</v>
      </c>
      <c r="H12" s="1554">
        <v>0</v>
      </c>
      <c r="I12" s="1551">
        <f t="shared" si="2"/>
        <v>1</v>
      </c>
      <c r="J12" s="1551">
        <f t="shared" si="2"/>
        <v>17500000</v>
      </c>
      <c r="K12" s="1554">
        <v>1</v>
      </c>
      <c r="L12" s="1554">
        <v>17500000</v>
      </c>
      <c r="M12" s="1554">
        <v>0</v>
      </c>
      <c r="N12" s="1554">
        <v>0</v>
      </c>
      <c r="O12" s="1536"/>
      <c r="P12" s="1536"/>
      <c r="Q12" s="1536"/>
      <c r="R12" s="1536"/>
      <c r="S12" s="1536"/>
      <c r="T12" s="1536"/>
      <c r="U12" s="1536"/>
    </row>
    <row r="13" spans="1:21" s="461" customFormat="1" ht="11.25" customHeight="1" x14ac:dyDescent="0.15">
      <c r="A13" s="1552" t="s">
        <v>350</v>
      </c>
      <c r="B13" s="1553" t="s">
        <v>709</v>
      </c>
      <c r="C13" s="1551">
        <f t="shared" si="1"/>
        <v>18</v>
      </c>
      <c r="D13" s="1551">
        <f t="shared" si="1"/>
        <v>30500000</v>
      </c>
      <c r="E13" s="1554">
        <v>2</v>
      </c>
      <c r="F13" s="1554">
        <v>16500000</v>
      </c>
      <c r="G13" s="1554">
        <v>16</v>
      </c>
      <c r="H13" s="1554">
        <v>14000000</v>
      </c>
      <c r="I13" s="1551">
        <f t="shared" si="2"/>
        <v>1</v>
      </c>
      <c r="J13" s="1551">
        <f t="shared" si="2"/>
        <v>17500000</v>
      </c>
      <c r="K13" s="1554">
        <v>1</v>
      </c>
      <c r="L13" s="1554">
        <v>17500000</v>
      </c>
      <c r="M13" s="1554">
        <v>0</v>
      </c>
      <c r="N13" s="1554">
        <v>0</v>
      </c>
      <c r="O13" s="1536"/>
      <c r="P13" s="1536"/>
      <c r="Q13" s="1536"/>
      <c r="R13" s="1536"/>
      <c r="S13" s="1536"/>
      <c r="T13" s="1536"/>
      <c r="U13" s="1536"/>
    </row>
    <row r="14" spans="1:21" s="461" customFormat="1" ht="11.25" customHeight="1" x14ac:dyDescent="0.15">
      <c r="A14" s="1552" t="s">
        <v>301</v>
      </c>
      <c r="B14" s="1553" t="s">
        <v>655</v>
      </c>
      <c r="C14" s="1551">
        <f t="shared" si="1"/>
        <v>1</v>
      </c>
      <c r="D14" s="1551">
        <f t="shared" si="1"/>
        <v>13000000</v>
      </c>
      <c r="E14" s="1554">
        <v>1</v>
      </c>
      <c r="F14" s="1554">
        <v>13000000</v>
      </c>
      <c r="G14" s="1554">
        <v>0</v>
      </c>
      <c r="H14" s="1554">
        <v>0</v>
      </c>
      <c r="I14" s="1551">
        <f t="shared" si="2"/>
        <v>2</v>
      </c>
      <c r="J14" s="1551">
        <f t="shared" si="2"/>
        <v>14000000</v>
      </c>
      <c r="K14" s="1554">
        <v>2</v>
      </c>
      <c r="L14" s="1554">
        <v>14000000</v>
      </c>
      <c r="M14" s="1554">
        <v>0</v>
      </c>
      <c r="N14" s="1554">
        <v>0</v>
      </c>
      <c r="O14" s="1536"/>
      <c r="P14" s="1536"/>
      <c r="Q14" s="1536"/>
      <c r="R14" s="1536"/>
      <c r="S14" s="1536"/>
      <c r="T14" s="1536"/>
      <c r="U14" s="1536"/>
    </row>
    <row r="15" spans="1:21" s="461" customFormat="1" ht="11.25" customHeight="1" x14ac:dyDescent="0.15">
      <c r="A15" s="1552" t="s">
        <v>3208</v>
      </c>
      <c r="B15" s="1553" t="s">
        <v>1157</v>
      </c>
      <c r="C15" s="1551">
        <f t="shared" si="1"/>
        <v>2</v>
      </c>
      <c r="D15" s="1551">
        <f t="shared" si="1"/>
        <v>39772000</v>
      </c>
      <c r="E15" s="1554">
        <v>1</v>
      </c>
      <c r="F15" s="1554">
        <v>7000000</v>
      </c>
      <c r="G15" s="1554">
        <v>1</v>
      </c>
      <c r="H15" s="1554">
        <v>32772000</v>
      </c>
      <c r="I15" s="1551">
        <f t="shared" si="2"/>
        <v>3</v>
      </c>
      <c r="J15" s="1551">
        <f t="shared" si="2"/>
        <v>49132568</v>
      </c>
      <c r="K15" s="1554">
        <v>2</v>
      </c>
      <c r="L15" s="1554">
        <v>16274568</v>
      </c>
      <c r="M15" s="1554">
        <v>1</v>
      </c>
      <c r="N15" s="1554">
        <v>32858000</v>
      </c>
      <c r="O15" s="1536"/>
      <c r="P15" s="1536"/>
      <c r="Q15" s="1536"/>
      <c r="R15" s="1536"/>
      <c r="S15" s="1536"/>
      <c r="T15" s="1536"/>
      <c r="U15" s="1536"/>
    </row>
    <row r="16" spans="1:21" s="461" customFormat="1" ht="11.25" customHeight="1" x14ac:dyDescent="0.15">
      <c r="A16" s="1537" t="s">
        <v>19</v>
      </c>
      <c r="B16" s="1553" t="s">
        <v>691</v>
      </c>
      <c r="C16" s="1551">
        <f t="shared" si="1"/>
        <v>1</v>
      </c>
      <c r="D16" s="1551">
        <f t="shared" si="1"/>
        <v>8437750</v>
      </c>
      <c r="E16" s="1554">
        <v>1</v>
      </c>
      <c r="F16" s="1554">
        <v>8437750</v>
      </c>
      <c r="G16" s="1554">
        <v>0</v>
      </c>
      <c r="H16" s="1554">
        <v>0</v>
      </c>
      <c r="I16" s="1551">
        <f t="shared" si="2"/>
        <v>1</v>
      </c>
      <c r="J16" s="1551">
        <f t="shared" si="2"/>
        <v>7200000</v>
      </c>
      <c r="K16" s="1554">
        <v>1</v>
      </c>
      <c r="L16" s="1554">
        <v>7200000</v>
      </c>
      <c r="M16" s="1554">
        <v>0</v>
      </c>
      <c r="N16" s="1554">
        <v>0</v>
      </c>
      <c r="O16" s="1536"/>
      <c r="P16" s="1536"/>
      <c r="Q16" s="1536"/>
      <c r="R16" s="1536"/>
      <c r="S16" s="1536"/>
      <c r="T16" s="1536"/>
      <c r="U16" s="1536"/>
    </row>
    <row r="17" spans="1:21" s="461" customFormat="1" ht="11.25" customHeight="1" x14ac:dyDescent="0.15">
      <c r="A17" s="1553" t="s">
        <v>3232</v>
      </c>
      <c r="B17" s="1553" t="s">
        <v>3214</v>
      </c>
      <c r="C17" s="1551">
        <f t="shared" si="1"/>
        <v>0</v>
      </c>
      <c r="D17" s="1551">
        <f t="shared" si="1"/>
        <v>0</v>
      </c>
      <c r="E17" s="1554">
        <v>0</v>
      </c>
      <c r="F17" s="1554">
        <v>0</v>
      </c>
      <c r="G17" s="1554">
        <v>0</v>
      </c>
      <c r="H17" s="1554">
        <v>0</v>
      </c>
      <c r="I17" s="1551">
        <f t="shared" si="2"/>
        <v>71</v>
      </c>
      <c r="J17" s="1551">
        <f t="shared" si="2"/>
        <v>60668570</v>
      </c>
      <c r="K17" s="1554">
        <v>0</v>
      </c>
      <c r="L17" s="1554">
        <v>0</v>
      </c>
      <c r="M17" s="1554">
        <v>71</v>
      </c>
      <c r="N17" s="1554">
        <v>60668570</v>
      </c>
      <c r="O17" s="1536"/>
      <c r="P17" s="1536"/>
      <c r="Q17" s="1536"/>
      <c r="R17" s="1536"/>
      <c r="S17" s="1536"/>
      <c r="T17" s="1536"/>
      <c r="U17" s="1536"/>
    </row>
    <row r="18" spans="1:21" s="461" customFormat="1" x14ac:dyDescent="0.15">
      <c r="A18" s="1553"/>
      <c r="B18" s="1553"/>
      <c r="C18" s="1555"/>
      <c r="D18" s="1555"/>
      <c r="E18" s="1555"/>
      <c r="F18" s="1555"/>
      <c r="G18" s="1555"/>
      <c r="H18" s="1555"/>
      <c r="I18" s="1555"/>
      <c r="J18" s="1555"/>
      <c r="K18" s="1555"/>
      <c r="L18" s="1555"/>
      <c r="M18" s="1555"/>
      <c r="N18" s="1555"/>
      <c r="O18" s="1536"/>
      <c r="P18" s="1536"/>
      <c r="Q18" s="1536"/>
      <c r="R18" s="1536"/>
      <c r="S18" s="1536"/>
      <c r="T18" s="1536"/>
      <c r="U18" s="1536"/>
    </row>
    <row r="19" spans="1:21" s="1190" customFormat="1" x14ac:dyDescent="0.15">
      <c r="A19" s="1531"/>
      <c r="B19" s="1531"/>
      <c r="C19" s="1531"/>
      <c r="D19" s="1531"/>
      <c r="E19" s="1531"/>
      <c r="F19" s="1531"/>
      <c r="G19" s="1531"/>
      <c r="H19" s="1531"/>
      <c r="I19" s="1531"/>
      <c r="J19" s="1531"/>
      <c r="K19" s="1531"/>
      <c r="L19" s="1531"/>
      <c r="M19" s="1531"/>
      <c r="N19" s="1531"/>
      <c r="O19" s="1531"/>
      <c r="P19" s="1531"/>
      <c r="Q19" s="1531"/>
      <c r="R19" s="1531"/>
      <c r="S19" s="1531"/>
      <c r="T19" s="1531"/>
      <c r="U19" s="1531"/>
    </row>
    <row r="20" spans="1:21" s="1190" customFormat="1" ht="14.25" customHeight="1" x14ac:dyDescent="0.15">
      <c r="A20" s="1543" t="s">
        <v>3233</v>
      </c>
      <c r="B20" s="1531"/>
      <c r="C20" s="1531"/>
      <c r="D20" s="1531"/>
      <c r="E20" s="1531"/>
      <c r="F20" s="1531"/>
      <c r="G20" s="1531"/>
      <c r="H20" s="1531"/>
      <c r="I20" s="1531"/>
      <c r="J20" s="1531"/>
      <c r="K20" s="1531"/>
      <c r="L20" s="1531"/>
      <c r="M20" s="1531"/>
      <c r="N20" s="1531"/>
      <c r="O20" s="1531"/>
      <c r="P20" s="1531"/>
      <c r="Q20" s="1531"/>
      <c r="R20" s="1531"/>
      <c r="S20" s="1531"/>
      <c r="T20" s="1531"/>
      <c r="U20" s="1531"/>
    </row>
    <row r="21" spans="1:21" s="1190" customFormat="1" ht="11.25" customHeight="1" x14ac:dyDescent="0.15">
      <c r="A21" s="3354" t="s">
        <v>1</v>
      </c>
      <c r="B21" s="3356" t="s">
        <v>3132</v>
      </c>
      <c r="C21" s="3358" t="s">
        <v>3234</v>
      </c>
      <c r="D21" s="3359"/>
      <c r="E21" s="3359"/>
      <c r="F21" s="3359"/>
      <c r="G21" s="3359"/>
      <c r="H21" s="3360"/>
      <c r="I21" s="3354" t="s">
        <v>3235</v>
      </c>
      <c r="J21" s="3354"/>
      <c r="K21" s="3354"/>
      <c r="L21" s="3354"/>
      <c r="M21" s="3354"/>
      <c r="N21" s="3354"/>
      <c r="O21" s="1531"/>
      <c r="P21" s="1531"/>
      <c r="Q21" s="1531"/>
      <c r="R21" s="1531"/>
      <c r="S21" s="1531"/>
      <c r="T21" s="1531"/>
      <c r="U21" s="1531"/>
    </row>
    <row r="22" spans="1:21" s="1190" customFormat="1" ht="15" customHeight="1" x14ac:dyDescent="0.15">
      <c r="A22" s="3355"/>
      <c r="B22" s="3357"/>
      <c r="C22" s="1548" t="s">
        <v>3197</v>
      </c>
      <c r="D22" s="1549" t="s">
        <v>3198</v>
      </c>
      <c r="E22" s="1548" t="s">
        <v>3228</v>
      </c>
      <c r="F22" s="1548" t="s">
        <v>3229</v>
      </c>
      <c r="G22" s="1548" t="s">
        <v>3230</v>
      </c>
      <c r="H22" s="1548" t="s">
        <v>3231</v>
      </c>
      <c r="I22" s="1548" t="s">
        <v>3197</v>
      </c>
      <c r="J22" s="1549" t="s">
        <v>3198</v>
      </c>
      <c r="K22" s="1550" t="s">
        <v>3228</v>
      </c>
      <c r="L22" s="1548" t="s">
        <v>3229</v>
      </c>
      <c r="M22" s="1548" t="s">
        <v>3230</v>
      </c>
      <c r="N22" s="1548" t="s">
        <v>3231</v>
      </c>
      <c r="O22" s="1531"/>
      <c r="P22" s="1531"/>
      <c r="Q22" s="1531"/>
      <c r="R22" s="1531"/>
      <c r="S22" s="1531"/>
      <c r="T22" s="1531"/>
      <c r="U22" s="1531"/>
    </row>
    <row r="23" spans="1:21" s="461" customFormat="1" x14ac:dyDescent="0.15">
      <c r="A23" s="3361" t="s">
        <v>141</v>
      </c>
      <c r="B23" s="3361"/>
      <c r="C23" s="1556">
        <f t="shared" ref="C23:D34" si="3">E23+G23</f>
        <v>94</v>
      </c>
      <c r="D23" s="1557">
        <f t="shared" si="3"/>
        <v>381000000</v>
      </c>
      <c r="E23" s="1557">
        <f>SUM(E24:E34)</f>
        <v>23</v>
      </c>
      <c r="F23" s="1556">
        <f>SUM(F24:F34)</f>
        <v>320000000</v>
      </c>
      <c r="G23" s="1556">
        <f>SUM(G24:G34)</f>
        <v>71</v>
      </c>
      <c r="H23" s="1556">
        <v>61000000</v>
      </c>
      <c r="I23" s="1556">
        <f t="shared" ref="I23:J34" si="4">K23+M23</f>
        <v>183</v>
      </c>
      <c r="J23" s="1557">
        <f t="shared" si="4"/>
        <v>504249000</v>
      </c>
      <c r="K23" s="1558">
        <f>SUM(K24:K34)</f>
        <v>22</v>
      </c>
      <c r="L23" s="1558">
        <f>SUM(L24:L34)</f>
        <v>353249000</v>
      </c>
      <c r="M23" s="1558">
        <f>SUM(M24:M34)</f>
        <v>161</v>
      </c>
      <c r="N23" s="1558">
        <f>SUM(N24:N34)</f>
        <v>151000000</v>
      </c>
      <c r="O23" s="1536"/>
      <c r="P23" s="1536"/>
      <c r="Q23" s="1536"/>
      <c r="R23" s="1536"/>
      <c r="S23" s="1536"/>
      <c r="T23" s="1536"/>
      <c r="U23" s="1536"/>
    </row>
    <row r="24" spans="1:21" s="461" customFormat="1" ht="11.25" customHeight="1" x14ac:dyDescent="0.15">
      <c r="A24" s="1552" t="s">
        <v>5</v>
      </c>
      <c r="B24" s="1553" t="s">
        <v>696</v>
      </c>
      <c r="C24" s="1556">
        <f t="shared" si="3"/>
        <v>5</v>
      </c>
      <c r="D24" s="1557">
        <f t="shared" si="3"/>
        <v>22950000</v>
      </c>
      <c r="E24" s="1559">
        <v>3</v>
      </c>
      <c r="F24" s="1559">
        <v>21500000</v>
      </c>
      <c r="G24" s="1554">
        <v>2</v>
      </c>
      <c r="H24" s="1554">
        <v>1450000</v>
      </c>
      <c r="I24" s="1556">
        <f t="shared" si="4"/>
        <v>7</v>
      </c>
      <c r="J24" s="1557">
        <f t="shared" si="4"/>
        <v>38349000</v>
      </c>
      <c r="K24" s="1559">
        <v>3</v>
      </c>
      <c r="L24" s="1559">
        <v>32349000</v>
      </c>
      <c r="M24" s="1554">
        <v>4</v>
      </c>
      <c r="N24" s="1554">
        <v>6000000</v>
      </c>
      <c r="O24" s="1536"/>
      <c r="P24" s="1536"/>
      <c r="Q24" s="1536"/>
      <c r="R24" s="1536"/>
      <c r="S24" s="1536"/>
      <c r="T24" s="1536"/>
      <c r="U24" s="1536"/>
    </row>
    <row r="25" spans="1:21" s="461" customFormat="1" ht="11.25" customHeight="1" x14ac:dyDescent="0.15">
      <c r="A25" s="1552" t="s">
        <v>3205</v>
      </c>
      <c r="B25" s="1553" t="s">
        <v>1037</v>
      </c>
      <c r="C25" s="1556">
        <f t="shared" si="3"/>
        <v>6</v>
      </c>
      <c r="D25" s="1557">
        <f t="shared" si="3"/>
        <v>27600000</v>
      </c>
      <c r="E25" s="1559">
        <v>2</v>
      </c>
      <c r="F25" s="1559">
        <v>24000000</v>
      </c>
      <c r="G25" s="1554">
        <v>4</v>
      </c>
      <c r="H25" s="1559">
        <v>3600000</v>
      </c>
      <c r="I25" s="1556">
        <f t="shared" si="4"/>
        <v>2</v>
      </c>
      <c r="J25" s="1557">
        <f t="shared" si="4"/>
        <v>26800000</v>
      </c>
      <c r="K25" s="1559">
        <v>2</v>
      </c>
      <c r="L25" s="1559">
        <v>26800000</v>
      </c>
      <c r="M25" s="1554">
        <v>0</v>
      </c>
      <c r="N25" s="1559">
        <v>0</v>
      </c>
      <c r="O25" s="1536"/>
      <c r="P25" s="1536"/>
      <c r="Q25" s="1536"/>
      <c r="R25" s="1536"/>
      <c r="S25" s="1536"/>
      <c r="T25" s="1536"/>
      <c r="U25" s="1536"/>
    </row>
    <row r="26" spans="1:21" s="461" customFormat="1" ht="11.25" customHeight="1" x14ac:dyDescent="0.15">
      <c r="A26" s="1552" t="s">
        <v>7</v>
      </c>
      <c r="B26" s="1553" t="s">
        <v>1018</v>
      </c>
      <c r="C26" s="1556">
        <f t="shared" si="3"/>
        <v>3</v>
      </c>
      <c r="D26" s="1557">
        <f t="shared" si="3"/>
        <v>16800000</v>
      </c>
      <c r="E26" s="1559">
        <v>2</v>
      </c>
      <c r="F26" s="1559">
        <v>15000000</v>
      </c>
      <c r="G26" s="1554">
        <v>1</v>
      </c>
      <c r="H26" s="1554">
        <v>1800000</v>
      </c>
      <c r="I26" s="1556">
        <f t="shared" si="4"/>
        <v>40</v>
      </c>
      <c r="J26" s="1557">
        <f t="shared" si="4"/>
        <v>44300000</v>
      </c>
      <c r="K26" s="1559">
        <v>1</v>
      </c>
      <c r="L26" s="1559">
        <v>13300000</v>
      </c>
      <c r="M26" s="1554">
        <v>39</v>
      </c>
      <c r="N26" s="1554">
        <v>31000000</v>
      </c>
      <c r="O26" s="1536"/>
      <c r="P26" s="1536"/>
      <c r="Q26" s="1536"/>
      <c r="R26" s="1536"/>
      <c r="S26" s="1536"/>
      <c r="T26" s="1536"/>
      <c r="U26" s="1536"/>
    </row>
    <row r="27" spans="1:21" s="461" customFormat="1" ht="11.25" customHeight="1" x14ac:dyDescent="0.15">
      <c r="A27" s="1552" t="s">
        <v>10</v>
      </c>
      <c r="B27" s="1553" t="s">
        <v>511</v>
      </c>
      <c r="C27" s="1556">
        <f t="shared" si="3"/>
        <v>4</v>
      </c>
      <c r="D27" s="1557">
        <f t="shared" si="3"/>
        <v>78700000</v>
      </c>
      <c r="E27" s="1559">
        <v>2</v>
      </c>
      <c r="F27" s="1559">
        <v>76800000</v>
      </c>
      <c r="G27" s="1554">
        <v>2</v>
      </c>
      <c r="H27" s="1559">
        <v>1900000</v>
      </c>
      <c r="I27" s="1556">
        <f t="shared" si="4"/>
        <v>2</v>
      </c>
      <c r="J27" s="1557">
        <f t="shared" si="4"/>
        <v>75000000</v>
      </c>
      <c r="K27" s="1559">
        <v>2</v>
      </c>
      <c r="L27" s="1559">
        <v>75000000</v>
      </c>
      <c r="M27" s="1554">
        <v>0</v>
      </c>
      <c r="N27" s="1559">
        <v>0</v>
      </c>
      <c r="O27" s="1536"/>
      <c r="P27" s="1536"/>
      <c r="Q27" s="1536"/>
      <c r="R27" s="1536"/>
      <c r="S27" s="1536"/>
      <c r="T27" s="1536"/>
      <c r="U27" s="1536"/>
    </row>
    <row r="28" spans="1:21" s="461" customFormat="1" ht="22.5" customHeight="1" x14ac:dyDescent="0.15">
      <c r="A28" s="1552" t="s">
        <v>3206</v>
      </c>
      <c r="B28" s="1553" t="s">
        <v>1026</v>
      </c>
      <c r="C28" s="1556">
        <f t="shared" si="3"/>
        <v>15</v>
      </c>
      <c r="D28" s="1557">
        <f t="shared" si="3"/>
        <v>62050000</v>
      </c>
      <c r="E28" s="1559">
        <v>2</v>
      </c>
      <c r="F28" s="1559">
        <v>50000000</v>
      </c>
      <c r="G28" s="1554">
        <v>13</v>
      </c>
      <c r="H28" s="1559">
        <v>12050000</v>
      </c>
      <c r="I28" s="1556">
        <f t="shared" si="4"/>
        <v>21</v>
      </c>
      <c r="J28" s="1557">
        <f t="shared" si="4"/>
        <v>80000000</v>
      </c>
      <c r="K28" s="1559">
        <v>2</v>
      </c>
      <c r="L28" s="1559">
        <v>60000000</v>
      </c>
      <c r="M28" s="1554">
        <v>19</v>
      </c>
      <c r="N28" s="1559">
        <v>20000000</v>
      </c>
      <c r="O28" s="1536"/>
      <c r="P28" s="1536"/>
      <c r="Q28" s="1536"/>
      <c r="R28" s="1536"/>
      <c r="S28" s="1536"/>
      <c r="T28" s="1536"/>
      <c r="U28" s="1536"/>
    </row>
    <row r="29" spans="1:21" s="461" customFormat="1" ht="11.25" customHeight="1" x14ac:dyDescent="0.15">
      <c r="A29" s="1552" t="s">
        <v>14</v>
      </c>
      <c r="B29" s="1553" t="s">
        <v>3207</v>
      </c>
      <c r="C29" s="1556">
        <f t="shared" si="3"/>
        <v>6</v>
      </c>
      <c r="D29" s="1557">
        <f t="shared" si="3"/>
        <v>25900000</v>
      </c>
      <c r="E29" s="1559">
        <v>1</v>
      </c>
      <c r="F29" s="1559">
        <v>21000000</v>
      </c>
      <c r="G29" s="1554">
        <v>5</v>
      </c>
      <c r="H29" s="1559">
        <v>4900000</v>
      </c>
      <c r="I29" s="1556">
        <f t="shared" si="4"/>
        <v>7</v>
      </c>
      <c r="J29" s="1557">
        <f t="shared" si="4"/>
        <v>28000000</v>
      </c>
      <c r="K29" s="1559">
        <v>2</v>
      </c>
      <c r="L29" s="1559">
        <v>23000000</v>
      </c>
      <c r="M29" s="1554">
        <v>5</v>
      </c>
      <c r="N29" s="1559">
        <v>5000000</v>
      </c>
      <c r="O29" s="1536"/>
      <c r="P29" s="1536"/>
      <c r="Q29" s="1536"/>
      <c r="R29" s="1536"/>
      <c r="S29" s="1536"/>
      <c r="T29" s="1536"/>
      <c r="U29" s="1536"/>
    </row>
    <row r="30" spans="1:21" s="461" customFormat="1" ht="11.25" customHeight="1" x14ac:dyDescent="0.15">
      <c r="A30" s="1552" t="s">
        <v>350</v>
      </c>
      <c r="B30" s="1553" t="s">
        <v>709</v>
      </c>
      <c r="C30" s="1556">
        <f t="shared" si="3"/>
        <v>43</v>
      </c>
      <c r="D30" s="1557">
        <f t="shared" si="3"/>
        <v>55500000</v>
      </c>
      <c r="E30" s="1559">
        <v>2</v>
      </c>
      <c r="F30" s="1559">
        <v>22000000</v>
      </c>
      <c r="G30" s="1554">
        <v>41</v>
      </c>
      <c r="H30" s="1559">
        <v>33500000</v>
      </c>
      <c r="I30" s="1556">
        <f t="shared" si="4"/>
        <v>50</v>
      </c>
      <c r="J30" s="1557">
        <f t="shared" si="4"/>
        <v>80000000</v>
      </c>
      <c r="K30" s="1559">
        <v>2</v>
      </c>
      <c r="L30" s="1559">
        <v>38000000</v>
      </c>
      <c r="M30" s="1554">
        <v>48</v>
      </c>
      <c r="N30" s="1559">
        <v>42000000</v>
      </c>
      <c r="O30" s="1536"/>
      <c r="P30" s="1536"/>
      <c r="Q30" s="1536"/>
      <c r="R30" s="1536"/>
      <c r="S30" s="1536"/>
      <c r="T30" s="1536"/>
      <c r="U30" s="1536"/>
    </row>
    <row r="31" spans="1:21" s="461" customFormat="1" ht="11.25" customHeight="1" x14ac:dyDescent="0.15">
      <c r="A31" s="1552" t="s">
        <v>301</v>
      </c>
      <c r="B31" s="1553" t="s">
        <v>655</v>
      </c>
      <c r="C31" s="1556">
        <f t="shared" si="3"/>
        <v>3</v>
      </c>
      <c r="D31" s="1557">
        <f t="shared" si="3"/>
        <v>17800000</v>
      </c>
      <c r="E31" s="1559">
        <v>2</v>
      </c>
      <c r="F31" s="1559">
        <v>17000000</v>
      </c>
      <c r="G31" s="1554">
        <v>1</v>
      </c>
      <c r="H31" s="1559">
        <v>800000</v>
      </c>
      <c r="I31" s="1556">
        <f t="shared" si="4"/>
        <v>5</v>
      </c>
      <c r="J31" s="1557">
        <f t="shared" si="4"/>
        <v>18000000</v>
      </c>
      <c r="K31" s="1559">
        <v>2</v>
      </c>
      <c r="L31" s="1559">
        <v>15000000</v>
      </c>
      <c r="M31" s="1554">
        <v>3</v>
      </c>
      <c r="N31" s="1559">
        <v>3000000</v>
      </c>
      <c r="O31" s="1536"/>
      <c r="P31" s="1536"/>
      <c r="Q31" s="1536"/>
      <c r="R31" s="1536"/>
      <c r="S31" s="1536"/>
      <c r="T31" s="1536"/>
      <c r="U31" s="1536"/>
    </row>
    <row r="32" spans="1:21" s="461" customFormat="1" ht="11.25" customHeight="1" x14ac:dyDescent="0.15">
      <c r="A32" s="1552" t="s">
        <v>3208</v>
      </c>
      <c r="B32" s="1553" t="s">
        <v>1157</v>
      </c>
      <c r="C32" s="1556">
        <f t="shared" si="3"/>
        <v>4</v>
      </c>
      <c r="D32" s="1557">
        <f t="shared" si="3"/>
        <v>21000000</v>
      </c>
      <c r="E32" s="1559">
        <v>2</v>
      </c>
      <c r="F32" s="1559">
        <v>20000000</v>
      </c>
      <c r="G32" s="1554">
        <v>2</v>
      </c>
      <c r="H32" s="1559">
        <v>1000000</v>
      </c>
      <c r="I32" s="1556">
        <f t="shared" si="4"/>
        <v>45</v>
      </c>
      <c r="J32" s="1557">
        <f t="shared" si="4"/>
        <v>64200000</v>
      </c>
      <c r="K32" s="1559">
        <v>2</v>
      </c>
      <c r="L32" s="1559">
        <v>20200000</v>
      </c>
      <c r="M32" s="1554">
        <v>43</v>
      </c>
      <c r="N32" s="1559">
        <v>44000000</v>
      </c>
      <c r="O32" s="1536"/>
      <c r="P32" s="1536"/>
      <c r="Q32" s="1536"/>
      <c r="R32" s="1536"/>
      <c r="S32" s="1536"/>
      <c r="T32" s="1536"/>
      <c r="U32" s="1536"/>
    </row>
    <row r="33" spans="1:21" s="461" customFormat="1" ht="11.25" customHeight="1" x14ac:dyDescent="0.15">
      <c r="A33" s="1537" t="s">
        <v>19</v>
      </c>
      <c r="B33" s="1553" t="s">
        <v>691</v>
      </c>
      <c r="C33" s="1556">
        <f t="shared" si="3"/>
        <v>3</v>
      </c>
      <c r="D33" s="1557">
        <f t="shared" si="3"/>
        <v>33000000</v>
      </c>
      <c r="E33" s="1559">
        <v>3</v>
      </c>
      <c r="F33" s="1559">
        <v>33000000</v>
      </c>
      <c r="G33" s="1554">
        <v>0</v>
      </c>
      <c r="H33" s="1554">
        <v>0</v>
      </c>
      <c r="I33" s="1556">
        <f t="shared" si="4"/>
        <v>2</v>
      </c>
      <c r="J33" s="1557">
        <f t="shared" si="4"/>
        <v>27000000</v>
      </c>
      <c r="K33" s="1559">
        <v>2</v>
      </c>
      <c r="L33" s="1559">
        <v>27000000</v>
      </c>
      <c r="M33" s="1554">
        <v>0</v>
      </c>
      <c r="N33" s="1554">
        <v>0</v>
      </c>
      <c r="O33" s="1536"/>
      <c r="P33" s="1536"/>
      <c r="Q33" s="1536"/>
      <c r="R33" s="1536"/>
      <c r="S33" s="1536"/>
      <c r="T33" s="1536"/>
      <c r="U33" s="1536"/>
    </row>
    <row r="34" spans="1:21" s="461" customFormat="1" ht="11.25" customHeight="1" x14ac:dyDescent="0.15">
      <c r="A34" s="1553" t="s">
        <v>3232</v>
      </c>
      <c r="B34" s="1553" t="s">
        <v>3214</v>
      </c>
      <c r="C34" s="1556">
        <f t="shared" si="3"/>
        <v>2</v>
      </c>
      <c r="D34" s="1557">
        <f t="shared" si="3"/>
        <v>19700000</v>
      </c>
      <c r="E34" s="1559">
        <v>2</v>
      </c>
      <c r="F34" s="1559">
        <v>19700000</v>
      </c>
      <c r="G34" s="1554">
        <v>0</v>
      </c>
      <c r="H34" s="1554">
        <v>0</v>
      </c>
      <c r="I34" s="1556">
        <f t="shared" si="4"/>
        <v>2</v>
      </c>
      <c r="J34" s="1557">
        <f t="shared" si="4"/>
        <v>22600000</v>
      </c>
      <c r="K34" s="1559">
        <v>2</v>
      </c>
      <c r="L34" s="1559">
        <v>22600000</v>
      </c>
      <c r="M34" s="1554">
        <v>0</v>
      </c>
      <c r="N34" s="1554">
        <v>0</v>
      </c>
      <c r="O34" s="1536"/>
      <c r="P34" s="1536"/>
      <c r="Q34" s="1536"/>
      <c r="R34" s="1536"/>
      <c r="S34" s="1536"/>
      <c r="T34" s="1536"/>
      <c r="U34" s="1536"/>
    </row>
    <row r="35" spans="1:21" s="461" customFormat="1" x14ac:dyDescent="0.15">
      <c r="A35" s="1553"/>
      <c r="B35" s="1553"/>
      <c r="C35" s="573"/>
      <c r="D35" s="1560"/>
      <c r="E35" s="1536"/>
      <c r="F35" s="1561"/>
      <c r="G35" s="1562"/>
      <c r="H35" s="1563"/>
      <c r="I35" s="1536"/>
      <c r="J35" s="1536"/>
      <c r="K35" s="1536"/>
      <c r="L35" s="1536"/>
      <c r="M35" s="1536"/>
      <c r="N35" s="1536"/>
      <c r="O35" s="1536"/>
      <c r="P35" s="1536"/>
      <c r="Q35" s="1536"/>
      <c r="R35" s="1536"/>
      <c r="S35" s="1536"/>
      <c r="T35" s="1536"/>
      <c r="U35" s="1536"/>
    </row>
    <row r="36" spans="1:21" x14ac:dyDescent="0.15">
      <c r="A36" s="1508"/>
      <c r="C36" s="99"/>
      <c r="D36" s="99"/>
      <c r="E36" s="99"/>
      <c r="F36" s="99"/>
      <c r="G36" s="99"/>
      <c r="H36" s="99"/>
      <c r="I36" s="99"/>
      <c r="J36" s="99"/>
      <c r="K36" s="99"/>
      <c r="L36" s="99"/>
      <c r="M36" s="99"/>
      <c r="N36" s="99"/>
    </row>
    <row r="37" spans="1:21" ht="17.100000000000001" customHeight="1" x14ac:dyDescent="0.15">
      <c r="A37" s="1543" t="s">
        <v>3233</v>
      </c>
      <c r="C37" s="99"/>
      <c r="D37" s="99"/>
      <c r="E37" s="99"/>
      <c r="F37" s="99"/>
      <c r="G37" s="99"/>
      <c r="H37" s="99"/>
      <c r="I37" s="99"/>
      <c r="J37" s="99"/>
      <c r="K37" s="99"/>
      <c r="L37" s="99"/>
      <c r="M37" s="99"/>
      <c r="N37" s="99"/>
    </row>
    <row r="38" spans="1:21" ht="11.25" customHeight="1" x14ac:dyDescent="0.15">
      <c r="A38" s="2351" t="s">
        <v>1</v>
      </c>
      <c r="B38" s="2351" t="s">
        <v>3132</v>
      </c>
      <c r="C38" s="2786" t="s">
        <v>3236</v>
      </c>
      <c r="D38" s="2786"/>
      <c r="E38" s="2786"/>
      <c r="F38" s="2786"/>
      <c r="G38" s="2786"/>
      <c r="H38" s="2786"/>
      <c r="I38" s="99"/>
      <c r="J38" s="99"/>
      <c r="K38" s="99"/>
      <c r="L38" s="99"/>
      <c r="M38" s="99"/>
      <c r="N38" s="99"/>
    </row>
    <row r="39" spans="1:21" ht="15" customHeight="1" x14ac:dyDescent="0.15">
      <c r="A39" s="2351"/>
      <c r="B39" s="2351"/>
      <c r="C39" s="1525" t="s">
        <v>3197</v>
      </c>
      <c r="D39" s="1525" t="s">
        <v>3198</v>
      </c>
      <c r="E39" s="1525" t="s">
        <v>3237</v>
      </c>
      <c r="F39" s="1525" t="s">
        <v>3238</v>
      </c>
      <c r="G39" s="1525" t="s">
        <v>3239</v>
      </c>
      <c r="H39" s="1525" t="s">
        <v>3240</v>
      </c>
      <c r="I39" s="99"/>
      <c r="J39" s="99"/>
      <c r="K39" s="99"/>
      <c r="L39" s="99"/>
      <c r="M39" s="99"/>
      <c r="N39" s="99"/>
    </row>
    <row r="40" spans="1:21" s="167" customFormat="1" x14ac:dyDescent="0.15">
      <c r="A40" s="146" t="s">
        <v>141</v>
      </c>
      <c r="B40" s="1564"/>
      <c r="C40" s="1565">
        <f>SUM(C41:C51)</f>
        <v>159</v>
      </c>
      <c r="D40" s="1565">
        <f>SUM(D41:D51)</f>
        <v>605990000</v>
      </c>
      <c r="E40" s="1565">
        <f t="shared" ref="E40:H40" si="5">SUM(E41:E51)</f>
        <v>28</v>
      </c>
      <c r="F40" s="1565">
        <f t="shared" si="5"/>
        <v>427019000</v>
      </c>
      <c r="G40" s="1565">
        <f t="shared" si="5"/>
        <v>131</v>
      </c>
      <c r="H40" s="1565">
        <f t="shared" si="5"/>
        <v>178971000</v>
      </c>
      <c r="I40" s="968"/>
      <c r="J40" s="968"/>
      <c r="K40" s="968"/>
      <c r="L40" s="968"/>
      <c r="M40" s="968"/>
      <c r="N40" s="968"/>
    </row>
    <row r="41" spans="1:21" s="167" customFormat="1" ht="11.25" customHeight="1" x14ac:dyDescent="0.15">
      <c r="A41" s="476" t="s">
        <v>5</v>
      </c>
      <c r="B41" s="1566" t="s">
        <v>696</v>
      </c>
      <c r="C41" s="1565">
        <f>SUM(E41,G41)</f>
        <v>5</v>
      </c>
      <c r="D41" s="1565">
        <f>SUM(F41,H41)</f>
        <v>44940000</v>
      </c>
      <c r="E41" s="1567">
        <v>2</v>
      </c>
      <c r="F41" s="1567">
        <v>38940000</v>
      </c>
      <c r="G41" s="1567">
        <v>3</v>
      </c>
      <c r="H41" s="1567">
        <v>6000000</v>
      </c>
      <c r="I41" s="968"/>
      <c r="J41" s="968"/>
      <c r="K41" s="968"/>
      <c r="L41" s="968"/>
      <c r="M41" s="968"/>
      <c r="N41" s="968"/>
    </row>
    <row r="42" spans="1:21" s="167" customFormat="1" ht="11.25" customHeight="1" x14ac:dyDescent="0.15">
      <c r="A42" s="476" t="s">
        <v>3205</v>
      </c>
      <c r="B42" s="1566" t="s">
        <v>1037</v>
      </c>
      <c r="C42" s="1565">
        <f t="shared" ref="C42:D51" si="6">SUM(E42,G42)</f>
        <v>35</v>
      </c>
      <c r="D42" s="1565">
        <f t="shared" si="6"/>
        <v>70050000</v>
      </c>
      <c r="E42" s="1567">
        <v>2</v>
      </c>
      <c r="F42" s="1567">
        <v>37350000</v>
      </c>
      <c r="G42" s="1567">
        <v>33</v>
      </c>
      <c r="H42" s="1567">
        <v>32700000</v>
      </c>
      <c r="I42" s="968"/>
      <c r="J42" s="968"/>
      <c r="K42" s="968"/>
      <c r="L42" s="968"/>
      <c r="M42" s="968"/>
      <c r="N42" s="968"/>
    </row>
    <row r="43" spans="1:21" s="167" customFormat="1" ht="11.25" customHeight="1" x14ac:dyDescent="0.15">
      <c r="A43" s="476" t="s">
        <v>7</v>
      </c>
      <c r="B43" s="1566" t="s">
        <v>1018</v>
      </c>
      <c r="C43" s="1565">
        <f t="shared" si="6"/>
        <v>2</v>
      </c>
      <c r="D43" s="1565">
        <f t="shared" si="6"/>
        <v>23000000</v>
      </c>
      <c r="E43" s="1567">
        <v>2</v>
      </c>
      <c r="F43" s="1567">
        <v>23000000</v>
      </c>
      <c r="G43" s="1567">
        <v>0</v>
      </c>
      <c r="H43" s="1567">
        <v>0</v>
      </c>
      <c r="I43" s="968"/>
      <c r="J43" s="968"/>
      <c r="K43" s="968"/>
      <c r="L43" s="968"/>
      <c r="M43" s="968"/>
      <c r="N43" s="968"/>
    </row>
    <row r="44" spans="1:21" s="167" customFormat="1" ht="11.25" customHeight="1" x14ac:dyDescent="0.15">
      <c r="A44" s="476" t="s">
        <v>10</v>
      </c>
      <c r="B44" s="1566" t="s">
        <v>511</v>
      </c>
      <c r="C44" s="1565">
        <f t="shared" si="6"/>
        <v>1</v>
      </c>
      <c r="D44" s="1565">
        <f t="shared" si="6"/>
        <v>40000000</v>
      </c>
      <c r="E44" s="1567">
        <v>1</v>
      </c>
      <c r="F44" s="1567">
        <v>40000000</v>
      </c>
      <c r="G44" s="1567">
        <v>0</v>
      </c>
      <c r="H44" s="1567">
        <v>0</v>
      </c>
      <c r="I44" s="968"/>
      <c r="J44" s="968"/>
      <c r="K44" s="968"/>
      <c r="L44" s="968"/>
      <c r="M44" s="968"/>
      <c r="N44" s="968"/>
    </row>
    <row r="45" spans="1:21" s="167" customFormat="1" ht="23.25" customHeight="1" x14ac:dyDescent="0.15">
      <c r="A45" s="476" t="s">
        <v>3206</v>
      </c>
      <c r="B45" s="1566" t="s">
        <v>1026</v>
      </c>
      <c r="C45" s="1565">
        <f t="shared" si="6"/>
        <v>30</v>
      </c>
      <c r="D45" s="1565">
        <f t="shared" si="6"/>
        <v>142510000</v>
      </c>
      <c r="E45" s="1567">
        <v>8</v>
      </c>
      <c r="F45" s="1567">
        <v>92510000</v>
      </c>
      <c r="G45" s="1567">
        <v>22</v>
      </c>
      <c r="H45" s="1567">
        <v>50000000</v>
      </c>
      <c r="I45" s="968"/>
      <c r="J45" s="968"/>
      <c r="K45" s="968"/>
      <c r="L45" s="968"/>
      <c r="M45" s="968"/>
      <c r="N45" s="968"/>
    </row>
    <row r="46" spans="1:21" s="167" customFormat="1" ht="11.25" customHeight="1" x14ac:dyDescent="0.15">
      <c r="A46" s="476" t="s">
        <v>14</v>
      </c>
      <c r="B46" s="1566" t="s">
        <v>3207</v>
      </c>
      <c r="C46" s="1565">
        <f t="shared" si="6"/>
        <v>9</v>
      </c>
      <c r="D46" s="1565">
        <f t="shared" si="6"/>
        <v>38850000</v>
      </c>
      <c r="E46" s="1567">
        <v>1</v>
      </c>
      <c r="F46" s="1567">
        <v>31850000</v>
      </c>
      <c r="G46" s="1567">
        <v>8</v>
      </c>
      <c r="H46" s="1567">
        <v>7000000</v>
      </c>
      <c r="I46" s="968"/>
      <c r="J46" s="968"/>
      <c r="K46" s="968"/>
      <c r="L46" s="968"/>
      <c r="M46" s="968"/>
      <c r="N46" s="968"/>
    </row>
    <row r="47" spans="1:21" s="167" customFormat="1" ht="11.25" customHeight="1" x14ac:dyDescent="0.15">
      <c r="A47" s="476" t="s">
        <v>350</v>
      </c>
      <c r="B47" s="1566" t="s">
        <v>709</v>
      </c>
      <c r="C47" s="1565">
        <f t="shared" si="6"/>
        <v>23</v>
      </c>
      <c r="D47" s="1565">
        <f t="shared" si="6"/>
        <v>78500000</v>
      </c>
      <c r="E47" s="1567">
        <v>2</v>
      </c>
      <c r="F47" s="1567">
        <v>68700000</v>
      </c>
      <c r="G47" s="1567">
        <v>21</v>
      </c>
      <c r="H47" s="1567">
        <v>9800000</v>
      </c>
      <c r="I47" s="968"/>
      <c r="J47" s="968"/>
      <c r="K47" s="968"/>
      <c r="L47" s="968"/>
      <c r="M47" s="968"/>
      <c r="N47" s="968"/>
    </row>
    <row r="48" spans="1:21" s="167" customFormat="1" ht="11.25" customHeight="1" x14ac:dyDescent="0.15">
      <c r="A48" s="476" t="s">
        <v>301</v>
      </c>
      <c r="B48" s="1566" t="s">
        <v>655</v>
      </c>
      <c r="C48" s="1565">
        <f t="shared" si="6"/>
        <v>4</v>
      </c>
      <c r="D48" s="1565">
        <f t="shared" si="6"/>
        <v>29100000</v>
      </c>
      <c r="E48" s="1567">
        <v>2</v>
      </c>
      <c r="F48" s="1567">
        <v>26700000</v>
      </c>
      <c r="G48" s="1567">
        <v>2</v>
      </c>
      <c r="H48" s="1567">
        <v>2400000</v>
      </c>
      <c r="I48" s="968"/>
      <c r="J48" s="968"/>
      <c r="K48" s="968"/>
      <c r="L48" s="968"/>
      <c r="M48" s="968"/>
      <c r="N48" s="968"/>
    </row>
    <row r="49" spans="1:14" s="167" customFormat="1" ht="11.25" customHeight="1" x14ac:dyDescent="0.15">
      <c r="A49" s="476" t="s">
        <v>3208</v>
      </c>
      <c r="B49" s="1566" t="s">
        <v>1157</v>
      </c>
      <c r="C49" s="1565">
        <f t="shared" si="6"/>
        <v>38</v>
      </c>
      <c r="D49" s="1565">
        <f t="shared" si="6"/>
        <v>66069000</v>
      </c>
      <c r="E49" s="1567">
        <v>3</v>
      </c>
      <c r="F49" s="1567">
        <v>32069000</v>
      </c>
      <c r="G49" s="1567">
        <v>35</v>
      </c>
      <c r="H49" s="1567">
        <v>34000000</v>
      </c>
      <c r="I49" s="968"/>
      <c r="J49" s="968"/>
      <c r="K49" s="968"/>
      <c r="L49" s="968"/>
      <c r="M49" s="968"/>
      <c r="N49" s="968"/>
    </row>
    <row r="50" spans="1:14" s="167" customFormat="1" ht="11.25" customHeight="1" x14ac:dyDescent="0.15">
      <c r="A50" s="476" t="s">
        <v>19</v>
      </c>
      <c r="B50" s="1566" t="s">
        <v>691</v>
      </c>
      <c r="C50" s="1565">
        <f t="shared" si="6"/>
        <v>6</v>
      </c>
      <c r="D50" s="1565">
        <f t="shared" si="6"/>
        <v>23991000</v>
      </c>
      <c r="E50" s="1567">
        <v>2</v>
      </c>
      <c r="F50" s="1567">
        <v>20600000</v>
      </c>
      <c r="G50" s="1567">
        <v>4</v>
      </c>
      <c r="H50" s="1567">
        <v>3391000</v>
      </c>
      <c r="I50" s="968"/>
      <c r="J50" s="968"/>
      <c r="K50" s="968"/>
      <c r="L50" s="968"/>
      <c r="M50" s="968"/>
      <c r="N50" s="968"/>
    </row>
    <row r="51" spans="1:14" s="167" customFormat="1" ht="11.25" customHeight="1" x14ac:dyDescent="0.15">
      <c r="A51" s="476" t="s">
        <v>3232</v>
      </c>
      <c r="B51" s="1566" t="s">
        <v>3210</v>
      </c>
      <c r="C51" s="1565">
        <f t="shared" si="6"/>
        <v>6</v>
      </c>
      <c r="D51" s="1565">
        <f t="shared" si="6"/>
        <v>48980000</v>
      </c>
      <c r="E51" s="1567">
        <v>3</v>
      </c>
      <c r="F51" s="1567">
        <v>15300000</v>
      </c>
      <c r="G51" s="1567">
        <v>3</v>
      </c>
      <c r="H51" s="1567">
        <v>33680000</v>
      </c>
      <c r="I51" s="968"/>
      <c r="J51" s="968"/>
      <c r="K51" s="968"/>
      <c r="L51" s="968"/>
      <c r="M51" s="968"/>
      <c r="N51" s="968"/>
    </row>
    <row r="52" spans="1:14" s="167" customFormat="1" x14ac:dyDescent="0.15">
      <c r="A52" s="476"/>
      <c r="B52" s="833"/>
      <c r="C52" s="833"/>
      <c r="D52" s="833"/>
      <c r="E52" s="833"/>
      <c r="F52" s="833"/>
      <c r="G52" s="833"/>
      <c r="H52" s="833"/>
    </row>
    <row r="53" spans="1:14" s="167" customFormat="1" ht="10.5" customHeight="1" x14ac:dyDescent="0.15">
      <c r="A53" s="2390" t="s">
        <v>3241</v>
      </c>
      <c r="B53" s="2390"/>
      <c r="C53" s="2390"/>
      <c r="D53" s="2390"/>
      <c r="E53" s="2390"/>
      <c r="F53" s="2390"/>
      <c r="G53" s="2390"/>
      <c r="H53" s="2390"/>
    </row>
    <row r="54" spans="1:14" s="167" customFormat="1" ht="10.5" customHeight="1" x14ac:dyDescent="0.15">
      <c r="A54" s="2390" t="s">
        <v>3242</v>
      </c>
      <c r="B54" s="2390"/>
      <c r="C54" s="2390"/>
      <c r="D54" s="2390"/>
      <c r="E54" s="2390"/>
      <c r="F54" s="2390"/>
      <c r="G54" s="2390"/>
      <c r="H54" s="2390"/>
    </row>
    <row r="55" spans="1:14" s="167" customFormat="1" x14ac:dyDescent="0.15">
      <c r="A55" s="2477" t="s">
        <v>460</v>
      </c>
      <c r="B55" s="2477"/>
      <c r="C55" s="2477"/>
      <c r="D55" s="2477"/>
      <c r="E55" s="2477"/>
      <c r="F55" s="2477"/>
      <c r="G55" s="2477"/>
      <c r="H55" s="2477"/>
    </row>
    <row r="56" spans="1:14" s="167" customFormat="1" ht="10.5" customHeight="1" x14ac:dyDescent="0.15">
      <c r="A56" s="2477" t="s">
        <v>3152</v>
      </c>
      <c r="B56" s="2477"/>
      <c r="C56" s="2477"/>
      <c r="D56" s="2477"/>
      <c r="E56" s="2477"/>
      <c r="F56" s="2477"/>
      <c r="G56" s="2477"/>
      <c r="H56" s="2477"/>
    </row>
    <row r="57" spans="1:14" s="167" customFormat="1" x14ac:dyDescent="0.15"/>
  </sheetData>
  <mergeCells count="18">
    <mergeCell ref="A53:H53"/>
    <mergeCell ref="A54:H54"/>
    <mergeCell ref="A55:H55"/>
    <mergeCell ref="A56:H56"/>
    <mergeCell ref="A21:A22"/>
    <mergeCell ref="B21:B22"/>
    <mergeCell ref="C21:H21"/>
    <mergeCell ref="I21:N21"/>
    <mergeCell ref="A23:B23"/>
    <mergeCell ref="A38:A39"/>
    <mergeCell ref="B38:B39"/>
    <mergeCell ref="C38:H38"/>
    <mergeCell ref="A6:B6"/>
    <mergeCell ref="A2:N2"/>
    <mergeCell ref="A4:A5"/>
    <mergeCell ref="B4:B5"/>
    <mergeCell ref="C4:H4"/>
    <mergeCell ref="I4:N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M46"/>
  <sheetViews>
    <sheetView topLeftCell="A22" workbookViewId="0">
      <selection activeCell="A24" sqref="A24"/>
    </sheetView>
  </sheetViews>
  <sheetFormatPr baseColWidth="10" defaultColWidth="9.140625" defaultRowHeight="11.25" x14ac:dyDescent="0.2"/>
  <cols>
    <col min="1" max="1" width="25" style="1497" customWidth="1"/>
    <col min="2" max="4" width="11.140625" style="1497" customWidth="1"/>
    <col min="5" max="5" width="15" style="1497" customWidth="1"/>
    <col min="6" max="8" width="11.140625" style="1497" customWidth="1"/>
    <col min="9" max="9" width="14.42578125" style="1497" customWidth="1"/>
    <col min="10" max="12" width="11.140625" style="1497" customWidth="1"/>
    <col min="13" max="13" width="12.7109375" style="1497" customWidth="1"/>
    <col min="14" max="15" width="9.140625" style="1497"/>
    <col min="16" max="16" width="9.140625" style="1497" customWidth="1"/>
    <col min="17" max="17" width="15.140625" style="1497" customWidth="1"/>
    <col min="18" max="16384" width="9.140625" style="1497"/>
  </cols>
  <sheetData>
    <row r="1" spans="1:13" ht="15" customHeight="1" x14ac:dyDescent="0.2"/>
    <row r="2" spans="1:13" ht="22.5" customHeight="1" x14ac:dyDescent="0.2">
      <c r="A2" s="3362" t="s">
        <v>3243</v>
      </c>
      <c r="B2" s="3362"/>
      <c r="C2" s="3362"/>
      <c r="D2" s="3362"/>
      <c r="E2" s="3362"/>
      <c r="F2" s="3362"/>
      <c r="G2" s="3362"/>
      <c r="H2" s="3362"/>
      <c r="I2" s="3362"/>
      <c r="J2" s="3362"/>
      <c r="K2" s="3362"/>
      <c r="L2" s="3362"/>
      <c r="M2" s="3362"/>
    </row>
    <row r="3" spans="1:13" ht="12" customHeight="1" x14ac:dyDescent="0.2">
      <c r="A3" s="3317"/>
      <c r="B3" s="3317"/>
      <c r="C3" s="3317"/>
      <c r="D3" s="3317"/>
      <c r="E3" s="3317"/>
      <c r="F3" s="3317"/>
      <c r="G3" s="3317"/>
      <c r="H3" s="3317"/>
      <c r="I3" s="3317"/>
      <c r="J3" s="3317"/>
      <c r="K3" s="3317"/>
      <c r="L3" s="3317"/>
      <c r="M3" s="3317"/>
    </row>
    <row r="4" spans="1:13" ht="17.100000000000001" customHeight="1" x14ac:dyDescent="0.2">
      <c r="A4" s="2351" t="s">
        <v>1</v>
      </c>
      <c r="B4" s="3363">
        <v>2011</v>
      </c>
      <c r="C4" s="3363"/>
      <c r="D4" s="3363"/>
      <c r="E4" s="3363"/>
      <c r="F4" s="3363">
        <v>2012</v>
      </c>
      <c r="G4" s="3363"/>
      <c r="H4" s="3363"/>
      <c r="I4" s="3363"/>
      <c r="J4" s="3363">
        <v>2013</v>
      </c>
      <c r="K4" s="3363"/>
      <c r="L4" s="3363"/>
      <c r="M4" s="3363"/>
    </row>
    <row r="5" spans="1:13" ht="17.100000000000001" customHeight="1" x14ac:dyDescent="0.2">
      <c r="A5" s="2351"/>
      <c r="B5" s="1568" t="s">
        <v>69</v>
      </c>
      <c r="C5" s="1568" t="s">
        <v>359</v>
      </c>
      <c r="D5" s="1568" t="s">
        <v>360</v>
      </c>
      <c r="E5" s="1568" t="s">
        <v>3244</v>
      </c>
      <c r="F5" s="1568" t="s">
        <v>69</v>
      </c>
      <c r="G5" s="1568" t="s">
        <v>359</v>
      </c>
      <c r="H5" s="1568" t="s">
        <v>360</v>
      </c>
      <c r="I5" s="1568" t="s">
        <v>3244</v>
      </c>
      <c r="J5" s="1568" t="s">
        <v>69</v>
      </c>
      <c r="K5" s="1568" t="s">
        <v>3245</v>
      </c>
      <c r="L5" s="1568" t="s">
        <v>360</v>
      </c>
      <c r="M5" s="1568" t="s">
        <v>3244</v>
      </c>
    </row>
    <row r="6" spans="1:13" ht="11.25" customHeight="1" x14ac:dyDescent="0.2">
      <c r="A6" s="767" t="s">
        <v>141</v>
      </c>
      <c r="B6" s="1569">
        <f>SUM(B7:B21)</f>
        <v>40</v>
      </c>
      <c r="C6" s="1569">
        <f>SUM(C7:C21)</f>
        <v>19</v>
      </c>
      <c r="D6" s="1569">
        <f>SUM(D7:D21)</f>
        <v>21</v>
      </c>
      <c r="E6" s="1569">
        <f>SUM(E7:E21)</f>
        <v>44947642</v>
      </c>
      <c r="F6" s="1569">
        <f>SUM(G6:H6)</f>
        <v>71</v>
      </c>
      <c r="G6" s="1569">
        <f>SUM(G7:G21)</f>
        <v>23</v>
      </c>
      <c r="H6" s="1569">
        <f>SUM(H7:H21)</f>
        <v>48</v>
      </c>
      <c r="I6" s="1569">
        <f>SUM(I7:I21)</f>
        <v>60557000</v>
      </c>
      <c r="J6" s="1569">
        <f t="shared" ref="J6:J21" si="0">SUM(K6:L6)</f>
        <v>56</v>
      </c>
      <c r="K6" s="1569">
        <f t="shared" ref="K6:M6" si="1">SUM(K7:K21)</f>
        <v>0</v>
      </c>
      <c r="L6" s="1569">
        <f t="shared" si="1"/>
        <v>56</v>
      </c>
      <c r="M6" s="1569">
        <f t="shared" si="1"/>
        <v>49000000</v>
      </c>
    </row>
    <row r="7" spans="1:13" ht="11.25" customHeight="1" x14ac:dyDescent="0.2">
      <c r="A7" s="476" t="s">
        <v>5</v>
      </c>
      <c r="B7" s="1569">
        <f t="shared" ref="B7:B21" si="2">SUM(C7:D7)</f>
        <v>0</v>
      </c>
      <c r="C7" s="1570">
        <v>0</v>
      </c>
      <c r="D7" s="1570">
        <v>0</v>
      </c>
      <c r="E7" s="1570">
        <v>0</v>
      </c>
      <c r="F7" s="1569">
        <f t="shared" ref="F7:F21" si="3">SUM(G7:H7)</f>
        <v>5</v>
      </c>
      <c r="G7" s="1571">
        <v>1</v>
      </c>
      <c r="H7" s="1571">
        <v>4</v>
      </c>
      <c r="I7" s="1571">
        <v>3889420</v>
      </c>
      <c r="J7" s="1569">
        <f t="shared" si="0"/>
        <v>0</v>
      </c>
      <c r="K7" s="1571">
        <v>0</v>
      </c>
      <c r="L7" s="1571">
        <v>0</v>
      </c>
      <c r="M7" s="1571">
        <v>0</v>
      </c>
    </row>
    <row r="8" spans="1:13" ht="11.25" customHeight="1" x14ac:dyDescent="0.2">
      <c r="A8" s="476" t="s">
        <v>6</v>
      </c>
      <c r="B8" s="1569">
        <f t="shared" si="2"/>
        <v>7</v>
      </c>
      <c r="C8" s="1571">
        <v>4</v>
      </c>
      <c r="D8" s="1571">
        <v>3</v>
      </c>
      <c r="E8" s="1571">
        <v>10947642</v>
      </c>
      <c r="F8" s="1569">
        <f t="shared" si="3"/>
        <v>3</v>
      </c>
      <c r="G8" s="1571">
        <v>2</v>
      </c>
      <c r="H8" s="1571">
        <v>1</v>
      </c>
      <c r="I8" s="1571">
        <v>2400000</v>
      </c>
      <c r="J8" s="1569">
        <f t="shared" si="0"/>
        <v>22</v>
      </c>
      <c r="K8" s="1571">
        <v>0</v>
      </c>
      <c r="L8" s="1571">
        <v>22</v>
      </c>
      <c r="M8" s="1571">
        <v>15000000</v>
      </c>
    </row>
    <row r="9" spans="1:13" ht="11.25" customHeight="1" x14ac:dyDescent="0.2">
      <c r="A9" s="476" t="s">
        <v>7</v>
      </c>
      <c r="B9" s="1569">
        <f t="shared" si="2"/>
        <v>0</v>
      </c>
      <c r="C9" s="1570">
        <v>0</v>
      </c>
      <c r="D9" s="1570">
        <v>0</v>
      </c>
      <c r="E9" s="1570">
        <v>0</v>
      </c>
      <c r="F9" s="1569">
        <f t="shared" si="3"/>
        <v>3</v>
      </c>
      <c r="G9" s="1572">
        <v>0</v>
      </c>
      <c r="H9" s="1571">
        <v>3</v>
      </c>
      <c r="I9" s="1571">
        <v>2589420</v>
      </c>
      <c r="J9" s="1569">
        <f t="shared" si="0"/>
        <v>0</v>
      </c>
      <c r="K9" s="1571">
        <v>0</v>
      </c>
      <c r="L9" s="1571">
        <v>0</v>
      </c>
      <c r="M9" s="1571">
        <v>0</v>
      </c>
    </row>
    <row r="10" spans="1:13" ht="11.25" customHeight="1" x14ac:dyDescent="0.2">
      <c r="A10" s="476" t="s">
        <v>8</v>
      </c>
      <c r="B10" s="1569">
        <f t="shared" si="2"/>
        <v>0</v>
      </c>
      <c r="C10" s="1570">
        <v>0</v>
      </c>
      <c r="D10" s="1570">
        <v>0</v>
      </c>
      <c r="E10" s="1570">
        <v>0</v>
      </c>
      <c r="F10" s="1569">
        <f t="shared" si="3"/>
        <v>0</v>
      </c>
      <c r="G10" s="1570">
        <v>0</v>
      </c>
      <c r="H10" s="1570">
        <v>0</v>
      </c>
      <c r="I10" s="1570">
        <v>0</v>
      </c>
      <c r="J10" s="1569">
        <f t="shared" si="0"/>
        <v>0</v>
      </c>
      <c r="K10" s="1571">
        <v>0</v>
      </c>
      <c r="L10" s="1571">
        <v>0</v>
      </c>
      <c r="M10" s="1571">
        <v>0</v>
      </c>
    </row>
    <row r="11" spans="1:13" ht="11.25" customHeight="1" x14ac:dyDescent="0.2">
      <c r="A11" s="476" t="s">
        <v>9</v>
      </c>
      <c r="B11" s="1569">
        <f t="shared" si="2"/>
        <v>0</v>
      </c>
      <c r="C11" s="1570">
        <v>0</v>
      </c>
      <c r="D11" s="1570">
        <v>0</v>
      </c>
      <c r="E11" s="1570">
        <v>0</v>
      </c>
      <c r="F11" s="1569">
        <f t="shared" si="3"/>
        <v>0</v>
      </c>
      <c r="G11" s="1570">
        <v>0</v>
      </c>
      <c r="H11" s="1570">
        <v>0</v>
      </c>
      <c r="I11" s="1570">
        <v>0</v>
      </c>
      <c r="J11" s="1569">
        <f t="shared" si="0"/>
        <v>0</v>
      </c>
      <c r="K11" s="1571">
        <v>0</v>
      </c>
      <c r="L11" s="1571">
        <v>0</v>
      </c>
      <c r="M11" s="1571">
        <v>0</v>
      </c>
    </row>
    <row r="12" spans="1:13" ht="11.25" customHeight="1" x14ac:dyDescent="0.2">
      <c r="A12" s="476" t="s">
        <v>10</v>
      </c>
      <c r="B12" s="1569">
        <f t="shared" si="2"/>
        <v>0</v>
      </c>
      <c r="C12" s="1570">
        <v>0</v>
      </c>
      <c r="D12" s="1570">
        <v>0</v>
      </c>
      <c r="E12" s="1570">
        <v>0</v>
      </c>
      <c r="F12" s="1569">
        <f t="shared" si="3"/>
        <v>1</v>
      </c>
      <c r="G12" s="1572">
        <v>0</v>
      </c>
      <c r="H12" s="1571">
        <v>1</v>
      </c>
      <c r="I12" s="1571">
        <v>1000000</v>
      </c>
      <c r="J12" s="1569">
        <f t="shared" si="0"/>
        <v>0</v>
      </c>
      <c r="K12" s="1571">
        <v>0</v>
      </c>
      <c r="L12" s="1571">
        <v>0</v>
      </c>
      <c r="M12" s="1571">
        <v>0</v>
      </c>
    </row>
    <row r="13" spans="1:13" ht="11.25" customHeight="1" x14ac:dyDescent="0.2">
      <c r="A13" s="476" t="s">
        <v>11</v>
      </c>
      <c r="B13" s="1569">
        <f t="shared" si="2"/>
        <v>17</v>
      </c>
      <c r="C13" s="1571">
        <v>8</v>
      </c>
      <c r="D13" s="1571">
        <v>9</v>
      </c>
      <c r="E13" s="1571">
        <v>20000000</v>
      </c>
      <c r="F13" s="1569">
        <f t="shared" si="3"/>
        <v>20</v>
      </c>
      <c r="G13" s="1571">
        <v>9</v>
      </c>
      <c r="H13" s="1571">
        <v>11</v>
      </c>
      <c r="I13" s="1571">
        <v>18857680</v>
      </c>
      <c r="J13" s="1569">
        <f t="shared" si="0"/>
        <v>0</v>
      </c>
      <c r="K13" s="1571">
        <v>0</v>
      </c>
      <c r="L13" s="1571">
        <v>0</v>
      </c>
      <c r="M13" s="1571">
        <v>0</v>
      </c>
    </row>
    <row r="14" spans="1:13" ht="11.25" customHeight="1" x14ac:dyDescent="0.2">
      <c r="A14" s="476" t="s">
        <v>12</v>
      </c>
      <c r="B14" s="1569">
        <f t="shared" si="2"/>
        <v>0</v>
      </c>
      <c r="C14" s="1570">
        <v>0</v>
      </c>
      <c r="D14" s="1570">
        <v>0</v>
      </c>
      <c r="E14" s="1570">
        <v>0</v>
      </c>
      <c r="F14" s="1569">
        <f t="shared" si="3"/>
        <v>0</v>
      </c>
      <c r="G14" s="1570">
        <v>0</v>
      </c>
      <c r="H14" s="1570">
        <v>0</v>
      </c>
      <c r="I14" s="1570">
        <v>0</v>
      </c>
      <c r="J14" s="1569">
        <f t="shared" si="0"/>
        <v>0</v>
      </c>
      <c r="K14" s="1571">
        <v>0</v>
      </c>
      <c r="L14" s="1571">
        <v>0</v>
      </c>
      <c r="M14" s="1571">
        <v>0</v>
      </c>
    </row>
    <row r="15" spans="1:13" ht="11.25" customHeight="1" x14ac:dyDescent="0.2">
      <c r="A15" s="476" t="s">
        <v>13</v>
      </c>
      <c r="B15" s="1569">
        <f t="shared" si="2"/>
        <v>0</v>
      </c>
      <c r="C15" s="1570">
        <v>0</v>
      </c>
      <c r="D15" s="1570">
        <v>0</v>
      </c>
      <c r="E15" s="1570">
        <v>0</v>
      </c>
      <c r="F15" s="1569">
        <f t="shared" si="3"/>
        <v>0</v>
      </c>
      <c r="G15" s="1570">
        <v>0</v>
      </c>
      <c r="H15" s="1570">
        <v>0</v>
      </c>
      <c r="I15" s="1570">
        <v>0</v>
      </c>
      <c r="J15" s="1569">
        <f t="shared" si="0"/>
        <v>0</v>
      </c>
      <c r="K15" s="1571">
        <v>0</v>
      </c>
      <c r="L15" s="1571">
        <v>0</v>
      </c>
      <c r="M15" s="1571">
        <v>0</v>
      </c>
    </row>
    <row r="16" spans="1:13" ht="11.25" customHeight="1" x14ac:dyDescent="0.2">
      <c r="A16" s="476" t="s">
        <v>14</v>
      </c>
      <c r="B16" s="1569">
        <f t="shared" si="2"/>
        <v>0</v>
      </c>
      <c r="C16" s="1570">
        <v>0</v>
      </c>
      <c r="D16" s="1570">
        <v>0</v>
      </c>
      <c r="E16" s="1570">
        <v>0</v>
      </c>
      <c r="F16" s="1569">
        <f t="shared" si="3"/>
        <v>4</v>
      </c>
      <c r="G16" s="1571">
        <v>2</v>
      </c>
      <c r="H16" s="1571">
        <v>2</v>
      </c>
      <c r="I16" s="1571">
        <v>3726280</v>
      </c>
      <c r="J16" s="1569">
        <f t="shared" si="0"/>
        <v>0</v>
      </c>
      <c r="K16" s="1571">
        <v>0</v>
      </c>
      <c r="L16" s="1571">
        <v>0</v>
      </c>
      <c r="M16" s="1571">
        <v>0</v>
      </c>
    </row>
    <row r="17" spans="1:13" ht="11.25" customHeight="1" x14ac:dyDescent="0.2">
      <c r="A17" s="476" t="s">
        <v>15</v>
      </c>
      <c r="B17" s="1569">
        <f t="shared" si="2"/>
        <v>16</v>
      </c>
      <c r="C17" s="1571">
        <v>7</v>
      </c>
      <c r="D17" s="1571">
        <v>9</v>
      </c>
      <c r="E17" s="1571">
        <v>14000000</v>
      </c>
      <c r="F17" s="1569">
        <f t="shared" si="3"/>
        <v>29</v>
      </c>
      <c r="G17" s="1571">
        <v>8</v>
      </c>
      <c r="H17" s="1571">
        <v>21</v>
      </c>
      <c r="I17" s="1571">
        <v>23378100</v>
      </c>
      <c r="J17" s="1569">
        <f t="shared" si="0"/>
        <v>0</v>
      </c>
      <c r="K17" s="1571">
        <v>0</v>
      </c>
      <c r="L17" s="1571">
        <v>0</v>
      </c>
      <c r="M17" s="1571">
        <v>0</v>
      </c>
    </row>
    <row r="18" spans="1:13" ht="11.25" customHeight="1" x14ac:dyDescent="0.2">
      <c r="A18" s="476" t="s">
        <v>16</v>
      </c>
      <c r="B18" s="1569">
        <f t="shared" si="2"/>
        <v>0</v>
      </c>
      <c r="C18" s="1570">
        <v>0</v>
      </c>
      <c r="D18" s="1570">
        <v>0</v>
      </c>
      <c r="E18" s="1570">
        <v>0</v>
      </c>
      <c r="F18" s="1569">
        <f t="shared" si="3"/>
        <v>2</v>
      </c>
      <c r="G18" s="1572">
        <v>0</v>
      </c>
      <c r="H18" s="1571">
        <v>2</v>
      </c>
      <c r="I18" s="1571">
        <v>1726280</v>
      </c>
      <c r="J18" s="1569">
        <f t="shared" si="0"/>
        <v>0</v>
      </c>
      <c r="K18" s="1571">
        <v>0</v>
      </c>
      <c r="L18" s="1571">
        <v>0</v>
      </c>
      <c r="M18" s="1571">
        <v>0</v>
      </c>
    </row>
    <row r="19" spans="1:13" ht="11.25" customHeight="1" x14ac:dyDescent="0.2">
      <c r="A19" s="476" t="s">
        <v>17</v>
      </c>
      <c r="B19" s="1569">
        <f t="shared" si="2"/>
        <v>0</v>
      </c>
      <c r="C19" s="1570">
        <v>0</v>
      </c>
      <c r="D19" s="1570">
        <v>0</v>
      </c>
      <c r="E19" s="1570">
        <v>0</v>
      </c>
      <c r="F19" s="1569">
        <f t="shared" si="3"/>
        <v>4</v>
      </c>
      <c r="G19" s="1571">
        <v>1</v>
      </c>
      <c r="H19" s="1571">
        <v>3</v>
      </c>
      <c r="I19" s="1571">
        <v>2989820</v>
      </c>
      <c r="J19" s="1569">
        <f t="shared" si="0"/>
        <v>34</v>
      </c>
      <c r="K19" s="1571">
        <v>0</v>
      </c>
      <c r="L19" s="1571">
        <v>34</v>
      </c>
      <c r="M19" s="1571">
        <v>34000000</v>
      </c>
    </row>
    <row r="20" spans="1:13" ht="11.25" customHeight="1" x14ac:dyDescent="0.2">
      <c r="A20" s="476" t="s">
        <v>18</v>
      </c>
      <c r="B20" s="1569">
        <f t="shared" si="2"/>
        <v>0</v>
      </c>
      <c r="C20" s="1570">
        <v>0</v>
      </c>
      <c r="D20" s="1570">
        <v>0</v>
      </c>
      <c r="E20" s="1570">
        <v>0</v>
      </c>
      <c r="F20" s="1569">
        <f t="shared" si="3"/>
        <v>0</v>
      </c>
      <c r="G20" s="1570">
        <v>0</v>
      </c>
      <c r="H20" s="1570">
        <v>0</v>
      </c>
      <c r="I20" s="1570">
        <v>0</v>
      </c>
      <c r="J20" s="1569">
        <f t="shared" si="0"/>
        <v>0</v>
      </c>
      <c r="K20" s="1571">
        <v>0</v>
      </c>
      <c r="L20" s="1571">
        <v>0</v>
      </c>
      <c r="M20" s="1571">
        <v>0</v>
      </c>
    </row>
    <row r="21" spans="1:13" ht="11.25" customHeight="1" x14ac:dyDescent="0.2">
      <c r="A21" s="476" t="s">
        <v>19</v>
      </c>
      <c r="B21" s="1569">
        <f t="shared" si="2"/>
        <v>0</v>
      </c>
      <c r="C21" s="1570">
        <v>0</v>
      </c>
      <c r="D21" s="1570">
        <v>0</v>
      </c>
      <c r="E21" s="1570">
        <v>0</v>
      </c>
      <c r="F21" s="1569">
        <f t="shared" si="3"/>
        <v>0</v>
      </c>
      <c r="G21" s="1570">
        <v>0</v>
      </c>
      <c r="H21" s="1570">
        <v>0</v>
      </c>
      <c r="I21" s="1570">
        <v>0</v>
      </c>
      <c r="J21" s="1569">
        <f t="shared" si="0"/>
        <v>0</v>
      </c>
      <c r="K21" s="1571">
        <v>0</v>
      </c>
      <c r="L21" s="1571">
        <v>0</v>
      </c>
      <c r="M21" s="1571">
        <v>0</v>
      </c>
    </row>
    <row r="22" spans="1:13" ht="11.25" customHeight="1" x14ac:dyDescent="0.2">
      <c r="A22" s="476"/>
    </row>
    <row r="23" spans="1:13" ht="11.25" customHeight="1" x14ac:dyDescent="0.2">
      <c r="A23" s="476"/>
    </row>
    <row r="24" spans="1:13" ht="17.100000000000001" customHeight="1" x14ac:dyDescent="0.2">
      <c r="A24" s="1573" t="s">
        <v>3246</v>
      </c>
    </row>
    <row r="25" spans="1:13" ht="12.75" customHeight="1" x14ac:dyDescent="0.2">
      <c r="A25" s="2351" t="s">
        <v>1</v>
      </c>
      <c r="B25" s="3363" t="s">
        <v>3247</v>
      </c>
      <c r="C25" s="3363"/>
      <c r="D25" s="3363"/>
      <c r="E25" s="3363"/>
      <c r="F25" s="2374">
        <v>2015</v>
      </c>
      <c r="G25" s="3365"/>
      <c r="H25" s="3365"/>
      <c r="I25" s="3365"/>
    </row>
    <row r="26" spans="1:13" s="1576" customFormat="1" ht="16.5" customHeight="1" x14ac:dyDescent="0.2">
      <c r="A26" s="2351"/>
      <c r="B26" s="1574" t="s">
        <v>69</v>
      </c>
      <c r="C26" s="1574" t="s">
        <v>359</v>
      </c>
      <c r="D26" s="1574" t="s">
        <v>360</v>
      </c>
      <c r="E26" s="1574" t="s">
        <v>3244</v>
      </c>
      <c r="F26" s="1575" t="s">
        <v>69</v>
      </c>
      <c r="G26" s="1575" t="s">
        <v>359</v>
      </c>
      <c r="H26" s="1575" t="s">
        <v>360</v>
      </c>
      <c r="I26" s="1575" t="s">
        <v>3244</v>
      </c>
    </row>
    <row r="27" spans="1:13" ht="11.25" customHeight="1" x14ac:dyDescent="0.2">
      <c r="A27" s="767" t="s">
        <v>141</v>
      </c>
      <c r="B27" s="1569">
        <f>SUM(B28:B42)</f>
        <v>72</v>
      </c>
      <c r="C27" s="1569">
        <f>SUM(C28:C42)</f>
        <v>27</v>
      </c>
      <c r="D27" s="1569">
        <f>SUM(D28:D42)</f>
        <v>45</v>
      </c>
      <c r="E27" s="1569">
        <f>SUM(E28:E42)</f>
        <v>66000000</v>
      </c>
      <c r="F27" s="1527">
        <f t="shared" ref="F27:I27" si="4">SUM(F28:F42)</f>
        <v>69</v>
      </c>
      <c r="G27" s="1527">
        <f t="shared" si="4"/>
        <v>35</v>
      </c>
      <c r="H27" s="1527">
        <f t="shared" si="4"/>
        <v>34</v>
      </c>
      <c r="I27" s="1527">
        <f t="shared" si="4"/>
        <v>55291000</v>
      </c>
    </row>
    <row r="28" spans="1:13" ht="11.25" customHeight="1" x14ac:dyDescent="0.2">
      <c r="A28" s="476" t="s">
        <v>5</v>
      </c>
      <c r="B28" s="1528">
        <v>4</v>
      </c>
      <c r="C28" s="1530">
        <v>1</v>
      </c>
      <c r="D28" s="1530">
        <v>3</v>
      </c>
      <c r="E28" s="1577">
        <v>4000000</v>
      </c>
      <c r="F28" s="718">
        <f t="shared" ref="F28:F42" si="5">SUM(G28:H28)</f>
        <v>6</v>
      </c>
      <c r="G28" s="438">
        <v>4</v>
      </c>
      <c r="H28" s="438">
        <v>2</v>
      </c>
      <c r="I28" s="438">
        <v>6000000</v>
      </c>
    </row>
    <row r="29" spans="1:13" ht="11.25" customHeight="1" x14ac:dyDescent="0.2">
      <c r="A29" s="476" t="s">
        <v>6</v>
      </c>
      <c r="B29" s="1528">
        <v>5</v>
      </c>
      <c r="C29" s="1530">
        <v>0</v>
      </c>
      <c r="D29" s="1530">
        <v>5</v>
      </c>
      <c r="E29" s="1577">
        <v>4000000</v>
      </c>
      <c r="F29" s="718">
        <f t="shared" si="5"/>
        <v>3</v>
      </c>
      <c r="G29" s="438">
        <v>0</v>
      </c>
      <c r="H29" s="438">
        <v>3</v>
      </c>
      <c r="I29" s="438">
        <v>2700000</v>
      </c>
    </row>
    <row r="30" spans="1:13" ht="11.25" customHeight="1" x14ac:dyDescent="0.2">
      <c r="A30" s="476" t="s">
        <v>7</v>
      </c>
      <c r="B30" s="1528">
        <v>1</v>
      </c>
      <c r="C30" s="1530">
        <v>1</v>
      </c>
      <c r="D30" s="1530">
        <v>0</v>
      </c>
      <c r="E30" s="1577">
        <v>1000000</v>
      </c>
      <c r="F30" s="718">
        <f t="shared" si="5"/>
        <v>0</v>
      </c>
      <c r="G30" s="438">
        <v>0</v>
      </c>
      <c r="H30" s="438">
        <v>0</v>
      </c>
      <c r="I30" s="438">
        <v>0</v>
      </c>
    </row>
    <row r="31" spans="1:13" ht="11.25" customHeight="1" x14ac:dyDescent="0.2">
      <c r="A31" s="476" t="s">
        <v>8</v>
      </c>
      <c r="B31" s="1528">
        <v>0</v>
      </c>
      <c r="C31" s="1530">
        <v>0</v>
      </c>
      <c r="D31" s="1530">
        <v>0</v>
      </c>
      <c r="E31" s="1577">
        <v>0</v>
      </c>
      <c r="F31" s="718">
        <f t="shared" si="5"/>
        <v>0</v>
      </c>
      <c r="G31" s="438">
        <v>0</v>
      </c>
      <c r="H31" s="438">
        <v>0</v>
      </c>
      <c r="I31" s="438">
        <v>0</v>
      </c>
    </row>
    <row r="32" spans="1:13" ht="11.25" customHeight="1" x14ac:dyDescent="0.2">
      <c r="A32" s="476" t="s">
        <v>9</v>
      </c>
      <c r="B32" s="1528">
        <v>2</v>
      </c>
      <c r="C32" s="1530">
        <v>1</v>
      </c>
      <c r="D32" s="1530">
        <v>1</v>
      </c>
      <c r="E32" s="1577">
        <v>1900000</v>
      </c>
      <c r="F32" s="718">
        <f t="shared" si="5"/>
        <v>0</v>
      </c>
      <c r="G32" s="438">
        <v>0</v>
      </c>
      <c r="H32" s="438">
        <v>0</v>
      </c>
      <c r="I32" s="438">
        <v>0</v>
      </c>
    </row>
    <row r="33" spans="1:9" ht="11.25" customHeight="1" x14ac:dyDescent="0.2">
      <c r="A33" s="476" t="s">
        <v>10</v>
      </c>
      <c r="B33" s="1528">
        <v>1</v>
      </c>
      <c r="C33" s="1530">
        <v>1</v>
      </c>
      <c r="D33" s="1530">
        <v>0</v>
      </c>
      <c r="E33" s="1577">
        <v>1000000</v>
      </c>
      <c r="F33" s="718">
        <f t="shared" si="5"/>
        <v>0</v>
      </c>
      <c r="G33" s="438">
        <v>0</v>
      </c>
      <c r="H33" s="438">
        <v>0</v>
      </c>
      <c r="I33" s="438">
        <v>0</v>
      </c>
    </row>
    <row r="34" spans="1:9" ht="11.25" customHeight="1" x14ac:dyDescent="0.2">
      <c r="A34" s="476" t="s">
        <v>11</v>
      </c>
      <c r="B34" s="1528">
        <v>15</v>
      </c>
      <c r="C34" s="1530">
        <v>8</v>
      </c>
      <c r="D34" s="1530">
        <v>7</v>
      </c>
      <c r="E34" s="1578">
        <v>13100000</v>
      </c>
      <c r="F34" s="718">
        <f t="shared" si="5"/>
        <v>20</v>
      </c>
      <c r="G34" s="438">
        <v>9</v>
      </c>
      <c r="H34" s="438">
        <v>11</v>
      </c>
      <c r="I34" s="438">
        <v>20000000</v>
      </c>
    </row>
    <row r="35" spans="1:9" ht="11.25" customHeight="1" x14ac:dyDescent="0.2">
      <c r="A35" s="476" t="s">
        <v>12</v>
      </c>
      <c r="B35" s="1528">
        <v>1</v>
      </c>
      <c r="C35" s="1530">
        <v>1</v>
      </c>
      <c r="D35" s="1530">
        <v>0</v>
      </c>
      <c r="E35" s="1577">
        <v>1000000</v>
      </c>
      <c r="F35" s="718">
        <f t="shared" si="5"/>
        <v>0</v>
      </c>
      <c r="G35" s="438">
        <v>0</v>
      </c>
      <c r="H35" s="438">
        <v>0</v>
      </c>
      <c r="I35" s="438">
        <v>0</v>
      </c>
    </row>
    <row r="36" spans="1:9" ht="11.25" customHeight="1" x14ac:dyDescent="0.2">
      <c r="A36" s="476" t="s">
        <v>13</v>
      </c>
      <c r="B36" s="1528">
        <v>0</v>
      </c>
      <c r="C36" s="1530">
        <v>0</v>
      </c>
      <c r="D36" s="1530">
        <v>0</v>
      </c>
      <c r="E36" s="1577">
        <v>0</v>
      </c>
      <c r="F36" s="718">
        <f t="shared" si="5"/>
        <v>0</v>
      </c>
      <c r="G36" s="438">
        <v>0</v>
      </c>
      <c r="H36" s="438">
        <v>0</v>
      </c>
      <c r="I36" s="438">
        <v>0</v>
      </c>
    </row>
    <row r="37" spans="1:9" ht="11.25" customHeight="1" x14ac:dyDescent="0.2">
      <c r="A37" s="476" t="s">
        <v>14</v>
      </c>
      <c r="B37" s="1528">
        <v>5</v>
      </c>
      <c r="C37" s="1530">
        <v>2</v>
      </c>
      <c r="D37" s="1530">
        <v>3</v>
      </c>
      <c r="E37" s="1577">
        <v>5000000</v>
      </c>
      <c r="F37" s="718">
        <f t="shared" si="5"/>
        <v>8</v>
      </c>
      <c r="G37" s="438">
        <v>0</v>
      </c>
      <c r="H37" s="438">
        <v>8</v>
      </c>
      <c r="I37" s="438">
        <v>7000000</v>
      </c>
    </row>
    <row r="38" spans="1:9" ht="11.25" customHeight="1" x14ac:dyDescent="0.2">
      <c r="A38" s="476" t="s">
        <v>15</v>
      </c>
      <c r="B38" s="1528">
        <v>30</v>
      </c>
      <c r="C38" s="1530">
        <v>10</v>
      </c>
      <c r="D38" s="1530">
        <v>20</v>
      </c>
      <c r="E38" s="1577">
        <v>28000000</v>
      </c>
      <c r="F38" s="718">
        <f t="shared" si="5"/>
        <v>21</v>
      </c>
      <c r="G38" s="438">
        <v>16</v>
      </c>
      <c r="H38" s="438">
        <v>5</v>
      </c>
      <c r="I38" s="438">
        <v>9800000</v>
      </c>
    </row>
    <row r="39" spans="1:9" ht="11.25" customHeight="1" x14ac:dyDescent="0.2">
      <c r="A39" s="476" t="s">
        <v>16</v>
      </c>
      <c r="B39" s="1528">
        <v>3</v>
      </c>
      <c r="C39" s="1530">
        <v>0</v>
      </c>
      <c r="D39" s="1530">
        <v>3</v>
      </c>
      <c r="E39" s="1577">
        <v>3000000</v>
      </c>
      <c r="F39" s="718">
        <f t="shared" si="5"/>
        <v>2</v>
      </c>
      <c r="G39" s="438">
        <v>2</v>
      </c>
      <c r="H39" s="438">
        <v>0</v>
      </c>
      <c r="I39" s="438">
        <v>2400000</v>
      </c>
    </row>
    <row r="40" spans="1:9" ht="11.25" customHeight="1" x14ac:dyDescent="0.2">
      <c r="A40" s="476" t="s">
        <v>17</v>
      </c>
      <c r="B40" s="1528">
        <v>5</v>
      </c>
      <c r="C40" s="1530">
        <v>2</v>
      </c>
      <c r="D40" s="1530">
        <v>3</v>
      </c>
      <c r="E40" s="1577">
        <v>4000000</v>
      </c>
      <c r="F40" s="718">
        <f t="shared" si="5"/>
        <v>5</v>
      </c>
      <c r="G40" s="438">
        <v>4</v>
      </c>
      <c r="H40" s="438">
        <v>1</v>
      </c>
      <c r="I40" s="438">
        <v>4000000</v>
      </c>
    </row>
    <row r="41" spans="1:9" ht="11.25" customHeight="1" x14ac:dyDescent="0.2">
      <c r="A41" s="476" t="s">
        <v>18</v>
      </c>
      <c r="B41" s="1528">
        <v>0</v>
      </c>
      <c r="C41" s="1530">
        <v>0</v>
      </c>
      <c r="D41" s="1530">
        <v>0</v>
      </c>
      <c r="E41" s="1578">
        <v>0</v>
      </c>
      <c r="F41" s="718">
        <f t="shared" si="5"/>
        <v>0</v>
      </c>
      <c r="G41" s="438">
        <v>0</v>
      </c>
      <c r="H41" s="438">
        <v>0</v>
      </c>
      <c r="I41" s="438">
        <v>0</v>
      </c>
    </row>
    <row r="42" spans="1:9" ht="11.25" customHeight="1" x14ac:dyDescent="0.2">
      <c r="A42" s="476" t="s">
        <v>19</v>
      </c>
      <c r="B42" s="1528">
        <v>0</v>
      </c>
      <c r="C42" s="1530">
        <v>0</v>
      </c>
      <c r="D42" s="1530">
        <v>0</v>
      </c>
      <c r="E42" s="1578">
        <v>0</v>
      </c>
      <c r="F42" s="718">
        <f t="shared" si="5"/>
        <v>4</v>
      </c>
      <c r="G42" s="438">
        <v>0</v>
      </c>
      <c r="H42" s="438">
        <v>4</v>
      </c>
      <c r="I42" s="438">
        <v>3391000</v>
      </c>
    </row>
    <row r="43" spans="1:9" ht="10.5" customHeight="1" x14ac:dyDescent="0.2">
      <c r="A43" s="2477"/>
      <c r="B43" s="2477"/>
      <c r="C43" s="2477"/>
      <c r="D43" s="2477"/>
      <c r="E43" s="2477"/>
      <c r="F43" s="2477"/>
      <c r="G43" s="2477"/>
      <c r="H43" s="2477"/>
      <c r="I43" s="2477"/>
    </row>
    <row r="44" spans="1:9" x14ac:dyDescent="0.2">
      <c r="A44" s="2392" t="s">
        <v>3248</v>
      </c>
      <c r="B44" s="2392"/>
      <c r="C44" s="2392"/>
      <c r="D44" s="2392"/>
      <c r="E44" s="2392"/>
      <c r="F44" s="2392"/>
      <c r="G44" s="2392"/>
      <c r="H44" s="2392"/>
      <c r="I44" s="2392"/>
    </row>
    <row r="45" spans="1:9" x14ac:dyDescent="0.2">
      <c r="A45" s="3364" t="s">
        <v>460</v>
      </c>
      <c r="B45" s="3364"/>
      <c r="C45" s="3364"/>
      <c r="D45" s="3364"/>
      <c r="E45" s="3364"/>
      <c r="F45" s="3364"/>
      <c r="G45" s="3364"/>
      <c r="H45" s="3364"/>
      <c r="I45" s="3364"/>
    </row>
    <row r="46" spans="1:9" ht="11.25" customHeight="1" x14ac:dyDescent="0.2">
      <c r="A46" s="3364" t="s">
        <v>3152</v>
      </c>
      <c r="B46" s="3364"/>
      <c r="C46" s="3364"/>
      <c r="D46" s="3364"/>
      <c r="E46" s="3364"/>
      <c r="F46" s="3364"/>
      <c r="G46" s="3364"/>
      <c r="H46" s="3364"/>
      <c r="I46" s="3364"/>
    </row>
  </sheetData>
  <mergeCells count="13">
    <mergeCell ref="A46:I46"/>
    <mergeCell ref="A25:A26"/>
    <mergeCell ref="B25:E25"/>
    <mergeCell ref="F25:I25"/>
    <mergeCell ref="A43:I43"/>
    <mergeCell ref="A44:I44"/>
    <mergeCell ref="A45:I45"/>
    <mergeCell ref="A2:M2"/>
    <mergeCell ref="A3:M3"/>
    <mergeCell ref="A4:A5"/>
    <mergeCell ref="B4:E4"/>
    <mergeCell ref="F4:I4"/>
    <mergeCell ref="J4:M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1:L20"/>
  <sheetViews>
    <sheetView workbookViewId="0">
      <selection activeCell="A22" sqref="A22"/>
    </sheetView>
  </sheetViews>
  <sheetFormatPr baseColWidth="10" defaultColWidth="9.140625" defaultRowHeight="10.5" x14ac:dyDescent="0.15"/>
  <cols>
    <col min="1" max="1" width="22.5703125" style="97" customWidth="1"/>
    <col min="2" max="2" width="21.85546875" style="97" customWidth="1"/>
    <col min="3" max="3" width="11.5703125" style="97" customWidth="1"/>
    <col min="4" max="4" width="17.28515625" style="97" customWidth="1"/>
    <col min="5" max="5" width="11.5703125" style="97" customWidth="1"/>
    <col min="6" max="6" width="17.28515625" style="97" customWidth="1"/>
    <col min="7" max="7" width="10.28515625" style="97" customWidth="1"/>
    <col min="8" max="8" width="17.28515625" style="97" customWidth="1"/>
    <col min="9" max="9" width="10.7109375" style="97" customWidth="1"/>
    <col min="10" max="10" width="17.28515625" style="97" customWidth="1"/>
    <col min="11" max="11" width="10.28515625" style="97" bestFit="1" customWidth="1"/>
    <col min="12" max="12" width="17.28515625" style="97" customWidth="1"/>
    <col min="13" max="13" width="6.5703125" style="97" customWidth="1"/>
    <col min="14" max="16384" width="9.140625" style="97"/>
  </cols>
  <sheetData>
    <row r="1" spans="1:12" ht="15.75" customHeight="1" x14ac:dyDescent="0.15"/>
    <row r="2" spans="1:12" ht="15.75" customHeight="1" x14ac:dyDescent="0.15">
      <c r="A2" s="2688" t="s">
        <v>3249</v>
      </c>
      <c r="B2" s="2354"/>
      <c r="C2" s="2354"/>
      <c r="D2" s="2354"/>
      <c r="E2" s="2354"/>
      <c r="F2" s="2354"/>
      <c r="G2" s="2354"/>
      <c r="H2" s="2354"/>
      <c r="I2" s="2354"/>
      <c r="J2" s="2354"/>
      <c r="K2" s="2354"/>
      <c r="L2" s="2354"/>
    </row>
    <row r="3" spans="1:12" ht="11.25" customHeight="1" x14ac:dyDescent="0.15">
      <c r="A3" s="2347"/>
      <c r="B3" s="2348"/>
      <c r="C3" s="2348"/>
      <c r="D3" s="2348"/>
      <c r="E3" s="2348"/>
      <c r="F3" s="2348"/>
      <c r="G3" s="2348"/>
      <c r="H3" s="2348"/>
      <c r="I3" s="2348"/>
      <c r="J3" s="2348"/>
      <c r="K3" s="2348"/>
      <c r="L3" s="2348"/>
    </row>
    <row r="4" spans="1:12" x14ac:dyDescent="0.15">
      <c r="A4" s="2351" t="s">
        <v>1</v>
      </c>
      <c r="B4" s="2351" t="s">
        <v>3132</v>
      </c>
      <c r="C4" s="3366">
        <v>2011</v>
      </c>
      <c r="D4" s="3366"/>
      <c r="E4" s="3366">
        <v>2012</v>
      </c>
      <c r="F4" s="3366"/>
      <c r="G4" s="3366">
        <v>2013</v>
      </c>
      <c r="H4" s="3366"/>
      <c r="I4" s="3366">
        <v>2014</v>
      </c>
      <c r="J4" s="3366"/>
      <c r="K4" s="2374">
        <v>2015</v>
      </c>
      <c r="L4" s="2375"/>
    </row>
    <row r="5" spans="1:12" ht="24" customHeight="1" x14ac:dyDescent="0.15">
      <c r="A5" s="2351"/>
      <c r="B5" s="2351"/>
      <c r="C5" s="1579" t="s">
        <v>3250</v>
      </c>
      <c r="D5" s="1580" t="s">
        <v>3244</v>
      </c>
      <c r="E5" s="1579" t="s">
        <v>3250</v>
      </c>
      <c r="F5" s="1580" t="s">
        <v>3244</v>
      </c>
      <c r="G5" s="1579" t="s">
        <v>3250</v>
      </c>
      <c r="H5" s="1580" t="s">
        <v>3244</v>
      </c>
      <c r="I5" s="1579" t="s">
        <v>3250</v>
      </c>
      <c r="J5" s="1580" t="s">
        <v>3244</v>
      </c>
      <c r="K5" s="428" t="s">
        <v>3250</v>
      </c>
      <c r="L5" s="427" t="s">
        <v>3244</v>
      </c>
    </row>
    <row r="6" spans="1:12" ht="11.25" customHeight="1" x14ac:dyDescent="0.15">
      <c r="A6" s="146" t="s">
        <v>141</v>
      </c>
      <c r="B6" s="171"/>
      <c r="C6" s="1581">
        <f t="shared" ref="C6:J6" si="0">SUM(C7:C17)</f>
        <v>2473</v>
      </c>
      <c r="D6" s="1582">
        <f t="shared" si="0"/>
        <v>4811071235</v>
      </c>
      <c r="E6" s="1581">
        <f t="shared" si="0"/>
        <v>2034</v>
      </c>
      <c r="F6" s="1582">
        <f t="shared" si="0"/>
        <v>4520394489</v>
      </c>
      <c r="G6" s="1581">
        <f t="shared" si="0"/>
        <v>1934</v>
      </c>
      <c r="H6" s="1582">
        <f t="shared" si="0"/>
        <v>6498143933</v>
      </c>
      <c r="I6" s="1581">
        <f t="shared" si="0"/>
        <v>1285</v>
      </c>
      <c r="J6" s="1582">
        <f t="shared" si="0"/>
        <v>4553790249</v>
      </c>
      <c r="K6" s="1583">
        <f>SUM(K7:K17)</f>
        <v>1834</v>
      </c>
      <c r="L6" s="1584">
        <f>SUM(L7:L17)</f>
        <v>3723447820</v>
      </c>
    </row>
    <row r="7" spans="1:12" ht="11.25" customHeight="1" x14ac:dyDescent="0.15">
      <c r="A7" s="476" t="s">
        <v>5</v>
      </c>
      <c r="B7" s="172" t="s">
        <v>696</v>
      </c>
      <c r="C7" s="1585">
        <v>74</v>
      </c>
      <c r="D7" s="1586">
        <v>243726741</v>
      </c>
      <c r="E7" s="1585">
        <v>90</v>
      </c>
      <c r="F7" s="1586">
        <v>308220625</v>
      </c>
      <c r="G7" s="1585">
        <v>98</v>
      </c>
      <c r="H7" s="1586">
        <v>329925000</v>
      </c>
      <c r="I7" s="1585">
        <v>43</v>
      </c>
      <c r="J7" s="1586">
        <v>212417721</v>
      </c>
      <c r="K7" s="1585">
        <v>37</v>
      </c>
      <c r="L7" s="1586">
        <v>94000000</v>
      </c>
    </row>
    <row r="8" spans="1:12" ht="11.25" customHeight="1" x14ac:dyDescent="0.15">
      <c r="A8" s="476" t="s">
        <v>3251</v>
      </c>
      <c r="B8" s="172" t="s">
        <v>1037</v>
      </c>
      <c r="C8" s="1585">
        <v>81</v>
      </c>
      <c r="D8" s="1586">
        <v>338948773</v>
      </c>
      <c r="E8" s="1585">
        <v>104</v>
      </c>
      <c r="F8" s="1586">
        <v>505458220</v>
      </c>
      <c r="G8" s="1585">
        <v>86</v>
      </c>
      <c r="H8" s="1586">
        <v>450728300</v>
      </c>
      <c r="I8" s="1585">
        <v>59</v>
      </c>
      <c r="J8" s="1586">
        <v>272404374</v>
      </c>
      <c r="K8" s="1585">
        <v>63</v>
      </c>
      <c r="L8" s="1586">
        <v>240000000</v>
      </c>
    </row>
    <row r="9" spans="1:12" ht="11.25" customHeight="1" x14ac:dyDescent="0.15">
      <c r="A9" s="476" t="s">
        <v>7</v>
      </c>
      <c r="B9" s="172" t="s">
        <v>1018</v>
      </c>
      <c r="C9" s="1585">
        <v>76</v>
      </c>
      <c r="D9" s="1586">
        <v>151460987</v>
      </c>
      <c r="E9" s="1585">
        <v>95</v>
      </c>
      <c r="F9" s="1586">
        <v>192108819</v>
      </c>
      <c r="G9" s="1585">
        <v>66</v>
      </c>
      <c r="H9" s="1586">
        <v>177542118</v>
      </c>
      <c r="I9" s="1585">
        <v>55</v>
      </c>
      <c r="J9" s="1586">
        <v>210942118</v>
      </c>
      <c r="K9" s="1585">
        <v>66</v>
      </c>
      <c r="L9" s="1586">
        <v>353862886</v>
      </c>
    </row>
    <row r="10" spans="1:12" ht="11.25" customHeight="1" x14ac:dyDescent="0.15">
      <c r="A10" s="476" t="s">
        <v>10</v>
      </c>
      <c r="B10" s="172" t="s">
        <v>511</v>
      </c>
      <c r="C10" s="1585">
        <v>44</v>
      </c>
      <c r="D10" s="1586">
        <v>330216507</v>
      </c>
      <c r="E10" s="1585">
        <v>54</v>
      </c>
      <c r="F10" s="1586">
        <v>285357752</v>
      </c>
      <c r="G10" s="1585">
        <v>33</v>
      </c>
      <c r="H10" s="1586">
        <v>202000000</v>
      </c>
      <c r="I10" s="1585">
        <v>26</v>
      </c>
      <c r="J10" s="1586">
        <v>159609400</v>
      </c>
      <c r="K10" s="1585">
        <v>20</v>
      </c>
      <c r="L10" s="1586">
        <v>100390600</v>
      </c>
    </row>
    <row r="11" spans="1:12" ht="33.75" customHeight="1" x14ac:dyDescent="0.15">
      <c r="A11" s="476" t="s">
        <v>3252</v>
      </c>
      <c r="B11" s="172" t="s">
        <v>1026</v>
      </c>
      <c r="C11" s="1585">
        <v>542</v>
      </c>
      <c r="D11" s="1586">
        <v>670454863</v>
      </c>
      <c r="E11" s="1585">
        <v>294</v>
      </c>
      <c r="F11" s="1586">
        <v>614575979</v>
      </c>
      <c r="G11" s="1585">
        <v>170</v>
      </c>
      <c r="H11" s="1586">
        <v>483073802</v>
      </c>
      <c r="I11" s="1585">
        <v>96</v>
      </c>
      <c r="J11" s="1586">
        <v>465959920</v>
      </c>
      <c r="K11" s="1585">
        <v>75</v>
      </c>
      <c r="L11" s="1586">
        <v>210000000</v>
      </c>
    </row>
    <row r="12" spans="1:12" ht="11.25" customHeight="1" x14ac:dyDescent="0.15">
      <c r="A12" s="476" t="s">
        <v>14</v>
      </c>
      <c r="B12" s="172" t="s">
        <v>3207</v>
      </c>
      <c r="C12" s="1585">
        <v>451</v>
      </c>
      <c r="D12" s="1586">
        <v>627785774</v>
      </c>
      <c r="E12" s="1585">
        <v>457</v>
      </c>
      <c r="F12" s="1586">
        <v>594951167</v>
      </c>
      <c r="G12" s="1585">
        <v>430</v>
      </c>
      <c r="H12" s="1586">
        <v>669000000</v>
      </c>
      <c r="I12" s="1585">
        <v>267</v>
      </c>
      <c r="J12" s="1586">
        <v>664199038</v>
      </c>
      <c r="K12" s="1585">
        <v>305</v>
      </c>
      <c r="L12" s="1586">
        <v>540688000</v>
      </c>
    </row>
    <row r="13" spans="1:12" ht="11.25" customHeight="1" x14ac:dyDescent="0.15">
      <c r="A13" s="476" t="s">
        <v>350</v>
      </c>
      <c r="B13" s="172" t="s">
        <v>709</v>
      </c>
      <c r="C13" s="1585">
        <v>660</v>
      </c>
      <c r="D13" s="1586">
        <v>1146218611</v>
      </c>
      <c r="E13" s="1585">
        <v>381</v>
      </c>
      <c r="F13" s="1586">
        <v>877908311</v>
      </c>
      <c r="G13" s="1585">
        <v>494</v>
      </c>
      <c r="H13" s="1586">
        <v>2246792000</v>
      </c>
      <c r="I13" s="1585">
        <v>362</v>
      </c>
      <c r="J13" s="1586">
        <v>1065764918</v>
      </c>
      <c r="K13" s="1585">
        <v>663</v>
      </c>
      <c r="L13" s="1586">
        <v>1058956334</v>
      </c>
    </row>
    <row r="14" spans="1:12" ht="11.25" customHeight="1" x14ac:dyDescent="0.15">
      <c r="A14" s="476" t="s">
        <v>301</v>
      </c>
      <c r="B14" s="172" t="s">
        <v>655</v>
      </c>
      <c r="C14" s="1585">
        <v>230</v>
      </c>
      <c r="D14" s="1586">
        <v>488193433</v>
      </c>
      <c r="E14" s="1585">
        <v>170</v>
      </c>
      <c r="F14" s="1586">
        <v>456983000</v>
      </c>
      <c r="G14" s="1585">
        <v>165</v>
      </c>
      <c r="H14" s="1586">
        <v>475743958</v>
      </c>
      <c r="I14" s="1585">
        <v>163</v>
      </c>
      <c r="J14" s="1586">
        <v>442630545</v>
      </c>
      <c r="K14" s="1585">
        <v>192</v>
      </c>
      <c r="L14" s="1586">
        <v>543000000</v>
      </c>
    </row>
    <row r="15" spans="1:12" ht="11.25" customHeight="1" x14ac:dyDescent="0.15">
      <c r="A15" s="476" t="s">
        <v>3253</v>
      </c>
      <c r="B15" s="172" t="s">
        <v>1157</v>
      </c>
      <c r="C15" s="1585">
        <v>275</v>
      </c>
      <c r="D15" s="1586">
        <v>539718840</v>
      </c>
      <c r="E15" s="1585">
        <v>350</v>
      </c>
      <c r="F15" s="1586">
        <v>312358678</v>
      </c>
      <c r="G15" s="1585">
        <v>347</v>
      </c>
      <c r="H15" s="1586">
        <v>408875000</v>
      </c>
      <c r="I15" s="1585">
        <v>180</v>
      </c>
      <c r="J15" s="1586">
        <v>399649908</v>
      </c>
      <c r="K15" s="1585">
        <v>275</v>
      </c>
      <c r="L15" s="1586">
        <v>390000000</v>
      </c>
    </row>
    <row r="16" spans="1:12" ht="11.25" customHeight="1" x14ac:dyDescent="0.15">
      <c r="A16" s="476" t="s">
        <v>19</v>
      </c>
      <c r="B16" s="172" t="s">
        <v>691</v>
      </c>
      <c r="C16" s="1585">
        <v>30</v>
      </c>
      <c r="D16" s="1586">
        <v>140191406</v>
      </c>
      <c r="E16" s="1585">
        <v>23</v>
      </c>
      <c r="F16" s="1586">
        <v>145880937</v>
      </c>
      <c r="G16" s="1585">
        <v>24</v>
      </c>
      <c r="H16" s="1586">
        <v>264099610</v>
      </c>
      <c r="I16" s="1585">
        <v>17</v>
      </c>
      <c r="J16" s="1586">
        <v>134512654</v>
      </c>
      <c r="K16" s="1585">
        <v>12</v>
      </c>
      <c r="L16" s="1586">
        <v>36000000</v>
      </c>
    </row>
    <row r="17" spans="1:12" ht="11.25" customHeight="1" x14ac:dyDescent="0.15">
      <c r="A17" s="476" t="s">
        <v>3232</v>
      </c>
      <c r="B17" s="172" t="s">
        <v>3210</v>
      </c>
      <c r="C17" s="1585">
        <v>10</v>
      </c>
      <c r="D17" s="1586">
        <v>134155300</v>
      </c>
      <c r="E17" s="1585">
        <v>16</v>
      </c>
      <c r="F17" s="1586">
        <v>226591001</v>
      </c>
      <c r="G17" s="1585">
        <v>21</v>
      </c>
      <c r="H17" s="1586">
        <v>790364145</v>
      </c>
      <c r="I17" s="1585">
        <v>17</v>
      </c>
      <c r="J17" s="1586">
        <v>525699653</v>
      </c>
      <c r="K17" s="1585">
        <v>126</v>
      </c>
      <c r="L17" s="1586">
        <v>156550000</v>
      </c>
    </row>
    <row r="18" spans="1:12" x14ac:dyDescent="0.15">
      <c r="A18" s="2356"/>
      <c r="B18" s="2357"/>
      <c r="C18" s="2357"/>
      <c r="D18" s="2357"/>
      <c r="E18" s="2357"/>
      <c r="F18" s="2357"/>
      <c r="G18" s="2357"/>
      <c r="H18" s="2357"/>
      <c r="I18" s="2357"/>
      <c r="J18" s="2357"/>
      <c r="K18" s="2357"/>
      <c r="L18" s="2357"/>
    </row>
    <row r="19" spans="1:12" x14ac:dyDescent="0.15">
      <c r="A19" s="2463" t="s">
        <v>3152</v>
      </c>
      <c r="B19" s="2408"/>
      <c r="C19" s="2408"/>
      <c r="D19" s="2408"/>
      <c r="E19" s="2408"/>
      <c r="F19" s="2408"/>
      <c r="G19" s="2408"/>
      <c r="H19" s="2408"/>
      <c r="I19" s="2408"/>
      <c r="J19" s="2408"/>
      <c r="K19" s="2408"/>
      <c r="L19" s="2408"/>
    </row>
    <row r="20" spans="1:12" x14ac:dyDescent="0.15">
      <c r="A20" s="167"/>
      <c r="B20" s="167"/>
      <c r="C20" s="167"/>
      <c r="D20" s="167"/>
      <c r="E20" s="167"/>
      <c r="F20" s="167"/>
      <c r="G20" s="167"/>
      <c r="H20" s="167"/>
      <c r="I20" s="167"/>
      <c r="J20" s="167"/>
      <c r="K20" s="167"/>
      <c r="L20" s="167"/>
    </row>
  </sheetData>
  <mergeCells count="11">
    <mergeCell ref="A18:L18"/>
    <mergeCell ref="A19:L19"/>
    <mergeCell ref="A2:L2"/>
    <mergeCell ref="A3:L3"/>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2:U41"/>
  <sheetViews>
    <sheetView workbookViewId="0">
      <selection activeCell="A26" sqref="A26:U26"/>
    </sheetView>
  </sheetViews>
  <sheetFormatPr baseColWidth="10" defaultColWidth="9.140625" defaultRowHeight="10.5" x14ac:dyDescent="0.15"/>
  <cols>
    <col min="1" max="1" width="30.140625" style="97" customWidth="1"/>
    <col min="2" max="4" width="8.28515625" style="97" customWidth="1"/>
    <col min="5" max="5" width="12.5703125" style="97" customWidth="1"/>
    <col min="6" max="8" width="8.28515625" style="97" customWidth="1"/>
    <col min="9" max="9" width="12.5703125" style="97" customWidth="1"/>
    <col min="10" max="10" width="7.85546875" style="97" bestFit="1" customWidth="1"/>
    <col min="11" max="12" width="8.28515625" style="97" customWidth="1"/>
    <col min="13" max="13" width="12.5703125" style="97" customWidth="1"/>
    <col min="14" max="16" width="8.28515625" style="97" customWidth="1"/>
    <col min="17" max="17" width="12.7109375" style="97" bestFit="1" customWidth="1"/>
    <col min="18" max="20" width="8.28515625" style="97" customWidth="1"/>
    <col min="21" max="21" width="12.7109375" style="97" bestFit="1" customWidth="1"/>
    <col min="22" max="23" width="19.85546875" style="97" customWidth="1"/>
    <col min="24" max="16384" width="9.140625" style="97"/>
  </cols>
  <sheetData>
    <row r="2" spans="1:21" ht="12.75" customHeight="1" x14ac:dyDescent="0.15">
      <c r="A2" s="2688" t="s">
        <v>3254</v>
      </c>
      <c r="B2" s="2688"/>
      <c r="C2" s="2688"/>
      <c r="D2" s="2688"/>
      <c r="E2" s="2688"/>
      <c r="F2" s="2688"/>
      <c r="G2" s="2688"/>
      <c r="H2" s="2688"/>
      <c r="I2" s="2688"/>
      <c r="J2" s="2688"/>
      <c r="K2" s="2688"/>
      <c r="L2" s="2688"/>
      <c r="M2" s="2688"/>
      <c r="N2" s="2688"/>
      <c r="O2" s="2688"/>
      <c r="P2" s="2688"/>
      <c r="Q2" s="2688"/>
      <c r="R2" s="2354"/>
      <c r="S2" s="2354"/>
      <c r="T2" s="2354"/>
      <c r="U2" s="2354"/>
    </row>
    <row r="3" spans="1:21" ht="10.5" customHeight="1" x14ac:dyDescent="0.15">
      <c r="A3" s="2347"/>
      <c r="B3" s="2347"/>
      <c r="C3" s="2347"/>
      <c r="D3" s="2347"/>
      <c r="E3" s="2347"/>
      <c r="F3" s="2347"/>
      <c r="G3" s="2347"/>
      <c r="H3" s="2347"/>
      <c r="I3" s="2347"/>
      <c r="J3" s="2347"/>
      <c r="K3" s="2347"/>
      <c r="L3" s="2347"/>
      <c r="M3" s="2347"/>
      <c r="N3" s="2347"/>
      <c r="O3" s="2347"/>
      <c r="P3" s="2347"/>
      <c r="Q3" s="2347"/>
      <c r="R3" s="2348"/>
      <c r="S3" s="2348"/>
      <c r="T3" s="2348"/>
      <c r="U3" s="2348"/>
    </row>
    <row r="4" spans="1:21" ht="10.5" customHeight="1" x14ac:dyDescent="0.15">
      <c r="A4" s="2351" t="s">
        <v>3255</v>
      </c>
      <c r="B4" s="3367" t="s">
        <v>2019</v>
      </c>
      <c r="C4" s="3367"/>
      <c r="D4" s="3367"/>
      <c r="E4" s="3367"/>
      <c r="F4" s="3367" t="s">
        <v>2020</v>
      </c>
      <c r="G4" s="3367"/>
      <c r="H4" s="3367"/>
      <c r="I4" s="3367"/>
      <c r="J4" s="3367" t="s">
        <v>2021</v>
      </c>
      <c r="K4" s="3367"/>
      <c r="L4" s="3367"/>
      <c r="M4" s="3367"/>
      <c r="N4" s="3367" t="s">
        <v>2022</v>
      </c>
      <c r="O4" s="3367"/>
      <c r="P4" s="3367"/>
      <c r="Q4" s="3367"/>
      <c r="R4" s="2786">
        <v>2015</v>
      </c>
      <c r="S4" s="3340"/>
      <c r="T4" s="3340"/>
      <c r="U4" s="3340"/>
    </row>
    <row r="5" spans="1:21" ht="39.75" customHeight="1" x14ac:dyDescent="0.15">
      <c r="A5" s="2351"/>
      <c r="B5" s="1587" t="s">
        <v>69</v>
      </c>
      <c r="C5" s="1587" t="s">
        <v>359</v>
      </c>
      <c r="D5" s="1587" t="s">
        <v>360</v>
      </c>
      <c r="E5" s="1588" t="s">
        <v>3256</v>
      </c>
      <c r="F5" s="1587" t="s">
        <v>69</v>
      </c>
      <c r="G5" s="1587" t="s">
        <v>359</v>
      </c>
      <c r="H5" s="1587" t="s">
        <v>360</v>
      </c>
      <c r="I5" s="1588" t="s">
        <v>3256</v>
      </c>
      <c r="J5" s="1587" t="s">
        <v>69</v>
      </c>
      <c r="K5" s="1587" t="s">
        <v>359</v>
      </c>
      <c r="L5" s="1587" t="s">
        <v>360</v>
      </c>
      <c r="M5" s="1587" t="s">
        <v>3256</v>
      </c>
      <c r="N5" s="1587" t="s">
        <v>69</v>
      </c>
      <c r="O5" s="1587" t="s">
        <v>359</v>
      </c>
      <c r="P5" s="1587" t="s">
        <v>360</v>
      </c>
      <c r="Q5" s="1587" t="s">
        <v>3256</v>
      </c>
      <c r="R5" s="1525" t="s">
        <v>69</v>
      </c>
      <c r="S5" s="1525" t="s">
        <v>359</v>
      </c>
      <c r="T5" s="1525" t="s">
        <v>360</v>
      </c>
      <c r="U5" s="1587" t="s">
        <v>3256</v>
      </c>
    </row>
    <row r="6" spans="1:21" s="167" customFormat="1" x14ac:dyDescent="0.15">
      <c r="A6" s="146" t="s">
        <v>141</v>
      </c>
      <c r="B6" s="1589">
        <f>+B7+B12+B14+B19</f>
        <v>2405</v>
      </c>
      <c r="C6" s="1589">
        <f t="shared" ref="C6:R6" si="0">+C7+C12+C14+C19</f>
        <v>1034</v>
      </c>
      <c r="D6" s="1589">
        <f t="shared" si="0"/>
        <v>699</v>
      </c>
      <c r="E6" s="1589">
        <f t="shared" si="0"/>
        <v>672</v>
      </c>
      <c r="F6" s="1589">
        <f t="shared" si="0"/>
        <v>2139</v>
      </c>
      <c r="G6" s="1589">
        <f t="shared" si="0"/>
        <v>766</v>
      </c>
      <c r="H6" s="1589">
        <f t="shared" si="0"/>
        <v>576</v>
      </c>
      <c r="I6" s="1589">
        <f t="shared" si="0"/>
        <v>797</v>
      </c>
      <c r="J6" s="1589">
        <f t="shared" si="0"/>
        <v>2263</v>
      </c>
      <c r="K6" s="1589">
        <f t="shared" si="0"/>
        <v>801</v>
      </c>
      <c r="L6" s="1589">
        <f t="shared" si="0"/>
        <v>751</v>
      </c>
      <c r="M6" s="1589">
        <f t="shared" si="0"/>
        <v>711</v>
      </c>
      <c r="N6" s="1589">
        <f>+N7+N12+N14+N19</f>
        <v>2104</v>
      </c>
      <c r="O6" s="1589">
        <f t="shared" si="0"/>
        <v>750</v>
      </c>
      <c r="P6" s="1589">
        <f t="shared" si="0"/>
        <v>742</v>
      </c>
      <c r="Q6" s="1589">
        <f t="shared" si="0"/>
        <v>612</v>
      </c>
      <c r="R6" s="1589">
        <f t="shared" si="0"/>
        <v>2037</v>
      </c>
      <c r="S6" s="1589">
        <f>+S7+S12+S14+S19</f>
        <v>915</v>
      </c>
      <c r="T6" s="1589">
        <f t="shared" ref="T6:U6" si="1">+T7+T12+T14+T19</f>
        <v>734</v>
      </c>
      <c r="U6" s="1589">
        <f t="shared" si="1"/>
        <v>388</v>
      </c>
    </row>
    <row r="7" spans="1:21" s="167" customFormat="1" x14ac:dyDescent="0.15">
      <c r="A7" s="146" t="s">
        <v>3257</v>
      </c>
      <c r="B7" s="1589">
        <f>SUM(B8:B11)</f>
        <v>87</v>
      </c>
      <c r="C7" s="1589">
        <f>SUM(C8:C11)</f>
        <v>9</v>
      </c>
      <c r="D7" s="1589">
        <f t="shared" ref="D7:M7" si="2">SUM(D8:D11)</f>
        <v>5</v>
      </c>
      <c r="E7" s="1589">
        <f t="shared" si="2"/>
        <v>73</v>
      </c>
      <c r="F7" s="1589">
        <f t="shared" si="2"/>
        <v>9</v>
      </c>
      <c r="G7" s="1589">
        <f t="shared" si="2"/>
        <v>3</v>
      </c>
      <c r="H7" s="1589">
        <f t="shared" si="2"/>
        <v>2</v>
      </c>
      <c r="I7" s="1589">
        <f t="shared" si="2"/>
        <v>4</v>
      </c>
      <c r="J7" s="1589">
        <f>SUM(J8:J11)</f>
        <v>86</v>
      </c>
      <c r="K7" s="1589">
        <f t="shared" si="2"/>
        <v>49</v>
      </c>
      <c r="L7" s="1589">
        <f t="shared" si="2"/>
        <v>34</v>
      </c>
      <c r="M7" s="1589">
        <f t="shared" si="2"/>
        <v>3</v>
      </c>
      <c r="N7" s="1589">
        <f>SUM(O7:Q7)</f>
        <v>47</v>
      </c>
      <c r="O7" s="1589">
        <f>SUM(O8:O11)</f>
        <v>25</v>
      </c>
      <c r="P7" s="1589">
        <f>SUM(P8:P11)</f>
        <v>19</v>
      </c>
      <c r="Q7" s="1589">
        <f>SUM(Q8:Q11)</f>
        <v>3</v>
      </c>
      <c r="R7" s="1589">
        <f>SUM(S7:U7)</f>
        <v>113</v>
      </c>
      <c r="S7" s="1589">
        <f>SUM(S8:S11)</f>
        <v>56</v>
      </c>
      <c r="T7" s="1589">
        <f t="shared" ref="T7:U7" si="3">SUM(T8:T11)</f>
        <v>55</v>
      </c>
      <c r="U7" s="1589">
        <f t="shared" si="3"/>
        <v>2</v>
      </c>
    </row>
    <row r="8" spans="1:21" s="167" customFormat="1" x14ac:dyDescent="0.15">
      <c r="A8" s="476" t="s">
        <v>5</v>
      </c>
      <c r="B8" s="1590">
        <f>SUM(C8:E8)</f>
        <v>0</v>
      </c>
      <c r="C8" s="1590">
        <v>0</v>
      </c>
      <c r="D8" s="1590">
        <v>0</v>
      </c>
      <c r="E8" s="1590">
        <v>0</v>
      </c>
      <c r="F8" s="1590">
        <f>SUM(G8:I8)</f>
        <v>0</v>
      </c>
      <c r="G8" s="1590">
        <v>0</v>
      </c>
      <c r="H8" s="1590">
        <v>0</v>
      </c>
      <c r="I8" s="1590">
        <v>0</v>
      </c>
      <c r="J8" s="1590">
        <f>SUM(K8:M8)</f>
        <v>0</v>
      </c>
      <c r="K8" s="1590">
        <v>0</v>
      </c>
      <c r="L8" s="1590">
        <v>0</v>
      </c>
      <c r="M8" s="1590">
        <v>0</v>
      </c>
      <c r="N8" s="1590">
        <f>SUM(O8:Q8)</f>
        <v>31</v>
      </c>
      <c r="O8" s="1590">
        <v>17</v>
      </c>
      <c r="P8" s="1590">
        <v>14</v>
      </c>
      <c r="Q8" s="1590">
        <v>0</v>
      </c>
      <c r="R8" s="1590">
        <f t="shared" ref="R8:R20" si="4">SUM(S8:U8)</f>
        <v>77</v>
      </c>
      <c r="S8" s="1590">
        <v>33</v>
      </c>
      <c r="T8" s="1590">
        <v>43</v>
      </c>
      <c r="U8" s="1590">
        <v>1</v>
      </c>
    </row>
    <row r="9" spans="1:21" s="167" customFormat="1" x14ac:dyDescent="0.15">
      <c r="A9" s="476" t="s">
        <v>6</v>
      </c>
      <c r="B9" s="1590">
        <f t="shared" ref="B9:B11" si="5">SUM(C9:E9)</f>
        <v>5</v>
      </c>
      <c r="C9" s="1590">
        <v>2</v>
      </c>
      <c r="D9" s="1590">
        <v>1</v>
      </c>
      <c r="E9" s="1590">
        <v>2</v>
      </c>
      <c r="F9" s="1590">
        <f t="shared" ref="F9:F11" si="6">SUM(G9:I9)</f>
        <v>5</v>
      </c>
      <c r="G9" s="1590">
        <v>3</v>
      </c>
      <c r="H9" s="1590">
        <v>0</v>
      </c>
      <c r="I9" s="1590">
        <v>2</v>
      </c>
      <c r="J9" s="1590">
        <f>SUM(K9:M9)</f>
        <v>86</v>
      </c>
      <c r="K9" s="1590">
        <v>49</v>
      </c>
      <c r="L9" s="1590">
        <v>34</v>
      </c>
      <c r="M9" s="1590">
        <v>3</v>
      </c>
      <c r="N9" s="1590">
        <f t="shared" ref="N9:N19" si="7">SUM(O9:Q9)</f>
        <v>16</v>
      </c>
      <c r="O9" s="1590">
        <v>8</v>
      </c>
      <c r="P9" s="1590">
        <v>5</v>
      </c>
      <c r="Q9" s="1590">
        <v>3</v>
      </c>
      <c r="R9" s="1590">
        <f t="shared" si="4"/>
        <v>36</v>
      </c>
      <c r="S9" s="1590">
        <v>23</v>
      </c>
      <c r="T9" s="1590">
        <v>12</v>
      </c>
      <c r="U9" s="1590">
        <v>1</v>
      </c>
    </row>
    <row r="10" spans="1:21" s="167" customFormat="1" x14ac:dyDescent="0.15">
      <c r="A10" s="476" t="s">
        <v>7</v>
      </c>
      <c r="B10" s="1590">
        <f t="shared" si="5"/>
        <v>82</v>
      </c>
      <c r="C10" s="1590">
        <v>7</v>
      </c>
      <c r="D10" s="1590">
        <v>4</v>
      </c>
      <c r="E10" s="1590">
        <v>71</v>
      </c>
      <c r="F10" s="1590">
        <f t="shared" si="6"/>
        <v>2</v>
      </c>
      <c r="G10" s="1590">
        <v>0</v>
      </c>
      <c r="H10" s="1590">
        <v>0</v>
      </c>
      <c r="I10" s="1590">
        <v>2</v>
      </c>
      <c r="J10" s="1590">
        <f>SUM(K10:M10)</f>
        <v>0</v>
      </c>
      <c r="K10" s="1590">
        <v>0</v>
      </c>
      <c r="L10" s="1590">
        <v>0</v>
      </c>
      <c r="M10" s="1590">
        <v>0</v>
      </c>
      <c r="N10" s="1590">
        <f t="shared" si="7"/>
        <v>0</v>
      </c>
      <c r="O10" s="1590">
        <v>0</v>
      </c>
      <c r="P10" s="1590">
        <v>0</v>
      </c>
      <c r="Q10" s="1590">
        <v>0</v>
      </c>
      <c r="R10" s="1590">
        <f t="shared" si="4"/>
        <v>0</v>
      </c>
      <c r="S10" s="1590">
        <v>0</v>
      </c>
      <c r="T10" s="1590">
        <v>0</v>
      </c>
      <c r="U10" s="1590">
        <v>0</v>
      </c>
    </row>
    <row r="11" spans="1:21" s="167" customFormat="1" x14ac:dyDescent="0.15">
      <c r="A11" s="476" t="s">
        <v>8</v>
      </c>
      <c r="B11" s="1590">
        <f t="shared" si="5"/>
        <v>0</v>
      </c>
      <c r="C11" s="1590">
        <v>0</v>
      </c>
      <c r="D11" s="1590">
        <v>0</v>
      </c>
      <c r="E11" s="1590">
        <v>0</v>
      </c>
      <c r="F11" s="1590">
        <f t="shared" si="6"/>
        <v>2</v>
      </c>
      <c r="G11" s="1590">
        <v>0</v>
      </c>
      <c r="H11" s="1590">
        <v>2</v>
      </c>
      <c r="I11" s="1590">
        <v>0</v>
      </c>
      <c r="J11" s="1590">
        <f t="shared" ref="J11" si="8">SUM(K11:M11)</f>
        <v>0</v>
      </c>
      <c r="K11" s="1590">
        <v>0</v>
      </c>
      <c r="L11" s="1590">
        <v>0</v>
      </c>
      <c r="M11" s="1590">
        <v>0</v>
      </c>
      <c r="N11" s="1590">
        <f t="shared" si="7"/>
        <v>0</v>
      </c>
      <c r="O11" s="1590">
        <v>0</v>
      </c>
      <c r="P11" s="1590">
        <v>0</v>
      </c>
      <c r="Q11" s="1590">
        <v>0</v>
      </c>
      <c r="R11" s="1590">
        <f t="shared" si="4"/>
        <v>0</v>
      </c>
      <c r="S11" s="1590">
        <v>0</v>
      </c>
      <c r="T11" s="1590">
        <v>0</v>
      </c>
      <c r="U11" s="1590">
        <v>0</v>
      </c>
    </row>
    <row r="12" spans="1:21" s="167" customFormat="1" x14ac:dyDescent="0.15">
      <c r="A12" s="146" t="s">
        <v>3258</v>
      </c>
      <c r="B12" s="1589">
        <f t="shared" ref="B12:M12" si="9">SUM(B13)</f>
        <v>129</v>
      </c>
      <c r="C12" s="1589">
        <f t="shared" si="9"/>
        <v>67</v>
      </c>
      <c r="D12" s="1589">
        <f t="shared" si="9"/>
        <v>62</v>
      </c>
      <c r="E12" s="1589">
        <f t="shared" si="9"/>
        <v>0</v>
      </c>
      <c r="F12" s="1589">
        <f t="shared" si="9"/>
        <v>83</v>
      </c>
      <c r="G12" s="1589">
        <f t="shared" si="9"/>
        <v>36</v>
      </c>
      <c r="H12" s="1589">
        <f t="shared" si="9"/>
        <v>47</v>
      </c>
      <c r="I12" s="1589">
        <f t="shared" si="9"/>
        <v>0</v>
      </c>
      <c r="J12" s="1589">
        <f>SUM(J13)</f>
        <v>187</v>
      </c>
      <c r="K12" s="1589">
        <f t="shared" si="9"/>
        <v>103</v>
      </c>
      <c r="L12" s="1589">
        <f t="shared" si="9"/>
        <v>83</v>
      </c>
      <c r="M12" s="1589">
        <f t="shared" si="9"/>
        <v>1</v>
      </c>
      <c r="N12" s="1589">
        <f t="shared" si="7"/>
        <v>212</v>
      </c>
      <c r="O12" s="1589">
        <f>O13</f>
        <v>94</v>
      </c>
      <c r="P12" s="1589">
        <f>P13</f>
        <v>108</v>
      </c>
      <c r="Q12" s="1589">
        <f>Q13</f>
        <v>10</v>
      </c>
      <c r="R12" s="1589">
        <f t="shared" si="4"/>
        <v>103</v>
      </c>
      <c r="S12" s="1589">
        <f>+S13</f>
        <v>54</v>
      </c>
      <c r="T12" s="1589">
        <f t="shared" ref="T12:U12" si="10">+T13</f>
        <v>46</v>
      </c>
      <c r="U12" s="1589">
        <f t="shared" si="10"/>
        <v>3</v>
      </c>
    </row>
    <row r="13" spans="1:21" s="167" customFormat="1" ht="11.25" x14ac:dyDescent="0.15">
      <c r="A13" s="476" t="s">
        <v>3259</v>
      </c>
      <c r="B13" s="1590">
        <f>SUM(C13:E13)</f>
        <v>129</v>
      </c>
      <c r="C13" s="1590">
        <v>67</v>
      </c>
      <c r="D13" s="1590">
        <v>62</v>
      </c>
      <c r="E13" s="1590">
        <v>0</v>
      </c>
      <c r="F13" s="1590">
        <f>SUM(G13:I13)</f>
        <v>83</v>
      </c>
      <c r="G13" s="1590">
        <v>36</v>
      </c>
      <c r="H13" s="1590">
        <v>47</v>
      </c>
      <c r="I13" s="1590">
        <v>0</v>
      </c>
      <c r="J13" s="1590">
        <f>SUM(K13:M13)</f>
        <v>187</v>
      </c>
      <c r="K13" s="1590">
        <v>103</v>
      </c>
      <c r="L13" s="1590">
        <v>83</v>
      </c>
      <c r="M13" s="1590">
        <v>1</v>
      </c>
      <c r="N13" s="1590">
        <f t="shared" si="7"/>
        <v>212</v>
      </c>
      <c r="O13" s="1590">
        <v>94</v>
      </c>
      <c r="P13" s="1590">
        <v>108</v>
      </c>
      <c r="Q13" s="1590">
        <v>10</v>
      </c>
      <c r="R13" s="1590">
        <f t="shared" si="4"/>
        <v>103</v>
      </c>
      <c r="S13" s="1590">
        <v>54</v>
      </c>
      <c r="T13" s="1590">
        <v>46</v>
      </c>
      <c r="U13" s="1590">
        <v>3</v>
      </c>
    </row>
    <row r="14" spans="1:21" s="167" customFormat="1" x14ac:dyDescent="0.15">
      <c r="A14" s="146" t="s">
        <v>3260</v>
      </c>
      <c r="B14" s="1589">
        <f>SUM(B15:B18)</f>
        <v>2117</v>
      </c>
      <c r="C14" s="1589">
        <f>SUM(C15:C18)</f>
        <v>924</v>
      </c>
      <c r="D14" s="1589">
        <f t="shared" ref="D14:E14" si="11">SUM(D15:D18)</f>
        <v>594</v>
      </c>
      <c r="E14" s="1589">
        <f t="shared" si="11"/>
        <v>599</v>
      </c>
      <c r="F14" s="1589">
        <f>SUM(F15:F18)</f>
        <v>2004</v>
      </c>
      <c r="G14" s="1589">
        <f>SUM(G15:G18)</f>
        <v>704</v>
      </c>
      <c r="H14" s="1589">
        <f>SUM(H15:H18)</f>
        <v>507</v>
      </c>
      <c r="I14" s="1589">
        <f>SUM(I15:I18)</f>
        <v>793</v>
      </c>
      <c r="J14" s="1589">
        <f>SUM(J15:J18)</f>
        <v>1925</v>
      </c>
      <c r="K14" s="1589">
        <f t="shared" ref="K14:S14" si="12">SUM(K15:K18)</f>
        <v>635</v>
      </c>
      <c r="L14" s="1589">
        <f t="shared" si="12"/>
        <v>584</v>
      </c>
      <c r="M14" s="1589">
        <f t="shared" si="12"/>
        <v>706</v>
      </c>
      <c r="N14" s="1589">
        <f t="shared" si="7"/>
        <v>1764</v>
      </c>
      <c r="O14" s="1589">
        <f t="shared" si="12"/>
        <v>610</v>
      </c>
      <c r="P14" s="1589">
        <f t="shared" si="12"/>
        <v>581</v>
      </c>
      <c r="Q14" s="1589">
        <f t="shared" si="12"/>
        <v>573</v>
      </c>
      <c r="R14" s="1589">
        <f t="shared" si="4"/>
        <v>1795</v>
      </c>
      <c r="S14" s="1589">
        <f t="shared" si="12"/>
        <v>795</v>
      </c>
      <c r="T14" s="1589">
        <f>SUM(T15:T18)</f>
        <v>617</v>
      </c>
      <c r="U14" s="1589">
        <f>SUM(U15:U18)</f>
        <v>383</v>
      </c>
    </row>
    <row r="15" spans="1:21" s="167" customFormat="1" x14ac:dyDescent="0.15">
      <c r="A15" s="476" t="s">
        <v>14</v>
      </c>
      <c r="B15" s="1590">
        <f>SUM(C15:E15)</f>
        <v>311</v>
      </c>
      <c r="C15" s="1590">
        <v>150</v>
      </c>
      <c r="D15" s="1590">
        <v>85</v>
      </c>
      <c r="E15" s="1590">
        <v>76</v>
      </c>
      <c r="F15" s="1590">
        <f>SUM(G15:I15)</f>
        <v>329</v>
      </c>
      <c r="G15" s="1590">
        <v>116</v>
      </c>
      <c r="H15" s="1590">
        <v>96</v>
      </c>
      <c r="I15" s="1590">
        <v>117</v>
      </c>
      <c r="J15" s="1590">
        <f>SUM(K15:M15)</f>
        <v>312</v>
      </c>
      <c r="K15" s="1590">
        <v>93</v>
      </c>
      <c r="L15" s="1590">
        <v>119</v>
      </c>
      <c r="M15" s="1590">
        <v>100</v>
      </c>
      <c r="N15" s="1590">
        <f>SUM(O15:Q15)</f>
        <v>320</v>
      </c>
      <c r="O15" s="1590">
        <v>86</v>
      </c>
      <c r="P15" s="1590">
        <v>105</v>
      </c>
      <c r="Q15" s="1590">
        <v>129</v>
      </c>
      <c r="R15" s="1590">
        <f t="shared" si="4"/>
        <v>51</v>
      </c>
      <c r="S15" s="1590">
        <v>23</v>
      </c>
      <c r="T15" s="1590">
        <v>20</v>
      </c>
      <c r="U15" s="1590">
        <v>8</v>
      </c>
    </row>
    <row r="16" spans="1:21" s="167" customFormat="1" x14ac:dyDescent="0.15">
      <c r="A16" s="476" t="s">
        <v>15</v>
      </c>
      <c r="B16" s="1590">
        <f t="shared" ref="B16:B18" si="13">SUM(C16:E16)</f>
        <v>1704</v>
      </c>
      <c r="C16" s="1590">
        <v>724</v>
      </c>
      <c r="D16" s="1590">
        <v>484</v>
      </c>
      <c r="E16" s="1590">
        <v>496</v>
      </c>
      <c r="F16" s="1590">
        <f t="shared" ref="F16:F18" si="14">SUM(G16:I16)</f>
        <v>1398</v>
      </c>
      <c r="G16" s="1590">
        <v>475</v>
      </c>
      <c r="H16" s="1590">
        <v>308</v>
      </c>
      <c r="I16" s="1590">
        <v>615</v>
      </c>
      <c r="J16" s="1590">
        <f t="shared" ref="J16:J18" si="15">SUM(K16:M16)</f>
        <v>1333</v>
      </c>
      <c r="K16" s="1590">
        <v>439</v>
      </c>
      <c r="L16" s="1590">
        <v>338</v>
      </c>
      <c r="M16" s="1590">
        <v>556</v>
      </c>
      <c r="N16" s="1590">
        <f t="shared" si="7"/>
        <v>1308</v>
      </c>
      <c r="O16" s="1590">
        <v>477</v>
      </c>
      <c r="P16" s="1590">
        <v>396</v>
      </c>
      <c r="Q16" s="1590">
        <v>435</v>
      </c>
      <c r="R16" s="1590">
        <f t="shared" si="4"/>
        <v>1649</v>
      </c>
      <c r="S16" s="1590">
        <v>738</v>
      </c>
      <c r="T16" s="1590">
        <v>557</v>
      </c>
      <c r="U16" s="1590">
        <v>354</v>
      </c>
    </row>
    <row r="17" spans="1:21" s="167" customFormat="1" x14ac:dyDescent="0.15">
      <c r="A17" s="476" t="s">
        <v>301</v>
      </c>
      <c r="B17" s="1590">
        <f t="shared" si="13"/>
        <v>82</v>
      </c>
      <c r="C17" s="1590">
        <v>39</v>
      </c>
      <c r="D17" s="1590">
        <v>17</v>
      </c>
      <c r="E17" s="1590">
        <v>26</v>
      </c>
      <c r="F17" s="1590">
        <f t="shared" si="14"/>
        <v>153</v>
      </c>
      <c r="G17" s="1590">
        <v>57</v>
      </c>
      <c r="H17" s="1590">
        <v>48</v>
      </c>
      <c r="I17" s="1590">
        <v>48</v>
      </c>
      <c r="J17" s="1590">
        <f t="shared" si="15"/>
        <v>177</v>
      </c>
      <c r="K17" s="1590">
        <v>62</v>
      </c>
      <c r="L17" s="1590">
        <v>82</v>
      </c>
      <c r="M17" s="1590">
        <v>33</v>
      </c>
      <c r="N17" s="1590">
        <f t="shared" si="7"/>
        <v>59</v>
      </c>
      <c r="O17" s="1590">
        <v>20</v>
      </c>
      <c r="P17" s="1590">
        <v>32</v>
      </c>
      <c r="Q17" s="1590">
        <v>7</v>
      </c>
      <c r="R17" s="1590">
        <f t="shared" si="4"/>
        <v>51</v>
      </c>
      <c r="S17" s="1590">
        <v>15</v>
      </c>
      <c r="T17" s="1590">
        <v>21</v>
      </c>
      <c r="U17" s="1590">
        <v>15</v>
      </c>
    </row>
    <row r="18" spans="1:21" s="167" customFormat="1" x14ac:dyDescent="0.15">
      <c r="A18" s="476" t="s">
        <v>303</v>
      </c>
      <c r="B18" s="1590">
        <f t="shared" si="13"/>
        <v>20</v>
      </c>
      <c r="C18" s="1590">
        <v>11</v>
      </c>
      <c r="D18" s="1590">
        <v>8</v>
      </c>
      <c r="E18" s="1590">
        <v>1</v>
      </c>
      <c r="F18" s="1590">
        <f t="shared" si="14"/>
        <v>124</v>
      </c>
      <c r="G18" s="1590">
        <v>56</v>
      </c>
      <c r="H18" s="1590">
        <v>55</v>
      </c>
      <c r="I18" s="1590">
        <v>13</v>
      </c>
      <c r="J18" s="1590">
        <f t="shared" si="15"/>
        <v>103</v>
      </c>
      <c r="K18" s="1590">
        <v>41</v>
      </c>
      <c r="L18" s="1590">
        <v>45</v>
      </c>
      <c r="M18" s="1590">
        <v>17</v>
      </c>
      <c r="N18" s="1590">
        <f t="shared" si="7"/>
        <v>77</v>
      </c>
      <c r="O18" s="1590">
        <v>27</v>
      </c>
      <c r="P18" s="1590">
        <v>48</v>
      </c>
      <c r="Q18" s="1590">
        <v>2</v>
      </c>
      <c r="R18" s="1590">
        <f t="shared" si="4"/>
        <v>44</v>
      </c>
      <c r="S18" s="1590">
        <v>19</v>
      </c>
      <c r="T18" s="1590">
        <v>19</v>
      </c>
      <c r="U18" s="1590">
        <v>6</v>
      </c>
    </row>
    <row r="19" spans="1:21" s="167" customFormat="1" x14ac:dyDescent="0.15">
      <c r="A19" s="146" t="s">
        <v>3261</v>
      </c>
      <c r="B19" s="1589">
        <f>SUM(C19:E19)</f>
        <v>72</v>
      </c>
      <c r="C19" s="1589">
        <f>+C20</f>
        <v>34</v>
      </c>
      <c r="D19" s="1589">
        <f t="shared" ref="D19:E19" si="16">+D20</f>
        <v>38</v>
      </c>
      <c r="E19" s="1589">
        <f t="shared" si="16"/>
        <v>0</v>
      </c>
      <c r="F19" s="1589">
        <f>+F20</f>
        <v>43</v>
      </c>
      <c r="G19" s="1589">
        <f>+G20</f>
        <v>23</v>
      </c>
      <c r="H19" s="1589">
        <f t="shared" ref="H19:U19" si="17">+H20</f>
        <v>20</v>
      </c>
      <c r="I19" s="1589">
        <f t="shared" si="17"/>
        <v>0</v>
      </c>
      <c r="J19" s="1589">
        <f>SUM(J20)</f>
        <v>65</v>
      </c>
      <c r="K19" s="1589">
        <f t="shared" si="17"/>
        <v>14</v>
      </c>
      <c r="L19" s="1589">
        <f t="shared" si="17"/>
        <v>50</v>
      </c>
      <c r="M19" s="1589">
        <f t="shared" si="17"/>
        <v>1</v>
      </c>
      <c r="N19" s="1589">
        <f t="shared" si="7"/>
        <v>81</v>
      </c>
      <c r="O19" s="1589">
        <f t="shared" si="17"/>
        <v>21</v>
      </c>
      <c r="P19" s="1589">
        <f t="shared" si="17"/>
        <v>34</v>
      </c>
      <c r="Q19" s="1589">
        <f t="shared" si="17"/>
        <v>26</v>
      </c>
      <c r="R19" s="1589">
        <f>SUM(S19:U19)</f>
        <v>26</v>
      </c>
      <c r="S19" s="1589">
        <f t="shared" si="17"/>
        <v>10</v>
      </c>
      <c r="T19" s="1589">
        <f t="shared" si="17"/>
        <v>16</v>
      </c>
      <c r="U19" s="1589">
        <f t="shared" si="17"/>
        <v>0</v>
      </c>
    </row>
    <row r="20" spans="1:21" s="167" customFormat="1" x14ac:dyDescent="0.15">
      <c r="A20" s="476" t="s">
        <v>3262</v>
      </c>
      <c r="B20" s="1590">
        <f>SUM(C20:E20)</f>
        <v>72</v>
      </c>
      <c r="C20" s="1590">
        <v>34</v>
      </c>
      <c r="D20" s="1590">
        <v>38</v>
      </c>
      <c r="E20" s="1590">
        <v>0</v>
      </c>
      <c r="F20" s="1590">
        <f>SUM(G20:I20)</f>
        <v>43</v>
      </c>
      <c r="G20" s="1590">
        <v>23</v>
      </c>
      <c r="H20" s="1590">
        <v>20</v>
      </c>
      <c r="I20" s="1590">
        <v>0</v>
      </c>
      <c r="J20" s="1590">
        <f>SUM(K20:M20)</f>
        <v>65</v>
      </c>
      <c r="K20" s="1590">
        <v>14</v>
      </c>
      <c r="L20" s="1590">
        <v>50</v>
      </c>
      <c r="M20" s="1590">
        <v>1</v>
      </c>
      <c r="N20" s="1590">
        <f>SUM(O20:Q20)</f>
        <v>81</v>
      </c>
      <c r="O20" s="1590">
        <v>21</v>
      </c>
      <c r="P20" s="1590">
        <v>34</v>
      </c>
      <c r="Q20" s="1590">
        <v>26</v>
      </c>
      <c r="R20" s="1590">
        <f t="shared" si="4"/>
        <v>26</v>
      </c>
      <c r="S20" s="1590">
        <v>10</v>
      </c>
      <c r="T20" s="1590">
        <v>16</v>
      </c>
      <c r="U20" s="1590">
        <v>0</v>
      </c>
    </row>
    <row r="21" spans="1:21" s="167" customFormat="1" ht="11.25" customHeight="1" x14ac:dyDescent="0.15">
      <c r="A21" s="2356"/>
      <c r="B21" s="2356"/>
      <c r="C21" s="2356"/>
      <c r="D21" s="2356"/>
      <c r="E21" s="2356"/>
      <c r="F21" s="2356"/>
      <c r="G21" s="2356"/>
      <c r="H21" s="2356"/>
      <c r="I21" s="2356"/>
      <c r="J21" s="2356"/>
      <c r="K21" s="2356"/>
      <c r="L21" s="2356"/>
      <c r="M21" s="2356"/>
      <c r="N21" s="2356"/>
      <c r="O21" s="2356"/>
      <c r="P21" s="2356"/>
      <c r="Q21" s="2356"/>
      <c r="R21" s="2357"/>
      <c r="S21" s="2357"/>
      <c r="T21" s="2357"/>
      <c r="U21" s="2357"/>
    </row>
    <row r="22" spans="1:21" s="167" customFormat="1" ht="11.25" customHeight="1" x14ac:dyDescent="0.15">
      <c r="A22" s="2477" t="s">
        <v>3263</v>
      </c>
      <c r="B22" s="2477"/>
      <c r="C22" s="2477"/>
      <c r="D22" s="2477"/>
      <c r="E22" s="2477"/>
      <c r="F22" s="2477"/>
      <c r="G22" s="2477"/>
      <c r="H22" s="2477"/>
      <c r="I22" s="2477"/>
      <c r="J22" s="2477"/>
      <c r="K22" s="2477"/>
      <c r="L22" s="2477"/>
      <c r="M22" s="2477"/>
      <c r="N22" s="2477"/>
      <c r="O22" s="2477"/>
      <c r="P22" s="2477"/>
      <c r="Q22" s="2477"/>
      <c r="R22" s="2477"/>
      <c r="S22" s="2477"/>
      <c r="T22" s="2477"/>
      <c r="U22" s="2477"/>
    </row>
    <row r="23" spans="1:21" s="167" customFormat="1" ht="15" customHeight="1" x14ac:dyDescent="0.15">
      <c r="A23" s="2461" t="s">
        <v>3264</v>
      </c>
      <c r="B23" s="2461"/>
      <c r="C23" s="2461"/>
      <c r="D23" s="2461"/>
      <c r="E23" s="2461"/>
      <c r="F23" s="2461"/>
      <c r="G23" s="2461"/>
      <c r="H23" s="2461"/>
      <c r="I23" s="2461"/>
      <c r="J23" s="2461"/>
      <c r="K23" s="2461"/>
      <c r="L23" s="2461"/>
      <c r="M23" s="2461"/>
      <c r="N23" s="2461"/>
      <c r="O23" s="2461"/>
      <c r="P23" s="2461"/>
      <c r="Q23" s="2461"/>
      <c r="R23" s="2461"/>
      <c r="S23" s="2461"/>
      <c r="T23" s="2461"/>
      <c r="U23" s="2461"/>
    </row>
    <row r="24" spans="1:21" s="167" customFormat="1" ht="10.5" customHeight="1" x14ac:dyDescent="0.15">
      <c r="A24" s="2463" t="s">
        <v>3265</v>
      </c>
      <c r="B24" s="2463"/>
      <c r="C24" s="2463"/>
      <c r="D24" s="2463"/>
      <c r="E24" s="2463"/>
      <c r="F24" s="2463"/>
      <c r="G24" s="2463"/>
      <c r="H24" s="2463"/>
      <c r="I24" s="2463"/>
      <c r="J24" s="2463"/>
      <c r="K24" s="2463"/>
      <c r="L24" s="2463"/>
      <c r="M24" s="2463"/>
      <c r="N24" s="2463"/>
      <c r="O24" s="2463"/>
      <c r="P24" s="2463"/>
      <c r="Q24" s="2463"/>
      <c r="R24" s="2463"/>
      <c r="S24" s="2463"/>
      <c r="T24" s="2463"/>
      <c r="U24" s="2463"/>
    </row>
    <row r="25" spans="1:21" s="167" customFormat="1" x14ac:dyDescent="0.15">
      <c r="A25" s="2463" t="s">
        <v>460</v>
      </c>
      <c r="B25" s="2463"/>
      <c r="C25" s="2463"/>
      <c r="D25" s="2463"/>
      <c r="E25" s="2463"/>
      <c r="F25" s="2463"/>
      <c r="G25" s="2463"/>
      <c r="H25" s="2463"/>
      <c r="I25" s="2463"/>
      <c r="J25" s="2463"/>
      <c r="K25" s="2463"/>
      <c r="L25" s="2463"/>
      <c r="M25" s="2463"/>
      <c r="N25" s="2463"/>
      <c r="O25" s="2463"/>
      <c r="P25" s="2463"/>
      <c r="Q25" s="2463"/>
      <c r="R25" s="2408"/>
      <c r="S25" s="2408"/>
      <c r="T25" s="2408"/>
      <c r="U25" s="2408"/>
    </row>
    <row r="26" spans="1:21" s="167" customFormat="1" x14ac:dyDescent="0.15">
      <c r="A26" s="2463" t="s">
        <v>3152</v>
      </c>
      <c r="B26" s="2463"/>
      <c r="C26" s="2463"/>
      <c r="D26" s="2463"/>
      <c r="E26" s="2463"/>
      <c r="F26" s="2463"/>
      <c r="G26" s="2463"/>
      <c r="H26" s="2463"/>
      <c r="I26" s="2463"/>
      <c r="J26" s="2463"/>
      <c r="K26" s="2463"/>
      <c r="L26" s="2463"/>
      <c r="M26" s="2463"/>
      <c r="N26" s="2463"/>
      <c r="O26" s="2463"/>
      <c r="P26" s="2463"/>
      <c r="Q26" s="2463"/>
      <c r="R26" s="2408"/>
      <c r="S26" s="2408"/>
      <c r="T26" s="2408"/>
      <c r="U26" s="2408"/>
    </row>
    <row r="27" spans="1:21" s="167" customFormat="1" x14ac:dyDescent="0.15"/>
    <row r="28" spans="1:21" s="167" customFormat="1" x14ac:dyDescent="0.15"/>
    <row r="29" spans="1:21" s="167" customFormat="1" x14ac:dyDescent="0.15"/>
    <row r="36" spans="13:13" x14ac:dyDescent="0.15">
      <c r="M36" s="112"/>
    </row>
    <row r="37" spans="13:13" x14ac:dyDescent="0.15">
      <c r="M37" s="112"/>
    </row>
    <row r="38" spans="13:13" x14ac:dyDescent="0.15">
      <c r="M38" s="112"/>
    </row>
    <row r="39" spans="13:13" x14ac:dyDescent="0.15">
      <c r="M39" s="112"/>
    </row>
    <row r="40" spans="13:13" x14ac:dyDescent="0.15">
      <c r="M40" s="112"/>
    </row>
    <row r="41" spans="13:13" x14ac:dyDescent="0.15">
      <c r="M41" s="112"/>
    </row>
  </sheetData>
  <mergeCells count="14">
    <mergeCell ref="A26:U26"/>
    <mergeCell ref="A2:U2"/>
    <mergeCell ref="A3:U3"/>
    <mergeCell ref="A4:A5"/>
    <mergeCell ref="B4:E4"/>
    <mergeCell ref="F4:I4"/>
    <mergeCell ref="J4:M4"/>
    <mergeCell ref="N4:Q4"/>
    <mergeCell ref="R4:U4"/>
    <mergeCell ref="A21:U21"/>
    <mergeCell ref="A22:U22"/>
    <mergeCell ref="A23:U23"/>
    <mergeCell ref="A24:U24"/>
    <mergeCell ref="A25:U2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2:G27"/>
  <sheetViews>
    <sheetView workbookViewId="0">
      <selection activeCell="B29" sqref="B29"/>
    </sheetView>
  </sheetViews>
  <sheetFormatPr baseColWidth="10" defaultColWidth="9.140625" defaultRowHeight="10.5" x14ac:dyDescent="0.15"/>
  <cols>
    <col min="1" max="1" width="20.7109375" style="2090" customWidth="1"/>
    <col min="2" max="5" width="14.28515625" style="2090" customWidth="1"/>
    <col min="6" max="16384" width="9.140625" style="2090"/>
  </cols>
  <sheetData>
    <row r="2" spans="1:7" ht="26.25" customHeight="1" x14ac:dyDescent="0.15">
      <c r="A2" s="2396" t="s">
        <v>3266</v>
      </c>
      <c r="B2" s="2396"/>
      <c r="C2" s="2396"/>
      <c r="D2" s="2396"/>
      <c r="E2" s="3368"/>
    </row>
    <row r="3" spans="1:7" ht="10.5" customHeight="1" x14ac:dyDescent="0.15">
      <c r="A3" s="3369"/>
      <c r="B3" s="3369"/>
      <c r="C3" s="3369"/>
      <c r="D3" s="3369"/>
      <c r="E3" s="3369"/>
    </row>
    <row r="4" spans="1:7" x14ac:dyDescent="0.15">
      <c r="A4" s="2096" t="s">
        <v>1</v>
      </c>
      <c r="B4" s="1591">
        <v>2012</v>
      </c>
      <c r="C4" s="1592">
        <v>2013</v>
      </c>
      <c r="D4" s="1591">
        <v>2014</v>
      </c>
      <c r="E4" s="2096">
        <v>2015</v>
      </c>
    </row>
    <row r="5" spans="1:7" x14ac:dyDescent="0.15">
      <c r="A5" s="136" t="s">
        <v>141</v>
      </c>
      <c r="B5" s="1593">
        <f>SUM(B6:B20)</f>
        <v>162</v>
      </c>
      <c r="C5" s="1594">
        <f>SUM(C6:C20)</f>
        <v>150</v>
      </c>
      <c r="D5" s="1594">
        <f>SUM(D6:D20)</f>
        <v>154</v>
      </c>
      <c r="E5" s="2242">
        <f>SUM(E6:E20)</f>
        <v>134</v>
      </c>
      <c r="F5" s="1595"/>
      <c r="G5" s="2093"/>
    </row>
    <row r="6" spans="1:7" x14ac:dyDescent="0.15">
      <c r="A6" s="2088" t="s">
        <v>5</v>
      </c>
      <c r="B6" s="1596">
        <v>0</v>
      </c>
      <c r="C6" s="1596">
        <v>0</v>
      </c>
      <c r="D6" s="1596">
        <v>0</v>
      </c>
      <c r="E6" s="1597">
        <v>0</v>
      </c>
      <c r="F6" s="2093"/>
      <c r="G6" s="2093"/>
    </row>
    <row r="7" spans="1:7" x14ac:dyDescent="0.15">
      <c r="A7" s="2088" t="s">
        <v>6</v>
      </c>
      <c r="B7" s="1596">
        <v>3</v>
      </c>
      <c r="C7" s="1596">
        <v>3</v>
      </c>
      <c r="D7" s="1596">
        <v>3</v>
      </c>
      <c r="E7" s="1596">
        <v>3</v>
      </c>
      <c r="F7" s="2093"/>
      <c r="G7" s="2093"/>
    </row>
    <row r="8" spans="1:7" x14ac:dyDescent="0.15">
      <c r="A8" s="2088" t="s">
        <v>7</v>
      </c>
      <c r="B8" s="1596">
        <v>11</v>
      </c>
      <c r="C8" s="1596">
        <v>10</v>
      </c>
      <c r="D8" s="1596">
        <v>5</v>
      </c>
      <c r="E8" s="1596">
        <v>1</v>
      </c>
      <c r="F8" s="2093"/>
      <c r="G8" s="2093"/>
    </row>
    <row r="9" spans="1:7" x14ac:dyDescent="0.15">
      <c r="A9" s="2088" t="s">
        <v>8</v>
      </c>
      <c r="B9" s="1596">
        <v>9</v>
      </c>
      <c r="C9" s="1596">
        <v>7</v>
      </c>
      <c r="D9" s="1596">
        <v>9</v>
      </c>
      <c r="E9" s="1596">
        <v>6</v>
      </c>
      <c r="F9" s="2093"/>
      <c r="G9" s="2093"/>
    </row>
    <row r="10" spans="1:7" x14ac:dyDescent="0.15">
      <c r="A10" s="2088" t="s">
        <v>9</v>
      </c>
      <c r="B10" s="1596">
        <v>5</v>
      </c>
      <c r="C10" s="1596">
        <v>5</v>
      </c>
      <c r="D10" s="1596">
        <v>14</v>
      </c>
      <c r="E10" s="1596">
        <v>11</v>
      </c>
      <c r="F10" s="2093"/>
      <c r="G10" s="2093"/>
    </row>
    <row r="11" spans="1:7" x14ac:dyDescent="0.15">
      <c r="A11" s="2088" t="s">
        <v>10</v>
      </c>
      <c r="B11" s="1596">
        <v>7</v>
      </c>
      <c r="C11" s="1596">
        <v>12</v>
      </c>
      <c r="D11" s="1596">
        <v>12</v>
      </c>
      <c r="E11" s="1596">
        <v>15</v>
      </c>
      <c r="F11" s="2093"/>
      <c r="G11" s="2093"/>
    </row>
    <row r="12" spans="1:7" x14ac:dyDescent="0.15">
      <c r="A12" s="2088" t="s">
        <v>11</v>
      </c>
      <c r="B12" s="1596">
        <v>38</v>
      </c>
      <c r="C12" s="1596">
        <v>39</v>
      </c>
      <c r="D12" s="1596">
        <v>43</v>
      </c>
      <c r="E12" s="1596">
        <v>40</v>
      </c>
      <c r="F12" s="2093"/>
      <c r="G12" s="2093"/>
    </row>
    <row r="13" spans="1:7" x14ac:dyDescent="0.15">
      <c r="A13" s="2088" t="s">
        <v>12</v>
      </c>
      <c r="B13" s="1596">
        <v>1</v>
      </c>
      <c r="C13" s="1596">
        <v>1</v>
      </c>
      <c r="D13" s="1596">
        <v>1</v>
      </c>
      <c r="E13" s="1596">
        <v>1</v>
      </c>
      <c r="F13" s="2093"/>
      <c r="G13" s="2093"/>
    </row>
    <row r="14" spans="1:7" x14ac:dyDescent="0.15">
      <c r="A14" s="2088" t="s">
        <v>13</v>
      </c>
      <c r="B14" s="1596">
        <v>14</v>
      </c>
      <c r="C14" s="1596">
        <v>15</v>
      </c>
      <c r="D14" s="1596">
        <v>15</v>
      </c>
      <c r="E14" s="1596">
        <v>15</v>
      </c>
      <c r="F14" s="2093"/>
      <c r="G14" s="2093"/>
    </row>
    <row r="15" spans="1:7" x14ac:dyDescent="0.15">
      <c r="A15" s="2088" t="s">
        <v>14</v>
      </c>
      <c r="B15" s="1596">
        <v>11</v>
      </c>
      <c r="C15" s="1596">
        <v>12</v>
      </c>
      <c r="D15" s="1596">
        <v>9</v>
      </c>
      <c r="E15" s="1596">
        <v>4</v>
      </c>
      <c r="F15" s="2093"/>
      <c r="G15" s="2093"/>
    </row>
    <row r="16" spans="1:7" x14ac:dyDescent="0.15">
      <c r="A16" s="2088" t="s">
        <v>15</v>
      </c>
      <c r="B16" s="1596">
        <v>11</v>
      </c>
      <c r="C16" s="1596">
        <v>13</v>
      </c>
      <c r="D16" s="1596">
        <v>13</v>
      </c>
      <c r="E16" s="1596">
        <v>13</v>
      </c>
      <c r="F16" s="2093"/>
      <c r="G16" s="2093"/>
    </row>
    <row r="17" spans="1:7" x14ac:dyDescent="0.15">
      <c r="A17" s="2088" t="s">
        <v>16</v>
      </c>
      <c r="B17" s="1596">
        <v>8</v>
      </c>
      <c r="C17" s="1596">
        <v>8</v>
      </c>
      <c r="D17" s="1596">
        <v>8</v>
      </c>
      <c r="E17" s="1596">
        <v>5</v>
      </c>
      <c r="F17" s="2093"/>
      <c r="G17" s="2093"/>
    </row>
    <row r="18" spans="1:7" x14ac:dyDescent="0.15">
      <c r="A18" s="2088" t="s">
        <v>17</v>
      </c>
      <c r="B18" s="1598">
        <v>20</v>
      </c>
      <c r="C18" s="1598">
        <v>15</v>
      </c>
      <c r="D18" s="1598">
        <v>12</v>
      </c>
      <c r="E18" s="1598">
        <v>5</v>
      </c>
      <c r="F18" s="2134"/>
      <c r="G18" s="2093"/>
    </row>
    <row r="19" spans="1:7" x14ac:dyDescent="0.15">
      <c r="A19" s="2088" t="s">
        <v>18</v>
      </c>
      <c r="B19" s="1598">
        <v>15</v>
      </c>
      <c r="C19" s="1598">
        <v>6</v>
      </c>
      <c r="D19" s="1598">
        <v>8</v>
      </c>
      <c r="E19" s="1598">
        <v>10</v>
      </c>
      <c r="F19" s="2134"/>
      <c r="G19" s="2093"/>
    </row>
    <row r="20" spans="1:7" x14ac:dyDescent="0.15">
      <c r="A20" s="2088" t="s">
        <v>19</v>
      </c>
      <c r="B20" s="1598">
        <v>9</v>
      </c>
      <c r="C20" s="1598">
        <v>4</v>
      </c>
      <c r="D20" s="1598">
        <v>2</v>
      </c>
      <c r="E20" s="1598">
        <v>5</v>
      </c>
      <c r="F20" s="2134"/>
      <c r="G20" s="2093"/>
    </row>
    <row r="21" spans="1:7" x14ac:dyDescent="0.15">
      <c r="A21" s="2088"/>
      <c r="B21" s="1598"/>
      <c r="C21" s="1598"/>
      <c r="D21" s="1598"/>
      <c r="E21" s="1598"/>
      <c r="F21" s="2134"/>
      <c r="G21" s="2093"/>
    </row>
    <row r="22" spans="1:7" ht="67.5" customHeight="1" x14ac:dyDescent="0.15">
      <c r="A22" s="3370" t="s">
        <v>4267</v>
      </c>
      <c r="B22" s="3371"/>
      <c r="C22" s="3371"/>
      <c r="D22" s="3371"/>
      <c r="E22" s="3371"/>
      <c r="F22" s="2134"/>
      <c r="G22" s="2093"/>
    </row>
    <row r="23" spans="1:7" x14ac:dyDescent="0.15">
      <c r="A23" s="3371" t="s">
        <v>20</v>
      </c>
      <c r="B23" s="3371"/>
      <c r="C23" s="3371"/>
      <c r="D23" s="3371"/>
      <c r="E23" s="3371"/>
      <c r="F23" s="2134"/>
      <c r="G23" s="2093"/>
    </row>
    <row r="24" spans="1:7" ht="22.5" customHeight="1" x14ac:dyDescent="0.15">
      <c r="A24" s="2462" t="s">
        <v>3267</v>
      </c>
      <c r="B24" s="2462"/>
      <c r="C24" s="2462"/>
      <c r="D24" s="2462"/>
      <c r="E24" s="3342"/>
      <c r="F24" s="2134"/>
      <c r="G24" s="2093"/>
    </row>
    <row r="25" spans="1:7" x14ac:dyDescent="0.15">
      <c r="A25" s="2134"/>
      <c r="B25" s="2134"/>
      <c r="C25" s="2134"/>
      <c r="D25" s="2134"/>
      <c r="E25" s="2134"/>
      <c r="F25" s="2134"/>
      <c r="G25" s="2093"/>
    </row>
    <row r="26" spans="1:7" x14ac:dyDescent="0.15">
      <c r="A26" s="2093"/>
      <c r="B26" s="2093"/>
      <c r="C26" s="2093"/>
      <c r="D26" s="2093"/>
      <c r="E26" s="2093"/>
      <c r="F26" s="2093"/>
      <c r="G26" s="2093"/>
    </row>
    <row r="27" spans="1:7" x14ac:dyDescent="0.15">
      <c r="A27" s="2093"/>
      <c r="B27" s="2093"/>
      <c r="C27" s="2093"/>
      <c r="D27" s="2093"/>
      <c r="E27" s="2093"/>
      <c r="F27" s="2093"/>
      <c r="G27" s="2093"/>
    </row>
  </sheetData>
  <mergeCells count="5">
    <mergeCell ref="A2:E2"/>
    <mergeCell ref="A3:E3"/>
    <mergeCell ref="A22:E22"/>
    <mergeCell ref="A23:E23"/>
    <mergeCell ref="A24:E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2:D21"/>
  <sheetViews>
    <sheetView workbookViewId="0">
      <selection activeCell="D36" sqref="D36"/>
    </sheetView>
  </sheetViews>
  <sheetFormatPr baseColWidth="10" defaultColWidth="9.140625" defaultRowHeight="10.5" x14ac:dyDescent="0.15"/>
  <cols>
    <col min="1" max="1" width="40.42578125" style="97" customWidth="1"/>
    <col min="2" max="2" width="22.42578125" style="97" customWidth="1"/>
    <col min="3" max="3" width="21.140625" style="97" customWidth="1"/>
    <col min="4" max="16384" width="9.140625" style="97"/>
  </cols>
  <sheetData>
    <row r="2" spans="1:4" ht="21.75" customHeight="1" x14ac:dyDescent="0.15">
      <c r="A2" s="3372" t="s">
        <v>3268</v>
      </c>
      <c r="B2" s="3373"/>
      <c r="C2" s="3373"/>
    </row>
    <row r="3" spans="1:4" ht="11.25" customHeight="1" x14ac:dyDescent="0.15">
      <c r="A3" s="2464"/>
      <c r="B3" s="2464"/>
      <c r="C3" s="2464"/>
    </row>
    <row r="4" spans="1:4" ht="12.75" customHeight="1" x14ac:dyDescent="0.15">
      <c r="A4" s="2351" t="s">
        <v>3269</v>
      </c>
      <c r="B4" s="2351" t="s">
        <v>3270</v>
      </c>
      <c r="C4" s="3374"/>
    </row>
    <row r="5" spans="1:4" x14ac:dyDescent="0.15">
      <c r="A5" s="2351"/>
      <c r="B5" s="2096" t="s">
        <v>3271</v>
      </c>
      <c r="C5" s="2096" t="s">
        <v>3272</v>
      </c>
    </row>
    <row r="6" spans="1:4" x14ac:dyDescent="0.15">
      <c r="A6" s="2097" t="s">
        <v>4</v>
      </c>
      <c r="B6" s="2044">
        <f>SUM(B7:B9)</f>
        <v>845</v>
      </c>
      <c r="C6" s="2044">
        <f>SUM(C7:C9)</f>
        <v>4180932</v>
      </c>
      <c r="D6" s="2093"/>
    </row>
    <row r="7" spans="1:4" x14ac:dyDescent="0.15">
      <c r="A7" s="2098" t="s">
        <v>2674</v>
      </c>
      <c r="B7" s="2045">
        <v>814</v>
      </c>
      <c r="C7" s="2045">
        <v>3358396</v>
      </c>
      <c r="D7" s="2093"/>
    </row>
    <row r="8" spans="1:4" x14ac:dyDescent="0.15">
      <c r="A8" s="2098" t="s">
        <v>3273</v>
      </c>
      <c r="B8" s="2045">
        <v>31</v>
      </c>
      <c r="C8" s="2045">
        <v>822536</v>
      </c>
      <c r="D8" s="2093"/>
    </row>
    <row r="9" spans="1:4" x14ac:dyDescent="0.15">
      <c r="A9" s="2098" t="s">
        <v>3274</v>
      </c>
      <c r="B9" s="438">
        <v>0</v>
      </c>
      <c r="C9" s="438">
        <v>0</v>
      </c>
      <c r="D9" s="2093"/>
    </row>
    <row r="10" spans="1:4" x14ac:dyDescent="0.15">
      <c r="A10" s="2477"/>
      <c r="B10" s="2477"/>
      <c r="C10" s="2477"/>
      <c r="D10" s="2093"/>
    </row>
    <row r="11" spans="1:4" x14ac:dyDescent="0.15">
      <c r="A11" s="3375" t="s">
        <v>20</v>
      </c>
      <c r="B11" s="3375"/>
      <c r="C11" s="3375"/>
      <c r="D11" s="2093"/>
    </row>
    <row r="12" spans="1:4" ht="11.25" customHeight="1" x14ac:dyDescent="0.15">
      <c r="A12" s="2463" t="s">
        <v>3275</v>
      </c>
      <c r="B12" s="2408"/>
      <c r="C12" s="2408"/>
      <c r="D12" s="2093"/>
    </row>
    <row r="13" spans="1:4" x14ac:dyDescent="0.15">
      <c r="A13" s="2093"/>
      <c r="B13" s="2093"/>
      <c r="C13" s="2093"/>
      <c r="D13" s="2093"/>
    </row>
    <row r="14" spans="1:4" x14ac:dyDescent="0.15">
      <c r="A14" s="2093"/>
      <c r="B14" s="2093"/>
      <c r="C14" s="2093"/>
      <c r="D14" s="2093"/>
    </row>
    <row r="15" spans="1:4" x14ac:dyDescent="0.15">
      <c r="A15" s="2093"/>
      <c r="B15" s="2093"/>
      <c r="C15" s="2093"/>
      <c r="D15" s="2093"/>
    </row>
    <row r="16" spans="1:4" x14ac:dyDescent="0.15">
      <c r="A16" s="2093"/>
      <c r="B16" s="2093"/>
      <c r="C16" s="2093"/>
      <c r="D16" s="2093"/>
    </row>
    <row r="17" spans="1:4" x14ac:dyDescent="0.15">
      <c r="A17" s="2093"/>
      <c r="B17" s="2093"/>
      <c r="C17" s="2093"/>
      <c r="D17" s="2093"/>
    </row>
    <row r="18" spans="1:4" x14ac:dyDescent="0.15">
      <c r="A18" s="2093"/>
      <c r="B18" s="2093"/>
      <c r="C18" s="2093"/>
      <c r="D18" s="2093"/>
    </row>
    <row r="19" spans="1:4" x14ac:dyDescent="0.15">
      <c r="A19" s="2093"/>
      <c r="B19" s="2093"/>
      <c r="C19" s="2093"/>
      <c r="D19" s="2093"/>
    </row>
    <row r="20" spans="1:4" x14ac:dyDescent="0.15">
      <c r="A20" s="2093"/>
      <c r="B20" s="2093"/>
      <c r="C20" s="2093"/>
      <c r="D20" s="2093"/>
    </row>
    <row r="21" spans="1:4" x14ac:dyDescent="0.15">
      <c r="A21" s="2093"/>
      <c r="B21" s="2093"/>
      <c r="C21" s="2093"/>
      <c r="D21" s="2093"/>
    </row>
  </sheetData>
  <mergeCells count="7">
    <mergeCell ref="A12:C12"/>
    <mergeCell ref="A2:C2"/>
    <mergeCell ref="A3:C3"/>
    <mergeCell ref="A4:A5"/>
    <mergeCell ref="B4:C4"/>
    <mergeCell ref="A10:C10"/>
    <mergeCell ref="A11:C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2:E22"/>
  <sheetViews>
    <sheetView workbookViewId="0">
      <selection activeCell="F22" sqref="F22"/>
    </sheetView>
  </sheetViews>
  <sheetFormatPr baseColWidth="10" defaultColWidth="9.140625" defaultRowHeight="10.5" x14ac:dyDescent="0.15"/>
  <cols>
    <col min="1" max="1" width="34.85546875" style="97" customWidth="1"/>
    <col min="2" max="2" width="26.42578125" style="97" customWidth="1"/>
    <col min="3" max="3" width="24.5703125" style="97" customWidth="1"/>
    <col min="4" max="16384" width="9.140625" style="97"/>
  </cols>
  <sheetData>
    <row r="2" spans="1:5" ht="22.5" customHeight="1" x14ac:dyDescent="0.15">
      <c r="A2" s="3372" t="s">
        <v>3276</v>
      </c>
      <c r="B2" s="2792"/>
      <c r="C2" s="2792"/>
    </row>
    <row r="3" spans="1:5" ht="11.25" customHeight="1" x14ac:dyDescent="0.15">
      <c r="A3" s="2464"/>
      <c r="B3" s="2464"/>
      <c r="C3" s="2464"/>
    </row>
    <row r="4" spans="1:5" ht="15" customHeight="1" x14ac:dyDescent="0.15">
      <c r="A4" s="2091" t="s">
        <v>3277</v>
      </c>
      <c r="B4" s="2091" t="s">
        <v>3271</v>
      </c>
      <c r="C4" s="2091" t="s">
        <v>3272</v>
      </c>
    </row>
    <row r="5" spans="1:5" x14ac:dyDescent="0.15">
      <c r="A5" s="2097" t="s">
        <v>4</v>
      </c>
      <c r="B5" s="2044">
        <f>SUM(B6:B11)</f>
        <v>845</v>
      </c>
      <c r="C5" s="2044">
        <f>SUM(C6:C11)</f>
        <v>4180932</v>
      </c>
      <c r="D5" s="2093"/>
      <c r="E5" s="2093"/>
    </row>
    <row r="6" spans="1:5" x14ac:dyDescent="0.15">
      <c r="A6" s="2098" t="s">
        <v>3278</v>
      </c>
      <c r="B6" s="2045">
        <v>240</v>
      </c>
      <c r="C6" s="2045">
        <v>1092531</v>
      </c>
      <c r="D6" s="2093"/>
      <c r="E6" s="2093"/>
    </row>
    <row r="7" spans="1:5" x14ac:dyDescent="0.15">
      <c r="A7" s="2098" t="s">
        <v>3279</v>
      </c>
      <c r="B7" s="2045">
        <v>226</v>
      </c>
      <c r="C7" s="2045">
        <v>905368</v>
      </c>
      <c r="D7" s="2093"/>
      <c r="E7" s="2093"/>
    </row>
    <row r="8" spans="1:5" x14ac:dyDescent="0.15">
      <c r="A8" s="2098" t="s">
        <v>3280</v>
      </c>
      <c r="B8" s="2045">
        <v>211</v>
      </c>
      <c r="C8" s="2045">
        <v>1152084</v>
      </c>
      <c r="D8" s="2093"/>
      <c r="E8" s="2093"/>
    </row>
    <row r="9" spans="1:5" x14ac:dyDescent="0.15">
      <c r="A9" s="2098" t="s">
        <v>3281</v>
      </c>
      <c r="B9" s="2045">
        <v>140</v>
      </c>
      <c r="C9" s="2045">
        <v>325384</v>
      </c>
      <c r="D9" s="2093"/>
      <c r="E9" s="2093"/>
    </row>
    <row r="10" spans="1:5" x14ac:dyDescent="0.15">
      <c r="A10" s="2098" t="s">
        <v>3282</v>
      </c>
      <c r="B10" s="2045">
        <v>7</v>
      </c>
      <c r="C10" s="2045">
        <v>81019</v>
      </c>
      <c r="D10" s="2093"/>
      <c r="E10" s="2093"/>
    </row>
    <row r="11" spans="1:5" x14ac:dyDescent="0.15">
      <c r="A11" s="2098" t="s">
        <v>3283</v>
      </c>
      <c r="B11" s="2045">
        <v>21</v>
      </c>
      <c r="C11" s="2045">
        <v>624546</v>
      </c>
      <c r="D11" s="2093"/>
      <c r="E11" s="2093"/>
    </row>
    <row r="12" spans="1:5" x14ac:dyDescent="0.15">
      <c r="A12" s="2463"/>
      <c r="B12" s="2463"/>
      <c r="C12" s="2463"/>
      <c r="D12" s="2093"/>
      <c r="E12" s="2093"/>
    </row>
    <row r="13" spans="1:5" ht="11.25" customHeight="1" x14ac:dyDescent="0.15">
      <c r="A13" s="2462" t="s">
        <v>3275</v>
      </c>
      <c r="B13" s="3342"/>
      <c r="C13" s="3342"/>
      <c r="D13" s="2093"/>
      <c r="E13" s="2093"/>
    </row>
    <row r="14" spans="1:5" x14ac:dyDescent="0.15">
      <c r="A14" s="2093"/>
      <c r="B14" s="2093"/>
      <c r="C14" s="2093"/>
      <c r="D14" s="2093"/>
      <c r="E14" s="2093"/>
    </row>
    <row r="15" spans="1:5" x14ac:dyDescent="0.15">
      <c r="A15" s="2093"/>
      <c r="B15" s="2093"/>
      <c r="C15" s="2093"/>
      <c r="D15" s="2093"/>
      <c r="E15" s="2093"/>
    </row>
    <row r="16" spans="1:5" x14ac:dyDescent="0.15">
      <c r="A16" s="2093"/>
      <c r="B16" s="2093"/>
      <c r="C16" s="2093"/>
      <c r="D16" s="2093"/>
      <c r="E16" s="2093"/>
    </row>
    <row r="17" spans="1:5" x14ac:dyDescent="0.15">
      <c r="A17" s="2093"/>
      <c r="B17" s="2093"/>
      <c r="C17" s="2093"/>
      <c r="D17" s="2093"/>
      <c r="E17" s="2093"/>
    </row>
    <row r="18" spans="1:5" x14ac:dyDescent="0.15">
      <c r="A18" s="2093"/>
      <c r="B18" s="2093"/>
      <c r="C18" s="2093"/>
      <c r="D18" s="2093"/>
      <c r="E18" s="2093"/>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row r="22" spans="1:5" x14ac:dyDescent="0.15">
      <c r="A22" s="2093"/>
      <c r="B22" s="2093"/>
      <c r="C22" s="2093"/>
      <c r="D22" s="2093"/>
      <c r="E22" s="2093"/>
    </row>
  </sheetData>
  <mergeCells count="4">
    <mergeCell ref="A2:C2"/>
    <mergeCell ref="A3:C3"/>
    <mergeCell ref="A12:C12"/>
    <mergeCell ref="A13:C1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2:H17"/>
  <sheetViews>
    <sheetView workbookViewId="0">
      <selection activeCell="C15" sqref="C15"/>
    </sheetView>
  </sheetViews>
  <sheetFormatPr baseColWidth="10" defaultColWidth="9.140625" defaultRowHeight="10.5" x14ac:dyDescent="0.15"/>
  <cols>
    <col min="1" max="1" width="40.42578125" style="97" customWidth="1"/>
    <col min="2" max="6" width="10.7109375" style="97" customWidth="1"/>
    <col min="7" max="16384" width="9.140625" style="97"/>
  </cols>
  <sheetData>
    <row r="2" spans="1:8" ht="33.75" customHeight="1" x14ac:dyDescent="0.15">
      <c r="A2" s="3372" t="s">
        <v>3284</v>
      </c>
      <c r="B2" s="3372"/>
      <c r="C2" s="3372"/>
      <c r="D2" s="3372"/>
      <c r="E2" s="3372"/>
      <c r="F2" s="2792"/>
    </row>
    <row r="3" spans="1:8" ht="11.25" customHeight="1" x14ac:dyDescent="0.15">
      <c r="A3" s="3376"/>
      <c r="B3" s="3376"/>
      <c r="C3" s="3376"/>
      <c r="D3" s="3376"/>
      <c r="E3" s="3376"/>
      <c r="F3" s="3376"/>
    </row>
    <row r="4" spans="1:8" ht="21" customHeight="1" x14ac:dyDescent="0.15">
      <c r="A4" s="3377" t="s">
        <v>3285</v>
      </c>
      <c r="B4" s="2351" t="s">
        <v>3286</v>
      </c>
      <c r="C4" s="2351"/>
      <c r="D4" s="2351"/>
      <c r="E4" s="2351"/>
      <c r="F4" s="2351"/>
    </row>
    <row r="5" spans="1:8" ht="11.25" x14ac:dyDescent="0.15">
      <c r="A5" s="3377"/>
      <c r="B5" s="2132">
        <v>2011</v>
      </c>
      <c r="C5" s="2132">
        <v>2012</v>
      </c>
      <c r="D5" s="2132">
        <v>2013</v>
      </c>
      <c r="E5" s="2132">
        <v>2014</v>
      </c>
      <c r="F5" s="2096" t="s">
        <v>3287</v>
      </c>
    </row>
    <row r="6" spans="1:8" x14ac:dyDescent="0.15">
      <c r="A6" s="2098" t="s">
        <v>3288</v>
      </c>
      <c r="B6" s="1489">
        <v>838</v>
      </c>
      <c r="C6" s="1489">
        <v>840</v>
      </c>
      <c r="D6" s="1599">
        <v>851</v>
      </c>
      <c r="E6" s="1510">
        <v>965</v>
      </c>
      <c r="F6" s="2045">
        <v>559</v>
      </c>
      <c r="G6" s="2093"/>
      <c r="H6" s="2093"/>
    </row>
    <row r="7" spans="1:8" x14ac:dyDescent="0.15">
      <c r="A7" s="2098" t="s">
        <v>3289</v>
      </c>
      <c r="B7" s="1489">
        <v>12404.7</v>
      </c>
      <c r="C7" s="1489">
        <v>15822</v>
      </c>
      <c r="D7" s="1599">
        <v>14606</v>
      </c>
      <c r="E7" s="1599">
        <v>17587</v>
      </c>
      <c r="F7" s="2045">
        <v>13539</v>
      </c>
      <c r="G7" s="2093"/>
      <c r="H7" s="2093"/>
    </row>
    <row r="8" spans="1:8" x14ac:dyDescent="0.15">
      <c r="A8" s="2477"/>
      <c r="B8" s="2477"/>
      <c r="C8" s="2477"/>
      <c r="D8" s="2477"/>
      <c r="E8" s="2477"/>
      <c r="F8" s="2477"/>
      <c r="G8" s="2093"/>
      <c r="H8" s="2093"/>
    </row>
    <row r="9" spans="1:8" x14ac:dyDescent="0.15">
      <c r="A9" s="3378" t="s">
        <v>3290</v>
      </c>
      <c r="B9" s="3378"/>
      <c r="C9" s="3378"/>
      <c r="D9" s="3378"/>
      <c r="E9" s="3378"/>
      <c r="F9" s="3378"/>
      <c r="G9" s="2093"/>
      <c r="H9" s="2093"/>
    </row>
    <row r="10" spans="1:8" ht="11.25" customHeight="1" x14ac:dyDescent="0.15">
      <c r="A10" s="2356" t="s">
        <v>3291</v>
      </c>
      <c r="B10" s="2356"/>
      <c r="C10" s="2356"/>
      <c r="D10" s="2356"/>
      <c r="E10" s="2356"/>
      <c r="F10" s="2373"/>
      <c r="G10" s="2093"/>
      <c r="H10" s="2093"/>
    </row>
    <row r="11" spans="1:8" x14ac:dyDescent="0.15">
      <c r="A11" s="2093"/>
      <c r="B11" s="2093"/>
      <c r="C11" s="2093"/>
      <c r="D11" s="2093"/>
      <c r="E11" s="2093"/>
      <c r="F11" s="2093"/>
      <c r="G11" s="2093"/>
      <c r="H11" s="2093"/>
    </row>
    <row r="12" spans="1:8" x14ac:dyDescent="0.15">
      <c r="A12" s="2093"/>
      <c r="B12" s="2093"/>
      <c r="C12" s="2093"/>
      <c r="D12" s="2093"/>
      <c r="E12" s="2093"/>
      <c r="F12" s="2093"/>
      <c r="G12" s="2093"/>
      <c r="H12" s="2093"/>
    </row>
    <row r="13" spans="1:8" x14ac:dyDescent="0.15">
      <c r="A13" s="2093"/>
      <c r="B13" s="2093"/>
      <c r="C13" s="2093"/>
      <c r="D13" s="2093"/>
      <c r="E13" s="2093"/>
      <c r="F13" s="2093"/>
      <c r="G13" s="2093"/>
      <c r="H13" s="2093"/>
    </row>
    <row r="14" spans="1:8" x14ac:dyDescent="0.15">
      <c r="A14" s="2093"/>
      <c r="B14" s="2093"/>
      <c r="C14" s="2093"/>
      <c r="D14" s="2093"/>
      <c r="E14" s="2093"/>
      <c r="F14" s="2093"/>
      <c r="G14" s="2093"/>
      <c r="H14" s="2093"/>
    </row>
    <row r="15" spans="1:8" x14ac:dyDescent="0.15">
      <c r="A15" s="2093"/>
      <c r="B15" s="2093"/>
      <c r="C15" s="2093"/>
      <c r="D15" s="2093"/>
      <c r="E15" s="2093"/>
      <c r="F15" s="2093"/>
      <c r="G15" s="2093"/>
      <c r="H15" s="2093"/>
    </row>
    <row r="16" spans="1:8" x14ac:dyDescent="0.15">
      <c r="A16" s="2093"/>
      <c r="B16" s="2093"/>
      <c r="C16" s="2093"/>
      <c r="D16" s="2093"/>
      <c r="E16" s="2093"/>
      <c r="F16" s="2093"/>
      <c r="G16" s="2093"/>
      <c r="H16" s="2093"/>
    </row>
    <row r="17" spans="1:8" x14ac:dyDescent="0.15">
      <c r="A17" s="2093"/>
      <c r="B17" s="2093"/>
      <c r="C17" s="2093"/>
      <c r="D17" s="2093"/>
      <c r="E17" s="2093"/>
      <c r="F17" s="2093"/>
      <c r="G17" s="2093"/>
      <c r="H17" s="2093"/>
    </row>
  </sheetData>
  <mergeCells count="7">
    <mergeCell ref="A10:F10"/>
    <mergeCell ref="A2:F2"/>
    <mergeCell ref="A3:F3"/>
    <mergeCell ref="A4:A5"/>
    <mergeCell ref="B4:F4"/>
    <mergeCell ref="A8:F8"/>
    <mergeCell ref="A9:F9"/>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G39"/>
  <sheetViews>
    <sheetView workbookViewId="0">
      <selection activeCell="L13" sqref="L13"/>
    </sheetView>
  </sheetViews>
  <sheetFormatPr baseColWidth="10" defaultColWidth="9.140625" defaultRowHeight="10.5" x14ac:dyDescent="0.15"/>
  <cols>
    <col min="1" max="1" width="29.140625" style="97" customWidth="1"/>
    <col min="2" max="5" width="11.42578125" style="97" customWidth="1"/>
    <col min="6" max="6" width="11.5703125" style="97" customWidth="1"/>
    <col min="7" max="16384" width="9.140625" style="97"/>
  </cols>
  <sheetData>
    <row r="2" spans="1:7" ht="22.5" customHeight="1" x14ac:dyDescent="0.15">
      <c r="A2" s="3380" t="s">
        <v>3292</v>
      </c>
      <c r="B2" s="3380"/>
      <c r="C2" s="3380"/>
      <c r="D2" s="3380"/>
      <c r="E2" s="3380"/>
      <c r="F2" s="2372"/>
    </row>
    <row r="3" spans="1:7" ht="11.25" customHeight="1" x14ac:dyDescent="0.15">
      <c r="A3" s="3376"/>
      <c r="B3" s="3376"/>
      <c r="C3" s="3376"/>
      <c r="D3" s="3376"/>
      <c r="E3" s="3376"/>
      <c r="F3" s="3376"/>
    </row>
    <row r="4" spans="1:7" ht="12.75" customHeight="1" x14ac:dyDescent="0.15">
      <c r="A4" s="2351" t="s">
        <v>1</v>
      </c>
      <c r="B4" s="2351" t="s">
        <v>3293</v>
      </c>
      <c r="C4" s="2351"/>
      <c r="D4" s="2351"/>
      <c r="E4" s="2351"/>
      <c r="F4" s="2351"/>
    </row>
    <row r="5" spans="1:7" ht="11.25" x14ac:dyDescent="0.15">
      <c r="A5" s="2351"/>
      <c r="B5" s="2131" t="s">
        <v>189</v>
      </c>
      <c r="C5" s="2131" t="s">
        <v>190</v>
      </c>
      <c r="D5" s="2131" t="s">
        <v>191</v>
      </c>
      <c r="E5" s="2131" t="s">
        <v>53</v>
      </c>
      <c r="F5" s="2096" t="s">
        <v>192</v>
      </c>
    </row>
    <row r="6" spans="1:7" x14ac:dyDescent="0.15">
      <c r="A6" s="2097" t="s">
        <v>141</v>
      </c>
      <c r="B6" s="1600">
        <f>SUM(B7:B21)</f>
        <v>4665</v>
      </c>
      <c r="C6" s="1601">
        <f>SUM(C7:C21)</f>
        <v>4103</v>
      </c>
      <c r="D6" s="1601">
        <f>SUM(D7:D21)</f>
        <v>4002</v>
      </c>
      <c r="E6" s="1601">
        <f>SUM(E7:E21)</f>
        <v>4251</v>
      </c>
      <c r="F6" s="2044">
        <f>SUM(F7:F21)</f>
        <v>4890</v>
      </c>
      <c r="G6" s="2093"/>
    </row>
    <row r="7" spans="1:7" x14ac:dyDescent="0.15">
      <c r="A7" s="2098" t="s">
        <v>5</v>
      </c>
      <c r="B7" s="1602">
        <v>149</v>
      </c>
      <c r="C7" s="1603">
        <v>146</v>
      </c>
      <c r="D7" s="1602">
        <v>152</v>
      </c>
      <c r="E7" s="1604">
        <v>157</v>
      </c>
      <c r="F7" s="2045">
        <v>183</v>
      </c>
      <c r="G7" s="2093"/>
    </row>
    <row r="8" spans="1:7" x14ac:dyDescent="0.15">
      <c r="A8" s="2098" t="s">
        <v>6</v>
      </c>
      <c r="B8" s="1602">
        <v>129</v>
      </c>
      <c r="C8" s="1603">
        <v>122</v>
      </c>
      <c r="D8" s="1602">
        <v>98</v>
      </c>
      <c r="E8" s="1604">
        <v>99</v>
      </c>
      <c r="F8" s="2045">
        <v>107</v>
      </c>
      <c r="G8" s="2093"/>
    </row>
    <row r="9" spans="1:7" x14ac:dyDescent="0.15">
      <c r="A9" s="2098" t="s">
        <v>7</v>
      </c>
      <c r="B9" s="1602">
        <v>199</v>
      </c>
      <c r="C9" s="1603">
        <v>212</v>
      </c>
      <c r="D9" s="1602">
        <v>214</v>
      </c>
      <c r="E9" s="1604">
        <v>218</v>
      </c>
      <c r="F9" s="2045">
        <v>295</v>
      </c>
      <c r="G9" s="2093"/>
    </row>
    <row r="10" spans="1:7" x14ac:dyDescent="0.15">
      <c r="A10" s="2098" t="s">
        <v>8</v>
      </c>
      <c r="B10" s="1602">
        <v>147</v>
      </c>
      <c r="C10" s="1603">
        <v>120</v>
      </c>
      <c r="D10" s="1602">
        <v>133</v>
      </c>
      <c r="E10" s="1604">
        <v>133</v>
      </c>
      <c r="F10" s="2045">
        <v>137</v>
      </c>
      <c r="G10" s="2093"/>
    </row>
    <row r="11" spans="1:7" x14ac:dyDescent="0.15">
      <c r="A11" s="2098" t="s">
        <v>9</v>
      </c>
      <c r="B11" s="1602">
        <v>342</v>
      </c>
      <c r="C11" s="1603">
        <v>316</v>
      </c>
      <c r="D11" s="1602">
        <v>370</v>
      </c>
      <c r="E11" s="1604">
        <v>395</v>
      </c>
      <c r="F11" s="2045">
        <v>463</v>
      </c>
      <c r="G11" s="2093"/>
    </row>
    <row r="12" spans="1:7" x14ac:dyDescent="0.15">
      <c r="A12" s="2098" t="s">
        <v>10</v>
      </c>
      <c r="B12" s="1602">
        <v>448</v>
      </c>
      <c r="C12" s="1603">
        <v>408</v>
      </c>
      <c r="D12" s="1602">
        <v>362</v>
      </c>
      <c r="E12" s="1604">
        <v>293</v>
      </c>
      <c r="F12" s="2045">
        <v>275</v>
      </c>
      <c r="G12" s="2093"/>
    </row>
    <row r="13" spans="1:7" x14ac:dyDescent="0.15">
      <c r="A13" s="2098" t="s">
        <v>11</v>
      </c>
      <c r="B13" s="1602">
        <v>156</v>
      </c>
      <c r="C13" s="1603">
        <v>142</v>
      </c>
      <c r="D13" s="1602">
        <v>809</v>
      </c>
      <c r="E13" s="1604">
        <v>946</v>
      </c>
      <c r="F13" s="2045">
        <v>1066</v>
      </c>
      <c r="G13" s="2093"/>
    </row>
    <row r="14" spans="1:7" x14ac:dyDescent="0.15">
      <c r="A14" s="2098" t="s">
        <v>12</v>
      </c>
      <c r="B14" s="1602">
        <v>971</v>
      </c>
      <c r="C14" s="1603">
        <v>857</v>
      </c>
      <c r="D14" s="1602">
        <v>186</v>
      </c>
      <c r="E14" s="1604">
        <v>184</v>
      </c>
      <c r="F14" s="2045">
        <v>202</v>
      </c>
      <c r="G14" s="2093"/>
    </row>
    <row r="15" spans="1:7" x14ac:dyDescent="0.15">
      <c r="A15" s="2098" t="s">
        <v>13</v>
      </c>
      <c r="B15" s="1602">
        <v>264</v>
      </c>
      <c r="C15" s="1603">
        <v>219</v>
      </c>
      <c r="D15" s="1602">
        <v>233</v>
      </c>
      <c r="E15" s="1604">
        <v>248</v>
      </c>
      <c r="F15" s="2045">
        <v>340</v>
      </c>
      <c r="G15" s="2093"/>
    </row>
    <row r="16" spans="1:7" x14ac:dyDescent="0.15">
      <c r="A16" s="2098" t="s">
        <v>14</v>
      </c>
      <c r="B16" s="1602">
        <v>316</v>
      </c>
      <c r="C16" s="1603">
        <v>205</v>
      </c>
      <c r="D16" s="1602">
        <v>412</v>
      </c>
      <c r="E16" s="1604">
        <v>409</v>
      </c>
      <c r="F16" s="2045">
        <v>456</v>
      </c>
      <c r="G16" s="2093"/>
    </row>
    <row r="17" spans="1:7" x14ac:dyDescent="0.15">
      <c r="A17" s="2098" t="s">
        <v>15</v>
      </c>
      <c r="B17" s="1602">
        <v>410</v>
      </c>
      <c r="C17" s="1603">
        <v>408</v>
      </c>
      <c r="D17" s="1602">
        <v>366</v>
      </c>
      <c r="E17" s="1604">
        <v>426</v>
      </c>
      <c r="F17" s="2045">
        <v>494</v>
      </c>
      <c r="G17" s="2093"/>
    </row>
    <row r="18" spans="1:7" x14ac:dyDescent="0.15">
      <c r="A18" s="2098" t="s">
        <v>16</v>
      </c>
      <c r="B18" s="1602">
        <v>419</v>
      </c>
      <c r="C18" s="1603">
        <v>389</v>
      </c>
      <c r="D18" s="1602">
        <v>146</v>
      </c>
      <c r="E18" s="1604">
        <v>184</v>
      </c>
      <c r="F18" s="2045">
        <v>212</v>
      </c>
      <c r="G18" s="2093"/>
    </row>
    <row r="19" spans="1:7" x14ac:dyDescent="0.15">
      <c r="A19" s="2098" t="s">
        <v>17</v>
      </c>
      <c r="B19" s="1602">
        <v>194</v>
      </c>
      <c r="C19" s="1603">
        <v>144</v>
      </c>
      <c r="D19" s="1602">
        <v>284</v>
      </c>
      <c r="E19" s="1604">
        <v>307</v>
      </c>
      <c r="F19" s="2045">
        <v>362</v>
      </c>
      <c r="G19" s="2093"/>
    </row>
    <row r="20" spans="1:7" x14ac:dyDescent="0.15">
      <c r="A20" s="2098" t="s">
        <v>18</v>
      </c>
      <c r="B20" s="1602">
        <v>423</v>
      </c>
      <c r="C20" s="1603">
        <v>331</v>
      </c>
      <c r="D20" s="1602">
        <v>92</v>
      </c>
      <c r="E20" s="1604">
        <v>83</v>
      </c>
      <c r="F20" s="2045">
        <v>109</v>
      </c>
      <c r="G20" s="2093"/>
    </row>
    <row r="21" spans="1:7" x14ac:dyDescent="0.15">
      <c r="A21" s="2098" t="s">
        <v>19</v>
      </c>
      <c r="B21" s="1602">
        <v>98</v>
      </c>
      <c r="C21" s="1603">
        <v>84</v>
      </c>
      <c r="D21" s="1602">
        <v>145</v>
      </c>
      <c r="E21" s="1604">
        <v>169</v>
      </c>
      <c r="F21" s="2045">
        <v>189</v>
      </c>
      <c r="G21" s="2093"/>
    </row>
    <row r="22" spans="1:7" x14ac:dyDescent="0.15">
      <c r="A22" s="2463"/>
      <c r="B22" s="2463"/>
      <c r="C22" s="2463"/>
      <c r="D22" s="2463"/>
      <c r="E22" s="2463"/>
      <c r="F22" s="2463"/>
      <c r="G22" s="2093"/>
    </row>
    <row r="23" spans="1:7" x14ac:dyDescent="0.15">
      <c r="A23" s="3379" t="s">
        <v>3294</v>
      </c>
      <c r="B23" s="3379"/>
      <c r="C23" s="3379"/>
      <c r="D23" s="3379"/>
      <c r="E23" s="3379"/>
      <c r="F23" s="3379"/>
      <c r="G23" s="2093"/>
    </row>
    <row r="24" spans="1:7" ht="10.5" customHeight="1" x14ac:dyDescent="0.15">
      <c r="A24" s="3379" t="s">
        <v>3295</v>
      </c>
      <c r="B24" s="3379"/>
      <c r="C24" s="3379"/>
      <c r="D24" s="3379"/>
      <c r="E24" s="3379"/>
      <c r="F24" s="3379"/>
      <c r="G24" s="2093"/>
    </row>
    <row r="25" spans="1:7" x14ac:dyDescent="0.15">
      <c r="A25" s="3042" t="s">
        <v>3296</v>
      </c>
      <c r="B25" s="3042"/>
      <c r="C25" s="3042"/>
      <c r="D25" s="3042"/>
      <c r="E25" s="3042"/>
      <c r="F25" s="3042"/>
      <c r="G25" s="2093"/>
    </row>
    <row r="26" spans="1:7" x14ac:dyDescent="0.15">
      <c r="A26" s="3042" t="s">
        <v>3297</v>
      </c>
      <c r="B26" s="3042"/>
      <c r="C26" s="3042"/>
      <c r="D26" s="3042"/>
      <c r="E26" s="3042"/>
      <c r="F26" s="3042"/>
      <c r="G26" s="2093"/>
    </row>
    <row r="27" spans="1:7" ht="10.5" customHeight="1" x14ac:dyDescent="0.15">
      <c r="A27" s="3381" t="s">
        <v>3298</v>
      </c>
      <c r="B27" s="3381"/>
      <c r="C27" s="3381"/>
      <c r="D27" s="3381"/>
      <c r="E27" s="3381"/>
      <c r="F27" s="3381"/>
      <c r="G27" s="2093"/>
    </row>
    <row r="28" spans="1:7" ht="11.25" customHeight="1" x14ac:dyDescent="0.15">
      <c r="A28" s="2462" t="s">
        <v>3299</v>
      </c>
      <c r="B28" s="2462"/>
      <c r="C28" s="2462"/>
      <c r="D28" s="2462"/>
      <c r="E28" s="2462"/>
      <c r="F28" s="3342"/>
      <c r="G28" s="2093"/>
    </row>
    <row r="29" spans="1:7" x14ac:dyDescent="0.15">
      <c r="A29" s="2134"/>
      <c r="B29" s="2134"/>
      <c r="C29" s="2134"/>
      <c r="D29" s="2134"/>
      <c r="E29" s="2134"/>
      <c r="F29" s="2134"/>
      <c r="G29" s="2093"/>
    </row>
    <row r="30" spans="1:7" x14ac:dyDescent="0.15">
      <c r="A30" s="2093"/>
      <c r="B30" s="2093"/>
      <c r="C30" s="2093"/>
      <c r="D30" s="2093"/>
      <c r="E30" s="2093"/>
      <c r="F30" s="2093"/>
      <c r="G30" s="2093"/>
    </row>
    <row r="31" spans="1:7" x14ac:dyDescent="0.15">
      <c r="A31" s="2093"/>
      <c r="B31" s="2093"/>
      <c r="C31" s="2093"/>
      <c r="D31" s="2093"/>
      <c r="E31" s="2093"/>
      <c r="F31" s="2093"/>
      <c r="G31" s="2093"/>
    </row>
    <row r="32" spans="1:7" x14ac:dyDescent="0.15">
      <c r="A32" s="2093"/>
      <c r="B32" s="2093"/>
      <c r="C32" s="2093"/>
      <c r="D32" s="2093"/>
      <c r="E32" s="2093"/>
      <c r="F32" s="2093"/>
      <c r="G32" s="2093"/>
    </row>
    <row r="33" spans="1:7" x14ac:dyDescent="0.15">
      <c r="A33" s="2093"/>
      <c r="B33" s="2093"/>
      <c r="C33" s="2093"/>
      <c r="D33" s="2093"/>
      <c r="E33" s="2093"/>
      <c r="F33" s="2093"/>
      <c r="G33" s="2093"/>
    </row>
    <row r="34" spans="1:7" x14ac:dyDescent="0.15">
      <c r="A34" s="2093"/>
      <c r="B34" s="2093"/>
      <c r="C34" s="2093"/>
      <c r="D34" s="2093"/>
      <c r="E34" s="2093"/>
      <c r="F34" s="2093"/>
      <c r="G34" s="2093"/>
    </row>
    <row r="35" spans="1:7" x14ac:dyDescent="0.15">
      <c r="A35" s="2093"/>
      <c r="B35" s="2093"/>
      <c r="C35" s="2093"/>
      <c r="D35" s="2093"/>
      <c r="E35" s="2093"/>
      <c r="F35" s="2093"/>
      <c r="G35" s="2093"/>
    </row>
    <row r="36" spans="1:7" x14ac:dyDescent="0.15">
      <c r="A36" s="2093"/>
      <c r="B36" s="2093"/>
      <c r="C36" s="2093"/>
      <c r="D36" s="2093"/>
      <c r="E36" s="2093"/>
      <c r="F36" s="2093"/>
      <c r="G36" s="2093"/>
    </row>
    <row r="37" spans="1:7" x14ac:dyDescent="0.15">
      <c r="A37" s="2093"/>
      <c r="B37" s="2093"/>
      <c r="C37" s="2093"/>
      <c r="D37" s="2093"/>
      <c r="E37" s="2093"/>
      <c r="F37" s="2093"/>
      <c r="G37" s="2093"/>
    </row>
    <row r="38" spans="1:7" x14ac:dyDescent="0.15">
      <c r="A38" s="2093"/>
      <c r="B38" s="2093"/>
      <c r="C38" s="2093"/>
      <c r="D38" s="2093"/>
      <c r="E38" s="2093"/>
      <c r="F38" s="2093"/>
      <c r="G38" s="2093"/>
    </row>
    <row r="39" spans="1:7" x14ac:dyDescent="0.15">
      <c r="A39" s="2093"/>
      <c r="B39" s="2093"/>
      <c r="C39" s="2093"/>
      <c r="D39" s="2093"/>
      <c r="E39" s="2093"/>
      <c r="F39" s="2093"/>
      <c r="G39" s="2093"/>
    </row>
  </sheetData>
  <mergeCells count="11">
    <mergeCell ref="A24:F24"/>
    <mergeCell ref="A25:F25"/>
    <mergeCell ref="A26:F26"/>
    <mergeCell ref="A27:F27"/>
    <mergeCell ref="A28:F28"/>
    <mergeCell ref="A23:F23"/>
    <mergeCell ref="A2:F2"/>
    <mergeCell ref="A3:F3"/>
    <mergeCell ref="A4:A5"/>
    <mergeCell ref="B4:F4"/>
    <mergeCell ref="A22:F2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E23"/>
  <sheetViews>
    <sheetView workbookViewId="0">
      <selection activeCell="H14" sqref="H14"/>
    </sheetView>
  </sheetViews>
  <sheetFormatPr baseColWidth="10" defaultColWidth="9.140625" defaultRowHeight="10.5" x14ac:dyDescent="0.15"/>
  <cols>
    <col min="1" max="1" width="32.7109375" style="97" customWidth="1"/>
    <col min="2" max="2" width="16" style="97" customWidth="1"/>
    <col min="3" max="3" width="14.140625" style="97" customWidth="1"/>
    <col min="4" max="4" width="13.42578125" style="97" customWidth="1"/>
    <col min="5" max="16384" width="9.140625" style="97"/>
  </cols>
  <sheetData>
    <row r="2" spans="1:5" ht="22.5" customHeight="1" x14ac:dyDescent="0.15">
      <c r="A2" s="3372" t="s">
        <v>3300</v>
      </c>
      <c r="B2" s="2792"/>
      <c r="C2" s="2792"/>
      <c r="D2" s="2792"/>
    </row>
    <row r="3" spans="1:5" ht="11.25" customHeight="1" x14ac:dyDescent="0.15">
      <c r="A3" s="2464"/>
      <c r="B3" s="2464"/>
      <c r="C3" s="2464"/>
      <c r="D3" s="2464"/>
    </row>
    <row r="4" spans="1:5" ht="12.75" customHeight="1" x14ac:dyDescent="0.15">
      <c r="A4" s="2351" t="s">
        <v>3269</v>
      </c>
      <c r="B4" s="2351" t="s">
        <v>3301</v>
      </c>
      <c r="C4" s="3374"/>
      <c r="D4" s="3374"/>
    </row>
    <row r="5" spans="1:5" x14ac:dyDescent="0.15">
      <c r="A5" s="2351"/>
      <c r="B5" s="2096" t="s">
        <v>69</v>
      </c>
      <c r="C5" s="2096" t="s">
        <v>966</v>
      </c>
      <c r="D5" s="2096" t="s">
        <v>967</v>
      </c>
    </row>
    <row r="6" spans="1:5" x14ac:dyDescent="0.15">
      <c r="A6" s="2097" t="s">
        <v>4</v>
      </c>
      <c r="B6" s="718">
        <f>SUM(B7:B9)</f>
        <v>221181</v>
      </c>
      <c r="C6" s="718">
        <f>SUM(C7:C9)</f>
        <v>108123</v>
      </c>
      <c r="D6" s="718">
        <f>SUM(D7:D9)</f>
        <v>113058</v>
      </c>
      <c r="E6" s="2093"/>
    </row>
    <row r="7" spans="1:5" x14ac:dyDescent="0.15">
      <c r="A7" s="2098" t="s">
        <v>2674</v>
      </c>
      <c r="B7" s="718">
        <f>SUM(C7:D7)</f>
        <v>216570</v>
      </c>
      <c r="C7" s="438">
        <v>104464</v>
      </c>
      <c r="D7" s="438">
        <v>112106</v>
      </c>
      <c r="E7" s="2093"/>
    </row>
    <row r="8" spans="1:5" x14ac:dyDescent="0.15">
      <c r="A8" s="2098" t="s">
        <v>3273</v>
      </c>
      <c r="B8" s="718">
        <f>SUM(C8:D8)</f>
        <v>4611</v>
      </c>
      <c r="C8" s="438">
        <v>3659</v>
      </c>
      <c r="D8" s="438">
        <v>952</v>
      </c>
      <c r="E8" s="2093"/>
    </row>
    <row r="9" spans="1:5" x14ac:dyDescent="0.15">
      <c r="A9" s="2098" t="s">
        <v>3302</v>
      </c>
      <c r="B9" s="718">
        <f>SUM(C9:D9)</f>
        <v>0</v>
      </c>
      <c r="C9" s="438">
        <v>0</v>
      </c>
      <c r="D9" s="438">
        <v>0</v>
      </c>
      <c r="E9" s="2093"/>
    </row>
    <row r="10" spans="1:5" x14ac:dyDescent="0.15">
      <c r="A10" s="2477"/>
      <c r="B10" s="2477"/>
      <c r="C10" s="2477"/>
      <c r="D10" s="2477"/>
      <c r="E10" s="2093"/>
    </row>
    <row r="11" spans="1:5" x14ac:dyDescent="0.15">
      <c r="A11" s="3375" t="s">
        <v>20</v>
      </c>
      <c r="B11" s="3375"/>
      <c r="C11" s="3375"/>
      <c r="D11" s="3375"/>
      <c r="E11" s="2093"/>
    </row>
    <row r="12" spans="1:5" ht="22.5" customHeight="1" x14ac:dyDescent="0.15">
      <c r="A12" s="2462" t="s">
        <v>3275</v>
      </c>
      <c r="B12" s="3342"/>
      <c r="C12" s="3342"/>
      <c r="D12" s="3342"/>
      <c r="E12" s="2093"/>
    </row>
    <row r="13" spans="1:5" x14ac:dyDescent="0.15">
      <c r="A13" s="2093"/>
      <c r="B13" s="2093"/>
      <c r="C13" s="2093"/>
      <c r="D13" s="2093"/>
      <c r="E13" s="2093"/>
    </row>
    <row r="14" spans="1:5" x14ac:dyDescent="0.15">
      <c r="A14" s="2093"/>
      <c r="B14" s="2093"/>
      <c r="C14" s="2093"/>
      <c r="D14" s="2093"/>
      <c r="E14" s="2093"/>
    </row>
    <row r="15" spans="1:5" x14ac:dyDescent="0.15">
      <c r="A15" s="2093"/>
      <c r="B15" s="2093"/>
      <c r="C15" s="2093"/>
      <c r="D15" s="2093"/>
      <c r="E15" s="2093"/>
    </row>
    <row r="16" spans="1:5" x14ac:dyDescent="0.15">
      <c r="A16" s="2093"/>
      <c r="B16" s="2093"/>
      <c r="C16" s="2093"/>
      <c r="D16" s="2093"/>
      <c r="E16" s="2093"/>
    </row>
    <row r="17" spans="1:5" x14ac:dyDescent="0.15">
      <c r="A17" s="2093"/>
      <c r="B17" s="2093"/>
      <c r="C17" s="2093"/>
      <c r="D17" s="2093"/>
      <c r="E17" s="2093"/>
    </row>
    <row r="18" spans="1:5" x14ac:dyDescent="0.15">
      <c r="A18" s="2093"/>
      <c r="B18" s="2093"/>
      <c r="C18" s="2093"/>
      <c r="D18" s="2093"/>
      <c r="E18" s="2093"/>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row r="22" spans="1:5" x14ac:dyDescent="0.15">
      <c r="A22" s="2093"/>
      <c r="B22" s="2093"/>
      <c r="C22" s="2093"/>
      <c r="D22" s="2093"/>
      <c r="E22" s="2093"/>
    </row>
    <row r="23" spans="1:5" x14ac:dyDescent="0.15">
      <c r="A23" s="2093"/>
      <c r="B23" s="2093"/>
      <c r="C23" s="2093"/>
      <c r="D23" s="2093"/>
      <c r="E23" s="2093"/>
    </row>
  </sheetData>
  <mergeCells count="7">
    <mergeCell ref="A12:D12"/>
    <mergeCell ref="A2:D2"/>
    <mergeCell ref="A3:D3"/>
    <mergeCell ref="A4:A5"/>
    <mergeCell ref="B4:D4"/>
    <mergeCell ref="A10:D10"/>
    <mergeCell ref="A11:D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G12"/>
  <sheetViews>
    <sheetView workbookViewId="0">
      <selection activeCell="A2" sqref="A2:F2"/>
    </sheetView>
  </sheetViews>
  <sheetFormatPr baseColWidth="10" defaultColWidth="9.140625" defaultRowHeight="10.5" x14ac:dyDescent="0.15"/>
  <cols>
    <col min="1" max="1" width="33.42578125" style="97" customWidth="1"/>
    <col min="2" max="6" width="11.85546875" style="97" customWidth="1"/>
    <col min="7" max="16384" width="9.140625" style="97"/>
  </cols>
  <sheetData>
    <row r="2" spans="1:7" ht="22.5" customHeight="1" x14ac:dyDescent="0.15">
      <c r="A2" s="2377" t="s">
        <v>4339</v>
      </c>
      <c r="B2" s="2377"/>
      <c r="C2" s="2377"/>
      <c r="D2" s="2377"/>
      <c r="E2" s="2377"/>
      <c r="F2" s="2387"/>
    </row>
    <row r="3" spans="1:7" ht="6" customHeight="1" x14ac:dyDescent="0.15">
      <c r="A3" s="131"/>
      <c r="B3" s="131"/>
      <c r="C3" s="131"/>
      <c r="D3" s="131"/>
      <c r="E3" s="131"/>
    </row>
    <row r="4" spans="1:7" ht="11.25" customHeight="1" x14ac:dyDescent="0.15">
      <c r="A4" s="2409" t="s">
        <v>328</v>
      </c>
      <c r="B4" s="2411" t="s">
        <v>2</v>
      </c>
      <c r="C4" s="2412"/>
      <c r="D4" s="2412"/>
      <c r="E4" s="2412"/>
      <c r="F4" s="2413"/>
    </row>
    <row r="5" spans="1:7" ht="11.25" customHeight="1" x14ac:dyDescent="0.15">
      <c r="A5" s="2410"/>
      <c r="B5" s="132">
        <v>2011</v>
      </c>
      <c r="C5" s="132">
        <v>2012</v>
      </c>
      <c r="D5" s="132">
        <v>2013</v>
      </c>
      <c r="E5" s="132">
        <v>2014</v>
      </c>
      <c r="F5" s="132">
        <v>2015</v>
      </c>
      <c r="G5" s="133"/>
    </row>
    <row r="6" spans="1:7" x14ac:dyDescent="0.15">
      <c r="A6" s="146" t="s">
        <v>141</v>
      </c>
      <c r="B6" s="718">
        <f>SUM(B7+B8)</f>
        <v>4</v>
      </c>
      <c r="C6" s="718">
        <f>SUM(C7+C8)</f>
        <v>5</v>
      </c>
      <c r="D6" s="718">
        <f>SUM(D7+D8)</f>
        <v>4</v>
      </c>
      <c r="E6" s="718">
        <f>SUM(E7+E8)</f>
        <v>5</v>
      </c>
      <c r="F6" s="718">
        <f>SUM(F7,F8)</f>
        <v>4</v>
      </c>
    </row>
    <row r="7" spans="1:7" x14ac:dyDescent="0.15">
      <c r="A7" s="2002" t="s">
        <v>329</v>
      </c>
      <c r="B7" s="438">
        <v>4</v>
      </c>
      <c r="C7" s="438">
        <v>4</v>
      </c>
      <c r="D7" s="438">
        <v>4</v>
      </c>
      <c r="E7" s="438">
        <v>3</v>
      </c>
      <c r="F7" s="438">
        <v>4</v>
      </c>
    </row>
    <row r="8" spans="1:7" x14ac:dyDescent="0.15">
      <c r="A8" s="2002" t="s">
        <v>330</v>
      </c>
      <c r="B8" s="438">
        <v>0</v>
      </c>
      <c r="C8" s="438">
        <v>1</v>
      </c>
      <c r="D8" s="438">
        <v>0</v>
      </c>
      <c r="E8" s="438">
        <v>2</v>
      </c>
      <c r="F8" s="438" t="s">
        <v>193</v>
      </c>
    </row>
    <row r="9" spans="1:7" ht="10.5" customHeight="1" x14ac:dyDescent="0.15">
      <c r="A9" s="2356"/>
      <c r="B9" s="2356"/>
      <c r="C9" s="2356"/>
      <c r="D9" s="2356"/>
      <c r="E9" s="2356"/>
      <c r="F9" s="2357"/>
    </row>
    <row r="10" spans="1:7" ht="14.25" customHeight="1" x14ac:dyDescent="0.15">
      <c r="A10" s="2414" t="s">
        <v>326</v>
      </c>
      <c r="B10" s="2414"/>
      <c r="C10" s="2414"/>
      <c r="D10" s="2414"/>
      <c r="E10" s="2414"/>
      <c r="F10" s="2408"/>
    </row>
    <row r="11" spans="1:7" ht="21.75" customHeight="1" x14ac:dyDescent="0.15">
      <c r="A11" s="2407" t="s">
        <v>327</v>
      </c>
      <c r="B11" s="2407"/>
      <c r="C11" s="2407"/>
      <c r="D11" s="2407"/>
      <c r="E11" s="2407"/>
      <c r="F11" s="2408"/>
    </row>
    <row r="12" spans="1:7" x14ac:dyDescent="0.15">
      <c r="A12" s="2009"/>
      <c r="B12" s="2009"/>
      <c r="C12" s="2009"/>
      <c r="D12" s="2009"/>
      <c r="E12" s="2009"/>
      <c r="F12" s="2009"/>
    </row>
  </sheetData>
  <mergeCells count="6">
    <mergeCell ref="A11:F11"/>
    <mergeCell ref="A2:F2"/>
    <mergeCell ref="A4:A5"/>
    <mergeCell ref="B4:F4"/>
    <mergeCell ref="A9:F9"/>
    <mergeCell ref="A10:F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G20"/>
  <sheetViews>
    <sheetView workbookViewId="0">
      <selection activeCell="H22" sqref="H22"/>
    </sheetView>
  </sheetViews>
  <sheetFormatPr baseColWidth="10" defaultColWidth="9.140625" defaultRowHeight="10.5" x14ac:dyDescent="0.15"/>
  <cols>
    <col min="1" max="1" width="40.42578125" style="97" customWidth="1"/>
    <col min="2" max="6" width="12" style="97" customWidth="1"/>
    <col min="7" max="16384" width="9.140625" style="97"/>
  </cols>
  <sheetData>
    <row r="2" spans="1:7" ht="21.75" customHeight="1" x14ac:dyDescent="0.15">
      <c r="A2" s="3372" t="s">
        <v>3303</v>
      </c>
      <c r="B2" s="3372"/>
      <c r="C2" s="3372"/>
      <c r="D2" s="3372"/>
      <c r="E2" s="3372"/>
      <c r="F2" s="2792"/>
    </row>
    <row r="3" spans="1:7" ht="11.25" customHeight="1" x14ac:dyDescent="0.15">
      <c r="A3" s="2464"/>
      <c r="B3" s="2464"/>
      <c r="C3" s="2464"/>
      <c r="D3" s="2464"/>
      <c r="E3" s="2464"/>
      <c r="F3" s="2464"/>
    </row>
    <row r="4" spans="1:7" ht="12.75" customHeight="1" x14ac:dyDescent="0.15">
      <c r="A4" s="2351" t="s">
        <v>3269</v>
      </c>
      <c r="B4" s="2374" t="s">
        <v>3304</v>
      </c>
      <c r="C4" s="2374"/>
      <c r="D4" s="2374"/>
      <c r="E4" s="2374"/>
      <c r="F4" s="2374"/>
    </row>
    <row r="5" spans="1:7" x14ac:dyDescent="0.15">
      <c r="A5" s="2351"/>
      <c r="B5" s="2131">
        <v>2011</v>
      </c>
      <c r="C5" s="2131">
        <v>2012</v>
      </c>
      <c r="D5" s="2132">
        <v>2013</v>
      </c>
      <c r="E5" s="2131">
        <v>2014</v>
      </c>
      <c r="F5" s="2096">
        <v>2015</v>
      </c>
    </row>
    <row r="6" spans="1:7" x14ac:dyDescent="0.15">
      <c r="A6" s="2097" t="s">
        <v>4</v>
      </c>
      <c r="B6" s="1605">
        <f>SUM(B7:B9)</f>
        <v>184</v>
      </c>
      <c r="C6" s="1605">
        <f>SUM(C7:C9)</f>
        <v>215</v>
      </c>
      <c r="D6" s="1605">
        <f>SUM(D7:D9)</f>
        <v>173</v>
      </c>
      <c r="E6" s="1605">
        <f>SUM(E7:E9)</f>
        <v>213</v>
      </c>
      <c r="F6" s="2043">
        <f>SUM(F7:F9)</f>
        <v>179</v>
      </c>
      <c r="G6" s="2093"/>
    </row>
    <row r="7" spans="1:7" x14ac:dyDescent="0.15">
      <c r="A7" s="2098" t="s">
        <v>2674</v>
      </c>
      <c r="B7" s="1484">
        <v>174</v>
      </c>
      <c r="C7" s="1603">
        <v>192</v>
      </c>
      <c r="D7" s="1484">
        <v>157</v>
      </c>
      <c r="E7" s="1484">
        <v>182</v>
      </c>
      <c r="F7" s="804">
        <v>165</v>
      </c>
      <c r="G7" s="2093"/>
    </row>
    <row r="8" spans="1:7" x14ac:dyDescent="0.15">
      <c r="A8" s="2098" t="s">
        <v>3273</v>
      </c>
      <c r="B8" s="1484">
        <v>1</v>
      </c>
      <c r="C8" s="1603">
        <v>19</v>
      </c>
      <c r="D8" s="1484">
        <v>16</v>
      </c>
      <c r="E8" s="1484">
        <v>19</v>
      </c>
      <c r="F8" s="804">
        <v>14</v>
      </c>
      <c r="G8" s="2093"/>
    </row>
    <row r="9" spans="1:7" x14ac:dyDescent="0.15">
      <c r="A9" s="2098" t="s">
        <v>3302</v>
      </c>
      <c r="B9" s="1484">
        <v>9</v>
      </c>
      <c r="C9" s="1603">
        <v>4</v>
      </c>
      <c r="D9" s="1603" t="s">
        <v>181</v>
      </c>
      <c r="E9" s="1484">
        <v>12</v>
      </c>
      <c r="F9" s="438">
        <v>0</v>
      </c>
      <c r="G9" s="2093"/>
    </row>
    <row r="10" spans="1:7" x14ac:dyDescent="0.15">
      <c r="A10" s="3317"/>
      <c r="B10" s="3317"/>
      <c r="C10" s="3317"/>
      <c r="D10" s="3317"/>
      <c r="E10" s="3317"/>
      <c r="F10" s="3317"/>
      <c r="G10" s="2093"/>
    </row>
    <row r="11" spans="1:7" x14ac:dyDescent="0.15">
      <c r="A11" s="3382" t="s">
        <v>184</v>
      </c>
      <c r="B11" s="3382"/>
      <c r="C11" s="3382"/>
      <c r="D11" s="3382"/>
      <c r="E11" s="3382"/>
      <c r="F11" s="3382"/>
      <c r="G11" s="2093"/>
    </row>
    <row r="12" spans="1:7" x14ac:dyDescent="0.15">
      <c r="A12" s="3375" t="s">
        <v>20</v>
      </c>
      <c r="B12" s="3375"/>
      <c r="C12" s="3375"/>
      <c r="D12" s="3375"/>
      <c r="E12" s="3375"/>
      <c r="F12" s="3375"/>
      <c r="G12" s="2093"/>
    </row>
    <row r="13" spans="1:7" ht="11.25" customHeight="1" x14ac:dyDescent="0.15">
      <c r="A13" s="2463" t="s">
        <v>3275</v>
      </c>
      <c r="B13" s="2463"/>
      <c r="C13" s="2463"/>
      <c r="D13" s="2463"/>
      <c r="E13" s="2463"/>
      <c r="F13" s="2408"/>
      <c r="G13" s="2093"/>
    </row>
    <row r="14" spans="1:7" x14ac:dyDescent="0.15">
      <c r="A14" s="2093"/>
      <c r="B14" s="2093"/>
      <c r="C14" s="2093"/>
      <c r="D14" s="2093"/>
      <c r="E14" s="2093"/>
      <c r="F14" s="2093"/>
      <c r="G14" s="2093"/>
    </row>
    <row r="15" spans="1:7" x14ac:dyDescent="0.15">
      <c r="A15" s="2093"/>
      <c r="B15" s="2093"/>
      <c r="C15" s="2093"/>
      <c r="D15" s="2093"/>
      <c r="E15" s="2093"/>
      <c r="F15" s="2093"/>
      <c r="G15" s="2093"/>
    </row>
    <row r="16" spans="1:7" x14ac:dyDescent="0.15">
      <c r="A16" s="2093"/>
      <c r="B16" s="2093"/>
      <c r="C16" s="2093"/>
      <c r="D16" s="2093"/>
      <c r="E16" s="2093"/>
      <c r="F16" s="2093"/>
      <c r="G16" s="2093"/>
    </row>
    <row r="17" spans="1:7" x14ac:dyDescent="0.15">
      <c r="A17" s="2093"/>
      <c r="B17" s="2093"/>
      <c r="C17" s="2093"/>
      <c r="D17" s="2093"/>
      <c r="E17" s="2093"/>
      <c r="F17" s="2093"/>
      <c r="G17" s="2093"/>
    </row>
    <row r="18" spans="1:7" x14ac:dyDescent="0.15">
      <c r="A18" s="2093"/>
      <c r="B18" s="2093"/>
      <c r="C18" s="2093"/>
      <c r="D18" s="2093"/>
      <c r="E18" s="2093"/>
      <c r="F18" s="2093"/>
      <c r="G18" s="2093"/>
    </row>
    <row r="19" spans="1:7" x14ac:dyDescent="0.15">
      <c r="A19" s="2093"/>
      <c r="B19" s="2093"/>
      <c r="C19" s="2093"/>
      <c r="D19" s="2093"/>
      <c r="E19" s="2093"/>
      <c r="F19" s="2093"/>
      <c r="G19" s="2093"/>
    </row>
    <row r="20" spans="1:7" x14ac:dyDescent="0.15">
      <c r="A20" s="2093"/>
      <c r="B20" s="2093"/>
      <c r="C20" s="2093"/>
      <c r="D20" s="2093"/>
      <c r="E20" s="2093"/>
      <c r="F20" s="2093"/>
      <c r="G20" s="2093"/>
    </row>
  </sheetData>
  <mergeCells count="8">
    <mergeCell ref="A12:F12"/>
    <mergeCell ref="A13:F13"/>
    <mergeCell ref="A2:F2"/>
    <mergeCell ref="A3:F3"/>
    <mergeCell ref="A4:A5"/>
    <mergeCell ref="B4:F4"/>
    <mergeCell ref="A10:F10"/>
    <mergeCell ref="A11:F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F21"/>
  <sheetViews>
    <sheetView workbookViewId="0">
      <selection activeCell="J11" sqref="J11"/>
    </sheetView>
  </sheetViews>
  <sheetFormatPr baseColWidth="10" defaultColWidth="9.140625" defaultRowHeight="10.5" x14ac:dyDescent="0.15"/>
  <cols>
    <col min="1" max="1" width="53.7109375" style="97" customWidth="1"/>
    <col min="2" max="5" width="11" style="97" customWidth="1"/>
    <col min="6" max="16384" width="9.140625" style="97"/>
  </cols>
  <sheetData>
    <row r="2" spans="1:6" ht="18.75" customHeight="1" x14ac:dyDescent="0.15">
      <c r="A2" s="3385" t="s">
        <v>3305</v>
      </c>
      <c r="B2" s="3385"/>
      <c r="C2" s="3385"/>
      <c r="D2" s="3385"/>
      <c r="E2" s="3386"/>
      <c r="F2" s="2093"/>
    </row>
    <row r="3" spans="1:6" ht="11.25" customHeight="1" x14ac:dyDescent="0.15">
      <c r="A3" s="2390"/>
      <c r="B3" s="2390"/>
      <c r="C3" s="2390"/>
      <c r="D3" s="2390"/>
      <c r="E3" s="2390"/>
      <c r="F3" s="2093"/>
    </row>
    <row r="4" spans="1:6" x14ac:dyDescent="0.15">
      <c r="A4" s="2351" t="s">
        <v>3306</v>
      </c>
      <c r="B4" s="2374" t="s">
        <v>3307</v>
      </c>
      <c r="C4" s="2374"/>
      <c r="D4" s="2374"/>
      <c r="E4" s="2374"/>
    </row>
    <row r="5" spans="1:6" ht="11.25" x14ac:dyDescent="0.15">
      <c r="A5" s="2351"/>
      <c r="B5" s="2141">
        <v>2012</v>
      </c>
      <c r="C5" s="2132">
        <v>2013</v>
      </c>
      <c r="D5" s="2141">
        <v>2014</v>
      </c>
      <c r="E5" s="2096" t="s">
        <v>3287</v>
      </c>
    </row>
    <row r="6" spans="1:6" x14ac:dyDescent="0.15">
      <c r="A6" s="2097" t="s">
        <v>141</v>
      </c>
      <c r="B6" s="1607">
        <f>SUM(B7:B12)</f>
        <v>1374</v>
      </c>
      <c r="C6" s="1607">
        <f>SUM(C7:C12)</f>
        <v>9876</v>
      </c>
      <c r="D6" s="1607">
        <f>SUM(D7:D12)</f>
        <v>9826</v>
      </c>
      <c r="E6" s="2044">
        <f>SUM(E7:E16)</f>
        <v>15568</v>
      </c>
    </row>
    <row r="7" spans="1:6" x14ac:dyDescent="0.15">
      <c r="A7" s="2098" t="s">
        <v>3308</v>
      </c>
      <c r="B7" s="1314">
        <v>83</v>
      </c>
      <c r="C7" s="1608">
        <v>738</v>
      </c>
      <c r="D7" s="1484">
        <f>38*15</f>
        <v>570</v>
      </c>
      <c r="E7" s="2045">
        <v>725</v>
      </c>
    </row>
    <row r="8" spans="1:6" x14ac:dyDescent="0.15">
      <c r="A8" s="2098" t="s">
        <v>3309</v>
      </c>
      <c r="B8" s="1314">
        <v>348</v>
      </c>
      <c r="C8" s="1608">
        <v>7180</v>
      </c>
      <c r="D8" s="1602">
        <v>7920</v>
      </c>
      <c r="E8" s="2045">
        <v>11483</v>
      </c>
    </row>
    <row r="9" spans="1:6" x14ac:dyDescent="0.15">
      <c r="A9" s="2098" t="s">
        <v>3310</v>
      </c>
      <c r="B9" s="1314">
        <v>192</v>
      </c>
      <c r="C9" s="1608">
        <v>360</v>
      </c>
      <c r="D9" s="1484">
        <v>384</v>
      </c>
      <c r="E9" s="2045">
        <v>414</v>
      </c>
    </row>
    <row r="10" spans="1:6" ht="11.25" x14ac:dyDescent="0.15">
      <c r="A10" s="2098" t="s">
        <v>3311</v>
      </c>
      <c r="B10" s="1314" t="s">
        <v>181</v>
      </c>
      <c r="C10" s="1608">
        <v>455</v>
      </c>
      <c r="D10" s="1603" t="s">
        <v>181</v>
      </c>
      <c r="E10" s="2045">
        <v>129</v>
      </c>
    </row>
    <row r="11" spans="1:6" x14ac:dyDescent="0.15">
      <c r="A11" s="2098" t="s">
        <v>3312</v>
      </c>
      <c r="B11" s="1314">
        <v>142</v>
      </c>
      <c r="C11" s="1608">
        <v>142</v>
      </c>
      <c r="D11" s="1609">
        <v>142</v>
      </c>
      <c r="E11" s="2045">
        <v>142</v>
      </c>
    </row>
    <row r="12" spans="1:6" x14ac:dyDescent="0.15">
      <c r="A12" s="2098" t="s">
        <v>3313</v>
      </c>
      <c r="B12" s="1314">
        <v>609</v>
      </c>
      <c r="C12" s="1608">
        <v>1001</v>
      </c>
      <c r="D12" s="1609">
        <v>810</v>
      </c>
      <c r="E12" s="2045">
        <v>2675</v>
      </c>
    </row>
    <row r="13" spans="1:6" x14ac:dyDescent="0.15">
      <c r="A13" s="2477"/>
      <c r="B13" s="2477"/>
      <c r="C13" s="2477"/>
      <c r="D13" s="2477"/>
      <c r="E13" s="2477"/>
    </row>
    <row r="14" spans="1:6" ht="170.25" customHeight="1" x14ac:dyDescent="0.15">
      <c r="A14" s="3387" t="s">
        <v>3314</v>
      </c>
      <c r="B14" s="3387"/>
      <c r="C14" s="3387"/>
      <c r="D14" s="3387"/>
      <c r="E14" s="3387"/>
    </row>
    <row r="15" spans="1:6" ht="22.5" customHeight="1" x14ac:dyDescent="0.15">
      <c r="A15" s="2463" t="s">
        <v>3315</v>
      </c>
      <c r="B15" s="2463"/>
      <c r="C15" s="2463"/>
      <c r="D15" s="2463"/>
      <c r="E15" s="2463"/>
    </row>
    <row r="16" spans="1:6" ht="22.5" customHeight="1" x14ac:dyDescent="0.15">
      <c r="A16" s="3383" t="s">
        <v>3316</v>
      </c>
      <c r="B16" s="3383"/>
      <c r="C16" s="3383"/>
      <c r="D16" s="3383"/>
      <c r="E16" s="3383"/>
    </row>
    <row r="17" spans="1:5" ht="11.25" customHeight="1" x14ac:dyDescent="0.15">
      <c r="A17" s="3384" t="s">
        <v>184</v>
      </c>
      <c r="B17" s="3384"/>
      <c r="C17" s="3384"/>
      <c r="D17" s="3384"/>
      <c r="E17" s="3384"/>
    </row>
    <row r="18" spans="1:5" ht="11.25" customHeight="1" x14ac:dyDescent="0.15">
      <c r="A18" s="2463" t="s">
        <v>3291</v>
      </c>
      <c r="B18" s="2463"/>
      <c r="C18" s="2463"/>
      <c r="D18" s="2463"/>
      <c r="E18" s="2408"/>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sheetData>
  <mergeCells count="10">
    <mergeCell ref="A15:E15"/>
    <mergeCell ref="A16:E16"/>
    <mergeCell ref="A17:E17"/>
    <mergeCell ref="A18:E18"/>
    <mergeCell ref="A2:E2"/>
    <mergeCell ref="A3:E3"/>
    <mergeCell ref="A4:A5"/>
    <mergeCell ref="B4:E4"/>
    <mergeCell ref="A13:E13"/>
    <mergeCell ref="A14:E1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H39"/>
  <sheetViews>
    <sheetView workbookViewId="0">
      <selection activeCell="A3" sqref="A3:XFD3"/>
    </sheetView>
  </sheetViews>
  <sheetFormatPr baseColWidth="10" defaultColWidth="9.140625" defaultRowHeight="10.5" x14ac:dyDescent="0.15"/>
  <cols>
    <col min="1" max="1" width="46.85546875" style="97" customWidth="1"/>
    <col min="2" max="6" width="14.140625" style="97" customWidth="1"/>
    <col min="7" max="16384" width="9.140625" style="97"/>
  </cols>
  <sheetData>
    <row r="2" spans="1:8" ht="23.25" customHeight="1" x14ac:dyDescent="0.15">
      <c r="A2" s="2371" t="s">
        <v>3317</v>
      </c>
      <c r="B2" s="2371"/>
      <c r="C2" s="2371"/>
      <c r="D2" s="2371"/>
      <c r="E2" s="2371"/>
      <c r="F2" s="3388"/>
    </row>
    <row r="3" spans="1:8" ht="10.5" customHeight="1" x14ac:dyDescent="0.15">
      <c r="A3" s="2464"/>
      <c r="B3" s="2464"/>
      <c r="C3" s="2464"/>
      <c r="D3" s="2464"/>
      <c r="E3" s="2464"/>
      <c r="F3" s="2464"/>
    </row>
    <row r="4" spans="1:8" x14ac:dyDescent="0.15">
      <c r="A4" s="2351" t="s">
        <v>3318</v>
      </c>
      <c r="B4" s="2374" t="s">
        <v>3319</v>
      </c>
      <c r="C4" s="2374"/>
      <c r="D4" s="2374"/>
      <c r="E4" s="2374"/>
      <c r="F4" s="2374"/>
    </row>
    <row r="5" spans="1:8" x14ac:dyDescent="0.15">
      <c r="A5" s="2351"/>
      <c r="B5" s="2132">
        <v>2011</v>
      </c>
      <c r="C5" s="1610">
        <v>2012</v>
      </c>
      <c r="D5" s="2132">
        <v>2013</v>
      </c>
      <c r="E5" s="2132">
        <v>2014</v>
      </c>
      <c r="F5" s="2096">
        <v>2015</v>
      </c>
    </row>
    <row r="6" spans="1:8" x14ac:dyDescent="0.15">
      <c r="A6" s="2097" t="s">
        <v>4</v>
      </c>
      <c r="B6" s="1611">
        <f>SUM(B7:B29)</f>
        <v>267920</v>
      </c>
      <c r="C6" s="1611">
        <f>SUM(C7:C29)</f>
        <v>768870</v>
      </c>
      <c r="D6" s="1611">
        <f>SUM(D7:D29)</f>
        <v>902015</v>
      </c>
      <c r="E6" s="1611">
        <f>SUM(E7:E29)</f>
        <v>1019810</v>
      </c>
      <c r="F6" s="2044">
        <f>SUM(F7:F29)</f>
        <v>1106059</v>
      </c>
      <c r="G6" s="2093"/>
      <c r="H6" s="2093"/>
    </row>
    <row r="7" spans="1:8" x14ac:dyDescent="0.15">
      <c r="A7" s="2098" t="s">
        <v>3320</v>
      </c>
      <c r="B7" s="1612">
        <v>3455</v>
      </c>
      <c r="C7" s="1613">
        <v>3992</v>
      </c>
      <c r="D7" s="1602">
        <v>5813</v>
      </c>
      <c r="E7" s="1613">
        <v>6187</v>
      </c>
      <c r="F7" s="2045">
        <v>5773</v>
      </c>
      <c r="G7" s="2093"/>
      <c r="H7" s="2093"/>
    </row>
    <row r="8" spans="1:8" x14ac:dyDescent="0.15">
      <c r="A8" s="2098" t="s">
        <v>3309</v>
      </c>
      <c r="B8" s="1612">
        <v>180378</v>
      </c>
      <c r="C8" s="1613">
        <v>181267</v>
      </c>
      <c r="D8" s="1602">
        <v>203062</v>
      </c>
      <c r="E8" s="1613">
        <v>237446</v>
      </c>
      <c r="F8" s="2045">
        <v>238143</v>
      </c>
      <c r="G8" s="2093"/>
      <c r="H8" s="2093"/>
    </row>
    <row r="9" spans="1:8" x14ac:dyDescent="0.15">
      <c r="A9" s="2098" t="s">
        <v>3321</v>
      </c>
      <c r="B9" s="1612">
        <v>176</v>
      </c>
      <c r="C9" s="1613">
        <v>128</v>
      </c>
      <c r="D9" s="1602">
        <v>126</v>
      </c>
      <c r="E9" s="1613">
        <v>128</v>
      </c>
      <c r="F9" s="2045">
        <v>128</v>
      </c>
      <c r="G9" s="2093"/>
      <c r="H9" s="2093"/>
    </row>
    <row r="10" spans="1:8" x14ac:dyDescent="0.15">
      <c r="A10" s="2098" t="s">
        <v>3310</v>
      </c>
      <c r="B10" s="1612">
        <v>3706</v>
      </c>
      <c r="C10" s="1613">
        <v>5438</v>
      </c>
      <c r="D10" s="1602">
        <v>8008</v>
      </c>
      <c r="E10" s="1613">
        <v>7033</v>
      </c>
      <c r="F10" s="2045">
        <v>8575</v>
      </c>
      <c r="G10" s="2093"/>
      <c r="H10" s="2093"/>
    </row>
    <row r="11" spans="1:8" x14ac:dyDescent="0.15">
      <c r="A11" s="2098" t="s">
        <v>3308</v>
      </c>
      <c r="B11" s="1612">
        <v>11910</v>
      </c>
      <c r="C11" s="1613">
        <v>13185</v>
      </c>
      <c r="D11" s="1602">
        <v>24699</v>
      </c>
      <c r="E11" s="1613">
        <v>25801</v>
      </c>
      <c r="F11" s="2045">
        <v>27661</v>
      </c>
      <c r="G11" s="2093"/>
      <c r="H11" s="2093"/>
    </row>
    <row r="12" spans="1:8" x14ac:dyDescent="0.15">
      <c r="A12" s="2098" t="s">
        <v>3322</v>
      </c>
      <c r="B12" s="1614" t="s">
        <v>181</v>
      </c>
      <c r="C12" s="1613" t="s">
        <v>181</v>
      </c>
      <c r="D12" s="1602">
        <v>1360</v>
      </c>
      <c r="E12" s="1613" t="s">
        <v>181</v>
      </c>
      <c r="F12" s="2045">
        <v>1811</v>
      </c>
      <c r="G12" s="2093"/>
      <c r="H12" s="2093"/>
    </row>
    <row r="13" spans="1:8" x14ac:dyDescent="0.15">
      <c r="A13" s="2098" t="s">
        <v>3323</v>
      </c>
      <c r="B13" s="1612">
        <v>48695</v>
      </c>
      <c r="C13" s="1613">
        <v>131406</v>
      </c>
      <c r="D13" s="1602">
        <v>110016</v>
      </c>
      <c r="E13" s="1613">
        <v>19719</v>
      </c>
      <c r="F13" s="2045" t="s">
        <v>181</v>
      </c>
      <c r="G13" s="2093"/>
      <c r="H13" s="2093"/>
    </row>
    <row r="14" spans="1:8" x14ac:dyDescent="0.15">
      <c r="A14" s="2098" t="s">
        <v>3324</v>
      </c>
      <c r="B14" s="1614" t="s">
        <v>181</v>
      </c>
      <c r="C14" s="1613">
        <v>11566</v>
      </c>
      <c r="D14" s="1602">
        <v>10484</v>
      </c>
      <c r="E14" s="1613">
        <v>10707</v>
      </c>
      <c r="F14" s="2045">
        <v>9251</v>
      </c>
      <c r="G14" s="2093"/>
      <c r="H14" s="2093"/>
    </row>
    <row r="15" spans="1:8" x14ac:dyDescent="0.15">
      <c r="A15" s="2098" t="s">
        <v>3325</v>
      </c>
      <c r="B15" s="1614" t="s">
        <v>181</v>
      </c>
      <c r="C15" s="1613">
        <v>24302</v>
      </c>
      <c r="D15" s="1602">
        <v>28351</v>
      </c>
      <c r="E15" s="1613">
        <v>29430</v>
      </c>
      <c r="F15" s="2045" t="s">
        <v>181</v>
      </c>
      <c r="G15" s="2093"/>
      <c r="H15" s="2093"/>
    </row>
    <row r="16" spans="1:8" ht="11.25" x14ac:dyDescent="0.15">
      <c r="A16" s="2098" t="s">
        <v>3326</v>
      </c>
      <c r="B16" s="1614" t="s">
        <v>181</v>
      </c>
      <c r="C16" s="1613">
        <v>37055</v>
      </c>
      <c r="D16" s="1608">
        <v>41178</v>
      </c>
      <c r="E16" s="1613">
        <v>53194</v>
      </c>
      <c r="F16" s="2045">
        <v>163056</v>
      </c>
      <c r="G16" s="2093"/>
      <c r="H16" s="2093"/>
    </row>
    <row r="17" spans="1:8" x14ac:dyDescent="0.15">
      <c r="A17" s="2098" t="s">
        <v>3327</v>
      </c>
      <c r="B17" s="1614" t="s">
        <v>181</v>
      </c>
      <c r="C17" s="1613">
        <v>8151</v>
      </c>
      <c r="D17" s="1608">
        <v>8920</v>
      </c>
      <c r="E17" s="1613">
        <v>11969</v>
      </c>
      <c r="F17" s="2045" t="s">
        <v>181</v>
      </c>
      <c r="G17" s="2093"/>
      <c r="H17" s="2093"/>
    </row>
    <row r="18" spans="1:8" x14ac:dyDescent="0.15">
      <c r="A18" s="2098" t="s">
        <v>3328</v>
      </c>
      <c r="B18" s="1614" t="s">
        <v>181</v>
      </c>
      <c r="C18" s="1613">
        <v>15729</v>
      </c>
      <c r="D18" s="1608">
        <v>22231</v>
      </c>
      <c r="E18" s="1613">
        <v>24523</v>
      </c>
      <c r="F18" s="2045">
        <v>26931</v>
      </c>
      <c r="G18" s="2093"/>
      <c r="H18" s="2093"/>
    </row>
    <row r="19" spans="1:8" ht="11.25" x14ac:dyDescent="0.15">
      <c r="A19" s="2098" t="s">
        <v>3329</v>
      </c>
      <c r="B19" s="1614" t="s">
        <v>181</v>
      </c>
      <c r="C19" s="1613">
        <v>82948</v>
      </c>
      <c r="D19" s="1608">
        <v>102418</v>
      </c>
      <c r="E19" s="1613">
        <v>101431</v>
      </c>
      <c r="F19" s="2045">
        <v>492878</v>
      </c>
      <c r="G19" s="2093"/>
      <c r="H19" s="2093"/>
    </row>
    <row r="20" spans="1:8" x14ac:dyDescent="0.15">
      <c r="A20" s="2098" t="s">
        <v>3330</v>
      </c>
      <c r="B20" s="1614" t="s">
        <v>181</v>
      </c>
      <c r="C20" s="1613">
        <v>11903</v>
      </c>
      <c r="D20" s="1608">
        <v>26680</v>
      </c>
      <c r="E20" s="1613">
        <v>332</v>
      </c>
      <c r="F20" s="2045" t="s">
        <v>181</v>
      </c>
      <c r="G20" s="2093"/>
      <c r="H20" s="2093"/>
    </row>
    <row r="21" spans="1:8" x14ac:dyDescent="0.15">
      <c r="A21" s="2098" t="s">
        <v>3331</v>
      </c>
      <c r="B21" s="1614" t="s">
        <v>181</v>
      </c>
      <c r="C21" s="1613">
        <v>2204</v>
      </c>
      <c r="D21" s="1608">
        <v>3466</v>
      </c>
      <c r="E21" s="1613">
        <v>3082</v>
      </c>
      <c r="F21" s="2045" t="s">
        <v>181</v>
      </c>
      <c r="G21" s="2093"/>
      <c r="H21" s="2093"/>
    </row>
    <row r="22" spans="1:8" x14ac:dyDescent="0.15">
      <c r="A22" s="2098" t="s">
        <v>3332</v>
      </c>
      <c r="B22" s="1614" t="s">
        <v>181</v>
      </c>
      <c r="C22" s="1613">
        <v>79764</v>
      </c>
      <c r="D22" s="1608">
        <v>116595</v>
      </c>
      <c r="E22" s="1613">
        <v>131162</v>
      </c>
      <c r="F22" s="2045">
        <v>104409</v>
      </c>
      <c r="G22" s="2093"/>
      <c r="H22" s="2093"/>
    </row>
    <row r="23" spans="1:8" x14ac:dyDescent="0.15">
      <c r="A23" s="2098" t="s">
        <v>3333</v>
      </c>
      <c r="B23" s="1614" t="s">
        <v>181</v>
      </c>
      <c r="C23" s="1613">
        <v>47613</v>
      </c>
      <c r="D23" s="1608">
        <v>24860</v>
      </c>
      <c r="E23" s="1613">
        <v>32092</v>
      </c>
      <c r="F23" s="2045" t="s">
        <v>181</v>
      </c>
      <c r="G23" s="2093"/>
      <c r="H23" s="2093"/>
    </row>
    <row r="24" spans="1:8" x14ac:dyDescent="0.15">
      <c r="A24" s="2098" t="s">
        <v>3334</v>
      </c>
      <c r="B24" s="1614" t="s">
        <v>181</v>
      </c>
      <c r="C24" s="1613">
        <v>20386</v>
      </c>
      <c r="D24" s="1608">
        <v>23466</v>
      </c>
      <c r="E24" s="1613">
        <v>27709</v>
      </c>
      <c r="F24" s="2045">
        <v>27443</v>
      </c>
      <c r="G24" s="2093"/>
      <c r="H24" s="2093"/>
    </row>
    <row r="25" spans="1:8" x14ac:dyDescent="0.15">
      <c r="A25" s="2098" t="s">
        <v>3335</v>
      </c>
      <c r="B25" s="1614" t="s">
        <v>181</v>
      </c>
      <c r="C25" s="1613">
        <v>91833</v>
      </c>
      <c r="D25" s="1608">
        <v>113641</v>
      </c>
      <c r="E25" s="1613">
        <v>256094</v>
      </c>
      <c r="F25" s="2045" t="s">
        <v>181</v>
      </c>
      <c r="G25" s="2093"/>
      <c r="H25" s="2093"/>
    </row>
    <row r="26" spans="1:8" x14ac:dyDescent="0.15">
      <c r="A26" s="2098" t="s">
        <v>3336</v>
      </c>
      <c r="B26" s="1603" t="s">
        <v>181</v>
      </c>
      <c r="C26" s="1613" t="s">
        <v>181</v>
      </c>
      <c r="D26" s="1608">
        <v>26641</v>
      </c>
      <c r="E26" s="1613">
        <v>41771</v>
      </c>
      <c r="F26" s="2045" t="s">
        <v>181</v>
      </c>
      <c r="G26" s="2093"/>
      <c r="H26" s="2093"/>
    </row>
    <row r="27" spans="1:8" ht="11.25" x14ac:dyDescent="0.15">
      <c r="A27" s="2098" t="s">
        <v>3337</v>
      </c>
      <c r="B27" s="1612">
        <v>1504</v>
      </c>
      <c r="C27" s="1613" t="s">
        <v>181</v>
      </c>
      <c r="D27" s="1613" t="s">
        <v>181</v>
      </c>
      <c r="E27" s="1613" t="s">
        <v>181</v>
      </c>
      <c r="F27" s="2045" t="s">
        <v>181</v>
      </c>
      <c r="G27" s="2093"/>
      <c r="H27" s="2093"/>
    </row>
    <row r="28" spans="1:8" x14ac:dyDescent="0.15">
      <c r="A28" s="2098" t="s">
        <v>3338</v>
      </c>
      <c r="B28" s="1612">
        <v>17988</v>
      </c>
      <c r="C28" s="1613" t="s">
        <v>181</v>
      </c>
      <c r="D28" s="1613" t="s">
        <v>181</v>
      </c>
      <c r="E28" s="1613" t="s">
        <v>181</v>
      </c>
      <c r="F28" s="2045" t="s">
        <v>181</v>
      </c>
      <c r="G28" s="2093"/>
      <c r="H28" s="2093"/>
    </row>
    <row r="29" spans="1:8" ht="11.25" x14ac:dyDescent="0.15">
      <c r="A29" s="2098" t="s">
        <v>3339</v>
      </c>
      <c r="B29" s="1612">
        <v>108</v>
      </c>
      <c r="C29" s="1613" t="s">
        <v>181</v>
      </c>
      <c r="D29" s="1613" t="s">
        <v>181</v>
      </c>
      <c r="E29" s="1613" t="s">
        <v>181</v>
      </c>
      <c r="F29" s="2045" t="s">
        <v>181</v>
      </c>
      <c r="G29" s="2093"/>
      <c r="H29" s="2093"/>
    </row>
    <row r="30" spans="1:8" x14ac:dyDescent="0.15">
      <c r="A30" s="2477"/>
      <c r="B30" s="2477"/>
      <c r="C30" s="2477"/>
      <c r="D30" s="2477"/>
      <c r="E30" s="2477"/>
      <c r="F30" s="2477"/>
      <c r="G30" s="2093"/>
      <c r="H30" s="2093"/>
    </row>
    <row r="31" spans="1:8" ht="11.25" customHeight="1" x14ac:dyDescent="0.15">
      <c r="A31" s="2345" t="s">
        <v>3340</v>
      </c>
      <c r="B31" s="2345"/>
      <c r="C31" s="2345"/>
      <c r="D31" s="2345"/>
      <c r="E31" s="2345"/>
      <c r="F31" s="2345"/>
      <c r="G31" s="2093"/>
      <c r="H31" s="2093"/>
    </row>
    <row r="32" spans="1:8" ht="11.25" customHeight="1" x14ac:dyDescent="0.15">
      <c r="A32" s="2477" t="s">
        <v>3341</v>
      </c>
      <c r="B32" s="2477"/>
      <c r="C32" s="2477"/>
      <c r="D32" s="2477"/>
      <c r="E32" s="2477"/>
      <c r="F32" s="2477"/>
      <c r="G32" s="2093"/>
      <c r="H32" s="2093"/>
    </row>
    <row r="33" spans="1:8" ht="22.5" customHeight="1" x14ac:dyDescent="0.15">
      <c r="A33" s="2857" t="s">
        <v>3342</v>
      </c>
      <c r="B33" s="2857"/>
      <c r="C33" s="2857"/>
      <c r="D33" s="2857"/>
      <c r="E33" s="2857"/>
      <c r="F33" s="2857"/>
      <c r="G33" s="2093"/>
      <c r="H33" s="2093"/>
    </row>
    <row r="34" spans="1:8" ht="11.25" customHeight="1" x14ac:dyDescent="0.15">
      <c r="A34" s="2857" t="s">
        <v>3343</v>
      </c>
      <c r="B34" s="2857"/>
      <c r="C34" s="2857"/>
      <c r="D34" s="2857"/>
      <c r="E34" s="2857"/>
      <c r="F34" s="2857"/>
      <c r="G34" s="2093"/>
      <c r="H34" s="2093"/>
    </row>
    <row r="35" spans="1:8" ht="11.25" customHeight="1" x14ac:dyDescent="0.15">
      <c r="A35" s="2750" t="s">
        <v>3344</v>
      </c>
      <c r="B35" s="2750"/>
      <c r="C35" s="2750"/>
      <c r="D35" s="2750"/>
      <c r="E35" s="2750"/>
      <c r="F35" s="2750"/>
      <c r="G35" s="2093"/>
      <c r="H35" s="2093"/>
    </row>
    <row r="36" spans="1:8" x14ac:dyDescent="0.15">
      <c r="A36" s="2892" t="s">
        <v>184</v>
      </c>
      <c r="B36" s="2892"/>
      <c r="C36" s="2892"/>
      <c r="D36" s="2892"/>
      <c r="E36" s="2892"/>
      <c r="F36" s="2892"/>
      <c r="G36" s="2093"/>
      <c r="H36" s="2093"/>
    </row>
    <row r="37" spans="1:8" ht="11.25" customHeight="1" x14ac:dyDescent="0.15">
      <c r="A37" s="2356" t="s">
        <v>3291</v>
      </c>
      <c r="B37" s="2356"/>
      <c r="C37" s="2356"/>
      <c r="D37" s="2356"/>
      <c r="E37" s="2356"/>
      <c r="F37" s="2373"/>
      <c r="G37" s="2093"/>
      <c r="H37" s="2093"/>
    </row>
    <row r="38" spans="1:8" x14ac:dyDescent="0.15">
      <c r="A38" s="2093"/>
      <c r="B38" s="2093"/>
      <c r="C38" s="2093"/>
      <c r="D38" s="2093"/>
      <c r="E38" s="2093"/>
      <c r="F38" s="2093"/>
      <c r="G38" s="2093"/>
      <c r="H38" s="2093"/>
    </row>
    <row r="39" spans="1:8" x14ac:dyDescent="0.15">
      <c r="A39" s="2093"/>
      <c r="B39" s="2093"/>
      <c r="C39" s="2093"/>
      <c r="D39" s="2093"/>
      <c r="E39" s="2093"/>
      <c r="F39" s="2093"/>
      <c r="G39" s="2093"/>
      <c r="H39" s="2093"/>
    </row>
  </sheetData>
  <mergeCells count="12">
    <mergeCell ref="A37:F37"/>
    <mergeCell ref="A2:F2"/>
    <mergeCell ref="A3:F3"/>
    <mergeCell ref="A4:A5"/>
    <mergeCell ref="B4:F4"/>
    <mergeCell ref="A30:F30"/>
    <mergeCell ref="A31:F31"/>
    <mergeCell ref="A32:F32"/>
    <mergeCell ref="A33:F33"/>
    <mergeCell ref="A34:F34"/>
    <mergeCell ref="A35:F35"/>
    <mergeCell ref="A36:F3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1:F106"/>
  <sheetViews>
    <sheetView workbookViewId="0">
      <selection activeCell="G14" sqref="G14"/>
    </sheetView>
  </sheetViews>
  <sheetFormatPr baseColWidth="10" defaultColWidth="9.140625" defaultRowHeight="12.75" x14ac:dyDescent="0.2"/>
  <cols>
    <col min="1" max="1" width="32.7109375" style="111" customWidth="1"/>
    <col min="2" max="2" width="16" style="111" customWidth="1"/>
    <col min="3" max="3" width="14.140625" style="111" customWidth="1"/>
    <col min="4" max="4" width="13.42578125" style="111" customWidth="1"/>
    <col min="5" max="5" width="9.140625" style="111" customWidth="1"/>
    <col min="6" max="6" width="16.42578125" style="111" customWidth="1"/>
    <col min="7" max="16384" width="9.140625" style="111"/>
  </cols>
  <sheetData>
    <row r="1" spans="1:6" ht="10.5" customHeight="1" x14ac:dyDescent="0.2"/>
    <row r="2" spans="1:6" ht="22.5" customHeight="1" x14ac:dyDescent="0.2">
      <c r="A2" s="2371" t="s">
        <v>3345</v>
      </c>
      <c r="B2" s="3390"/>
      <c r="C2" s="3390"/>
      <c r="D2" s="3390"/>
    </row>
    <row r="3" spans="1:6" ht="10.5" customHeight="1" x14ac:dyDescent="0.2">
      <c r="A3" s="2464"/>
      <c r="B3" s="2464"/>
      <c r="C3" s="2464"/>
      <c r="D3" s="2464"/>
    </row>
    <row r="4" spans="1:6" x14ac:dyDescent="0.2">
      <c r="A4" s="2351" t="s">
        <v>3346</v>
      </c>
      <c r="B4" s="2374" t="s">
        <v>3347</v>
      </c>
      <c r="C4" s="2671"/>
      <c r="D4" s="2671"/>
    </row>
    <row r="5" spans="1:6" x14ac:dyDescent="0.2">
      <c r="A5" s="2351"/>
      <c r="B5" s="2096" t="s">
        <v>69</v>
      </c>
      <c r="C5" s="2096" t="s">
        <v>966</v>
      </c>
      <c r="D5" s="2096" t="s">
        <v>967</v>
      </c>
    </row>
    <row r="6" spans="1:6" x14ac:dyDescent="0.2">
      <c r="A6" s="2097" t="s">
        <v>4</v>
      </c>
      <c r="B6" s="718">
        <f>+B7+B9+B12+B14+B16+B21+B27+B59+B64+B70+B76+B80+B83+B86+B88</f>
        <v>385</v>
      </c>
      <c r="C6" s="718">
        <f>+C7+C9+C12+C14+C16+C21+C27+C59+C64+C70+C76+C80+C83+C86+C88</f>
        <v>235</v>
      </c>
      <c r="D6" s="718">
        <f>+D7+D9+D12+D14+D16+D21+D27+D59+D64+D70+D76+D80+D83+D86+D88</f>
        <v>150</v>
      </c>
      <c r="E6" s="2108"/>
      <c r="F6" s="2108"/>
    </row>
    <row r="7" spans="1:6" x14ac:dyDescent="0.2">
      <c r="A7" s="2097" t="s">
        <v>5</v>
      </c>
      <c r="B7" s="718">
        <f>SUM(B8)</f>
        <v>2</v>
      </c>
      <c r="C7" s="718">
        <f>SUM(C8)</f>
        <v>2</v>
      </c>
      <c r="D7" s="718">
        <f>SUM(D8)</f>
        <v>0</v>
      </c>
      <c r="E7" s="2108"/>
      <c r="F7" s="2108"/>
    </row>
    <row r="8" spans="1:6" x14ac:dyDescent="0.2">
      <c r="A8" s="2098" t="s">
        <v>3348</v>
      </c>
      <c r="B8" s="438">
        <f>SUM(C8:D8)</f>
        <v>2</v>
      </c>
      <c r="C8" s="438">
        <v>2</v>
      </c>
      <c r="D8" s="438">
        <v>0</v>
      </c>
      <c r="E8" s="2108"/>
      <c r="F8" s="2108"/>
    </row>
    <row r="9" spans="1:6" x14ac:dyDescent="0.2">
      <c r="A9" s="2097" t="s">
        <v>6</v>
      </c>
      <c r="B9" s="718">
        <f>SUM(B10:B11)</f>
        <v>0</v>
      </c>
      <c r="C9" s="718">
        <f>SUM(C10:C11)</f>
        <v>0</v>
      </c>
      <c r="D9" s="718">
        <f>SUM(D10:D11)</f>
        <v>0</v>
      </c>
      <c r="E9" s="2108"/>
      <c r="F9" s="2108"/>
    </row>
    <row r="10" spans="1:6" x14ac:dyDescent="0.2">
      <c r="A10" s="2098" t="s">
        <v>3349</v>
      </c>
      <c r="B10" s="438">
        <f>SUM(C10:D10)</f>
        <v>0</v>
      </c>
      <c r="C10" s="438">
        <v>0</v>
      </c>
      <c r="D10" s="438">
        <v>0</v>
      </c>
      <c r="E10" s="2108"/>
      <c r="F10" s="2108"/>
    </row>
    <row r="11" spans="1:6" x14ac:dyDescent="0.2">
      <c r="A11" s="2098" t="s">
        <v>3350</v>
      </c>
      <c r="B11" s="438">
        <f>SUM(C11:D11)</f>
        <v>0</v>
      </c>
      <c r="C11" s="438">
        <v>0</v>
      </c>
      <c r="D11" s="438">
        <v>0</v>
      </c>
      <c r="E11" s="2108"/>
      <c r="F11" s="2108"/>
    </row>
    <row r="12" spans="1:6" x14ac:dyDescent="0.2">
      <c r="A12" s="2097" t="s">
        <v>7</v>
      </c>
      <c r="B12" s="718">
        <f>SUM(B13)</f>
        <v>0</v>
      </c>
      <c r="C12" s="718">
        <f>SUM(C13)</f>
        <v>0</v>
      </c>
      <c r="D12" s="718">
        <f>SUM(D13)</f>
        <v>0</v>
      </c>
      <c r="E12" s="2108"/>
      <c r="F12" s="2108"/>
    </row>
    <row r="13" spans="1:6" x14ac:dyDescent="0.2">
      <c r="A13" s="2098" t="s">
        <v>3350</v>
      </c>
      <c r="B13" s="438">
        <f>SUM(C13:D13)</f>
        <v>0</v>
      </c>
      <c r="C13" s="438">
        <v>0</v>
      </c>
      <c r="D13" s="438">
        <v>0</v>
      </c>
      <c r="E13" s="2108"/>
      <c r="F13" s="2108"/>
    </row>
    <row r="14" spans="1:6" x14ac:dyDescent="0.2">
      <c r="A14" s="2097" t="s">
        <v>8</v>
      </c>
      <c r="B14" s="718">
        <f>SUM(B15)</f>
        <v>1</v>
      </c>
      <c r="C14" s="718">
        <f>SUM(C15)</f>
        <v>0</v>
      </c>
      <c r="D14" s="718">
        <f>SUM(D15)</f>
        <v>1</v>
      </c>
      <c r="E14" s="2108"/>
      <c r="F14" s="2108"/>
    </row>
    <row r="15" spans="1:6" x14ac:dyDescent="0.2">
      <c r="A15" s="2098" t="s">
        <v>3348</v>
      </c>
      <c r="B15" s="438">
        <f>SUM(C15:D15)</f>
        <v>1</v>
      </c>
      <c r="C15" s="438">
        <v>0</v>
      </c>
      <c r="D15" s="438">
        <v>1</v>
      </c>
      <c r="E15" s="2108"/>
      <c r="F15" s="2108"/>
    </row>
    <row r="16" spans="1:6" x14ac:dyDescent="0.2">
      <c r="A16" s="2097" t="s">
        <v>9</v>
      </c>
      <c r="B16" s="718">
        <f>SUM(B17:B20)</f>
        <v>0</v>
      </c>
      <c r="C16" s="718">
        <f>SUM(C17:C20)</f>
        <v>0</v>
      </c>
      <c r="D16" s="718">
        <f>SUM(D17:D20)</f>
        <v>0</v>
      </c>
      <c r="E16" s="2108"/>
      <c r="F16" s="2108"/>
    </row>
    <row r="17" spans="1:6" x14ac:dyDescent="0.2">
      <c r="A17" s="2098" t="s">
        <v>3348</v>
      </c>
      <c r="B17" s="438">
        <f>SUM(C17:D17)</f>
        <v>0</v>
      </c>
      <c r="C17" s="438">
        <v>0</v>
      </c>
      <c r="D17" s="438">
        <v>0</v>
      </c>
      <c r="E17" s="2108"/>
      <c r="F17" s="2108"/>
    </row>
    <row r="18" spans="1:6" x14ac:dyDescent="0.2">
      <c r="A18" s="2098" t="s">
        <v>3351</v>
      </c>
      <c r="B18" s="438">
        <f>SUM(C18:D18)</f>
        <v>0</v>
      </c>
      <c r="C18" s="438">
        <v>0</v>
      </c>
      <c r="D18" s="438">
        <v>0</v>
      </c>
      <c r="E18" s="2108"/>
      <c r="F18" s="2108"/>
    </row>
    <row r="19" spans="1:6" x14ac:dyDescent="0.2">
      <c r="A19" s="2098" t="s">
        <v>3349</v>
      </c>
      <c r="B19" s="438">
        <f>SUM(C19:D19)</f>
        <v>0</v>
      </c>
      <c r="C19" s="438">
        <v>0</v>
      </c>
      <c r="D19" s="438">
        <v>0</v>
      </c>
      <c r="E19" s="2108"/>
      <c r="F19" s="2108"/>
    </row>
    <row r="20" spans="1:6" x14ac:dyDescent="0.2">
      <c r="A20" s="2098" t="s">
        <v>3352</v>
      </c>
      <c r="B20" s="438">
        <f>SUM(C20:D20)</f>
        <v>0</v>
      </c>
      <c r="C20" s="438">
        <v>0</v>
      </c>
      <c r="D20" s="438">
        <v>0</v>
      </c>
      <c r="E20" s="2108"/>
      <c r="F20" s="2108"/>
    </row>
    <row r="21" spans="1:6" x14ac:dyDescent="0.2">
      <c r="A21" s="2097" t="s">
        <v>10</v>
      </c>
      <c r="B21" s="718">
        <f>SUM(B22:B26)</f>
        <v>8</v>
      </c>
      <c r="C21" s="718">
        <f>SUM(C22:C26)</f>
        <v>7</v>
      </c>
      <c r="D21" s="718">
        <f>SUM(D22:D26)</f>
        <v>1</v>
      </c>
      <c r="E21" s="2108"/>
      <c r="F21" s="2108"/>
    </row>
    <row r="22" spans="1:6" x14ac:dyDescent="0.2">
      <c r="A22" s="2098" t="s">
        <v>3353</v>
      </c>
      <c r="B22" s="438">
        <f>SUM(C22:D22)</f>
        <v>4</v>
      </c>
      <c r="C22" s="438">
        <v>4</v>
      </c>
      <c r="D22" s="438">
        <v>0</v>
      </c>
      <c r="E22" s="2108"/>
      <c r="F22" s="2108"/>
    </row>
    <row r="23" spans="1:6" x14ac:dyDescent="0.2">
      <c r="A23" s="2098" t="s">
        <v>3354</v>
      </c>
      <c r="B23" s="438">
        <f>SUM(C23:D23)</f>
        <v>0</v>
      </c>
      <c r="C23" s="438">
        <v>0</v>
      </c>
      <c r="D23" s="438">
        <v>0</v>
      </c>
      <c r="E23" s="2108"/>
      <c r="F23" s="2108"/>
    </row>
    <row r="24" spans="1:6" x14ac:dyDescent="0.2">
      <c r="A24" s="2098" t="s">
        <v>3355</v>
      </c>
      <c r="B24" s="438">
        <f>SUM(C24:D24)</f>
        <v>1</v>
      </c>
      <c r="C24" s="438">
        <v>1</v>
      </c>
      <c r="D24" s="438">
        <v>0</v>
      </c>
      <c r="E24" s="2108"/>
      <c r="F24" s="2108"/>
    </row>
    <row r="25" spans="1:6" x14ac:dyDescent="0.2">
      <c r="A25" s="2098" t="s">
        <v>3356</v>
      </c>
      <c r="B25" s="438">
        <f>SUM(C25:D25)</f>
        <v>2</v>
      </c>
      <c r="C25" s="438">
        <v>2</v>
      </c>
      <c r="D25" s="438">
        <v>0</v>
      </c>
      <c r="E25" s="2108"/>
      <c r="F25" s="2108"/>
    </row>
    <row r="26" spans="1:6" x14ac:dyDescent="0.2">
      <c r="A26" s="2098" t="s">
        <v>3357</v>
      </c>
      <c r="B26" s="438">
        <f>SUM(C26:D26)</f>
        <v>1</v>
      </c>
      <c r="C26" s="438">
        <v>0</v>
      </c>
      <c r="D26" s="438">
        <v>1</v>
      </c>
      <c r="E26" s="2108"/>
      <c r="F26" s="2108"/>
    </row>
    <row r="27" spans="1:6" x14ac:dyDescent="0.2">
      <c r="A27" s="2097" t="s">
        <v>11</v>
      </c>
      <c r="B27" s="718">
        <f>SUM(B28:B58)</f>
        <v>312</v>
      </c>
      <c r="C27" s="718">
        <f>SUM(C28:C58)</f>
        <v>182</v>
      </c>
      <c r="D27" s="718">
        <f>SUM(D28:D58)</f>
        <v>130</v>
      </c>
      <c r="E27" s="2108"/>
      <c r="F27" s="2108"/>
    </row>
    <row r="28" spans="1:6" x14ac:dyDescent="0.2">
      <c r="A28" s="2098" t="s">
        <v>3348</v>
      </c>
      <c r="B28" s="438">
        <f>SUM(C28:D28)</f>
        <v>26</v>
      </c>
      <c r="C28" s="438">
        <v>16</v>
      </c>
      <c r="D28" s="438">
        <v>10</v>
      </c>
      <c r="E28" s="2108"/>
      <c r="F28" s="2108"/>
    </row>
    <row r="29" spans="1:6" x14ac:dyDescent="0.2">
      <c r="A29" s="2098" t="s">
        <v>3353</v>
      </c>
      <c r="B29" s="438">
        <f t="shared" ref="B29:B58" si="0">SUM(C29:D29)</f>
        <v>7</v>
      </c>
      <c r="C29" s="438">
        <v>7</v>
      </c>
      <c r="D29" s="438">
        <v>0</v>
      </c>
      <c r="E29" s="2108"/>
      <c r="F29" s="2108"/>
    </row>
    <row r="30" spans="1:6" x14ac:dyDescent="0.2">
      <c r="A30" s="2098" t="s">
        <v>3358</v>
      </c>
      <c r="B30" s="438">
        <f t="shared" si="0"/>
        <v>21</v>
      </c>
      <c r="C30" s="438">
        <v>11</v>
      </c>
      <c r="D30" s="438">
        <v>10</v>
      </c>
      <c r="E30" s="2108"/>
      <c r="F30" s="2108"/>
    </row>
    <row r="31" spans="1:6" x14ac:dyDescent="0.2">
      <c r="A31" s="2098" t="s">
        <v>3359</v>
      </c>
      <c r="B31" s="438">
        <f t="shared" si="0"/>
        <v>1</v>
      </c>
      <c r="C31" s="438">
        <v>1</v>
      </c>
      <c r="D31" s="438">
        <v>0</v>
      </c>
      <c r="E31" s="2108"/>
      <c r="F31" s="2108"/>
    </row>
    <row r="32" spans="1:6" x14ac:dyDescent="0.2">
      <c r="A32" s="2098" t="s">
        <v>3360</v>
      </c>
      <c r="B32" s="438">
        <f t="shared" si="0"/>
        <v>2</v>
      </c>
      <c r="C32" s="438">
        <v>0</v>
      </c>
      <c r="D32" s="438">
        <v>2</v>
      </c>
      <c r="E32" s="2108"/>
      <c r="F32" s="2108"/>
    </row>
    <row r="33" spans="1:6" x14ac:dyDescent="0.2">
      <c r="A33" s="2098" t="s">
        <v>3351</v>
      </c>
      <c r="B33" s="438">
        <f t="shared" si="0"/>
        <v>19</v>
      </c>
      <c r="C33" s="438">
        <v>10</v>
      </c>
      <c r="D33" s="438">
        <v>9</v>
      </c>
      <c r="E33" s="2108"/>
      <c r="F33" s="2108"/>
    </row>
    <row r="34" spans="1:6" x14ac:dyDescent="0.2">
      <c r="A34" s="2098" t="s">
        <v>3361</v>
      </c>
      <c r="B34" s="438">
        <f t="shared" si="0"/>
        <v>12</v>
      </c>
      <c r="C34" s="438">
        <v>11</v>
      </c>
      <c r="D34" s="438">
        <v>1</v>
      </c>
      <c r="E34" s="2108"/>
      <c r="F34" s="2108"/>
    </row>
    <row r="35" spans="1:6" x14ac:dyDescent="0.2">
      <c r="A35" s="2098" t="s">
        <v>3362</v>
      </c>
      <c r="B35" s="438">
        <f t="shared" si="0"/>
        <v>11</v>
      </c>
      <c r="C35" s="438">
        <v>7</v>
      </c>
      <c r="D35" s="438">
        <v>4</v>
      </c>
      <c r="E35" s="2108"/>
      <c r="F35" s="2108"/>
    </row>
    <row r="36" spans="1:6" x14ac:dyDescent="0.2">
      <c r="A36" s="2098" t="s">
        <v>3363</v>
      </c>
      <c r="B36" s="438">
        <f t="shared" si="0"/>
        <v>5</v>
      </c>
      <c r="C36" s="438">
        <v>3</v>
      </c>
      <c r="D36" s="438">
        <v>2</v>
      </c>
      <c r="E36" s="2108"/>
      <c r="F36" s="2108"/>
    </row>
    <row r="37" spans="1:6" x14ac:dyDescent="0.2">
      <c r="A37" s="2098" t="s">
        <v>3354</v>
      </c>
      <c r="B37" s="438">
        <f t="shared" si="0"/>
        <v>8</v>
      </c>
      <c r="C37" s="438">
        <v>3</v>
      </c>
      <c r="D37" s="438">
        <v>5</v>
      </c>
      <c r="E37" s="2108"/>
      <c r="F37" s="2108"/>
    </row>
    <row r="38" spans="1:6" x14ac:dyDescent="0.2">
      <c r="A38" s="2098" t="s">
        <v>3364</v>
      </c>
      <c r="B38" s="438">
        <f t="shared" si="0"/>
        <v>2</v>
      </c>
      <c r="C38" s="438">
        <v>2</v>
      </c>
      <c r="D38" s="438">
        <v>0</v>
      </c>
      <c r="E38" s="2108"/>
      <c r="F38" s="2108"/>
    </row>
    <row r="39" spans="1:6" x14ac:dyDescent="0.2">
      <c r="A39" s="2098" t="s">
        <v>3365</v>
      </c>
      <c r="B39" s="438">
        <f t="shared" si="0"/>
        <v>32</v>
      </c>
      <c r="C39" s="438">
        <v>16</v>
      </c>
      <c r="D39" s="438">
        <v>16</v>
      </c>
      <c r="E39" s="2108"/>
      <c r="F39" s="2108"/>
    </row>
    <row r="40" spans="1:6" x14ac:dyDescent="0.2">
      <c r="A40" s="2098" t="s">
        <v>3366</v>
      </c>
      <c r="B40" s="438">
        <f t="shared" si="0"/>
        <v>16</v>
      </c>
      <c r="C40" s="438">
        <v>5</v>
      </c>
      <c r="D40" s="438">
        <v>11</v>
      </c>
      <c r="E40" s="2108"/>
      <c r="F40" s="2108"/>
    </row>
    <row r="41" spans="1:6" x14ac:dyDescent="0.2">
      <c r="A41" s="2098" t="s">
        <v>3350</v>
      </c>
      <c r="B41" s="438">
        <f t="shared" si="0"/>
        <v>6</v>
      </c>
      <c r="C41" s="438">
        <v>5</v>
      </c>
      <c r="D41" s="438">
        <v>1</v>
      </c>
      <c r="E41" s="2108"/>
      <c r="F41" s="2108"/>
    </row>
    <row r="42" spans="1:6" x14ac:dyDescent="0.2">
      <c r="A42" s="2098" t="s">
        <v>3367</v>
      </c>
      <c r="B42" s="438">
        <f t="shared" si="0"/>
        <v>19</v>
      </c>
      <c r="C42" s="438">
        <v>12</v>
      </c>
      <c r="D42" s="438">
        <v>7</v>
      </c>
      <c r="E42" s="2108"/>
      <c r="F42" s="2108"/>
    </row>
    <row r="43" spans="1:6" x14ac:dyDescent="0.2">
      <c r="A43" s="2098" t="s">
        <v>3368</v>
      </c>
      <c r="B43" s="438">
        <f t="shared" si="0"/>
        <v>4</v>
      </c>
      <c r="C43" s="438">
        <v>4</v>
      </c>
      <c r="D43" s="438">
        <v>0</v>
      </c>
      <c r="E43" s="2108"/>
      <c r="F43" s="2108"/>
    </row>
    <row r="44" spans="1:6" x14ac:dyDescent="0.2">
      <c r="A44" s="2098" t="s">
        <v>3349</v>
      </c>
      <c r="B44" s="438">
        <f t="shared" si="0"/>
        <v>4</v>
      </c>
      <c r="C44" s="438">
        <v>2</v>
      </c>
      <c r="D44" s="438">
        <v>2</v>
      </c>
      <c r="E44" s="2108"/>
      <c r="F44" s="2108"/>
    </row>
    <row r="45" spans="1:6" x14ac:dyDescent="0.2">
      <c r="A45" s="2098" t="s">
        <v>3369</v>
      </c>
      <c r="B45" s="438">
        <f t="shared" si="0"/>
        <v>3</v>
      </c>
      <c r="C45" s="438">
        <v>2</v>
      </c>
      <c r="D45" s="438">
        <v>1</v>
      </c>
      <c r="E45" s="2108"/>
      <c r="F45" s="2108"/>
    </row>
    <row r="46" spans="1:6" x14ac:dyDescent="0.2">
      <c r="A46" s="2098" t="s">
        <v>3355</v>
      </c>
      <c r="B46" s="438">
        <f t="shared" si="0"/>
        <v>15</v>
      </c>
      <c r="C46" s="438">
        <v>12</v>
      </c>
      <c r="D46" s="438">
        <v>3</v>
      </c>
      <c r="E46" s="2108"/>
      <c r="F46" s="2108"/>
    </row>
    <row r="47" spans="1:6" x14ac:dyDescent="0.2">
      <c r="A47" s="2098" t="s">
        <v>3370</v>
      </c>
      <c r="B47" s="438">
        <f t="shared" si="0"/>
        <v>2</v>
      </c>
      <c r="C47" s="438">
        <v>0</v>
      </c>
      <c r="D47" s="438">
        <v>2</v>
      </c>
      <c r="E47" s="2108"/>
      <c r="F47" s="2108"/>
    </row>
    <row r="48" spans="1:6" x14ac:dyDescent="0.2">
      <c r="A48" s="2098" t="s">
        <v>3371</v>
      </c>
      <c r="B48" s="438">
        <f t="shared" si="0"/>
        <v>33</v>
      </c>
      <c r="C48" s="438">
        <v>14</v>
      </c>
      <c r="D48" s="438">
        <v>19</v>
      </c>
      <c r="E48" s="2108"/>
      <c r="F48" s="2108"/>
    </row>
    <row r="49" spans="1:6" x14ac:dyDescent="0.2">
      <c r="A49" s="2098" t="s">
        <v>3372</v>
      </c>
      <c r="B49" s="438">
        <f t="shared" si="0"/>
        <v>1</v>
      </c>
      <c r="C49" s="438">
        <v>0</v>
      </c>
      <c r="D49" s="438">
        <v>1</v>
      </c>
      <c r="E49" s="2108"/>
      <c r="F49" s="2108"/>
    </row>
    <row r="50" spans="1:6" x14ac:dyDescent="0.2">
      <c r="A50" s="2098" t="s">
        <v>3373</v>
      </c>
      <c r="B50" s="438">
        <f t="shared" si="0"/>
        <v>7</v>
      </c>
      <c r="C50" s="438">
        <v>5</v>
      </c>
      <c r="D50" s="438">
        <v>2</v>
      </c>
      <c r="E50" s="2108"/>
      <c r="F50" s="2108"/>
    </row>
    <row r="51" spans="1:6" x14ac:dyDescent="0.2">
      <c r="A51" s="2098" t="s">
        <v>3374</v>
      </c>
      <c r="B51" s="438">
        <f t="shared" si="0"/>
        <v>4</v>
      </c>
      <c r="C51" s="438">
        <v>2</v>
      </c>
      <c r="D51" s="438">
        <v>2</v>
      </c>
      <c r="E51" s="2108"/>
      <c r="F51" s="2108"/>
    </row>
    <row r="52" spans="1:6" x14ac:dyDescent="0.2">
      <c r="A52" s="2098" t="s">
        <v>3375</v>
      </c>
      <c r="B52" s="438">
        <f t="shared" si="0"/>
        <v>8</v>
      </c>
      <c r="C52" s="438">
        <v>5</v>
      </c>
      <c r="D52" s="438">
        <v>3</v>
      </c>
      <c r="E52" s="2108"/>
      <c r="F52" s="2108"/>
    </row>
    <row r="53" spans="1:6" x14ac:dyDescent="0.2">
      <c r="A53" s="2098" t="s">
        <v>3376</v>
      </c>
      <c r="B53" s="438">
        <f t="shared" si="0"/>
        <v>4</v>
      </c>
      <c r="C53" s="438">
        <v>2</v>
      </c>
      <c r="D53" s="438">
        <v>2</v>
      </c>
      <c r="E53" s="2108"/>
      <c r="F53" s="2108"/>
    </row>
    <row r="54" spans="1:6" x14ac:dyDescent="0.2">
      <c r="A54" s="2098" t="s">
        <v>3352</v>
      </c>
      <c r="B54" s="438">
        <f t="shared" si="0"/>
        <v>2</v>
      </c>
      <c r="C54" s="438">
        <v>2</v>
      </c>
      <c r="D54" s="438">
        <v>0</v>
      </c>
      <c r="E54" s="2108"/>
      <c r="F54" s="2108"/>
    </row>
    <row r="55" spans="1:6" x14ac:dyDescent="0.2">
      <c r="A55" s="2098" t="s">
        <v>3377</v>
      </c>
      <c r="B55" s="438">
        <f t="shared" si="0"/>
        <v>3</v>
      </c>
      <c r="C55" s="438">
        <v>1</v>
      </c>
      <c r="D55" s="438">
        <v>2</v>
      </c>
      <c r="E55" s="2108"/>
      <c r="F55" s="2108"/>
    </row>
    <row r="56" spans="1:6" x14ac:dyDescent="0.2">
      <c r="A56" s="2098" t="s">
        <v>3378</v>
      </c>
      <c r="B56" s="438">
        <f t="shared" si="0"/>
        <v>2</v>
      </c>
      <c r="C56" s="438">
        <v>2</v>
      </c>
      <c r="D56" s="438">
        <v>0</v>
      </c>
      <c r="E56" s="2108"/>
      <c r="F56" s="2108"/>
    </row>
    <row r="57" spans="1:6" x14ac:dyDescent="0.2">
      <c r="A57" s="2098" t="s">
        <v>3379</v>
      </c>
      <c r="B57" s="438">
        <f t="shared" si="0"/>
        <v>9</v>
      </c>
      <c r="C57" s="438">
        <v>5</v>
      </c>
      <c r="D57" s="438">
        <v>4</v>
      </c>
      <c r="E57" s="2108"/>
      <c r="F57" s="2108"/>
    </row>
    <row r="58" spans="1:6" x14ac:dyDescent="0.2">
      <c r="A58" s="2098" t="s">
        <v>3380</v>
      </c>
      <c r="B58" s="438">
        <f t="shared" si="0"/>
        <v>24</v>
      </c>
      <c r="C58" s="438">
        <v>15</v>
      </c>
      <c r="D58" s="438">
        <v>9</v>
      </c>
      <c r="E58" s="2108"/>
      <c r="F58" s="2108"/>
    </row>
    <row r="59" spans="1:6" x14ac:dyDescent="0.2">
      <c r="A59" s="2097" t="s">
        <v>781</v>
      </c>
      <c r="B59" s="718">
        <f>SUM(B60:B63)</f>
        <v>2</v>
      </c>
      <c r="C59" s="718">
        <f>SUM(C60:C63)</f>
        <v>1</v>
      </c>
      <c r="D59" s="718">
        <f>SUM(D60:D63)</f>
        <v>1</v>
      </c>
      <c r="E59" s="2108"/>
      <c r="F59" s="2108"/>
    </row>
    <row r="60" spans="1:6" x14ac:dyDescent="0.2">
      <c r="A60" s="2098" t="s">
        <v>3348</v>
      </c>
      <c r="B60" s="438">
        <f>SUM(C60:D60)</f>
        <v>0</v>
      </c>
      <c r="C60" s="438">
        <v>0</v>
      </c>
      <c r="D60" s="438">
        <v>0</v>
      </c>
      <c r="E60" s="2108"/>
      <c r="F60" s="2108"/>
    </row>
    <row r="61" spans="1:6" x14ac:dyDescent="0.2">
      <c r="A61" s="2098" t="s">
        <v>3374</v>
      </c>
      <c r="B61" s="438">
        <f>SUM(C61:D61)</f>
        <v>2</v>
      </c>
      <c r="C61" s="438">
        <v>1</v>
      </c>
      <c r="D61" s="438">
        <v>1</v>
      </c>
      <c r="E61" s="2108"/>
      <c r="F61" s="2108"/>
    </row>
    <row r="62" spans="1:6" x14ac:dyDescent="0.2">
      <c r="A62" s="2098" t="s">
        <v>3352</v>
      </c>
      <c r="B62" s="438">
        <f>SUM(C62:D62)</f>
        <v>0</v>
      </c>
      <c r="C62" s="438">
        <v>0</v>
      </c>
      <c r="D62" s="438">
        <v>0</v>
      </c>
      <c r="E62" s="2108"/>
      <c r="F62" s="2108"/>
    </row>
    <row r="63" spans="1:6" x14ac:dyDescent="0.2">
      <c r="A63" s="2098" t="s">
        <v>3351</v>
      </c>
      <c r="B63" s="438">
        <f>SUM(C63:D63)</f>
        <v>0</v>
      </c>
      <c r="C63" s="438">
        <v>0</v>
      </c>
      <c r="D63" s="438">
        <v>0</v>
      </c>
      <c r="E63" s="2108"/>
      <c r="F63" s="2108"/>
    </row>
    <row r="64" spans="1:6" x14ac:dyDescent="0.2">
      <c r="A64" s="2097" t="s">
        <v>13</v>
      </c>
      <c r="B64" s="718">
        <f>SUM(B65:B69)</f>
        <v>19</v>
      </c>
      <c r="C64" s="718">
        <f>SUM(C65:C69)</f>
        <v>12</v>
      </c>
      <c r="D64" s="718">
        <f>SUM(D65:D69)</f>
        <v>7</v>
      </c>
      <c r="E64" s="2108"/>
      <c r="F64" s="2108"/>
    </row>
    <row r="65" spans="1:6" x14ac:dyDescent="0.2">
      <c r="A65" s="2098" t="s">
        <v>3359</v>
      </c>
      <c r="B65" s="438">
        <f>SUM(C65:D65)</f>
        <v>1</v>
      </c>
      <c r="C65" s="438">
        <v>1</v>
      </c>
      <c r="D65" s="438">
        <v>0</v>
      </c>
      <c r="E65" s="2108"/>
      <c r="F65" s="2108"/>
    </row>
    <row r="66" spans="1:6" x14ac:dyDescent="0.2">
      <c r="A66" s="2098" t="s">
        <v>3360</v>
      </c>
      <c r="B66" s="438">
        <f>SUM(C66:D66)</f>
        <v>9</v>
      </c>
      <c r="C66" s="438">
        <v>6</v>
      </c>
      <c r="D66" s="438">
        <v>3</v>
      </c>
      <c r="E66" s="2108"/>
      <c r="F66" s="2108"/>
    </row>
    <row r="67" spans="1:6" x14ac:dyDescent="0.2">
      <c r="A67" s="2098" t="s">
        <v>3351</v>
      </c>
      <c r="B67" s="438">
        <f>SUM(C67:D67)</f>
        <v>6</v>
      </c>
      <c r="C67" s="438">
        <v>3</v>
      </c>
      <c r="D67" s="438">
        <v>3</v>
      </c>
      <c r="E67" s="2108"/>
      <c r="F67" s="2108"/>
    </row>
    <row r="68" spans="1:6" x14ac:dyDescent="0.2">
      <c r="A68" s="2098" t="s">
        <v>3354</v>
      </c>
      <c r="B68" s="438">
        <f>SUM(C68:D68)</f>
        <v>2</v>
      </c>
      <c r="C68" s="438">
        <v>1</v>
      </c>
      <c r="D68" s="438">
        <v>1</v>
      </c>
      <c r="E68" s="2108"/>
      <c r="F68" s="2108"/>
    </row>
    <row r="69" spans="1:6" x14ac:dyDescent="0.2">
      <c r="A69" s="2098" t="s">
        <v>3375</v>
      </c>
      <c r="B69" s="438">
        <f>SUM(C69:D69)</f>
        <v>1</v>
      </c>
      <c r="C69" s="438">
        <v>1</v>
      </c>
      <c r="D69" s="438">
        <v>0</v>
      </c>
      <c r="E69" s="2108"/>
      <c r="F69" s="2108"/>
    </row>
    <row r="70" spans="1:6" x14ac:dyDescent="0.2">
      <c r="A70" s="2097" t="s">
        <v>14</v>
      </c>
      <c r="B70" s="718">
        <f>SUM(B71:B75)</f>
        <v>16</v>
      </c>
      <c r="C70" s="718">
        <f>SUM(C71:C75)</f>
        <v>12</v>
      </c>
      <c r="D70" s="718">
        <f>SUM(D71:D75)</f>
        <v>4</v>
      </c>
      <c r="E70" s="2108"/>
      <c r="F70" s="2108"/>
    </row>
    <row r="71" spans="1:6" x14ac:dyDescent="0.2">
      <c r="A71" s="2098" t="s">
        <v>3348</v>
      </c>
      <c r="B71" s="438">
        <f>SUM(C71:D71)</f>
        <v>1</v>
      </c>
      <c r="C71" s="438">
        <v>1</v>
      </c>
      <c r="D71" s="438">
        <v>0</v>
      </c>
      <c r="E71" s="2108"/>
      <c r="F71" s="2108"/>
    </row>
    <row r="72" spans="1:6" x14ac:dyDescent="0.2">
      <c r="A72" s="2098" t="s">
        <v>3360</v>
      </c>
      <c r="B72" s="438">
        <f>SUM(C72:D72)</f>
        <v>5</v>
      </c>
      <c r="C72" s="438">
        <v>2</v>
      </c>
      <c r="D72" s="438">
        <v>3</v>
      </c>
      <c r="E72" s="2108"/>
      <c r="F72" s="2108"/>
    </row>
    <row r="73" spans="1:6" x14ac:dyDescent="0.2">
      <c r="A73" s="2098" t="s">
        <v>3351</v>
      </c>
      <c r="B73" s="438">
        <f>SUM(C73:D73)</f>
        <v>0</v>
      </c>
      <c r="C73" s="438">
        <v>0</v>
      </c>
      <c r="D73" s="438">
        <v>0</v>
      </c>
      <c r="E73" s="2108"/>
      <c r="F73" s="2108"/>
    </row>
    <row r="74" spans="1:6" x14ac:dyDescent="0.2">
      <c r="A74" s="2098" t="s">
        <v>3349</v>
      </c>
      <c r="B74" s="438">
        <f>SUM(C74:D74)</f>
        <v>2</v>
      </c>
      <c r="C74" s="438">
        <v>2</v>
      </c>
      <c r="D74" s="438">
        <v>0</v>
      </c>
      <c r="E74" s="2108"/>
      <c r="F74" s="2108"/>
    </row>
    <row r="75" spans="1:6" x14ac:dyDescent="0.2">
      <c r="A75" s="2098" t="s">
        <v>3356</v>
      </c>
      <c r="B75" s="438">
        <f>SUM(C75:D75)</f>
        <v>8</v>
      </c>
      <c r="C75" s="438">
        <v>7</v>
      </c>
      <c r="D75" s="438">
        <v>1</v>
      </c>
      <c r="E75" s="2108"/>
      <c r="F75" s="2108"/>
    </row>
    <row r="76" spans="1:6" x14ac:dyDescent="0.2">
      <c r="A76" s="2097" t="s">
        <v>15</v>
      </c>
      <c r="B76" s="718">
        <f>SUM(B77:B79)</f>
        <v>6</v>
      </c>
      <c r="C76" s="718">
        <f>SUM(C77:C79)</f>
        <v>4</v>
      </c>
      <c r="D76" s="718">
        <f>SUM(D77:D79)</f>
        <v>2</v>
      </c>
      <c r="E76" s="2108"/>
      <c r="F76" s="2108"/>
    </row>
    <row r="77" spans="1:6" x14ac:dyDescent="0.2">
      <c r="A77" s="2098" t="s">
        <v>3348</v>
      </c>
      <c r="B77" s="438">
        <f>SUM(C77:D77)</f>
        <v>2</v>
      </c>
      <c r="C77" s="438">
        <v>1</v>
      </c>
      <c r="D77" s="438">
        <v>1</v>
      </c>
      <c r="E77" s="2108"/>
      <c r="F77" s="2108"/>
    </row>
    <row r="78" spans="1:6" x14ac:dyDescent="0.2">
      <c r="A78" s="2098" t="s">
        <v>3351</v>
      </c>
      <c r="B78" s="438">
        <f>SUM(C78:D78)</f>
        <v>0</v>
      </c>
      <c r="C78" s="438">
        <v>0</v>
      </c>
      <c r="D78" s="438">
        <v>0</v>
      </c>
      <c r="E78" s="2108"/>
      <c r="F78" s="2108"/>
    </row>
    <row r="79" spans="1:6" x14ac:dyDescent="0.2">
      <c r="A79" s="2098" t="s">
        <v>3360</v>
      </c>
      <c r="B79" s="438">
        <f>SUM(C79:D79)</f>
        <v>4</v>
      </c>
      <c r="C79" s="438">
        <v>3</v>
      </c>
      <c r="D79" s="438">
        <v>1</v>
      </c>
      <c r="E79" s="2108"/>
      <c r="F79" s="2108"/>
    </row>
    <row r="80" spans="1:6" x14ac:dyDescent="0.2">
      <c r="A80" s="2097" t="s">
        <v>301</v>
      </c>
      <c r="B80" s="718">
        <f>SUM(B81:B82)</f>
        <v>18</v>
      </c>
      <c r="C80" s="718">
        <f>SUM(C81:C82)</f>
        <v>14</v>
      </c>
      <c r="D80" s="718">
        <f>SUM(D81:D82)</f>
        <v>4</v>
      </c>
      <c r="E80" s="2108"/>
      <c r="F80" s="2108"/>
    </row>
    <row r="81" spans="1:6" x14ac:dyDescent="0.2">
      <c r="A81" s="2098" t="s">
        <v>3356</v>
      </c>
      <c r="B81" s="438">
        <f>SUM(C81:D81)</f>
        <v>17</v>
      </c>
      <c r="C81" s="438">
        <v>13</v>
      </c>
      <c r="D81" s="438">
        <v>4</v>
      </c>
      <c r="E81" s="2108"/>
      <c r="F81" s="2108"/>
    </row>
    <row r="82" spans="1:6" x14ac:dyDescent="0.2">
      <c r="A82" s="2098" t="s">
        <v>3381</v>
      </c>
      <c r="B82" s="438">
        <f>SUM(C82:D82)</f>
        <v>1</v>
      </c>
      <c r="C82" s="438">
        <v>1</v>
      </c>
      <c r="D82" s="438">
        <v>0</v>
      </c>
      <c r="E82" s="2108"/>
      <c r="F82" s="2108"/>
    </row>
    <row r="83" spans="1:6" x14ac:dyDescent="0.2">
      <c r="A83" s="2097" t="s">
        <v>303</v>
      </c>
      <c r="B83" s="718">
        <f>SUM(B84:B85)</f>
        <v>1</v>
      </c>
      <c r="C83" s="718">
        <f>SUM(C84:C85)</f>
        <v>1</v>
      </c>
      <c r="D83" s="718">
        <f>SUM(D84:D85)</f>
        <v>0</v>
      </c>
      <c r="E83" s="2108"/>
      <c r="F83" s="2108"/>
    </row>
    <row r="84" spans="1:6" x14ac:dyDescent="0.2">
      <c r="A84" s="2098" t="s">
        <v>3351</v>
      </c>
      <c r="B84" s="438">
        <f>SUM(C84:D84)</f>
        <v>1</v>
      </c>
      <c r="C84" s="438">
        <v>1</v>
      </c>
      <c r="D84" s="438">
        <v>0</v>
      </c>
      <c r="E84" s="2108"/>
      <c r="F84" s="2108"/>
    </row>
    <row r="85" spans="1:6" x14ac:dyDescent="0.2">
      <c r="A85" s="2098" t="s">
        <v>3349</v>
      </c>
      <c r="B85" s="438">
        <f>SUM(C85:D85)</f>
        <v>0</v>
      </c>
      <c r="C85" s="438">
        <v>0</v>
      </c>
      <c r="D85" s="438">
        <v>0</v>
      </c>
      <c r="E85" s="2108"/>
      <c r="F85" s="2108"/>
    </row>
    <row r="86" spans="1:6" x14ac:dyDescent="0.2">
      <c r="A86" s="2097" t="s">
        <v>18</v>
      </c>
      <c r="B86" s="718">
        <f>SUM(B87)</f>
        <v>0</v>
      </c>
      <c r="C86" s="718">
        <f>SUM(C87)</f>
        <v>0</v>
      </c>
      <c r="D86" s="718">
        <f>SUM(D87)</f>
        <v>0</v>
      </c>
      <c r="E86" s="2108"/>
      <c r="F86" s="2108"/>
    </row>
    <row r="87" spans="1:6" x14ac:dyDescent="0.2">
      <c r="A87" s="2098" t="s">
        <v>3351</v>
      </c>
      <c r="B87" s="438">
        <f>SUM(C87:D87)</f>
        <v>0</v>
      </c>
      <c r="C87" s="438">
        <v>0</v>
      </c>
      <c r="D87" s="438">
        <v>0</v>
      </c>
      <c r="E87" s="2108"/>
      <c r="F87" s="2108"/>
    </row>
    <row r="88" spans="1:6" x14ac:dyDescent="0.2">
      <c r="A88" s="2097" t="s">
        <v>19</v>
      </c>
      <c r="B88" s="718">
        <f>SUM(B89)</f>
        <v>0</v>
      </c>
      <c r="C88" s="718">
        <f>SUM(C89)</f>
        <v>0</v>
      </c>
      <c r="D88" s="718">
        <f>SUM(D89)</f>
        <v>0</v>
      </c>
      <c r="E88" s="2108"/>
      <c r="F88" s="2108"/>
    </row>
    <row r="89" spans="1:6" x14ac:dyDescent="0.2">
      <c r="A89" s="2098" t="s">
        <v>3382</v>
      </c>
      <c r="B89" s="438">
        <f>SUM(C89:D89)</f>
        <v>0</v>
      </c>
      <c r="C89" s="438">
        <v>0</v>
      </c>
      <c r="D89" s="438">
        <v>0</v>
      </c>
      <c r="E89" s="2108"/>
      <c r="F89" s="2108"/>
    </row>
    <row r="90" spans="1:6" ht="11.25" customHeight="1" x14ac:dyDescent="0.2">
      <c r="A90" s="2477"/>
      <c r="B90" s="2477"/>
      <c r="C90" s="2477"/>
      <c r="D90" s="2477"/>
      <c r="E90" s="2108"/>
      <c r="F90" s="2108"/>
    </row>
    <row r="91" spans="1:6" ht="11.25" customHeight="1" x14ac:dyDescent="0.2">
      <c r="A91" s="3391" t="s">
        <v>20</v>
      </c>
      <c r="B91" s="3391"/>
      <c r="C91" s="3391"/>
      <c r="D91" s="3391"/>
      <c r="E91" s="2108"/>
      <c r="F91" s="2108"/>
    </row>
    <row r="92" spans="1:6" ht="11.25" customHeight="1" x14ac:dyDescent="0.2">
      <c r="A92" s="2477" t="s">
        <v>3291</v>
      </c>
      <c r="B92" s="3389"/>
      <c r="C92" s="3389"/>
      <c r="D92" s="3389"/>
      <c r="E92" s="2108"/>
      <c r="F92" s="2108"/>
    </row>
    <row r="93" spans="1:6" ht="15.75" customHeight="1" x14ac:dyDescent="0.2">
      <c r="A93" s="2108"/>
      <c r="B93" s="2108"/>
      <c r="C93" s="2108"/>
      <c r="D93" s="2108"/>
      <c r="E93" s="2108"/>
      <c r="F93" s="2108"/>
    </row>
    <row r="94" spans="1:6" ht="15.75" customHeight="1" x14ac:dyDescent="0.2">
      <c r="A94" s="2108"/>
      <c r="B94" s="2108"/>
      <c r="C94" s="2108"/>
      <c r="D94" s="2108"/>
      <c r="E94" s="2108"/>
      <c r="F94" s="2108"/>
    </row>
    <row r="95" spans="1:6" ht="15.75" customHeight="1" x14ac:dyDescent="0.2">
      <c r="A95" s="2108"/>
      <c r="B95" s="2108"/>
      <c r="C95" s="2108"/>
      <c r="D95" s="2108"/>
      <c r="E95" s="2108"/>
      <c r="F95" s="2108"/>
    </row>
    <row r="96" spans="1:6" ht="15.75" customHeight="1" x14ac:dyDescent="0.2">
      <c r="A96" s="2108"/>
      <c r="B96" s="2108"/>
      <c r="C96" s="2108"/>
      <c r="D96" s="2108"/>
      <c r="E96" s="2108"/>
      <c r="F96" s="2108"/>
    </row>
    <row r="97" spans="1:6" ht="15.75" customHeight="1" x14ac:dyDescent="0.2">
      <c r="A97" s="2152"/>
      <c r="B97" s="2108"/>
      <c r="C97" s="2108"/>
      <c r="D97" s="2108"/>
      <c r="E97" s="2108"/>
      <c r="F97" s="2108"/>
    </row>
    <row r="98" spans="1:6" x14ac:dyDescent="0.2">
      <c r="A98" s="2152"/>
      <c r="B98" s="2108"/>
      <c r="C98" s="2108"/>
      <c r="D98" s="2108"/>
      <c r="E98" s="2108"/>
      <c r="F98" s="2108"/>
    </row>
    <row r="99" spans="1:6" x14ac:dyDescent="0.2">
      <c r="A99" s="2108"/>
      <c r="B99" s="2108"/>
      <c r="C99" s="2108"/>
      <c r="D99" s="2108"/>
      <c r="E99" s="2108"/>
      <c r="F99" s="2108"/>
    </row>
    <row r="100" spans="1:6" x14ac:dyDescent="0.2">
      <c r="A100" s="2108"/>
      <c r="B100" s="2108"/>
      <c r="C100" s="2108"/>
      <c r="D100" s="2108"/>
      <c r="E100" s="2108"/>
      <c r="F100" s="2108"/>
    </row>
    <row r="101" spans="1:6" x14ac:dyDescent="0.2">
      <c r="A101" s="2108"/>
      <c r="B101" s="2108"/>
      <c r="C101" s="2108"/>
      <c r="D101" s="2108"/>
      <c r="E101" s="2108"/>
      <c r="F101" s="2108"/>
    </row>
    <row r="102" spans="1:6" x14ac:dyDescent="0.2">
      <c r="A102" s="2108"/>
      <c r="B102" s="2108"/>
      <c r="C102" s="2108"/>
      <c r="D102" s="2108"/>
      <c r="E102" s="2108"/>
      <c r="F102" s="2108"/>
    </row>
    <row r="103" spans="1:6" x14ac:dyDescent="0.2">
      <c r="A103" s="2108"/>
      <c r="B103" s="2108"/>
      <c r="C103" s="2108"/>
      <c r="D103" s="2108"/>
      <c r="E103" s="2108"/>
      <c r="F103" s="2108"/>
    </row>
    <row r="104" spans="1:6" x14ac:dyDescent="0.2">
      <c r="A104" s="2108"/>
      <c r="B104" s="2108"/>
      <c r="C104" s="2108"/>
      <c r="D104" s="2108"/>
      <c r="E104" s="2108"/>
      <c r="F104" s="2108"/>
    </row>
    <row r="105" spans="1:6" x14ac:dyDescent="0.2">
      <c r="A105" s="2108"/>
      <c r="B105" s="2108"/>
      <c r="C105" s="2108"/>
      <c r="D105" s="2108"/>
      <c r="E105" s="2108"/>
      <c r="F105" s="2108"/>
    </row>
    <row r="106" spans="1:6" x14ac:dyDescent="0.2">
      <c r="A106" s="2108"/>
      <c r="B106" s="2108"/>
      <c r="C106" s="2108"/>
      <c r="D106" s="2108"/>
      <c r="E106" s="2108"/>
      <c r="F106" s="2108"/>
    </row>
  </sheetData>
  <mergeCells count="7">
    <mergeCell ref="A92:D92"/>
    <mergeCell ref="A2:D2"/>
    <mergeCell ref="A3:D3"/>
    <mergeCell ref="A4:A5"/>
    <mergeCell ref="B4:D4"/>
    <mergeCell ref="A90:D90"/>
    <mergeCell ref="A91:D91"/>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2:N22"/>
  <sheetViews>
    <sheetView workbookViewId="0">
      <selection activeCell="B16" sqref="B16"/>
    </sheetView>
  </sheetViews>
  <sheetFormatPr baseColWidth="10" defaultColWidth="9.140625" defaultRowHeight="12.75" x14ac:dyDescent="0.2"/>
  <cols>
    <col min="1" max="1" width="12.140625" style="111" customWidth="1"/>
    <col min="2" max="2" width="13.7109375" style="111" customWidth="1"/>
    <col min="3" max="3" width="11.140625" style="111" customWidth="1"/>
    <col min="4" max="4" width="14.7109375" style="111" customWidth="1"/>
    <col min="5" max="5" width="11.7109375" style="111" customWidth="1"/>
    <col min="6" max="6" width="12.7109375" style="111" customWidth="1"/>
    <col min="7" max="7" width="12.5703125" style="111" customWidth="1"/>
    <col min="8" max="8" width="11.28515625" style="111" customWidth="1"/>
    <col min="9" max="9" width="10.28515625" style="111" customWidth="1"/>
    <col min="10" max="10" width="9.140625" style="111" customWidth="1"/>
    <col min="11" max="11" width="13.140625" style="111" customWidth="1"/>
    <col min="12" max="12" width="9.85546875" style="111" customWidth="1"/>
    <col min="13" max="13" width="3.42578125" style="111" customWidth="1"/>
    <col min="14" max="256" width="9.140625" style="111"/>
    <col min="257" max="257" width="12.140625" style="111" customWidth="1"/>
    <col min="258" max="258" width="13.7109375" style="111" customWidth="1"/>
    <col min="259" max="259" width="11.140625" style="111" customWidth="1"/>
    <col min="260" max="260" width="14.7109375" style="111" customWidth="1"/>
    <col min="261" max="261" width="11.7109375" style="111" customWidth="1"/>
    <col min="262" max="262" width="12.7109375" style="111" customWidth="1"/>
    <col min="263" max="263" width="12.5703125" style="111" customWidth="1"/>
    <col min="264" max="264" width="11.28515625" style="111" customWidth="1"/>
    <col min="265" max="265" width="10.28515625" style="111" customWidth="1"/>
    <col min="266" max="266" width="9.140625" style="111" customWidth="1"/>
    <col min="267" max="267" width="13.140625" style="111" customWidth="1"/>
    <col min="268" max="268" width="9.85546875" style="111" customWidth="1"/>
    <col min="269" max="269" width="3.42578125" style="111" customWidth="1"/>
    <col min="270" max="512" width="9.140625" style="111"/>
    <col min="513" max="513" width="12.140625" style="111" customWidth="1"/>
    <col min="514" max="514" width="13.7109375" style="111" customWidth="1"/>
    <col min="515" max="515" width="11.140625" style="111" customWidth="1"/>
    <col min="516" max="516" width="14.7109375" style="111" customWidth="1"/>
    <col min="517" max="517" width="11.7109375" style="111" customWidth="1"/>
    <col min="518" max="518" width="12.7109375" style="111" customWidth="1"/>
    <col min="519" max="519" width="12.5703125" style="111" customWidth="1"/>
    <col min="520" max="520" width="11.28515625" style="111" customWidth="1"/>
    <col min="521" max="521" width="10.28515625" style="111" customWidth="1"/>
    <col min="522" max="522" width="9.140625" style="111" customWidth="1"/>
    <col min="523" max="523" width="13.140625" style="111" customWidth="1"/>
    <col min="524" max="524" width="9.85546875" style="111" customWidth="1"/>
    <col min="525" max="525" width="3.42578125" style="111" customWidth="1"/>
    <col min="526" max="768" width="9.140625" style="111"/>
    <col min="769" max="769" width="12.140625" style="111" customWidth="1"/>
    <col min="770" max="770" width="13.7109375" style="111" customWidth="1"/>
    <col min="771" max="771" width="11.140625" style="111" customWidth="1"/>
    <col min="772" max="772" width="14.7109375" style="111" customWidth="1"/>
    <col min="773" max="773" width="11.7109375" style="111" customWidth="1"/>
    <col min="774" max="774" width="12.7109375" style="111" customWidth="1"/>
    <col min="775" max="775" width="12.5703125" style="111" customWidth="1"/>
    <col min="776" max="776" width="11.28515625" style="111" customWidth="1"/>
    <col min="777" max="777" width="10.28515625" style="111" customWidth="1"/>
    <col min="778" max="778" width="9.140625" style="111" customWidth="1"/>
    <col min="779" max="779" width="13.140625" style="111" customWidth="1"/>
    <col min="780" max="780" width="9.85546875" style="111" customWidth="1"/>
    <col min="781" max="781" width="3.42578125" style="111" customWidth="1"/>
    <col min="782" max="1024" width="9.140625" style="111"/>
    <col min="1025" max="1025" width="12.140625" style="111" customWidth="1"/>
    <col min="1026" max="1026" width="13.7109375" style="111" customWidth="1"/>
    <col min="1027" max="1027" width="11.140625" style="111" customWidth="1"/>
    <col min="1028" max="1028" width="14.7109375" style="111" customWidth="1"/>
    <col min="1029" max="1029" width="11.7109375" style="111" customWidth="1"/>
    <col min="1030" max="1030" width="12.7109375" style="111" customWidth="1"/>
    <col min="1031" max="1031" width="12.5703125" style="111" customWidth="1"/>
    <col min="1032" max="1032" width="11.28515625" style="111" customWidth="1"/>
    <col min="1033" max="1033" width="10.28515625" style="111" customWidth="1"/>
    <col min="1034" max="1034" width="9.140625" style="111" customWidth="1"/>
    <col min="1035" max="1035" width="13.140625" style="111" customWidth="1"/>
    <col min="1036" max="1036" width="9.85546875" style="111" customWidth="1"/>
    <col min="1037" max="1037" width="3.42578125" style="111" customWidth="1"/>
    <col min="1038" max="1280" width="9.140625" style="111"/>
    <col min="1281" max="1281" width="12.140625" style="111" customWidth="1"/>
    <col min="1282" max="1282" width="13.7109375" style="111" customWidth="1"/>
    <col min="1283" max="1283" width="11.140625" style="111" customWidth="1"/>
    <col min="1284" max="1284" width="14.7109375" style="111" customWidth="1"/>
    <col min="1285" max="1285" width="11.7109375" style="111" customWidth="1"/>
    <col min="1286" max="1286" width="12.7109375" style="111" customWidth="1"/>
    <col min="1287" max="1287" width="12.5703125" style="111" customWidth="1"/>
    <col min="1288" max="1288" width="11.28515625" style="111" customWidth="1"/>
    <col min="1289" max="1289" width="10.28515625" style="111" customWidth="1"/>
    <col min="1290" max="1290" width="9.140625" style="111" customWidth="1"/>
    <col min="1291" max="1291" width="13.140625" style="111" customWidth="1"/>
    <col min="1292" max="1292" width="9.85546875" style="111" customWidth="1"/>
    <col min="1293" max="1293" width="3.42578125" style="111" customWidth="1"/>
    <col min="1294" max="1536" width="9.140625" style="111"/>
    <col min="1537" max="1537" width="12.140625" style="111" customWidth="1"/>
    <col min="1538" max="1538" width="13.7109375" style="111" customWidth="1"/>
    <col min="1539" max="1539" width="11.140625" style="111" customWidth="1"/>
    <col min="1540" max="1540" width="14.7109375" style="111" customWidth="1"/>
    <col min="1541" max="1541" width="11.7109375" style="111" customWidth="1"/>
    <col min="1542" max="1542" width="12.7109375" style="111" customWidth="1"/>
    <col min="1543" max="1543" width="12.5703125" style="111" customWidth="1"/>
    <col min="1544" max="1544" width="11.28515625" style="111" customWidth="1"/>
    <col min="1545" max="1545" width="10.28515625" style="111" customWidth="1"/>
    <col min="1546" max="1546" width="9.140625" style="111" customWidth="1"/>
    <col min="1547" max="1547" width="13.140625" style="111" customWidth="1"/>
    <col min="1548" max="1548" width="9.85546875" style="111" customWidth="1"/>
    <col min="1549" max="1549" width="3.42578125" style="111" customWidth="1"/>
    <col min="1550" max="1792" width="9.140625" style="111"/>
    <col min="1793" max="1793" width="12.140625" style="111" customWidth="1"/>
    <col min="1794" max="1794" width="13.7109375" style="111" customWidth="1"/>
    <col min="1795" max="1795" width="11.140625" style="111" customWidth="1"/>
    <col min="1796" max="1796" width="14.7109375" style="111" customWidth="1"/>
    <col min="1797" max="1797" width="11.7109375" style="111" customWidth="1"/>
    <col min="1798" max="1798" width="12.7109375" style="111" customWidth="1"/>
    <col min="1799" max="1799" width="12.5703125" style="111" customWidth="1"/>
    <col min="1800" max="1800" width="11.28515625" style="111" customWidth="1"/>
    <col min="1801" max="1801" width="10.28515625" style="111" customWidth="1"/>
    <col min="1802" max="1802" width="9.140625" style="111" customWidth="1"/>
    <col min="1803" max="1803" width="13.140625" style="111" customWidth="1"/>
    <col min="1804" max="1804" width="9.85546875" style="111" customWidth="1"/>
    <col min="1805" max="1805" width="3.42578125" style="111" customWidth="1"/>
    <col min="1806" max="2048" width="9.140625" style="111"/>
    <col min="2049" max="2049" width="12.140625" style="111" customWidth="1"/>
    <col min="2050" max="2050" width="13.7109375" style="111" customWidth="1"/>
    <col min="2051" max="2051" width="11.140625" style="111" customWidth="1"/>
    <col min="2052" max="2052" width="14.7109375" style="111" customWidth="1"/>
    <col min="2053" max="2053" width="11.7109375" style="111" customWidth="1"/>
    <col min="2054" max="2054" width="12.7109375" style="111" customWidth="1"/>
    <col min="2055" max="2055" width="12.5703125" style="111" customWidth="1"/>
    <col min="2056" max="2056" width="11.28515625" style="111" customWidth="1"/>
    <col min="2057" max="2057" width="10.28515625" style="111" customWidth="1"/>
    <col min="2058" max="2058" width="9.140625" style="111" customWidth="1"/>
    <col min="2059" max="2059" width="13.140625" style="111" customWidth="1"/>
    <col min="2060" max="2060" width="9.85546875" style="111" customWidth="1"/>
    <col min="2061" max="2061" width="3.42578125" style="111" customWidth="1"/>
    <col min="2062" max="2304" width="9.140625" style="111"/>
    <col min="2305" max="2305" width="12.140625" style="111" customWidth="1"/>
    <col min="2306" max="2306" width="13.7109375" style="111" customWidth="1"/>
    <col min="2307" max="2307" width="11.140625" style="111" customWidth="1"/>
    <col min="2308" max="2308" width="14.7109375" style="111" customWidth="1"/>
    <col min="2309" max="2309" width="11.7109375" style="111" customWidth="1"/>
    <col min="2310" max="2310" width="12.7109375" style="111" customWidth="1"/>
    <col min="2311" max="2311" width="12.5703125" style="111" customWidth="1"/>
    <col min="2312" max="2312" width="11.28515625" style="111" customWidth="1"/>
    <col min="2313" max="2313" width="10.28515625" style="111" customWidth="1"/>
    <col min="2314" max="2314" width="9.140625" style="111" customWidth="1"/>
    <col min="2315" max="2315" width="13.140625" style="111" customWidth="1"/>
    <col min="2316" max="2316" width="9.85546875" style="111" customWidth="1"/>
    <col min="2317" max="2317" width="3.42578125" style="111" customWidth="1"/>
    <col min="2318" max="2560" width="9.140625" style="111"/>
    <col min="2561" max="2561" width="12.140625" style="111" customWidth="1"/>
    <col min="2562" max="2562" width="13.7109375" style="111" customWidth="1"/>
    <col min="2563" max="2563" width="11.140625" style="111" customWidth="1"/>
    <col min="2564" max="2564" width="14.7109375" style="111" customWidth="1"/>
    <col min="2565" max="2565" width="11.7109375" style="111" customWidth="1"/>
    <col min="2566" max="2566" width="12.7109375" style="111" customWidth="1"/>
    <col min="2567" max="2567" width="12.5703125" style="111" customWidth="1"/>
    <col min="2568" max="2568" width="11.28515625" style="111" customWidth="1"/>
    <col min="2569" max="2569" width="10.28515625" style="111" customWidth="1"/>
    <col min="2570" max="2570" width="9.140625" style="111" customWidth="1"/>
    <col min="2571" max="2571" width="13.140625" style="111" customWidth="1"/>
    <col min="2572" max="2572" width="9.85546875" style="111" customWidth="1"/>
    <col min="2573" max="2573" width="3.42578125" style="111" customWidth="1"/>
    <col min="2574" max="2816" width="9.140625" style="111"/>
    <col min="2817" max="2817" width="12.140625" style="111" customWidth="1"/>
    <col min="2818" max="2818" width="13.7109375" style="111" customWidth="1"/>
    <col min="2819" max="2819" width="11.140625" style="111" customWidth="1"/>
    <col min="2820" max="2820" width="14.7109375" style="111" customWidth="1"/>
    <col min="2821" max="2821" width="11.7109375" style="111" customWidth="1"/>
    <col min="2822" max="2822" width="12.7109375" style="111" customWidth="1"/>
    <col min="2823" max="2823" width="12.5703125" style="111" customWidth="1"/>
    <col min="2824" max="2824" width="11.28515625" style="111" customWidth="1"/>
    <col min="2825" max="2825" width="10.28515625" style="111" customWidth="1"/>
    <col min="2826" max="2826" width="9.140625" style="111" customWidth="1"/>
    <col min="2827" max="2827" width="13.140625" style="111" customWidth="1"/>
    <col min="2828" max="2828" width="9.85546875" style="111" customWidth="1"/>
    <col min="2829" max="2829" width="3.42578125" style="111" customWidth="1"/>
    <col min="2830" max="3072" width="9.140625" style="111"/>
    <col min="3073" max="3073" width="12.140625" style="111" customWidth="1"/>
    <col min="3074" max="3074" width="13.7109375" style="111" customWidth="1"/>
    <col min="3075" max="3075" width="11.140625" style="111" customWidth="1"/>
    <col min="3076" max="3076" width="14.7109375" style="111" customWidth="1"/>
    <col min="3077" max="3077" width="11.7109375" style="111" customWidth="1"/>
    <col min="3078" max="3078" width="12.7109375" style="111" customWidth="1"/>
    <col min="3079" max="3079" width="12.5703125" style="111" customWidth="1"/>
    <col min="3080" max="3080" width="11.28515625" style="111" customWidth="1"/>
    <col min="3081" max="3081" width="10.28515625" style="111" customWidth="1"/>
    <col min="3082" max="3082" width="9.140625" style="111" customWidth="1"/>
    <col min="3083" max="3083" width="13.140625" style="111" customWidth="1"/>
    <col min="3084" max="3084" width="9.85546875" style="111" customWidth="1"/>
    <col min="3085" max="3085" width="3.42578125" style="111" customWidth="1"/>
    <col min="3086" max="3328" width="9.140625" style="111"/>
    <col min="3329" max="3329" width="12.140625" style="111" customWidth="1"/>
    <col min="3330" max="3330" width="13.7109375" style="111" customWidth="1"/>
    <col min="3331" max="3331" width="11.140625" style="111" customWidth="1"/>
    <col min="3332" max="3332" width="14.7109375" style="111" customWidth="1"/>
    <col min="3333" max="3333" width="11.7109375" style="111" customWidth="1"/>
    <col min="3334" max="3334" width="12.7109375" style="111" customWidth="1"/>
    <col min="3335" max="3335" width="12.5703125" style="111" customWidth="1"/>
    <col min="3336" max="3336" width="11.28515625" style="111" customWidth="1"/>
    <col min="3337" max="3337" width="10.28515625" style="111" customWidth="1"/>
    <col min="3338" max="3338" width="9.140625" style="111" customWidth="1"/>
    <col min="3339" max="3339" width="13.140625" style="111" customWidth="1"/>
    <col min="3340" max="3340" width="9.85546875" style="111" customWidth="1"/>
    <col min="3341" max="3341" width="3.42578125" style="111" customWidth="1"/>
    <col min="3342" max="3584" width="9.140625" style="111"/>
    <col min="3585" max="3585" width="12.140625" style="111" customWidth="1"/>
    <col min="3586" max="3586" width="13.7109375" style="111" customWidth="1"/>
    <col min="3587" max="3587" width="11.140625" style="111" customWidth="1"/>
    <col min="3588" max="3588" width="14.7109375" style="111" customWidth="1"/>
    <col min="3589" max="3589" width="11.7109375" style="111" customWidth="1"/>
    <col min="3590" max="3590" width="12.7109375" style="111" customWidth="1"/>
    <col min="3591" max="3591" width="12.5703125" style="111" customWidth="1"/>
    <col min="3592" max="3592" width="11.28515625" style="111" customWidth="1"/>
    <col min="3593" max="3593" width="10.28515625" style="111" customWidth="1"/>
    <col min="3594" max="3594" width="9.140625" style="111" customWidth="1"/>
    <col min="3595" max="3595" width="13.140625" style="111" customWidth="1"/>
    <col min="3596" max="3596" width="9.85546875" style="111" customWidth="1"/>
    <col min="3597" max="3597" width="3.42578125" style="111" customWidth="1"/>
    <col min="3598" max="3840" width="9.140625" style="111"/>
    <col min="3841" max="3841" width="12.140625" style="111" customWidth="1"/>
    <col min="3842" max="3842" width="13.7109375" style="111" customWidth="1"/>
    <col min="3843" max="3843" width="11.140625" style="111" customWidth="1"/>
    <col min="3844" max="3844" width="14.7109375" style="111" customWidth="1"/>
    <col min="3845" max="3845" width="11.7109375" style="111" customWidth="1"/>
    <col min="3846" max="3846" width="12.7109375" style="111" customWidth="1"/>
    <col min="3847" max="3847" width="12.5703125" style="111" customWidth="1"/>
    <col min="3848" max="3848" width="11.28515625" style="111" customWidth="1"/>
    <col min="3849" max="3849" width="10.28515625" style="111" customWidth="1"/>
    <col min="3850" max="3850" width="9.140625" style="111" customWidth="1"/>
    <col min="3851" max="3851" width="13.140625" style="111" customWidth="1"/>
    <col min="3852" max="3852" width="9.85546875" style="111" customWidth="1"/>
    <col min="3853" max="3853" width="3.42578125" style="111" customWidth="1"/>
    <col min="3854" max="4096" width="9.140625" style="111"/>
    <col min="4097" max="4097" width="12.140625" style="111" customWidth="1"/>
    <col min="4098" max="4098" width="13.7109375" style="111" customWidth="1"/>
    <col min="4099" max="4099" width="11.140625" style="111" customWidth="1"/>
    <col min="4100" max="4100" width="14.7109375" style="111" customWidth="1"/>
    <col min="4101" max="4101" width="11.7109375" style="111" customWidth="1"/>
    <col min="4102" max="4102" width="12.7109375" style="111" customWidth="1"/>
    <col min="4103" max="4103" width="12.5703125" style="111" customWidth="1"/>
    <col min="4104" max="4104" width="11.28515625" style="111" customWidth="1"/>
    <col min="4105" max="4105" width="10.28515625" style="111" customWidth="1"/>
    <col min="4106" max="4106" width="9.140625" style="111" customWidth="1"/>
    <col min="4107" max="4107" width="13.140625" style="111" customWidth="1"/>
    <col min="4108" max="4108" width="9.85546875" style="111" customWidth="1"/>
    <col min="4109" max="4109" width="3.42578125" style="111" customWidth="1"/>
    <col min="4110" max="4352" width="9.140625" style="111"/>
    <col min="4353" max="4353" width="12.140625" style="111" customWidth="1"/>
    <col min="4354" max="4354" width="13.7109375" style="111" customWidth="1"/>
    <col min="4355" max="4355" width="11.140625" style="111" customWidth="1"/>
    <col min="4356" max="4356" width="14.7109375" style="111" customWidth="1"/>
    <col min="4357" max="4357" width="11.7109375" style="111" customWidth="1"/>
    <col min="4358" max="4358" width="12.7109375" style="111" customWidth="1"/>
    <col min="4359" max="4359" width="12.5703125" style="111" customWidth="1"/>
    <col min="4360" max="4360" width="11.28515625" style="111" customWidth="1"/>
    <col min="4361" max="4361" width="10.28515625" style="111" customWidth="1"/>
    <col min="4362" max="4362" width="9.140625" style="111" customWidth="1"/>
    <col min="4363" max="4363" width="13.140625" style="111" customWidth="1"/>
    <col min="4364" max="4364" width="9.85546875" style="111" customWidth="1"/>
    <col min="4365" max="4365" width="3.42578125" style="111" customWidth="1"/>
    <col min="4366" max="4608" width="9.140625" style="111"/>
    <col min="4609" max="4609" width="12.140625" style="111" customWidth="1"/>
    <col min="4610" max="4610" width="13.7109375" style="111" customWidth="1"/>
    <col min="4611" max="4611" width="11.140625" style="111" customWidth="1"/>
    <col min="4612" max="4612" width="14.7109375" style="111" customWidth="1"/>
    <col min="4613" max="4613" width="11.7109375" style="111" customWidth="1"/>
    <col min="4614" max="4614" width="12.7109375" style="111" customWidth="1"/>
    <col min="4615" max="4615" width="12.5703125" style="111" customWidth="1"/>
    <col min="4616" max="4616" width="11.28515625" style="111" customWidth="1"/>
    <col min="4617" max="4617" width="10.28515625" style="111" customWidth="1"/>
    <col min="4618" max="4618" width="9.140625" style="111" customWidth="1"/>
    <col min="4619" max="4619" width="13.140625" style="111" customWidth="1"/>
    <col min="4620" max="4620" width="9.85546875" style="111" customWidth="1"/>
    <col min="4621" max="4621" width="3.42578125" style="111" customWidth="1"/>
    <col min="4622" max="4864" width="9.140625" style="111"/>
    <col min="4865" max="4865" width="12.140625" style="111" customWidth="1"/>
    <col min="4866" max="4866" width="13.7109375" style="111" customWidth="1"/>
    <col min="4867" max="4867" width="11.140625" style="111" customWidth="1"/>
    <col min="4868" max="4868" width="14.7109375" style="111" customWidth="1"/>
    <col min="4869" max="4869" width="11.7109375" style="111" customWidth="1"/>
    <col min="4870" max="4870" width="12.7109375" style="111" customWidth="1"/>
    <col min="4871" max="4871" width="12.5703125" style="111" customWidth="1"/>
    <col min="4872" max="4872" width="11.28515625" style="111" customWidth="1"/>
    <col min="4873" max="4873" width="10.28515625" style="111" customWidth="1"/>
    <col min="4874" max="4874" width="9.140625" style="111" customWidth="1"/>
    <col min="4875" max="4875" width="13.140625" style="111" customWidth="1"/>
    <col min="4876" max="4876" width="9.85546875" style="111" customWidth="1"/>
    <col min="4877" max="4877" width="3.42578125" style="111" customWidth="1"/>
    <col min="4878" max="5120" width="9.140625" style="111"/>
    <col min="5121" max="5121" width="12.140625" style="111" customWidth="1"/>
    <col min="5122" max="5122" width="13.7109375" style="111" customWidth="1"/>
    <col min="5123" max="5123" width="11.140625" style="111" customWidth="1"/>
    <col min="5124" max="5124" width="14.7109375" style="111" customWidth="1"/>
    <col min="5125" max="5125" width="11.7109375" style="111" customWidth="1"/>
    <col min="5126" max="5126" width="12.7109375" style="111" customWidth="1"/>
    <col min="5127" max="5127" width="12.5703125" style="111" customWidth="1"/>
    <col min="5128" max="5128" width="11.28515625" style="111" customWidth="1"/>
    <col min="5129" max="5129" width="10.28515625" style="111" customWidth="1"/>
    <col min="5130" max="5130" width="9.140625" style="111" customWidth="1"/>
    <col min="5131" max="5131" width="13.140625" style="111" customWidth="1"/>
    <col min="5132" max="5132" width="9.85546875" style="111" customWidth="1"/>
    <col min="5133" max="5133" width="3.42578125" style="111" customWidth="1"/>
    <col min="5134" max="5376" width="9.140625" style="111"/>
    <col min="5377" max="5377" width="12.140625" style="111" customWidth="1"/>
    <col min="5378" max="5378" width="13.7109375" style="111" customWidth="1"/>
    <col min="5379" max="5379" width="11.140625" style="111" customWidth="1"/>
    <col min="5380" max="5380" width="14.7109375" style="111" customWidth="1"/>
    <col min="5381" max="5381" width="11.7109375" style="111" customWidth="1"/>
    <col min="5382" max="5382" width="12.7109375" style="111" customWidth="1"/>
    <col min="5383" max="5383" width="12.5703125" style="111" customWidth="1"/>
    <col min="5384" max="5384" width="11.28515625" style="111" customWidth="1"/>
    <col min="5385" max="5385" width="10.28515625" style="111" customWidth="1"/>
    <col min="5386" max="5386" width="9.140625" style="111" customWidth="1"/>
    <col min="5387" max="5387" width="13.140625" style="111" customWidth="1"/>
    <col min="5388" max="5388" width="9.85546875" style="111" customWidth="1"/>
    <col min="5389" max="5389" width="3.42578125" style="111" customWidth="1"/>
    <col min="5390" max="5632" width="9.140625" style="111"/>
    <col min="5633" max="5633" width="12.140625" style="111" customWidth="1"/>
    <col min="5634" max="5634" width="13.7109375" style="111" customWidth="1"/>
    <col min="5635" max="5635" width="11.140625" style="111" customWidth="1"/>
    <col min="5636" max="5636" width="14.7109375" style="111" customWidth="1"/>
    <col min="5637" max="5637" width="11.7109375" style="111" customWidth="1"/>
    <col min="5638" max="5638" width="12.7109375" style="111" customWidth="1"/>
    <col min="5639" max="5639" width="12.5703125" style="111" customWidth="1"/>
    <col min="5640" max="5640" width="11.28515625" style="111" customWidth="1"/>
    <col min="5641" max="5641" width="10.28515625" style="111" customWidth="1"/>
    <col min="5642" max="5642" width="9.140625" style="111" customWidth="1"/>
    <col min="5643" max="5643" width="13.140625" style="111" customWidth="1"/>
    <col min="5644" max="5644" width="9.85546875" style="111" customWidth="1"/>
    <col min="5645" max="5645" width="3.42578125" style="111" customWidth="1"/>
    <col min="5646" max="5888" width="9.140625" style="111"/>
    <col min="5889" max="5889" width="12.140625" style="111" customWidth="1"/>
    <col min="5890" max="5890" width="13.7109375" style="111" customWidth="1"/>
    <col min="5891" max="5891" width="11.140625" style="111" customWidth="1"/>
    <col min="5892" max="5892" width="14.7109375" style="111" customWidth="1"/>
    <col min="5893" max="5893" width="11.7109375" style="111" customWidth="1"/>
    <col min="5894" max="5894" width="12.7109375" style="111" customWidth="1"/>
    <col min="5895" max="5895" width="12.5703125" style="111" customWidth="1"/>
    <col min="5896" max="5896" width="11.28515625" style="111" customWidth="1"/>
    <col min="5897" max="5897" width="10.28515625" style="111" customWidth="1"/>
    <col min="5898" max="5898" width="9.140625" style="111" customWidth="1"/>
    <col min="5899" max="5899" width="13.140625" style="111" customWidth="1"/>
    <col min="5900" max="5900" width="9.85546875" style="111" customWidth="1"/>
    <col min="5901" max="5901" width="3.42578125" style="111" customWidth="1"/>
    <col min="5902" max="6144" width="9.140625" style="111"/>
    <col min="6145" max="6145" width="12.140625" style="111" customWidth="1"/>
    <col min="6146" max="6146" width="13.7109375" style="111" customWidth="1"/>
    <col min="6147" max="6147" width="11.140625" style="111" customWidth="1"/>
    <col min="6148" max="6148" width="14.7109375" style="111" customWidth="1"/>
    <col min="6149" max="6149" width="11.7109375" style="111" customWidth="1"/>
    <col min="6150" max="6150" width="12.7109375" style="111" customWidth="1"/>
    <col min="6151" max="6151" width="12.5703125" style="111" customWidth="1"/>
    <col min="6152" max="6152" width="11.28515625" style="111" customWidth="1"/>
    <col min="6153" max="6153" width="10.28515625" style="111" customWidth="1"/>
    <col min="6154" max="6154" width="9.140625" style="111" customWidth="1"/>
    <col min="6155" max="6155" width="13.140625" style="111" customWidth="1"/>
    <col min="6156" max="6156" width="9.85546875" style="111" customWidth="1"/>
    <col min="6157" max="6157" width="3.42578125" style="111" customWidth="1"/>
    <col min="6158" max="6400" width="9.140625" style="111"/>
    <col min="6401" max="6401" width="12.140625" style="111" customWidth="1"/>
    <col min="6402" max="6402" width="13.7109375" style="111" customWidth="1"/>
    <col min="6403" max="6403" width="11.140625" style="111" customWidth="1"/>
    <col min="6404" max="6404" width="14.7109375" style="111" customWidth="1"/>
    <col min="6405" max="6405" width="11.7109375" style="111" customWidth="1"/>
    <col min="6406" max="6406" width="12.7109375" style="111" customWidth="1"/>
    <col min="6407" max="6407" width="12.5703125" style="111" customWidth="1"/>
    <col min="6408" max="6408" width="11.28515625" style="111" customWidth="1"/>
    <col min="6409" max="6409" width="10.28515625" style="111" customWidth="1"/>
    <col min="6410" max="6410" width="9.140625" style="111" customWidth="1"/>
    <col min="6411" max="6411" width="13.140625" style="111" customWidth="1"/>
    <col min="6412" max="6412" width="9.85546875" style="111" customWidth="1"/>
    <col min="6413" max="6413" width="3.42578125" style="111" customWidth="1"/>
    <col min="6414" max="6656" width="9.140625" style="111"/>
    <col min="6657" max="6657" width="12.140625" style="111" customWidth="1"/>
    <col min="6658" max="6658" width="13.7109375" style="111" customWidth="1"/>
    <col min="6659" max="6659" width="11.140625" style="111" customWidth="1"/>
    <col min="6660" max="6660" width="14.7109375" style="111" customWidth="1"/>
    <col min="6661" max="6661" width="11.7109375" style="111" customWidth="1"/>
    <col min="6662" max="6662" width="12.7109375" style="111" customWidth="1"/>
    <col min="6663" max="6663" width="12.5703125" style="111" customWidth="1"/>
    <col min="6664" max="6664" width="11.28515625" style="111" customWidth="1"/>
    <col min="6665" max="6665" width="10.28515625" style="111" customWidth="1"/>
    <col min="6666" max="6666" width="9.140625" style="111" customWidth="1"/>
    <col min="6667" max="6667" width="13.140625" style="111" customWidth="1"/>
    <col min="6668" max="6668" width="9.85546875" style="111" customWidth="1"/>
    <col min="6669" max="6669" width="3.42578125" style="111" customWidth="1"/>
    <col min="6670" max="6912" width="9.140625" style="111"/>
    <col min="6913" max="6913" width="12.140625" style="111" customWidth="1"/>
    <col min="6914" max="6914" width="13.7109375" style="111" customWidth="1"/>
    <col min="6915" max="6915" width="11.140625" style="111" customWidth="1"/>
    <col min="6916" max="6916" width="14.7109375" style="111" customWidth="1"/>
    <col min="6917" max="6917" width="11.7109375" style="111" customWidth="1"/>
    <col min="6918" max="6918" width="12.7109375" style="111" customWidth="1"/>
    <col min="6919" max="6919" width="12.5703125" style="111" customWidth="1"/>
    <col min="6920" max="6920" width="11.28515625" style="111" customWidth="1"/>
    <col min="6921" max="6921" width="10.28515625" style="111" customWidth="1"/>
    <col min="6922" max="6922" width="9.140625" style="111" customWidth="1"/>
    <col min="6923" max="6923" width="13.140625" style="111" customWidth="1"/>
    <col min="6924" max="6924" width="9.85546875" style="111" customWidth="1"/>
    <col min="6925" max="6925" width="3.42578125" style="111" customWidth="1"/>
    <col min="6926" max="7168" width="9.140625" style="111"/>
    <col min="7169" max="7169" width="12.140625" style="111" customWidth="1"/>
    <col min="7170" max="7170" width="13.7109375" style="111" customWidth="1"/>
    <col min="7171" max="7171" width="11.140625" style="111" customWidth="1"/>
    <col min="7172" max="7172" width="14.7109375" style="111" customWidth="1"/>
    <col min="7173" max="7173" width="11.7109375" style="111" customWidth="1"/>
    <col min="7174" max="7174" width="12.7109375" style="111" customWidth="1"/>
    <col min="7175" max="7175" width="12.5703125" style="111" customWidth="1"/>
    <col min="7176" max="7176" width="11.28515625" style="111" customWidth="1"/>
    <col min="7177" max="7177" width="10.28515625" style="111" customWidth="1"/>
    <col min="7178" max="7178" width="9.140625" style="111" customWidth="1"/>
    <col min="7179" max="7179" width="13.140625" style="111" customWidth="1"/>
    <col min="7180" max="7180" width="9.85546875" style="111" customWidth="1"/>
    <col min="7181" max="7181" width="3.42578125" style="111" customWidth="1"/>
    <col min="7182" max="7424" width="9.140625" style="111"/>
    <col min="7425" max="7425" width="12.140625" style="111" customWidth="1"/>
    <col min="7426" max="7426" width="13.7109375" style="111" customWidth="1"/>
    <col min="7427" max="7427" width="11.140625" style="111" customWidth="1"/>
    <col min="7428" max="7428" width="14.7109375" style="111" customWidth="1"/>
    <col min="7429" max="7429" width="11.7109375" style="111" customWidth="1"/>
    <col min="7430" max="7430" width="12.7109375" style="111" customWidth="1"/>
    <col min="7431" max="7431" width="12.5703125" style="111" customWidth="1"/>
    <col min="7432" max="7432" width="11.28515625" style="111" customWidth="1"/>
    <col min="7433" max="7433" width="10.28515625" style="111" customWidth="1"/>
    <col min="7434" max="7434" width="9.140625" style="111" customWidth="1"/>
    <col min="7435" max="7435" width="13.140625" style="111" customWidth="1"/>
    <col min="7436" max="7436" width="9.85546875" style="111" customWidth="1"/>
    <col min="7437" max="7437" width="3.42578125" style="111" customWidth="1"/>
    <col min="7438" max="7680" width="9.140625" style="111"/>
    <col min="7681" max="7681" width="12.140625" style="111" customWidth="1"/>
    <col min="7682" max="7682" width="13.7109375" style="111" customWidth="1"/>
    <col min="7683" max="7683" width="11.140625" style="111" customWidth="1"/>
    <col min="7684" max="7684" width="14.7109375" style="111" customWidth="1"/>
    <col min="7685" max="7685" width="11.7109375" style="111" customWidth="1"/>
    <col min="7686" max="7686" width="12.7109375" style="111" customWidth="1"/>
    <col min="7687" max="7687" width="12.5703125" style="111" customWidth="1"/>
    <col min="7688" max="7688" width="11.28515625" style="111" customWidth="1"/>
    <col min="7689" max="7689" width="10.28515625" style="111" customWidth="1"/>
    <col min="7690" max="7690" width="9.140625" style="111" customWidth="1"/>
    <col min="7691" max="7691" width="13.140625" style="111" customWidth="1"/>
    <col min="7692" max="7692" width="9.85546875" style="111" customWidth="1"/>
    <col min="7693" max="7693" width="3.42578125" style="111" customWidth="1"/>
    <col min="7694" max="7936" width="9.140625" style="111"/>
    <col min="7937" max="7937" width="12.140625" style="111" customWidth="1"/>
    <col min="7938" max="7938" width="13.7109375" style="111" customWidth="1"/>
    <col min="7939" max="7939" width="11.140625" style="111" customWidth="1"/>
    <col min="7940" max="7940" width="14.7109375" style="111" customWidth="1"/>
    <col min="7941" max="7941" width="11.7109375" style="111" customWidth="1"/>
    <col min="7942" max="7942" width="12.7109375" style="111" customWidth="1"/>
    <col min="7943" max="7943" width="12.5703125" style="111" customWidth="1"/>
    <col min="7944" max="7944" width="11.28515625" style="111" customWidth="1"/>
    <col min="7945" max="7945" width="10.28515625" style="111" customWidth="1"/>
    <col min="7946" max="7946" width="9.140625" style="111" customWidth="1"/>
    <col min="7947" max="7947" width="13.140625" style="111" customWidth="1"/>
    <col min="7948" max="7948" width="9.85546875" style="111" customWidth="1"/>
    <col min="7949" max="7949" width="3.42578125" style="111" customWidth="1"/>
    <col min="7950" max="8192" width="9.140625" style="111"/>
    <col min="8193" max="8193" width="12.140625" style="111" customWidth="1"/>
    <col min="8194" max="8194" width="13.7109375" style="111" customWidth="1"/>
    <col min="8195" max="8195" width="11.140625" style="111" customWidth="1"/>
    <col min="8196" max="8196" width="14.7109375" style="111" customWidth="1"/>
    <col min="8197" max="8197" width="11.7109375" style="111" customWidth="1"/>
    <col min="8198" max="8198" width="12.7109375" style="111" customWidth="1"/>
    <col min="8199" max="8199" width="12.5703125" style="111" customWidth="1"/>
    <col min="8200" max="8200" width="11.28515625" style="111" customWidth="1"/>
    <col min="8201" max="8201" width="10.28515625" style="111" customWidth="1"/>
    <col min="8202" max="8202" width="9.140625" style="111" customWidth="1"/>
    <col min="8203" max="8203" width="13.140625" style="111" customWidth="1"/>
    <col min="8204" max="8204" width="9.85546875" style="111" customWidth="1"/>
    <col min="8205" max="8205" width="3.42578125" style="111" customWidth="1"/>
    <col min="8206" max="8448" width="9.140625" style="111"/>
    <col min="8449" max="8449" width="12.140625" style="111" customWidth="1"/>
    <col min="8450" max="8450" width="13.7109375" style="111" customWidth="1"/>
    <col min="8451" max="8451" width="11.140625" style="111" customWidth="1"/>
    <col min="8452" max="8452" width="14.7109375" style="111" customWidth="1"/>
    <col min="8453" max="8453" width="11.7109375" style="111" customWidth="1"/>
    <col min="8454" max="8454" width="12.7109375" style="111" customWidth="1"/>
    <col min="8455" max="8455" width="12.5703125" style="111" customWidth="1"/>
    <col min="8456" max="8456" width="11.28515625" style="111" customWidth="1"/>
    <col min="8457" max="8457" width="10.28515625" style="111" customWidth="1"/>
    <col min="8458" max="8458" width="9.140625" style="111" customWidth="1"/>
    <col min="8459" max="8459" width="13.140625" style="111" customWidth="1"/>
    <col min="8460" max="8460" width="9.85546875" style="111" customWidth="1"/>
    <col min="8461" max="8461" width="3.42578125" style="111" customWidth="1"/>
    <col min="8462" max="8704" width="9.140625" style="111"/>
    <col min="8705" max="8705" width="12.140625" style="111" customWidth="1"/>
    <col min="8706" max="8706" width="13.7109375" style="111" customWidth="1"/>
    <col min="8707" max="8707" width="11.140625" style="111" customWidth="1"/>
    <col min="8708" max="8708" width="14.7109375" style="111" customWidth="1"/>
    <col min="8709" max="8709" width="11.7109375" style="111" customWidth="1"/>
    <col min="8710" max="8710" width="12.7109375" style="111" customWidth="1"/>
    <col min="8711" max="8711" width="12.5703125" style="111" customWidth="1"/>
    <col min="8712" max="8712" width="11.28515625" style="111" customWidth="1"/>
    <col min="8713" max="8713" width="10.28515625" style="111" customWidth="1"/>
    <col min="8714" max="8714" width="9.140625" style="111" customWidth="1"/>
    <col min="8715" max="8715" width="13.140625" style="111" customWidth="1"/>
    <col min="8716" max="8716" width="9.85546875" style="111" customWidth="1"/>
    <col min="8717" max="8717" width="3.42578125" style="111" customWidth="1"/>
    <col min="8718" max="8960" width="9.140625" style="111"/>
    <col min="8961" max="8961" width="12.140625" style="111" customWidth="1"/>
    <col min="8962" max="8962" width="13.7109375" style="111" customWidth="1"/>
    <col min="8963" max="8963" width="11.140625" style="111" customWidth="1"/>
    <col min="8964" max="8964" width="14.7109375" style="111" customWidth="1"/>
    <col min="8965" max="8965" width="11.7109375" style="111" customWidth="1"/>
    <col min="8966" max="8966" width="12.7109375" style="111" customWidth="1"/>
    <col min="8967" max="8967" width="12.5703125" style="111" customWidth="1"/>
    <col min="8968" max="8968" width="11.28515625" style="111" customWidth="1"/>
    <col min="8969" max="8969" width="10.28515625" style="111" customWidth="1"/>
    <col min="8970" max="8970" width="9.140625" style="111" customWidth="1"/>
    <col min="8971" max="8971" width="13.140625" style="111" customWidth="1"/>
    <col min="8972" max="8972" width="9.85546875" style="111" customWidth="1"/>
    <col min="8973" max="8973" width="3.42578125" style="111" customWidth="1"/>
    <col min="8974" max="9216" width="9.140625" style="111"/>
    <col min="9217" max="9217" width="12.140625" style="111" customWidth="1"/>
    <col min="9218" max="9218" width="13.7109375" style="111" customWidth="1"/>
    <col min="9219" max="9219" width="11.140625" style="111" customWidth="1"/>
    <col min="9220" max="9220" width="14.7109375" style="111" customWidth="1"/>
    <col min="9221" max="9221" width="11.7109375" style="111" customWidth="1"/>
    <col min="9222" max="9222" width="12.7109375" style="111" customWidth="1"/>
    <col min="9223" max="9223" width="12.5703125" style="111" customWidth="1"/>
    <col min="9224" max="9224" width="11.28515625" style="111" customWidth="1"/>
    <col min="9225" max="9225" width="10.28515625" style="111" customWidth="1"/>
    <col min="9226" max="9226" width="9.140625" style="111" customWidth="1"/>
    <col min="9227" max="9227" width="13.140625" style="111" customWidth="1"/>
    <col min="9228" max="9228" width="9.85546875" style="111" customWidth="1"/>
    <col min="9229" max="9229" width="3.42578125" style="111" customWidth="1"/>
    <col min="9230" max="9472" width="9.140625" style="111"/>
    <col min="9473" max="9473" width="12.140625" style="111" customWidth="1"/>
    <col min="9474" max="9474" width="13.7109375" style="111" customWidth="1"/>
    <col min="9475" max="9475" width="11.140625" style="111" customWidth="1"/>
    <col min="9476" max="9476" width="14.7109375" style="111" customWidth="1"/>
    <col min="9477" max="9477" width="11.7109375" style="111" customWidth="1"/>
    <col min="9478" max="9478" width="12.7109375" style="111" customWidth="1"/>
    <col min="9479" max="9479" width="12.5703125" style="111" customWidth="1"/>
    <col min="9480" max="9480" width="11.28515625" style="111" customWidth="1"/>
    <col min="9481" max="9481" width="10.28515625" style="111" customWidth="1"/>
    <col min="9482" max="9482" width="9.140625" style="111" customWidth="1"/>
    <col min="9483" max="9483" width="13.140625" style="111" customWidth="1"/>
    <col min="9484" max="9484" width="9.85546875" style="111" customWidth="1"/>
    <col min="9485" max="9485" width="3.42578125" style="111" customWidth="1"/>
    <col min="9486" max="9728" width="9.140625" style="111"/>
    <col min="9729" max="9729" width="12.140625" style="111" customWidth="1"/>
    <col min="9730" max="9730" width="13.7109375" style="111" customWidth="1"/>
    <col min="9731" max="9731" width="11.140625" style="111" customWidth="1"/>
    <col min="9732" max="9732" width="14.7109375" style="111" customWidth="1"/>
    <col min="9733" max="9733" width="11.7109375" style="111" customWidth="1"/>
    <col min="9734" max="9734" width="12.7109375" style="111" customWidth="1"/>
    <col min="9735" max="9735" width="12.5703125" style="111" customWidth="1"/>
    <col min="9736" max="9736" width="11.28515625" style="111" customWidth="1"/>
    <col min="9737" max="9737" width="10.28515625" style="111" customWidth="1"/>
    <col min="9738" max="9738" width="9.140625" style="111" customWidth="1"/>
    <col min="9739" max="9739" width="13.140625" style="111" customWidth="1"/>
    <col min="9740" max="9740" width="9.85546875" style="111" customWidth="1"/>
    <col min="9741" max="9741" width="3.42578125" style="111" customWidth="1"/>
    <col min="9742" max="9984" width="9.140625" style="111"/>
    <col min="9985" max="9985" width="12.140625" style="111" customWidth="1"/>
    <col min="9986" max="9986" width="13.7109375" style="111" customWidth="1"/>
    <col min="9987" max="9987" width="11.140625" style="111" customWidth="1"/>
    <col min="9988" max="9988" width="14.7109375" style="111" customWidth="1"/>
    <col min="9989" max="9989" width="11.7109375" style="111" customWidth="1"/>
    <col min="9990" max="9990" width="12.7109375" style="111" customWidth="1"/>
    <col min="9991" max="9991" width="12.5703125" style="111" customWidth="1"/>
    <col min="9992" max="9992" width="11.28515625" style="111" customWidth="1"/>
    <col min="9993" max="9993" width="10.28515625" style="111" customWidth="1"/>
    <col min="9994" max="9994" width="9.140625" style="111" customWidth="1"/>
    <col min="9995" max="9995" width="13.140625" style="111" customWidth="1"/>
    <col min="9996" max="9996" width="9.85546875" style="111" customWidth="1"/>
    <col min="9997" max="9997" width="3.42578125" style="111" customWidth="1"/>
    <col min="9998" max="10240" width="9.140625" style="111"/>
    <col min="10241" max="10241" width="12.140625" style="111" customWidth="1"/>
    <col min="10242" max="10242" width="13.7109375" style="111" customWidth="1"/>
    <col min="10243" max="10243" width="11.140625" style="111" customWidth="1"/>
    <col min="10244" max="10244" width="14.7109375" style="111" customWidth="1"/>
    <col min="10245" max="10245" width="11.7109375" style="111" customWidth="1"/>
    <col min="10246" max="10246" width="12.7109375" style="111" customWidth="1"/>
    <col min="10247" max="10247" width="12.5703125" style="111" customWidth="1"/>
    <col min="10248" max="10248" width="11.28515625" style="111" customWidth="1"/>
    <col min="10249" max="10249" width="10.28515625" style="111" customWidth="1"/>
    <col min="10250" max="10250" width="9.140625" style="111" customWidth="1"/>
    <col min="10251" max="10251" width="13.140625" style="111" customWidth="1"/>
    <col min="10252" max="10252" width="9.85546875" style="111" customWidth="1"/>
    <col min="10253" max="10253" width="3.42578125" style="111" customWidth="1"/>
    <col min="10254" max="10496" width="9.140625" style="111"/>
    <col min="10497" max="10497" width="12.140625" style="111" customWidth="1"/>
    <col min="10498" max="10498" width="13.7109375" style="111" customWidth="1"/>
    <col min="10499" max="10499" width="11.140625" style="111" customWidth="1"/>
    <col min="10500" max="10500" width="14.7109375" style="111" customWidth="1"/>
    <col min="10501" max="10501" width="11.7109375" style="111" customWidth="1"/>
    <col min="10502" max="10502" width="12.7109375" style="111" customWidth="1"/>
    <col min="10503" max="10503" width="12.5703125" style="111" customWidth="1"/>
    <col min="10504" max="10504" width="11.28515625" style="111" customWidth="1"/>
    <col min="10505" max="10505" width="10.28515625" style="111" customWidth="1"/>
    <col min="10506" max="10506" width="9.140625" style="111" customWidth="1"/>
    <col min="10507" max="10507" width="13.140625" style="111" customWidth="1"/>
    <col min="10508" max="10508" width="9.85546875" style="111" customWidth="1"/>
    <col min="10509" max="10509" width="3.42578125" style="111" customWidth="1"/>
    <col min="10510" max="10752" width="9.140625" style="111"/>
    <col min="10753" max="10753" width="12.140625" style="111" customWidth="1"/>
    <col min="10754" max="10754" width="13.7109375" style="111" customWidth="1"/>
    <col min="10755" max="10755" width="11.140625" style="111" customWidth="1"/>
    <col min="10756" max="10756" width="14.7109375" style="111" customWidth="1"/>
    <col min="10757" max="10757" width="11.7109375" style="111" customWidth="1"/>
    <col min="10758" max="10758" width="12.7109375" style="111" customWidth="1"/>
    <col min="10759" max="10759" width="12.5703125" style="111" customWidth="1"/>
    <col min="10760" max="10760" width="11.28515625" style="111" customWidth="1"/>
    <col min="10761" max="10761" width="10.28515625" style="111" customWidth="1"/>
    <col min="10762" max="10762" width="9.140625" style="111" customWidth="1"/>
    <col min="10763" max="10763" width="13.140625" style="111" customWidth="1"/>
    <col min="10764" max="10764" width="9.85546875" style="111" customWidth="1"/>
    <col min="10765" max="10765" width="3.42578125" style="111" customWidth="1"/>
    <col min="10766" max="11008" width="9.140625" style="111"/>
    <col min="11009" max="11009" width="12.140625" style="111" customWidth="1"/>
    <col min="11010" max="11010" width="13.7109375" style="111" customWidth="1"/>
    <col min="11011" max="11011" width="11.140625" style="111" customWidth="1"/>
    <col min="11012" max="11012" width="14.7109375" style="111" customWidth="1"/>
    <col min="11013" max="11013" width="11.7109375" style="111" customWidth="1"/>
    <col min="11014" max="11014" width="12.7109375" style="111" customWidth="1"/>
    <col min="11015" max="11015" width="12.5703125" style="111" customWidth="1"/>
    <col min="11016" max="11016" width="11.28515625" style="111" customWidth="1"/>
    <col min="11017" max="11017" width="10.28515625" style="111" customWidth="1"/>
    <col min="11018" max="11018" width="9.140625" style="111" customWidth="1"/>
    <col min="11019" max="11019" width="13.140625" style="111" customWidth="1"/>
    <col min="11020" max="11020" width="9.85546875" style="111" customWidth="1"/>
    <col min="11021" max="11021" width="3.42578125" style="111" customWidth="1"/>
    <col min="11022" max="11264" width="9.140625" style="111"/>
    <col min="11265" max="11265" width="12.140625" style="111" customWidth="1"/>
    <col min="11266" max="11266" width="13.7109375" style="111" customWidth="1"/>
    <col min="11267" max="11267" width="11.140625" style="111" customWidth="1"/>
    <col min="11268" max="11268" width="14.7109375" style="111" customWidth="1"/>
    <col min="11269" max="11269" width="11.7109375" style="111" customWidth="1"/>
    <col min="11270" max="11270" width="12.7109375" style="111" customWidth="1"/>
    <col min="11271" max="11271" width="12.5703125" style="111" customWidth="1"/>
    <col min="11272" max="11272" width="11.28515625" style="111" customWidth="1"/>
    <col min="11273" max="11273" width="10.28515625" style="111" customWidth="1"/>
    <col min="11274" max="11274" width="9.140625" style="111" customWidth="1"/>
    <col min="11275" max="11275" width="13.140625" style="111" customWidth="1"/>
    <col min="11276" max="11276" width="9.85546875" style="111" customWidth="1"/>
    <col min="11277" max="11277" width="3.42578125" style="111" customWidth="1"/>
    <col min="11278" max="11520" width="9.140625" style="111"/>
    <col min="11521" max="11521" width="12.140625" style="111" customWidth="1"/>
    <col min="11522" max="11522" width="13.7109375" style="111" customWidth="1"/>
    <col min="11523" max="11523" width="11.140625" style="111" customWidth="1"/>
    <col min="11524" max="11524" width="14.7109375" style="111" customWidth="1"/>
    <col min="11525" max="11525" width="11.7109375" style="111" customWidth="1"/>
    <col min="11526" max="11526" width="12.7109375" style="111" customWidth="1"/>
    <col min="11527" max="11527" width="12.5703125" style="111" customWidth="1"/>
    <col min="11528" max="11528" width="11.28515625" style="111" customWidth="1"/>
    <col min="11529" max="11529" width="10.28515625" style="111" customWidth="1"/>
    <col min="11530" max="11530" width="9.140625" style="111" customWidth="1"/>
    <col min="11531" max="11531" width="13.140625" style="111" customWidth="1"/>
    <col min="11532" max="11532" width="9.85546875" style="111" customWidth="1"/>
    <col min="11533" max="11533" width="3.42578125" style="111" customWidth="1"/>
    <col min="11534" max="11776" width="9.140625" style="111"/>
    <col min="11777" max="11777" width="12.140625" style="111" customWidth="1"/>
    <col min="11778" max="11778" width="13.7109375" style="111" customWidth="1"/>
    <col min="11779" max="11779" width="11.140625" style="111" customWidth="1"/>
    <col min="11780" max="11780" width="14.7109375" style="111" customWidth="1"/>
    <col min="11781" max="11781" width="11.7109375" style="111" customWidth="1"/>
    <col min="11782" max="11782" width="12.7109375" style="111" customWidth="1"/>
    <col min="11783" max="11783" width="12.5703125" style="111" customWidth="1"/>
    <col min="11784" max="11784" width="11.28515625" style="111" customWidth="1"/>
    <col min="11785" max="11785" width="10.28515625" style="111" customWidth="1"/>
    <col min="11786" max="11786" width="9.140625" style="111" customWidth="1"/>
    <col min="11787" max="11787" width="13.140625" style="111" customWidth="1"/>
    <col min="11788" max="11788" width="9.85546875" style="111" customWidth="1"/>
    <col min="11789" max="11789" width="3.42578125" style="111" customWidth="1"/>
    <col min="11790" max="12032" width="9.140625" style="111"/>
    <col min="12033" max="12033" width="12.140625" style="111" customWidth="1"/>
    <col min="12034" max="12034" width="13.7109375" style="111" customWidth="1"/>
    <col min="12035" max="12035" width="11.140625" style="111" customWidth="1"/>
    <col min="12036" max="12036" width="14.7109375" style="111" customWidth="1"/>
    <col min="12037" max="12037" width="11.7109375" style="111" customWidth="1"/>
    <col min="12038" max="12038" width="12.7109375" style="111" customWidth="1"/>
    <col min="12039" max="12039" width="12.5703125" style="111" customWidth="1"/>
    <col min="12040" max="12040" width="11.28515625" style="111" customWidth="1"/>
    <col min="12041" max="12041" width="10.28515625" style="111" customWidth="1"/>
    <col min="12042" max="12042" width="9.140625" style="111" customWidth="1"/>
    <col min="12043" max="12043" width="13.140625" style="111" customWidth="1"/>
    <col min="12044" max="12044" width="9.85546875" style="111" customWidth="1"/>
    <col min="12045" max="12045" width="3.42578125" style="111" customWidth="1"/>
    <col min="12046" max="12288" width="9.140625" style="111"/>
    <col min="12289" max="12289" width="12.140625" style="111" customWidth="1"/>
    <col min="12290" max="12290" width="13.7109375" style="111" customWidth="1"/>
    <col min="12291" max="12291" width="11.140625" style="111" customWidth="1"/>
    <col min="12292" max="12292" width="14.7109375" style="111" customWidth="1"/>
    <col min="12293" max="12293" width="11.7109375" style="111" customWidth="1"/>
    <col min="12294" max="12294" width="12.7109375" style="111" customWidth="1"/>
    <col min="12295" max="12295" width="12.5703125" style="111" customWidth="1"/>
    <col min="12296" max="12296" width="11.28515625" style="111" customWidth="1"/>
    <col min="12297" max="12297" width="10.28515625" style="111" customWidth="1"/>
    <col min="12298" max="12298" width="9.140625" style="111" customWidth="1"/>
    <col min="12299" max="12299" width="13.140625" style="111" customWidth="1"/>
    <col min="12300" max="12300" width="9.85546875" style="111" customWidth="1"/>
    <col min="12301" max="12301" width="3.42578125" style="111" customWidth="1"/>
    <col min="12302" max="12544" width="9.140625" style="111"/>
    <col min="12545" max="12545" width="12.140625" style="111" customWidth="1"/>
    <col min="12546" max="12546" width="13.7109375" style="111" customWidth="1"/>
    <col min="12547" max="12547" width="11.140625" style="111" customWidth="1"/>
    <col min="12548" max="12548" width="14.7109375" style="111" customWidth="1"/>
    <col min="12549" max="12549" width="11.7109375" style="111" customWidth="1"/>
    <col min="12550" max="12550" width="12.7109375" style="111" customWidth="1"/>
    <col min="12551" max="12551" width="12.5703125" style="111" customWidth="1"/>
    <col min="12552" max="12552" width="11.28515625" style="111" customWidth="1"/>
    <col min="12553" max="12553" width="10.28515625" style="111" customWidth="1"/>
    <col min="12554" max="12554" width="9.140625" style="111" customWidth="1"/>
    <col min="12555" max="12555" width="13.140625" style="111" customWidth="1"/>
    <col min="12556" max="12556" width="9.85546875" style="111" customWidth="1"/>
    <col min="12557" max="12557" width="3.42578125" style="111" customWidth="1"/>
    <col min="12558" max="12800" width="9.140625" style="111"/>
    <col min="12801" max="12801" width="12.140625" style="111" customWidth="1"/>
    <col min="12802" max="12802" width="13.7109375" style="111" customWidth="1"/>
    <col min="12803" max="12803" width="11.140625" style="111" customWidth="1"/>
    <col min="12804" max="12804" width="14.7109375" style="111" customWidth="1"/>
    <col min="12805" max="12805" width="11.7109375" style="111" customWidth="1"/>
    <col min="12806" max="12806" width="12.7109375" style="111" customWidth="1"/>
    <col min="12807" max="12807" width="12.5703125" style="111" customWidth="1"/>
    <col min="12808" max="12808" width="11.28515625" style="111" customWidth="1"/>
    <col min="12809" max="12809" width="10.28515625" style="111" customWidth="1"/>
    <col min="12810" max="12810" width="9.140625" style="111" customWidth="1"/>
    <col min="12811" max="12811" width="13.140625" style="111" customWidth="1"/>
    <col min="12812" max="12812" width="9.85546875" style="111" customWidth="1"/>
    <col min="12813" max="12813" width="3.42578125" style="111" customWidth="1"/>
    <col min="12814" max="13056" width="9.140625" style="111"/>
    <col min="13057" max="13057" width="12.140625" style="111" customWidth="1"/>
    <col min="13058" max="13058" width="13.7109375" style="111" customWidth="1"/>
    <col min="13059" max="13059" width="11.140625" style="111" customWidth="1"/>
    <col min="13060" max="13060" width="14.7109375" style="111" customWidth="1"/>
    <col min="13061" max="13061" width="11.7109375" style="111" customWidth="1"/>
    <col min="13062" max="13062" width="12.7109375" style="111" customWidth="1"/>
    <col min="13063" max="13063" width="12.5703125" style="111" customWidth="1"/>
    <col min="13064" max="13064" width="11.28515625" style="111" customWidth="1"/>
    <col min="13065" max="13065" width="10.28515625" style="111" customWidth="1"/>
    <col min="13066" max="13066" width="9.140625" style="111" customWidth="1"/>
    <col min="13067" max="13067" width="13.140625" style="111" customWidth="1"/>
    <col min="13068" max="13068" width="9.85546875" style="111" customWidth="1"/>
    <col min="13069" max="13069" width="3.42578125" style="111" customWidth="1"/>
    <col min="13070" max="13312" width="9.140625" style="111"/>
    <col min="13313" max="13313" width="12.140625" style="111" customWidth="1"/>
    <col min="13314" max="13314" width="13.7109375" style="111" customWidth="1"/>
    <col min="13315" max="13315" width="11.140625" style="111" customWidth="1"/>
    <col min="13316" max="13316" width="14.7109375" style="111" customWidth="1"/>
    <col min="13317" max="13317" width="11.7109375" style="111" customWidth="1"/>
    <col min="13318" max="13318" width="12.7109375" style="111" customWidth="1"/>
    <col min="13319" max="13319" width="12.5703125" style="111" customWidth="1"/>
    <col min="13320" max="13320" width="11.28515625" style="111" customWidth="1"/>
    <col min="13321" max="13321" width="10.28515625" style="111" customWidth="1"/>
    <col min="13322" max="13322" width="9.140625" style="111" customWidth="1"/>
    <col min="13323" max="13323" width="13.140625" style="111" customWidth="1"/>
    <col min="13324" max="13324" width="9.85546875" style="111" customWidth="1"/>
    <col min="13325" max="13325" width="3.42578125" style="111" customWidth="1"/>
    <col min="13326" max="13568" width="9.140625" style="111"/>
    <col min="13569" max="13569" width="12.140625" style="111" customWidth="1"/>
    <col min="13570" max="13570" width="13.7109375" style="111" customWidth="1"/>
    <col min="13571" max="13571" width="11.140625" style="111" customWidth="1"/>
    <col min="13572" max="13572" width="14.7109375" style="111" customWidth="1"/>
    <col min="13573" max="13573" width="11.7109375" style="111" customWidth="1"/>
    <col min="13574" max="13574" width="12.7109375" style="111" customWidth="1"/>
    <col min="13575" max="13575" width="12.5703125" style="111" customWidth="1"/>
    <col min="13576" max="13576" width="11.28515625" style="111" customWidth="1"/>
    <col min="13577" max="13577" width="10.28515625" style="111" customWidth="1"/>
    <col min="13578" max="13578" width="9.140625" style="111" customWidth="1"/>
    <col min="13579" max="13579" width="13.140625" style="111" customWidth="1"/>
    <col min="13580" max="13580" width="9.85546875" style="111" customWidth="1"/>
    <col min="13581" max="13581" width="3.42578125" style="111" customWidth="1"/>
    <col min="13582" max="13824" width="9.140625" style="111"/>
    <col min="13825" max="13825" width="12.140625" style="111" customWidth="1"/>
    <col min="13826" max="13826" width="13.7109375" style="111" customWidth="1"/>
    <col min="13827" max="13827" width="11.140625" style="111" customWidth="1"/>
    <col min="13828" max="13828" width="14.7109375" style="111" customWidth="1"/>
    <col min="13829" max="13829" width="11.7109375" style="111" customWidth="1"/>
    <col min="13830" max="13830" width="12.7109375" style="111" customWidth="1"/>
    <col min="13831" max="13831" width="12.5703125" style="111" customWidth="1"/>
    <col min="13832" max="13832" width="11.28515625" style="111" customWidth="1"/>
    <col min="13833" max="13833" width="10.28515625" style="111" customWidth="1"/>
    <col min="13834" max="13834" width="9.140625" style="111" customWidth="1"/>
    <col min="13835" max="13835" width="13.140625" style="111" customWidth="1"/>
    <col min="13836" max="13836" width="9.85546875" style="111" customWidth="1"/>
    <col min="13837" max="13837" width="3.42578125" style="111" customWidth="1"/>
    <col min="13838" max="14080" width="9.140625" style="111"/>
    <col min="14081" max="14081" width="12.140625" style="111" customWidth="1"/>
    <col min="14082" max="14082" width="13.7109375" style="111" customWidth="1"/>
    <col min="14083" max="14083" width="11.140625" style="111" customWidth="1"/>
    <col min="14084" max="14084" width="14.7109375" style="111" customWidth="1"/>
    <col min="14085" max="14085" width="11.7109375" style="111" customWidth="1"/>
    <col min="14086" max="14086" width="12.7109375" style="111" customWidth="1"/>
    <col min="14087" max="14087" width="12.5703125" style="111" customWidth="1"/>
    <col min="14088" max="14088" width="11.28515625" style="111" customWidth="1"/>
    <col min="14089" max="14089" width="10.28515625" style="111" customWidth="1"/>
    <col min="14090" max="14090" width="9.140625" style="111" customWidth="1"/>
    <col min="14091" max="14091" width="13.140625" style="111" customWidth="1"/>
    <col min="14092" max="14092" width="9.85546875" style="111" customWidth="1"/>
    <col min="14093" max="14093" width="3.42578125" style="111" customWidth="1"/>
    <col min="14094" max="14336" width="9.140625" style="111"/>
    <col min="14337" max="14337" width="12.140625" style="111" customWidth="1"/>
    <col min="14338" max="14338" width="13.7109375" style="111" customWidth="1"/>
    <col min="14339" max="14339" width="11.140625" style="111" customWidth="1"/>
    <col min="14340" max="14340" width="14.7109375" style="111" customWidth="1"/>
    <col min="14341" max="14341" width="11.7109375" style="111" customWidth="1"/>
    <col min="14342" max="14342" width="12.7109375" style="111" customWidth="1"/>
    <col min="14343" max="14343" width="12.5703125" style="111" customWidth="1"/>
    <col min="14344" max="14344" width="11.28515625" style="111" customWidth="1"/>
    <col min="14345" max="14345" width="10.28515625" style="111" customWidth="1"/>
    <col min="14346" max="14346" width="9.140625" style="111" customWidth="1"/>
    <col min="14347" max="14347" width="13.140625" style="111" customWidth="1"/>
    <col min="14348" max="14348" width="9.85546875" style="111" customWidth="1"/>
    <col min="14349" max="14349" width="3.42578125" style="111" customWidth="1"/>
    <col min="14350" max="14592" width="9.140625" style="111"/>
    <col min="14593" max="14593" width="12.140625" style="111" customWidth="1"/>
    <col min="14594" max="14594" width="13.7109375" style="111" customWidth="1"/>
    <col min="14595" max="14595" width="11.140625" style="111" customWidth="1"/>
    <col min="14596" max="14596" width="14.7109375" style="111" customWidth="1"/>
    <col min="14597" max="14597" width="11.7109375" style="111" customWidth="1"/>
    <col min="14598" max="14598" width="12.7109375" style="111" customWidth="1"/>
    <col min="14599" max="14599" width="12.5703125" style="111" customWidth="1"/>
    <col min="14600" max="14600" width="11.28515625" style="111" customWidth="1"/>
    <col min="14601" max="14601" width="10.28515625" style="111" customWidth="1"/>
    <col min="14602" max="14602" width="9.140625" style="111" customWidth="1"/>
    <col min="14603" max="14603" width="13.140625" style="111" customWidth="1"/>
    <col min="14604" max="14604" width="9.85546875" style="111" customWidth="1"/>
    <col min="14605" max="14605" width="3.42578125" style="111" customWidth="1"/>
    <col min="14606" max="14848" width="9.140625" style="111"/>
    <col min="14849" max="14849" width="12.140625" style="111" customWidth="1"/>
    <col min="14850" max="14850" width="13.7109375" style="111" customWidth="1"/>
    <col min="14851" max="14851" width="11.140625" style="111" customWidth="1"/>
    <col min="14852" max="14852" width="14.7109375" style="111" customWidth="1"/>
    <col min="14853" max="14853" width="11.7109375" style="111" customWidth="1"/>
    <col min="14854" max="14854" width="12.7109375" style="111" customWidth="1"/>
    <col min="14855" max="14855" width="12.5703125" style="111" customWidth="1"/>
    <col min="14856" max="14856" width="11.28515625" style="111" customWidth="1"/>
    <col min="14857" max="14857" width="10.28515625" style="111" customWidth="1"/>
    <col min="14858" max="14858" width="9.140625" style="111" customWidth="1"/>
    <col min="14859" max="14859" width="13.140625" style="111" customWidth="1"/>
    <col min="14860" max="14860" width="9.85546875" style="111" customWidth="1"/>
    <col min="14861" max="14861" width="3.42578125" style="111" customWidth="1"/>
    <col min="14862" max="15104" width="9.140625" style="111"/>
    <col min="15105" max="15105" width="12.140625" style="111" customWidth="1"/>
    <col min="15106" max="15106" width="13.7109375" style="111" customWidth="1"/>
    <col min="15107" max="15107" width="11.140625" style="111" customWidth="1"/>
    <col min="15108" max="15108" width="14.7109375" style="111" customWidth="1"/>
    <col min="15109" max="15109" width="11.7109375" style="111" customWidth="1"/>
    <col min="15110" max="15110" width="12.7109375" style="111" customWidth="1"/>
    <col min="15111" max="15111" width="12.5703125" style="111" customWidth="1"/>
    <col min="15112" max="15112" width="11.28515625" style="111" customWidth="1"/>
    <col min="15113" max="15113" width="10.28515625" style="111" customWidth="1"/>
    <col min="15114" max="15114" width="9.140625" style="111" customWidth="1"/>
    <col min="15115" max="15115" width="13.140625" style="111" customWidth="1"/>
    <col min="15116" max="15116" width="9.85546875" style="111" customWidth="1"/>
    <col min="15117" max="15117" width="3.42578125" style="111" customWidth="1"/>
    <col min="15118" max="15360" width="9.140625" style="111"/>
    <col min="15361" max="15361" width="12.140625" style="111" customWidth="1"/>
    <col min="15362" max="15362" width="13.7109375" style="111" customWidth="1"/>
    <col min="15363" max="15363" width="11.140625" style="111" customWidth="1"/>
    <col min="15364" max="15364" width="14.7109375" style="111" customWidth="1"/>
    <col min="15365" max="15365" width="11.7109375" style="111" customWidth="1"/>
    <col min="15366" max="15366" width="12.7109375" style="111" customWidth="1"/>
    <col min="15367" max="15367" width="12.5703125" style="111" customWidth="1"/>
    <col min="15368" max="15368" width="11.28515625" style="111" customWidth="1"/>
    <col min="15369" max="15369" width="10.28515625" style="111" customWidth="1"/>
    <col min="15370" max="15370" width="9.140625" style="111" customWidth="1"/>
    <col min="15371" max="15371" width="13.140625" style="111" customWidth="1"/>
    <col min="15372" max="15372" width="9.85546875" style="111" customWidth="1"/>
    <col min="15373" max="15373" width="3.42578125" style="111" customWidth="1"/>
    <col min="15374" max="15616" width="9.140625" style="111"/>
    <col min="15617" max="15617" width="12.140625" style="111" customWidth="1"/>
    <col min="15618" max="15618" width="13.7109375" style="111" customWidth="1"/>
    <col min="15619" max="15619" width="11.140625" style="111" customWidth="1"/>
    <col min="15620" max="15620" width="14.7109375" style="111" customWidth="1"/>
    <col min="15621" max="15621" width="11.7109375" style="111" customWidth="1"/>
    <col min="15622" max="15622" width="12.7109375" style="111" customWidth="1"/>
    <col min="15623" max="15623" width="12.5703125" style="111" customWidth="1"/>
    <col min="15624" max="15624" width="11.28515625" style="111" customWidth="1"/>
    <col min="15625" max="15625" width="10.28515625" style="111" customWidth="1"/>
    <col min="15626" max="15626" width="9.140625" style="111" customWidth="1"/>
    <col min="15627" max="15627" width="13.140625" style="111" customWidth="1"/>
    <col min="15628" max="15628" width="9.85546875" style="111" customWidth="1"/>
    <col min="15629" max="15629" width="3.42578125" style="111" customWidth="1"/>
    <col min="15630" max="15872" width="9.140625" style="111"/>
    <col min="15873" max="15873" width="12.140625" style="111" customWidth="1"/>
    <col min="15874" max="15874" width="13.7109375" style="111" customWidth="1"/>
    <col min="15875" max="15875" width="11.140625" style="111" customWidth="1"/>
    <col min="15876" max="15876" width="14.7109375" style="111" customWidth="1"/>
    <col min="15877" max="15877" width="11.7109375" style="111" customWidth="1"/>
    <col min="15878" max="15878" width="12.7109375" style="111" customWidth="1"/>
    <col min="15879" max="15879" width="12.5703125" style="111" customWidth="1"/>
    <col min="15880" max="15880" width="11.28515625" style="111" customWidth="1"/>
    <col min="15881" max="15881" width="10.28515625" style="111" customWidth="1"/>
    <col min="15882" max="15882" width="9.140625" style="111" customWidth="1"/>
    <col min="15883" max="15883" width="13.140625" style="111" customWidth="1"/>
    <col min="15884" max="15884" width="9.85546875" style="111" customWidth="1"/>
    <col min="15885" max="15885" width="3.42578125" style="111" customWidth="1"/>
    <col min="15886" max="16128" width="9.140625" style="111"/>
    <col min="16129" max="16129" width="12.140625" style="111" customWidth="1"/>
    <col min="16130" max="16130" width="13.7109375" style="111" customWidth="1"/>
    <col min="16131" max="16131" width="11.140625" style="111" customWidth="1"/>
    <col min="16132" max="16132" width="14.7109375" style="111" customWidth="1"/>
    <col min="16133" max="16133" width="11.7109375" style="111" customWidth="1"/>
    <col min="16134" max="16134" width="12.7109375" style="111" customWidth="1"/>
    <col min="16135" max="16135" width="12.5703125" style="111" customWidth="1"/>
    <col min="16136" max="16136" width="11.28515625" style="111" customWidth="1"/>
    <col min="16137" max="16137" width="10.28515625" style="111" customWidth="1"/>
    <col min="16138" max="16138" width="9.140625" style="111" customWidth="1"/>
    <col min="16139" max="16139" width="13.140625" style="111" customWidth="1"/>
    <col min="16140" max="16140" width="9.85546875" style="111" customWidth="1"/>
    <col min="16141" max="16141" width="3.42578125" style="111" customWidth="1"/>
    <col min="16142" max="16384" width="9.140625" style="111"/>
  </cols>
  <sheetData>
    <row r="2" spans="1:14" x14ac:dyDescent="0.2">
      <c r="A2" s="2688" t="s">
        <v>3383</v>
      </c>
      <c r="B2" s="2689"/>
      <c r="C2" s="2689"/>
      <c r="D2" s="2689"/>
      <c r="E2" s="2689"/>
      <c r="F2" s="2689"/>
      <c r="G2" s="2689"/>
      <c r="H2" s="2689"/>
      <c r="I2" s="2689"/>
      <c r="J2" s="2689"/>
      <c r="K2" s="2689"/>
      <c r="L2" s="2689"/>
    </row>
    <row r="3" spans="1:14" ht="11.25" customHeight="1" x14ac:dyDescent="0.2">
      <c r="A3" s="2347"/>
      <c r="B3" s="2667"/>
      <c r="C3" s="2667"/>
      <c r="D3" s="2667"/>
      <c r="E3" s="2667"/>
      <c r="F3" s="2667"/>
      <c r="G3" s="2667"/>
      <c r="H3" s="2667"/>
      <c r="I3" s="2667"/>
      <c r="J3" s="2667"/>
      <c r="K3" s="2667"/>
      <c r="L3" s="2667"/>
    </row>
    <row r="4" spans="1:14" x14ac:dyDescent="0.2">
      <c r="A4" s="3393" t="s">
        <v>1442</v>
      </c>
      <c r="B4" s="3394" t="s">
        <v>1472</v>
      </c>
      <c r="C4" s="3395"/>
      <c r="D4" s="3395"/>
      <c r="E4" s="3395"/>
      <c r="F4" s="3395"/>
      <c r="G4" s="3395"/>
      <c r="H4" s="3395"/>
      <c r="I4" s="3395"/>
      <c r="J4" s="3395"/>
      <c r="K4" s="3395"/>
      <c r="L4" s="3396"/>
    </row>
    <row r="5" spans="1:14" x14ac:dyDescent="0.2">
      <c r="A5" s="2460"/>
      <c r="B5" s="3393" t="s">
        <v>141</v>
      </c>
      <c r="C5" s="2361" t="s">
        <v>1474</v>
      </c>
      <c r="D5" s="3397"/>
      <c r="E5" s="3397"/>
      <c r="F5" s="3397"/>
      <c r="G5" s="3397"/>
      <c r="H5" s="3397"/>
      <c r="I5" s="3397"/>
      <c r="J5" s="3397"/>
      <c r="K5" s="3397"/>
      <c r="L5" s="3398"/>
    </row>
    <row r="6" spans="1:14" ht="36" customHeight="1" x14ac:dyDescent="0.2">
      <c r="A6" s="2360"/>
      <c r="B6" s="2360"/>
      <c r="C6" s="697" t="s">
        <v>3384</v>
      </c>
      <c r="D6" s="1615" t="s">
        <v>3385</v>
      </c>
      <c r="E6" s="1615" t="s">
        <v>3386</v>
      </c>
      <c r="F6" s="1615" t="s">
        <v>3387</v>
      </c>
      <c r="G6" s="1615" t="s">
        <v>3388</v>
      </c>
      <c r="H6" s="1615" t="s">
        <v>3389</v>
      </c>
      <c r="I6" s="1615" t="s">
        <v>3390</v>
      </c>
      <c r="J6" s="1615" t="s">
        <v>3391</v>
      </c>
      <c r="K6" s="1615" t="s">
        <v>3392</v>
      </c>
      <c r="L6" s="1615" t="s">
        <v>3393</v>
      </c>
    </row>
    <row r="7" spans="1:14" x14ac:dyDescent="0.2">
      <c r="A7" s="172">
        <v>2011</v>
      </c>
      <c r="B7" s="551">
        <f>SUM(C7:L7)</f>
        <v>65199</v>
      </c>
      <c r="C7" s="552">
        <v>30584</v>
      </c>
      <c r="D7" s="552">
        <v>1257</v>
      </c>
      <c r="E7" s="552">
        <v>11405</v>
      </c>
      <c r="F7" s="552">
        <v>11553</v>
      </c>
      <c r="G7" s="552">
        <v>2965</v>
      </c>
      <c r="H7" s="552">
        <v>2617</v>
      </c>
      <c r="I7" s="552">
        <v>1694</v>
      </c>
      <c r="J7" s="552">
        <v>546</v>
      </c>
      <c r="K7" s="1269">
        <v>0</v>
      </c>
      <c r="L7" s="552">
        <v>2578</v>
      </c>
    </row>
    <row r="8" spans="1:14" x14ac:dyDescent="0.2">
      <c r="A8" s="172">
        <v>2012</v>
      </c>
      <c r="B8" s="551">
        <f>SUM(C8:L8)</f>
        <v>97648</v>
      </c>
      <c r="C8" s="552">
        <v>38134</v>
      </c>
      <c r="D8" s="552">
        <v>1308</v>
      </c>
      <c r="E8" s="552">
        <v>22334</v>
      </c>
      <c r="F8" s="552">
        <v>15947</v>
      </c>
      <c r="G8" s="552">
        <v>6394</v>
      </c>
      <c r="H8" s="552">
        <v>4059</v>
      </c>
      <c r="I8" s="552">
        <v>1656</v>
      </c>
      <c r="J8" s="552">
        <v>2645</v>
      </c>
      <c r="K8" s="1269">
        <v>0</v>
      </c>
      <c r="L8" s="552">
        <v>5171</v>
      </c>
    </row>
    <row r="9" spans="1:14" x14ac:dyDescent="0.2">
      <c r="A9" s="2098">
        <v>2013</v>
      </c>
      <c r="B9" s="551">
        <f>SUM(C9:L9)</f>
        <v>89203</v>
      </c>
      <c r="C9" s="552">
        <v>39824</v>
      </c>
      <c r="D9" s="552">
        <v>2106</v>
      </c>
      <c r="E9" s="552">
        <v>21223</v>
      </c>
      <c r="F9" s="552">
        <v>11634</v>
      </c>
      <c r="G9" s="552">
        <v>4254</v>
      </c>
      <c r="H9" s="552">
        <v>1802</v>
      </c>
      <c r="I9" s="552">
        <v>2703</v>
      </c>
      <c r="J9" s="1616">
        <v>1853</v>
      </c>
      <c r="K9" s="1269">
        <v>0</v>
      </c>
      <c r="L9" s="1616">
        <v>3804</v>
      </c>
      <c r="M9" s="2108"/>
      <c r="N9" s="2108"/>
    </row>
    <row r="10" spans="1:14" x14ac:dyDescent="0.2">
      <c r="A10" s="2098">
        <v>2014</v>
      </c>
      <c r="B10" s="551">
        <f>SUM(C10:L10)</f>
        <v>74063</v>
      </c>
      <c r="C10" s="552">
        <v>32884</v>
      </c>
      <c r="D10" s="552">
        <v>1244</v>
      </c>
      <c r="E10" s="552">
        <v>12596</v>
      </c>
      <c r="F10" s="552">
        <v>9768</v>
      </c>
      <c r="G10" s="552">
        <v>5084</v>
      </c>
      <c r="H10" s="552">
        <v>2519</v>
      </c>
      <c r="I10" s="552">
        <v>2455</v>
      </c>
      <c r="J10" s="1616">
        <v>3175</v>
      </c>
      <c r="K10" s="1616">
        <v>1643</v>
      </c>
      <c r="L10" s="1616">
        <v>2695</v>
      </c>
      <c r="M10" s="2108"/>
      <c r="N10" s="2108"/>
    </row>
    <row r="11" spans="1:14" x14ac:dyDescent="0.2">
      <c r="A11" s="2098">
        <v>2015</v>
      </c>
      <c r="B11" s="551">
        <f>SUM(C11:L11)</f>
        <v>62792</v>
      </c>
      <c r="C11" s="713">
        <v>29851</v>
      </c>
      <c r="D11" s="713">
        <v>925</v>
      </c>
      <c r="E11" s="713">
        <v>10108</v>
      </c>
      <c r="F11" s="713">
        <v>8162</v>
      </c>
      <c r="G11" s="713">
        <v>4176</v>
      </c>
      <c r="H11" s="713">
        <v>3161</v>
      </c>
      <c r="I11" s="713">
        <v>3150</v>
      </c>
      <c r="J11" s="713">
        <v>892</v>
      </c>
      <c r="K11" s="713">
        <v>1282</v>
      </c>
      <c r="L11" s="713">
        <v>1085</v>
      </c>
      <c r="M11" s="2108"/>
      <c r="N11" s="2108"/>
    </row>
    <row r="12" spans="1:14" ht="11.25" customHeight="1" x14ac:dyDescent="0.2">
      <c r="A12" s="2356"/>
      <c r="B12" s="2672"/>
      <c r="C12" s="2672"/>
      <c r="D12" s="2672"/>
      <c r="E12" s="2672"/>
      <c r="F12" s="2672"/>
      <c r="G12" s="2672"/>
      <c r="H12" s="2672"/>
      <c r="I12" s="2672"/>
      <c r="J12" s="2672"/>
      <c r="K12" s="2672"/>
      <c r="L12" s="2092"/>
      <c r="M12" s="2108"/>
      <c r="N12" s="2108"/>
    </row>
    <row r="13" spans="1:14" ht="22.5" customHeight="1" x14ac:dyDescent="0.2">
      <c r="A13" s="2414" t="s">
        <v>3394</v>
      </c>
      <c r="B13" s="2687"/>
      <c r="C13" s="2687"/>
      <c r="D13" s="2687"/>
      <c r="E13" s="2687"/>
      <c r="F13" s="2687"/>
      <c r="G13" s="2687"/>
      <c r="H13" s="2687"/>
      <c r="I13" s="2687"/>
      <c r="J13" s="2687"/>
      <c r="K13" s="2687"/>
      <c r="L13" s="2687"/>
      <c r="M13" s="2108"/>
      <c r="N13" s="2108"/>
    </row>
    <row r="14" spans="1:14" x14ac:dyDescent="0.2">
      <c r="A14" s="3392" t="s">
        <v>3395</v>
      </c>
      <c r="B14" s="3392"/>
      <c r="C14" s="3392"/>
      <c r="D14" s="3392"/>
      <c r="E14" s="3392"/>
      <c r="F14" s="3392"/>
      <c r="G14" s="3392"/>
      <c r="H14" s="3392"/>
      <c r="I14" s="3392"/>
      <c r="J14" s="3392"/>
      <c r="K14" s="3392"/>
      <c r="L14" s="3392"/>
      <c r="M14" s="2108"/>
      <c r="N14" s="2108"/>
    </row>
    <row r="15" spans="1:14" x14ac:dyDescent="0.2">
      <c r="A15" s="2463" t="s">
        <v>1483</v>
      </c>
      <c r="B15" s="2687"/>
      <c r="C15" s="2687"/>
      <c r="D15" s="2687"/>
      <c r="E15" s="2687"/>
      <c r="F15" s="2687"/>
      <c r="G15" s="2687"/>
      <c r="H15" s="2687"/>
      <c r="I15" s="2687"/>
      <c r="J15" s="2687"/>
      <c r="K15" s="2687"/>
      <c r="L15" s="2687"/>
      <c r="M15" s="2108"/>
      <c r="N15" s="2108"/>
    </row>
    <row r="16" spans="1:14" x14ac:dyDescent="0.2">
      <c r="A16" s="2108"/>
      <c r="B16" s="2108"/>
      <c r="C16" s="2108"/>
      <c r="D16" s="2108"/>
      <c r="E16" s="2108"/>
      <c r="F16" s="2108"/>
      <c r="G16" s="2108"/>
      <c r="H16" s="2108"/>
      <c r="I16" s="2108"/>
      <c r="J16" s="2108"/>
      <c r="K16" s="2108"/>
      <c r="L16" s="2108"/>
      <c r="M16" s="2108"/>
      <c r="N16" s="2108"/>
    </row>
    <row r="17" spans="1:14" x14ac:dyDescent="0.2">
      <c r="A17" s="2108"/>
      <c r="B17" s="2108"/>
      <c r="C17" s="2108"/>
      <c r="D17" s="2108"/>
      <c r="E17" s="2108"/>
      <c r="F17" s="2108"/>
      <c r="G17" s="2108"/>
      <c r="H17" s="2108"/>
      <c r="I17" s="2108"/>
      <c r="J17" s="2108"/>
      <c r="K17" s="2108"/>
      <c r="L17" s="2108"/>
      <c r="M17" s="2108"/>
      <c r="N17" s="2108"/>
    </row>
    <row r="18" spans="1:14" x14ac:dyDescent="0.2">
      <c r="A18" s="2108"/>
      <c r="B18" s="2108"/>
      <c r="C18" s="2108"/>
      <c r="D18" s="2108"/>
      <c r="E18" s="2108"/>
      <c r="F18" s="2108"/>
      <c r="G18" s="2108"/>
      <c r="H18" s="2108"/>
      <c r="I18" s="2108"/>
      <c r="J18" s="2108"/>
      <c r="K18" s="2108"/>
      <c r="L18" s="2108"/>
      <c r="M18" s="2108"/>
      <c r="N18" s="2108"/>
    </row>
    <row r="19" spans="1:14" x14ac:dyDescent="0.2">
      <c r="A19" s="2108"/>
      <c r="B19" s="2108"/>
      <c r="C19" s="2108"/>
      <c r="D19" s="2108"/>
      <c r="E19" s="2108"/>
      <c r="F19" s="2108"/>
      <c r="G19" s="2108"/>
      <c r="H19" s="2108"/>
      <c r="I19" s="2108"/>
      <c r="J19" s="2108"/>
      <c r="K19" s="2108"/>
      <c r="L19" s="2108"/>
      <c r="M19" s="2108"/>
      <c r="N19" s="2108"/>
    </row>
    <row r="20" spans="1:14" x14ac:dyDescent="0.2">
      <c r="A20" s="2108"/>
      <c r="B20" s="2108"/>
      <c r="C20" s="2108"/>
      <c r="D20" s="2108"/>
      <c r="E20" s="2108"/>
      <c r="F20" s="2108"/>
      <c r="G20" s="2108"/>
      <c r="H20" s="2108"/>
      <c r="I20" s="2108"/>
      <c r="J20" s="2108"/>
      <c r="K20" s="2108"/>
      <c r="L20" s="2108"/>
      <c r="M20" s="2108"/>
      <c r="N20" s="2108"/>
    </row>
    <row r="21" spans="1:14" x14ac:dyDescent="0.2">
      <c r="A21" s="2108"/>
      <c r="B21" s="2108"/>
      <c r="C21" s="2108"/>
      <c r="D21" s="2108"/>
      <c r="E21" s="2108"/>
      <c r="F21" s="2108"/>
      <c r="G21" s="2108"/>
      <c r="H21" s="2108"/>
      <c r="I21" s="2108"/>
      <c r="J21" s="2108"/>
      <c r="K21" s="2108"/>
      <c r="L21" s="2108"/>
      <c r="M21" s="2108"/>
      <c r="N21" s="2108"/>
    </row>
    <row r="22" spans="1:14" x14ac:dyDescent="0.2">
      <c r="A22" s="2108"/>
      <c r="B22" s="2108"/>
      <c r="C22" s="2108"/>
      <c r="D22" s="2108"/>
      <c r="E22" s="2108"/>
      <c r="F22" s="2108"/>
      <c r="G22" s="2108"/>
      <c r="H22" s="2108"/>
      <c r="I22" s="2108"/>
      <c r="J22" s="2108"/>
      <c r="K22" s="2108"/>
      <c r="L22" s="2108"/>
      <c r="M22" s="2108"/>
      <c r="N22" s="2108"/>
    </row>
  </sheetData>
  <mergeCells count="10">
    <mergeCell ref="A12:K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O35"/>
  <sheetViews>
    <sheetView workbookViewId="0">
      <selection activeCell="C33" sqref="C33"/>
    </sheetView>
  </sheetViews>
  <sheetFormatPr baseColWidth="10" defaultColWidth="9.140625" defaultRowHeight="10.5" x14ac:dyDescent="0.15"/>
  <cols>
    <col min="1" max="1" width="17.42578125" style="2090" customWidth="1"/>
    <col min="2" max="3" width="12.42578125" style="2090" customWidth="1"/>
    <col min="4" max="4" width="12.85546875" style="2090" customWidth="1"/>
    <col min="5" max="5" width="13.7109375" style="2090" customWidth="1"/>
    <col min="6" max="7" width="11" style="2090" customWidth="1"/>
    <col min="8" max="8" width="10.85546875" style="2090" customWidth="1"/>
    <col min="9" max="9" width="13.5703125" style="2090" customWidth="1"/>
    <col min="10" max="10" width="12.7109375" style="2090" customWidth="1"/>
    <col min="11" max="11" width="11.85546875" style="2090" customWidth="1"/>
    <col min="12" max="12" width="11.5703125" style="2090" customWidth="1"/>
    <col min="13" max="13" width="12.28515625" style="2090" customWidth="1"/>
    <col min="14" max="257" width="9.140625" style="2090"/>
    <col min="258" max="258" width="17.42578125" style="2090" customWidth="1"/>
    <col min="259" max="259" width="12.42578125" style="2090" customWidth="1"/>
    <col min="260" max="260" width="12.85546875" style="2090" customWidth="1"/>
    <col min="261" max="261" width="13.7109375" style="2090" customWidth="1"/>
    <col min="262" max="263" width="11" style="2090" customWidth="1"/>
    <col min="264" max="264" width="10.85546875" style="2090" customWidth="1"/>
    <col min="265" max="265" width="13.5703125" style="2090" customWidth="1"/>
    <col min="266" max="266" width="12.7109375" style="2090" customWidth="1"/>
    <col min="267" max="267" width="11.85546875" style="2090" customWidth="1"/>
    <col min="268" max="268" width="11.5703125" style="2090" customWidth="1"/>
    <col min="269" max="269" width="12.28515625" style="2090" customWidth="1"/>
    <col min="270" max="513" width="9.140625" style="2090"/>
    <col min="514" max="514" width="17.42578125" style="2090" customWidth="1"/>
    <col min="515" max="515" width="12.42578125" style="2090" customWidth="1"/>
    <col min="516" max="516" width="12.85546875" style="2090" customWidth="1"/>
    <col min="517" max="517" width="13.7109375" style="2090" customWidth="1"/>
    <col min="518" max="519" width="11" style="2090" customWidth="1"/>
    <col min="520" max="520" width="10.85546875" style="2090" customWidth="1"/>
    <col min="521" max="521" width="13.5703125" style="2090" customWidth="1"/>
    <col min="522" max="522" width="12.7109375" style="2090" customWidth="1"/>
    <col min="523" max="523" width="11.85546875" style="2090" customWidth="1"/>
    <col min="524" max="524" width="11.5703125" style="2090" customWidth="1"/>
    <col min="525" max="525" width="12.28515625" style="2090" customWidth="1"/>
    <col min="526" max="769" width="9.140625" style="2090"/>
    <col min="770" max="770" width="17.42578125" style="2090" customWidth="1"/>
    <col min="771" max="771" width="12.42578125" style="2090" customWidth="1"/>
    <col min="772" max="772" width="12.85546875" style="2090" customWidth="1"/>
    <col min="773" max="773" width="13.7109375" style="2090" customWidth="1"/>
    <col min="774" max="775" width="11" style="2090" customWidth="1"/>
    <col min="776" max="776" width="10.85546875" style="2090" customWidth="1"/>
    <col min="777" max="777" width="13.5703125" style="2090" customWidth="1"/>
    <col min="778" max="778" width="12.7109375" style="2090" customWidth="1"/>
    <col min="779" max="779" width="11.85546875" style="2090" customWidth="1"/>
    <col min="780" max="780" width="11.5703125" style="2090" customWidth="1"/>
    <col min="781" max="781" width="12.28515625" style="2090" customWidth="1"/>
    <col min="782" max="1025" width="9.140625" style="2090"/>
    <col min="1026" max="1026" width="17.42578125" style="2090" customWidth="1"/>
    <col min="1027" max="1027" width="12.42578125" style="2090" customWidth="1"/>
    <col min="1028" max="1028" width="12.85546875" style="2090" customWidth="1"/>
    <col min="1029" max="1029" width="13.7109375" style="2090" customWidth="1"/>
    <col min="1030" max="1031" width="11" style="2090" customWidth="1"/>
    <col min="1032" max="1032" width="10.85546875" style="2090" customWidth="1"/>
    <col min="1033" max="1033" width="13.5703125" style="2090" customWidth="1"/>
    <col min="1034" max="1034" width="12.7109375" style="2090" customWidth="1"/>
    <col min="1035" max="1035" width="11.85546875" style="2090" customWidth="1"/>
    <col min="1036" max="1036" width="11.5703125" style="2090" customWidth="1"/>
    <col min="1037" max="1037" width="12.28515625" style="2090" customWidth="1"/>
    <col min="1038" max="1281" width="9.140625" style="2090"/>
    <col min="1282" max="1282" width="17.42578125" style="2090" customWidth="1"/>
    <col min="1283" max="1283" width="12.42578125" style="2090" customWidth="1"/>
    <col min="1284" max="1284" width="12.85546875" style="2090" customWidth="1"/>
    <col min="1285" max="1285" width="13.7109375" style="2090" customWidth="1"/>
    <col min="1286" max="1287" width="11" style="2090" customWidth="1"/>
    <col min="1288" max="1288" width="10.85546875" style="2090" customWidth="1"/>
    <col min="1289" max="1289" width="13.5703125" style="2090" customWidth="1"/>
    <col min="1290" max="1290" width="12.7109375" style="2090" customWidth="1"/>
    <col min="1291" max="1291" width="11.85546875" style="2090" customWidth="1"/>
    <col min="1292" max="1292" width="11.5703125" style="2090" customWidth="1"/>
    <col min="1293" max="1293" width="12.28515625" style="2090" customWidth="1"/>
    <col min="1294" max="1537" width="9.140625" style="2090"/>
    <col min="1538" max="1538" width="17.42578125" style="2090" customWidth="1"/>
    <col min="1539" max="1539" width="12.42578125" style="2090" customWidth="1"/>
    <col min="1540" max="1540" width="12.85546875" style="2090" customWidth="1"/>
    <col min="1541" max="1541" width="13.7109375" style="2090" customWidth="1"/>
    <col min="1542" max="1543" width="11" style="2090" customWidth="1"/>
    <col min="1544" max="1544" width="10.85546875" style="2090" customWidth="1"/>
    <col min="1545" max="1545" width="13.5703125" style="2090" customWidth="1"/>
    <col min="1546" max="1546" width="12.7109375" style="2090" customWidth="1"/>
    <col min="1547" max="1547" width="11.85546875" style="2090" customWidth="1"/>
    <col min="1548" max="1548" width="11.5703125" style="2090" customWidth="1"/>
    <col min="1549" max="1549" width="12.28515625" style="2090" customWidth="1"/>
    <col min="1550" max="1793" width="9.140625" style="2090"/>
    <col min="1794" max="1794" width="17.42578125" style="2090" customWidth="1"/>
    <col min="1795" max="1795" width="12.42578125" style="2090" customWidth="1"/>
    <col min="1796" max="1796" width="12.85546875" style="2090" customWidth="1"/>
    <col min="1797" max="1797" width="13.7109375" style="2090" customWidth="1"/>
    <col min="1798" max="1799" width="11" style="2090" customWidth="1"/>
    <col min="1800" max="1800" width="10.85546875" style="2090" customWidth="1"/>
    <col min="1801" max="1801" width="13.5703125" style="2090" customWidth="1"/>
    <col min="1802" max="1802" width="12.7109375" style="2090" customWidth="1"/>
    <col min="1803" max="1803" width="11.85546875" style="2090" customWidth="1"/>
    <col min="1804" max="1804" width="11.5703125" style="2090" customWidth="1"/>
    <col min="1805" max="1805" width="12.28515625" style="2090" customWidth="1"/>
    <col min="1806" max="2049" width="9.140625" style="2090"/>
    <col min="2050" max="2050" width="17.42578125" style="2090" customWidth="1"/>
    <col min="2051" max="2051" width="12.42578125" style="2090" customWidth="1"/>
    <col min="2052" max="2052" width="12.85546875" style="2090" customWidth="1"/>
    <col min="2053" max="2053" width="13.7109375" style="2090" customWidth="1"/>
    <col min="2054" max="2055" width="11" style="2090" customWidth="1"/>
    <col min="2056" max="2056" width="10.85546875" style="2090" customWidth="1"/>
    <col min="2057" max="2057" width="13.5703125" style="2090" customWidth="1"/>
    <col min="2058" max="2058" width="12.7109375" style="2090" customWidth="1"/>
    <col min="2059" max="2059" width="11.85546875" style="2090" customWidth="1"/>
    <col min="2060" max="2060" width="11.5703125" style="2090" customWidth="1"/>
    <col min="2061" max="2061" width="12.28515625" style="2090" customWidth="1"/>
    <col min="2062" max="2305" width="9.140625" style="2090"/>
    <col min="2306" max="2306" width="17.42578125" style="2090" customWidth="1"/>
    <col min="2307" max="2307" width="12.42578125" style="2090" customWidth="1"/>
    <col min="2308" max="2308" width="12.85546875" style="2090" customWidth="1"/>
    <col min="2309" max="2309" width="13.7109375" style="2090" customWidth="1"/>
    <col min="2310" max="2311" width="11" style="2090" customWidth="1"/>
    <col min="2312" max="2312" width="10.85546875" style="2090" customWidth="1"/>
    <col min="2313" max="2313" width="13.5703125" style="2090" customWidth="1"/>
    <col min="2314" max="2314" width="12.7109375" style="2090" customWidth="1"/>
    <col min="2315" max="2315" width="11.85546875" style="2090" customWidth="1"/>
    <col min="2316" max="2316" width="11.5703125" style="2090" customWidth="1"/>
    <col min="2317" max="2317" width="12.28515625" style="2090" customWidth="1"/>
    <col min="2318" max="2561" width="9.140625" style="2090"/>
    <col min="2562" max="2562" width="17.42578125" style="2090" customWidth="1"/>
    <col min="2563" max="2563" width="12.42578125" style="2090" customWidth="1"/>
    <col min="2564" max="2564" width="12.85546875" style="2090" customWidth="1"/>
    <col min="2565" max="2565" width="13.7109375" style="2090" customWidth="1"/>
    <col min="2566" max="2567" width="11" style="2090" customWidth="1"/>
    <col min="2568" max="2568" width="10.85546875" style="2090" customWidth="1"/>
    <col min="2569" max="2569" width="13.5703125" style="2090" customWidth="1"/>
    <col min="2570" max="2570" width="12.7109375" style="2090" customWidth="1"/>
    <col min="2571" max="2571" width="11.85546875" style="2090" customWidth="1"/>
    <col min="2572" max="2572" width="11.5703125" style="2090" customWidth="1"/>
    <col min="2573" max="2573" width="12.28515625" style="2090" customWidth="1"/>
    <col min="2574" max="2817" width="9.140625" style="2090"/>
    <col min="2818" max="2818" width="17.42578125" style="2090" customWidth="1"/>
    <col min="2819" max="2819" width="12.42578125" style="2090" customWidth="1"/>
    <col min="2820" max="2820" width="12.85546875" style="2090" customWidth="1"/>
    <col min="2821" max="2821" width="13.7109375" style="2090" customWidth="1"/>
    <col min="2822" max="2823" width="11" style="2090" customWidth="1"/>
    <col min="2824" max="2824" width="10.85546875" style="2090" customWidth="1"/>
    <col min="2825" max="2825" width="13.5703125" style="2090" customWidth="1"/>
    <col min="2826" max="2826" width="12.7109375" style="2090" customWidth="1"/>
    <col min="2827" max="2827" width="11.85546875" style="2090" customWidth="1"/>
    <col min="2828" max="2828" width="11.5703125" style="2090" customWidth="1"/>
    <col min="2829" max="2829" width="12.28515625" style="2090" customWidth="1"/>
    <col min="2830" max="3073" width="9.140625" style="2090"/>
    <col min="3074" max="3074" width="17.42578125" style="2090" customWidth="1"/>
    <col min="3075" max="3075" width="12.42578125" style="2090" customWidth="1"/>
    <col min="3076" max="3076" width="12.85546875" style="2090" customWidth="1"/>
    <col min="3077" max="3077" width="13.7109375" style="2090" customWidth="1"/>
    <col min="3078" max="3079" width="11" style="2090" customWidth="1"/>
    <col min="3080" max="3080" width="10.85546875" style="2090" customWidth="1"/>
    <col min="3081" max="3081" width="13.5703125" style="2090" customWidth="1"/>
    <col min="3082" max="3082" width="12.7109375" style="2090" customWidth="1"/>
    <col min="3083" max="3083" width="11.85546875" style="2090" customWidth="1"/>
    <col min="3084" max="3084" width="11.5703125" style="2090" customWidth="1"/>
    <col min="3085" max="3085" width="12.28515625" style="2090" customWidth="1"/>
    <col min="3086" max="3329" width="9.140625" style="2090"/>
    <col min="3330" max="3330" width="17.42578125" style="2090" customWidth="1"/>
    <col min="3331" max="3331" width="12.42578125" style="2090" customWidth="1"/>
    <col min="3332" max="3332" width="12.85546875" style="2090" customWidth="1"/>
    <col min="3333" max="3333" width="13.7109375" style="2090" customWidth="1"/>
    <col min="3334" max="3335" width="11" style="2090" customWidth="1"/>
    <col min="3336" max="3336" width="10.85546875" style="2090" customWidth="1"/>
    <col min="3337" max="3337" width="13.5703125" style="2090" customWidth="1"/>
    <col min="3338" max="3338" width="12.7109375" style="2090" customWidth="1"/>
    <col min="3339" max="3339" width="11.85546875" style="2090" customWidth="1"/>
    <col min="3340" max="3340" width="11.5703125" style="2090" customWidth="1"/>
    <col min="3341" max="3341" width="12.28515625" style="2090" customWidth="1"/>
    <col min="3342" max="3585" width="9.140625" style="2090"/>
    <col min="3586" max="3586" width="17.42578125" style="2090" customWidth="1"/>
    <col min="3587" max="3587" width="12.42578125" style="2090" customWidth="1"/>
    <col min="3588" max="3588" width="12.85546875" style="2090" customWidth="1"/>
    <col min="3589" max="3589" width="13.7109375" style="2090" customWidth="1"/>
    <col min="3590" max="3591" width="11" style="2090" customWidth="1"/>
    <col min="3592" max="3592" width="10.85546875" style="2090" customWidth="1"/>
    <col min="3593" max="3593" width="13.5703125" style="2090" customWidth="1"/>
    <col min="3594" max="3594" width="12.7109375" style="2090" customWidth="1"/>
    <col min="3595" max="3595" width="11.85546875" style="2090" customWidth="1"/>
    <col min="3596" max="3596" width="11.5703125" style="2090" customWidth="1"/>
    <col min="3597" max="3597" width="12.28515625" style="2090" customWidth="1"/>
    <col min="3598" max="3841" width="9.140625" style="2090"/>
    <col min="3842" max="3842" width="17.42578125" style="2090" customWidth="1"/>
    <col min="3843" max="3843" width="12.42578125" style="2090" customWidth="1"/>
    <col min="3844" max="3844" width="12.85546875" style="2090" customWidth="1"/>
    <col min="3845" max="3845" width="13.7109375" style="2090" customWidth="1"/>
    <col min="3846" max="3847" width="11" style="2090" customWidth="1"/>
    <col min="3848" max="3848" width="10.85546875" style="2090" customWidth="1"/>
    <col min="3849" max="3849" width="13.5703125" style="2090" customWidth="1"/>
    <col min="3850" max="3850" width="12.7109375" style="2090" customWidth="1"/>
    <col min="3851" max="3851" width="11.85546875" style="2090" customWidth="1"/>
    <col min="3852" max="3852" width="11.5703125" style="2090" customWidth="1"/>
    <col min="3853" max="3853" width="12.28515625" style="2090" customWidth="1"/>
    <col min="3854" max="4097" width="9.140625" style="2090"/>
    <col min="4098" max="4098" width="17.42578125" style="2090" customWidth="1"/>
    <col min="4099" max="4099" width="12.42578125" style="2090" customWidth="1"/>
    <col min="4100" max="4100" width="12.85546875" style="2090" customWidth="1"/>
    <col min="4101" max="4101" width="13.7109375" style="2090" customWidth="1"/>
    <col min="4102" max="4103" width="11" style="2090" customWidth="1"/>
    <col min="4104" max="4104" width="10.85546875" style="2090" customWidth="1"/>
    <col min="4105" max="4105" width="13.5703125" style="2090" customWidth="1"/>
    <col min="4106" max="4106" width="12.7109375" style="2090" customWidth="1"/>
    <col min="4107" max="4107" width="11.85546875" style="2090" customWidth="1"/>
    <col min="4108" max="4108" width="11.5703125" style="2090" customWidth="1"/>
    <col min="4109" max="4109" width="12.28515625" style="2090" customWidth="1"/>
    <col min="4110" max="4353" width="9.140625" style="2090"/>
    <col min="4354" max="4354" width="17.42578125" style="2090" customWidth="1"/>
    <col min="4355" max="4355" width="12.42578125" style="2090" customWidth="1"/>
    <col min="4356" max="4356" width="12.85546875" style="2090" customWidth="1"/>
    <col min="4357" max="4357" width="13.7109375" style="2090" customWidth="1"/>
    <col min="4358" max="4359" width="11" style="2090" customWidth="1"/>
    <col min="4360" max="4360" width="10.85546875" style="2090" customWidth="1"/>
    <col min="4361" max="4361" width="13.5703125" style="2090" customWidth="1"/>
    <col min="4362" max="4362" width="12.7109375" style="2090" customWidth="1"/>
    <col min="4363" max="4363" width="11.85546875" style="2090" customWidth="1"/>
    <col min="4364" max="4364" width="11.5703125" style="2090" customWidth="1"/>
    <col min="4365" max="4365" width="12.28515625" style="2090" customWidth="1"/>
    <col min="4366" max="4609" width="9.140625" style="2090"/>
    <col min="4610" max="4610" width="17.42578125" style="2090" customWidth="1"/>
    <col min="4611" max="4611" width="12.42578125" style="2090" customWidth="1"/>
    <col min="4612" max="4612" width="12.85546875" style="2090" customWidth="1"/>
    <col min="4613" max="4613" width="13.7109375" style="2090" customWidth="1"/>
    <col min="4614" max="4615" width="11" style="2090" customWidth="1"/>
    <col min="4616" max="4616" width="10.85546875" style="2090" customWidth="1"/>
    <col min="4617" max="4617" width="13.5703125" style="2090" customWidth="1"/>
    <col min="4618" max="4618" width="12.7109375" style="2090" customWidth="1"/>
    <col min="4619" max="4619" width="11.85546875" style="2090" customWidth="1"/>
    <col min="4620" max="4620" width="11.5703125" style="2090" customWidth="1"/>
    <col min="4621" max="4621" width="12.28515625" style="2090" customWidth="1"/>
    <col min="4622" max="4865" width="9.140625" style="2090"/>
    <col min="4866" max="4866" width="17.42578125" style="2090" customWidth="1"/>
    <col min="4867" max="4867" width="12.42578125" style="2090" customWidth="1"/>
    <col min="4868" max="4868" width="12.85546875" style="2090" customWidth="1"/>
    <col min="4869" max="4869" width="13.7109375" style="2090" customWidth="1"/>
    <col min="4870" max="4871" width="11" style="2090" customWidth="1"/>
    <col min="4872" max="4872" width="10.85546875" style="2090" customWidth="1"/>
    <col min="4873" max="4873" width="13.5703125" style="2090" customWidth="1"/>
    <col min="4874" max="4874" width="12.7109375" style="2090" customWidth="1"/>
    <col min="4875" max="4875" width="11.85546875" style="2090" customWidth="1"/>
    <col min="4876" max="4876" width="11.5703125" style="2090" customWidth="1"/>
    <col min="4877" max="4877" width="12.28515625" style="2090" customWidth="1"/>
    <col min="4878" max="5121" width="9.140625" style="2090"/>
    <col min="5122" max="5122" width="17.42578125" style="2090" customWidth="1"/>
    <col min="5123" max="5123" width="12.42578125" style="2090" customWidth="1"/>
    <col min="5124" max="5124" width="12.85546875" style="2090" customWidth="1"/>
    <col min="5125" max="5125" width="13.7109375" style="2090" customWidth="1"/>
    <col min="5126" max="5127" width="11" style="2090" customWidth="1"/>
    <col min="5128" max="5128" width="10.85546875" style="2090" customWidth="1"/>
    <col min="5129" max="5129" width="13.5703125" style="2090" customWidth="1"/>
    <col min="5130" max="5130" width="12.7109375" style="2090" customWidth="1"/>
    <col min="5131" max="5131" width="11.85546875" style="2090" customWidth="1"/>
    <col min="5132" max="5132" width="11.5703125" style="2090" customWidth="1"/>
    <col min="5133" max="5133" width="12.28515625" style="2090" customWidth="1"/>
    <col min="5134" max="5377" width="9.140625" style="2090"/>
    <col min="5378" max="5378" width="17.42578125" style="2090" customWidth="1"/>
    <col min="5379" max="5379" width="12.42578125" style="2090" customWidth="1"/>
    <col min="5380" max="5380" width="12.85546875" style="2090" customWidth="1"/>
    <col min="5381" max="5381" width="13.7109375" style="2090" customWidth="1"/>
    <col min="5382" max="5383" width="11" style="2090" customWidth="1"/>
    <col min="5384" max="5384" width="10.85546875" style="2090" customWidth="1"/>
    <col min="5385" max="5385" width="13.5703125" style="2090" customWidth="1"/>
    <col min="5386" max="5386" width="12.7109375" style="2090" customWidth="1"/>
    <col min="5387" max="5387" width="11.85546875" style="2090" customWidth="1"/>
    <col min="5388" max="5388" width="11.5703125" style="2090" customWidth="1"/>
    <col min="5389" max="5389" width="12.28515625" style="2090" customWidth="1"/>
    <col min="5390" max="5633" width="9.140625" style="2090"/>
    <col min="5634" max="5634" width="17.42578125" style="2090" customWidth="1"/>
    <col min="5635" max="5635" width="12.42578125" style="2090" customWidth="1"/>
    <col min="5636" max="5636" width="12.85546875" style="2090" customWidth="1"/>
    <col min="5637" max="5637" width="13.7109375" style="2090" customWidth="1"/>
    <col min="5638" max="5639" width="11" style="2090" customWidth="1"/>
    <col min="5640" max="5640" width="10.85546875" style="2090" customWidth="1"/>
    <col min="5641" max="5641" width="13.5703125" style="2090" customWidth="1"/>
    <col min="5642" max="5642" width="12.7109375" style="2090" customWidth="1"/>
    <col min="5643" max="5643" width="11.85546875" style="2090" customWidth="1"/>
    <col min="5644" max="5644" width="11.5703125" style="2090" customWidth="1"/>
    <col min="5645" max="5645" width="12.28515625" style="2090" customWidth="1"/>
    <col min="5646" max="5889" width="9.140625" style="2090"/>
    <col min="5890" max="5890" width="17.42578125" style="2090" customWidth="1"/>
    <col min="5891" max="5891" width="12.42578125" style="2090" customWidth="1"/>
    <col min="5892" max="5892" width="12.85546875" style="2090" customWidth="1"/>
    <col min="5893" max="5893" width="13.7109375" style="2090" customWidth="1"/>
    <col min="5894" max="5895" width="11" style="2090" customWidth="1"/>
    <col min="5896" max="5896" width="10.85546875" style="2090" customWidth="1"/>
    <col min="5897" max="5897" width="13.5703125" style="2090" customWidth="1"/>
    <col min="5898" max="5898" width="12.7109375" style="2090" customWidth="1"/>
    <col min="5899" max="5899" width="11.85546875" style="2090" customWidth="1"/>
    <col min="5900" max="5900" width="11.5703125" style="2090" customWidth="1"/>
    <col min="5901" max="5901" width="12.28515625" style="2090" customWidth="1"/>
    <col min="5902" max="6145" width="9.140625" style="2090"/>
    <col min="6146" max="6146" width="17.42578125" style="2090" customWidth="1"/>
    <col min="6147" max="6147" width="12.42578125" style="2090" customWidth="1"/>
    <col min="6148" max="6148" width="12.85546875" style="2090" customWidth="1"/>
    <col min="6149" max="6149" width="13.7109375" style="2090" customWidth="1"/>
    <col min="6150" max="6151" width="11" style="2090" customWidth="1"/>
    <col min="6152" max="6152" width="10.85546875" style="2090" customWidth="1"/>
    <col min="6153" max="6153" width="13.5703125" style="2090" customWidth="1"/>
    <col min="6154" max="6154" width="12.7109375" style="2090" customWidth="1"/>
    <col min="6155" max="6155" width="11.85546875" style="2090" customWidth="1"/>
    <col min="6156" max="6156" width="11.5703125" style="2090" customWidth="1"/>
    <col min="6157" max="6157" width="12.28515625" style="2090" customWidth="1"/>
    <col min="6158" max="6401" width="9.140625" style="2090"/>
    <col min="6402" max="6402" width="17.42578125" style="2090" customWidth="1"/>
    <col min="6403" max="6403" width="12.42578125" style="2090" customWidth="1"/>
    <col min="6404" max="6404" width="12.85546875" style="2090" customWidth="1"/>
    <col min="6405" max="6405" width="13.7109375" style="2090" customWidth="1"/>
    <col min="6406" max="6407" width="11" style="2090" customWidth="1"/>
    <col min="6408" max="6408" width="10.85546875" style="2090" customWidth="1"/>
    <col min="6409" max="6409" width="13.5703125" style="2090" customWidth="1"/>
    <col min="6410" max="6410" width="12.7109375" style="2090" customWidth="1"/>
    <col min="6411" max="6411" width="11.85546875" style="2090" customWidth="1"/>
    <col min="6412" max="6412" width="11.5703125" style="2090" customWidth="1"/>
    <col min="6413" max="6413" width="12.28515625" style="2090" customWidth="1"/>
    <col min="6414" max="6657" width="9.140625" style="2090"/>
    <col min="6658" max="6658" width="17.42578125" style="2090" customWidth="1"/>
    <col min="6659" max="6659" width="12.42578125" style="2090" customWidth="1"/>
    <col min="6660" max="6660" width="12.85546875" style="2090" customWidth="1"/>
    <col min="6661" max="6661" width="13.7109375" style="2090" customWidth="1"/>
    <col min="6662" max="6663" width="11" style="2090" customWidth="1"/>
    <col min="6664" max="6664" width="10.85546875" style="2090" customWidth="1"/>
    <col min="6665" max="6665" width="13.5703125" style="2090" customWidth="1"/>
    <col min="6666" max="6666" width="12.7109375" style="2090" customWidth="1"/>
    <col min="6667" max="6667" width="11.85546875" style="2090" customWidth="1"/>
    <col min="6668" max="6668" width="11.5703125" style="2090" customWidth="1"/>
    <col min="6669" max="6669" width="12.28515625" style="2090" customWidth="1"/>
    <col min="6670" max="6913" width="9.140625" style="2090"/>
    <col min="6914" max="6914" width="17.42578125" style="2090" customWidth="1"/>
    <col min="6915" max="6915" width="12.42578125" style="2090" customWidth="1"/>
    <col min="6916" max="6916" width="12.85546875" style="2090" customWidth="1"/>
    <col min="6917" max="6917" width="13.7109375" style="2090" customWidth="1"/>
    <col min="6918" max="6919" width="11" style="2090" customWidth="1"/>
    <col min="6920" max="6920" width="10.85546875" style="2090" customWidth="1"/>
    <col min="6921" max="6921" width="13.5703125" style="2090" customWidth="1"/>
    <col min="6922" max="6922" width="12.7109375" style="2090" customWidth="1"/>
    <col min="6923" max="6923" width="11.85546875" style="2090" customWidth="1"/>
    <col min="6924" max="6924" width="11.5703125" style="2090" customWidth="1"/>
    <col min="6925" max="6925" width="12.28515625" style="2090" customWidth="1"/>
    <col min="6926" max="7169" width="9.140625" style="2090"/>
    <col min="7170" max="7170" width="17.42578125" style="2090" customWidth="1"/>
    <col min="7171" max="7171" width="12.42578125" style="2090" customWidth="1"/>
    <col min="7172" max="7172" width="12.85546875" style="2090" customWidth="1"/>
    <col min="7173" max="7173" width="13.7109375" style="2090" customWidth="1"/>
    <col min="7174" max="7175" width="11" style="2090" customWidth="1"/>
    <col min="7176" max="7176" width="10.85546875" style="2090" customWidth="1"/>
    <col min="7177" max="7177" width="13.5703125" style="2090" customWidth="1"/>
    <col min="7178" max="7178" width="12.7109375" style="2090" customWidth="1"/>
    <col min="7179" max="7179" width="11.85546875" style="2090" customWidth="1"/>
    <col min="7180" max="7180" width="11.5703125" style="2090" customWidth="1"/>
    <col min="7181" max="7181" width="12.28515625" style="2090" customWidth="1"/>
    <col min="7182" max="7425" width="9.140625" style="2090"/>
    <col min="7426" max="7426" width="17.42578125" style="2090" customWidth="1"/>
    <col min="7427" max="7427" width="12.42578125" style="2090" customWidth="1"/>
    <col min="7428" max="7428" width="12.85546875" style="2090" customWidth="1"/>
    <col min="7429" max="7429" width="13.7109375" style="2090" customWidth="1"/>
    <col min="7430" max="7431" width="11" style="2090" customWidth="1"/>
    <col min="7432" max="7432" width="10.85546875" style="2090" customWidth="1"/>
    <col min="7433" max="7433" width="13.5703125" style="2090" customWidth="1"/>
    <col min="7434" max="7434" width="12.7109375" style="2090" customWidth="1"/>
    <col min="7435" max="7435" width="11.85546875" style="2090" customWidth="1"/>
    <col min="7436" max="7436" width="11.5703125" style="2090" customWidth="1"/>
    <col min="7437" max="7437" width="12.28515625" style="2090" customWidth="1"/>
    <col min="7438" max="7681" width="9.140625" style="2090"/>
    <col min="7682" max="7682" width="17.42578125" style="2090" customWidth="1"/>
    <col min="7683" max="7683" width="12.42578125" style="2090" customWidth="1"/>
    <col min="7684" max="7684" width="12.85546875" style="2090" customWidth="1"/>
    <col min="7685" max="7685" width="13.7109375" style="2090" customWidth="1"/>
    <col min="7686" max="7687" width="11" style="2090" customWidth="1"/>
    <col min="7688" max="7688" width="10.85546875" style="2090" customWidth="1"/>
    <col min="7689" max="7689" width="13.5703125" style="2090" customWidth="1"/>
    <col min="7690" max="7690" width="12.7109375" style="2090" customWidth="1"/>
    <col min="7691" max="7691" width="11.85546875" style="2090" customWidth="1"/>
    <col min="7692" max="7692" width="11.5703125" style="2090" customWidth="1"/>
    <col min="7693" max="7693" width="12.28515625" style="2090" customWidth="1"/>
    <col min="7694" max="7937" width="9.140625" style="2090"/>
    <col min="7938" max="7938" width="17.42578125" style="2090" customWidth="1"/>
    <col min="7939" max="7939" width="12.42578125" style="2090" customWidth="1"/>
    <col min="7940" max="7940" width="12.85546875" style="2090" customWidth="1"/>
    <col min="7941" max="7941" width="13.7109375" style="2090" customWidth="1"/>
    <col min="7942" max="7943" width="11" style="2090" customWidth="1"/>
    <col min="7944" max="7944" width="10.85546875" style="2090" customWidth="1"/>
    <col min="7945" max="7945" width="13.5703125" style="2090" customWidth="1"/>
    <col min="7946" max="7946" width="12.7109375" style="2090" customWidth="1"/>
    <col min="7947" max="7947" width="11.85546875" style="2090" customWidth="1"/>
    <col min="7948" max="7948" width="11.5703125" style="2090" customWidth="1"/>
    <col min="7949" max="7949" width="12.28515625" style="2090" customWidth="1"/>
    <col min="7950" max="8193" width="9.140625" style="2090"/>
    <col min="8194" max="8194" width="17.42578125" style="2090" customWidth="1"/>
    <col min="8195" max="8195" width="12.42578125" style="2090" customWidth="1"/>
    <col min="8196" max="8196" width="12.85546875" style="2090" customWidth="1"/>
    <col min="8197" max="8197" width="13.7109375" style="2090" customWidth="1"/>
    <col min="8198" max="8199" width="11" style="2090" customWidth="1"/>
    <col min="8200" max="8200" width="10.85546875" style="2090" customWidth="1"/>
    <col min="8201" max="8201" width="13.5703125" style="2090" customWidth="1"/>
    <col min="8202" max="8202" width="12.7109375" style="2090" customWidth="1"/>
    <col min="8203" max="8203" width="11.85546875" style="2090" customWidth="1"/>
    <col min="8204" max="8204" width="11.5703125" style="2090" customWidth="1"/>
    <col min="8205" max="8205" width="12.28515625" style="2090" customWidth="1"/>
    <col min="8206" max="8449" width="9.140625" style="2090"/>
    <col min="8450" max="8450" width="17.42578125" style="2090" customWidth="1"/>
    <col min="8451" max="8451" width="12.42578125" style="2090" customWidth="1"/>
    <col min="8452" max="8452" width="12.85546875" style="2090" customWidth="1"/>
    <col min="8453" max="8453" width="13.7109375" style="2090" customWidth="1"/>
    <col min="8454" max="8455" width="11" style="2090" customWidth="1"/>
    <col min="8456" max="8456" width="10.85546875" style="2090" customWidth="1"/>
    <col min="8457" max="8457" width="13.5703125" style="2090" customWidth="1"/>
    <col min="8458" max="8458" width="12.7109375" style="2090" customWidth="1"/>
    <col min="8459" max="8459" width="11.85546875" style="2090" customWidth="1"/>
    <col min="8460" max="8460" width="11.5703125" style="2090" customWidth="1"/>
    <col min="8461" max="8461" width="12.28515625" style="2090" customWidth="1"/>
    <col min="8462" max="8705" width="9.140625" style="2090"/>
    <col min="8706" max="8706" width="17.42578125" style="2090" customWidth="1"/>
    <col min="8707" max="8707" width="12.42578125" style="2090" customWidth="1"/>
    <col min="8708" max="8708" width="12.85546875" style="2090" customWidth="1"/>
    <col min="8709" max="8709" width="13.7109375" style="2090" customWidth="1"/>
    <col min="8710" max="8711" width="11" style="2090" customWidth="1"/>
    <col min="8712" max="8712" width="10.85546875" style="2090" customWidth="1"/>
    <col min="8713" max="8713" width="13.5703125" style="2090" customWidth="1"/>
    <col min="8714" max="8714" width="12.7109375" style="2090" customWidth="1"/>
    <col min="8715" max="8715" width="11.85546875" style="2090" customWidth="1"/>
    <col min="8716" max="8716" width="11.5703125" style="2090" customWidth="1"/>
    <col min="8717" max="8717" width="12.28515625" style="2090" customWidth="1"/>
    <col min="8718" max="8961" width="9.140625" style="2090"/>
    <col min="8962" max="8962" width="17.42578125" style="2090" customWidth="1"/>
    <col min="8963" max="8963" width="12.42578125" style="2090" customWidth="1"/>
    <col min="8964" max="8964" width="12.85546875" style="2090" customWidth="1"/>
    <col min="8965" max="8965" width="13.7109375" style="2090" customWidth="1"/>
    <col min="8966" max="8967" width="11" style="2090" customWidth="1"/>
    <col min="8968" max="8968" width="10.85546875" style="2090" customWidth="1"/>
    <col min="8969" max="8969" width="13.5703125" style="2090" customWidth="1"/>
    <col min="8970" max="8970" width="12.7109375" style="2090" customWidth="1"/>
    <col min="8971" max="8971" width="11.85546875" style="2090" customWidth="1"/>
    <col min="8972" max="8972" width="11.5703125" style="2090" customWidth="1"/>
    <col min="8973" max="8973" width="12.28515625" style="2090" customWidth="1"/>
    <col min="8974" max="9217" width="9.140625" style="2090"/>
    <col min="9218" max="9218" width="17.42578125" style="2090" customWidth="1"/>
    <col min="9219" max="9219" width="12.42578125" style="2090" customWidth="1"/>
    <col min="9220" max="9220" width="12.85546875" style="2090" customWidth="1"/>
    <col min="9221" max="9221" width="13.7109375" style="2090" customWidth="1"/>
    <col min="9222" max="9223" width="11" style="2090" customWidth="1"/>
    <col min="9224" max="9224" width="10.85546875" style="2090" customWidth="1"/>
    <col min="9225" max="9225" width="13.5703125" style="2090" customWidth="1"/>
    <col min="9226" max="9226" width="12.7109375" style="2090" customWidth="1"/>
    <col min="9227" max="9227" width="11.85546875" style="2090" customWidth="1"/>
    <col min="9228" max="9228" width="11.5703125" style="2090" customWidth="1"/>
    <col min="9229" max="9229" width="12.28515625" style="2090" customWidth="1"/>
    <col min="9230" max="9473" width="9.140625" style="2090"/>
    <col min="9474" max="9474" width="17.42578125" style="2090" customWidth="1"/>
    <col min="9475" max="9475" width="12.42578125" style="2090" customWidth="1"/>
    <col min="9476" max="9476" width="12.85546875" style="2090" customWidth="1"/>
    <col min="9477" max="9477" width="13.7109375" style="2090" customWidth="1"/>
    <col min="9478" max="9479" width="11" style="2090" customWidth="1"/>
    <col min="9480" max="9480" width="10.85546875" style="2090" customWidth="1"/>
    <col min="9481" max="9481" width="13.5703125" style="2090" customWidth="1"/>
    <col min="9482" max="9482" width="12.7109375" style="2090" customWidth="1"/>
    <col min="9483" max="9483" width="11.85546875" style="2090" customWidth="1"/>
    <col min="9484" max="9484" width="11.5703125" style="2090" customWidth="1"/>
    <col min="9485" max="9485" width="12.28515625" style="2090" customWidth="1"/>
    <col min="9486" max="9729" width="9.140625" style="2090"/>
    <col min="9730" max="9730" width="17.42578125" style="2090" customWidth="1"/>
    <col min="9731" max="9731" width="12.42578125" style="2090" customWidth="1"/>
    <col min="9732" max="9732" width="12.85546875" style="2090" customWidth="1"/>
    <col min="9733" max="9733" width="13.7109375" style="2090" customWidth="1"/>
    <col min="9734" max="9735" width="11" style="2090" customWidth="1"/>
    <col min="9736" max="9736" width="10.85546875" style="2090" customWidth="1"/>
    <col min="9737" max="9737" width="13.5703125" style="2090" customWidth="1"/>
    <col min="9738" max="9738" width="12.7109375" style="2090" customWidth="1"/>
    <col min="9739" max="9739" width="11.85546875" style="2090" customWidth="1"/>
    <col min="9740" max="9740" width="11.5703125" style="2090" customWidth="1"/>
    <col min="9741" max="9741" width="12.28515625" style="2090" customWidth="1"/>
    <col min="9742" max="9985" width="9.140625" style="2090"/>
    <col min="9986" max="9986" width="17.42578125" style="2090" customWidth="1"/>
    <col min="9987" max="9987" width="12.42578125" style="2090" customWidth="1"/>
    <col min="9988" max="9988" width="12.85546875" style="2090" customWidth="1"/>
    <col min="9989" max="9989" width="13.7109375" style="2090" customWidth="1"/>
    <col min="9990" max="9991" width="11" style="2090" customWidth="1"/>
    <col min="9992" max="9992" width="10.85546875" style="2090" customWidth="1"/>
    <col min="9993" max="9993" width="13.5703125" style="2090" customWidth="1"/>
    <col min="9994" max="9994" width="12.7109375" style="2090" customWidth="1"/>
    <col min="9995" max="9995" width="11.85546875" style="2090" customWidth="1"/>
    <col min="9996" max="9996" width="11.5703125" style="2090" customWidth="1"/>
    <col min="9997" max="9997" width="12.28515625" style="2090" customWidth="1"/>
    <col min="9998" max="10241" width="9.140625" style="2090"/>
    <col min="10242" max="10242" width="17.42578125" style="2090" customWidth="1"/>
    <col min="10243" max="10243" width="12.42578125" style="2090" customWidth="1"/>
    <col min="10244" max="10244" width="12.85546875" style="2090" customWidth="1"/>
    <col min="10245" max="10245" width="13.7109375" style="2090" customWidth="1"/>
    <col min="10246" max="10247" width="11" style="2090" customWidth="1"/>
    <col min="10248" max="10248" width="10.85546875" style="2090" customWidth="1"/>
    <col min="10249" max="10249" width="13.5703125" style="2090" customWidth="1"/>
    <col min="10250" max="10250" width="12.7109375" style="2090" customWidth="1"/>
    <col min="10251" max="10251" width="11.85546875" style="2090" customWidth="1"/>
    <col min="10252" max="10252" width="11.5703125" style="2090" customWidth="1"/>
    <col min="10253" max="10253" width="12.28515625" style="2090" customWidth="1"/>
    <col min="10254" max="10497" width="9.140625" style="2090"/>
    <col min="10498" max="10498" width="17.42578125" style="2090" customWidth="1"/>
    <col min="10499" max="10499" width="12.42578125" style="2090" customWidth="1"/>
    <col min="10500" max="10500" width="12.85546875" style="2090" customWidth="1"/>
    <col min="10501" max="10501" width="13.7109375" style="2090" customWidth="1"/>
    <col min="10502" max="10503" width="11" style="2090" customWidth="1"/>
    <col min="10504" max="10504" width="10.85546875" style="2090" customWidth="1"/>
    <col min="10505" max="10505" width="13.5703125" style="2090" customWidth="1"/>
    <col min="10506" max="10506" width="12.7109375" style="2090" customWidth="1"/>
    <col min="10507" max="10507" width="11.85546875" style="2090" customWidth="1"/>
    <col min="10508" max="10508" width="11.5703125" style="2090" customWidth="1"/>
    <col min="10509" max="10509" width="12.28515625" style="2090" customWidth="1"/>
    <col min="10510" max="10753" width="9.140625" style="2090"/>
    <col min="10754" max="10754" width="17.42578125" style="2090" customWidth="1"/>
    <col min="10755" max="10755" width="12.42578125" style="2090" customWidth="1"/>
    <col min="10756" max="10756" width="12.85546875" style="2090" customWidth="1"/>
    <col min="10757" max="10757" width="13.7109375" style="2090" customWidth="1"/>
    <col min="10758" max="10759" width="11" style="2090" customWidth="1"/>
    <col min="10760" max="10760" width="10.85546875" style="2090" customWidth="1"/>
    <col min="10761" max="10761" width="13.5703125" style="2090" customWidth="1"/>
    <col min="10762" max="10762" width="12.7109375" style="2090" customWidth="1"/>
    <col min="10763" max="10763" width="11.85546875" style="2090" customWidth="1"/>
    <col min="10764" max="10764" width="11.5703125" style="2090" customWidth="1"/>
    <col min="10765" max="10765" width="12.28515625" style="2090" customWidth="1"/>
    <col min="10766" max="11009" width="9.140625" style="2090"/>
    <col min="11010" max="11010" width="17.42578125" style="2090" customWidth="1"/>
    <col min="11011" max="11011" width="12.42578125" style="2090" customWidth="1"/>
    <col min="11012" max="11012" width="12.85546875" style="2090" customWidth="1"/>
    <col min="11013" max="11013" width="13.7109375" style="2090" customWidth="1"/>
    <col min="11014" max="11015" width="11" style="2090" customWidth="1"/>
    <col min="11016" max="11016" width="10.85546875" style="2090" customWidth="1"/>
    <col min="11017" max="11017" width="13.5703125" style="2090" customWidth="1"/>
    <col min="11018" max="11018" width="12.7109375" style="2090" customWidth="1"/>
    <col min="11019" max="11019" width="11.85546875" style="2090" customWidth="1"/>
    <col min="11020" max="11020" width="11.5703125" style="2090" customWidth="1"/>
    <col min="11021" max="11021" width="12.28515625" style="2090" customWidth="1"/>
    <col min="11022" max="11265" width="9.140625" style="2090"/>
    <col min="11266" max="11266" width="17.42578125" style="2090" customWidth="1"/>
    <col min="11267" max="11267" width="12.42578125" style="2090" customWidth="1"/>
    <col min="11268" max="11268" width="12.85546875" style="2090" customWidth="1"/>
    <col min="11269" max="11269" width="13.7109375" style="2090" customWidth="1"/>
    <col min="11270" max="11271" width="11" style="2090" customWidth="1"/>
    <col min="11272" max="11272" width="10.85546875" style="2090" customWidth="1"/>
    <col min="11273" max="11273" width="13.5703125" style="2090" customWidth="1"/>
    <col min="11274" max="11274" width="12.7109375" style="2090" customWidth="1"/>
    <col min="11275" max="11275" width="11.85546875" style="2090" customWidth="1"/>
    <col min="11276" max="11276" width="11.5703125" style="2090" customWidth="1"/>
    <col min="11277" max="11277" width="12.28515625" style="2090" customWidth="1"/>
    <col min="11278" max="11521" width="9.140625" style="2090"/>
    <col min="11522" max="11522" width="17.42578125" style="2090" customWidth="1"/>
    <col min="11523" max="11523" width="12.42578125" style="2090" customWidth="1"/>
    <col min="11524" max="11524" width="12.85546875" style="2090" customWidth="1"/>
    <col min="11525" max="11525" width="13.7109375" style="2090" customWidth="1"/>
    <col min="11526" max="11527" width="11" style="2090" customWidth="1"/>
    <col min="11528" max="11528" width="10.85546875" style="2090" customWidth="1"/>
    <col min="11529" max="11529" width="13.5703125" style="2090" customWidth="1"/>
    <col min="11530" max="11530" width="12.7109375" style="2090" customWidth="1"/>
    <col min="11531" max="11531" width="11.85546875" style="2090" customWidth="1"/>
    <col min="11532" max="11532" width="11.5703125" style="2090" customWidth="1"/>
    <col min="11533" max="11533" width="12.28515625" style="2090" customWidth="1"/>
    <col min="11534" max="11777" width="9.140625" style="2090"/>
    <col min="11778" max="11778" width="17.42578125" style="2090" customWidth="1"/>
    <col min="11779" max="11779" width="12.42578125" style="2090" customWidth="1"/>
    <col min="11780" max="11780" width="12.85546875" style="2090" customWidth="1"/>
    <col min="11781" max="11781" width="13.7109375" style="2090" customWidth="1"/>
    <col min="11782" max="11783" width="11" style="2090" customWidth="1"/>
    <col min="11784" max="11784" width="10.85546875" style="2090" customWidth="1"/>
    <col min="11785" max="11785" width="13.5703125" style="2090" customWidth="1"/>
    <col min="11786" max="11786" width="12.7109375" style="2090" customWidth="1"/>
    <col min="11787" max="11787" width="11.85546875" style="2090" customWidth="1"/>
    <col min="11788" max="11788" width="11.5703125" style="2090" customWidth="1"/>
    <col min="11789" max="11789" width="12.28515625" style="2090" customWidth="1"/>
    <col min="11790" max="12033" width="9.140625" style="2090"/>
    <col min="12034" max="12034" width="17.42578125" style="2090" customWidth="1"/>
    <col min="12035" max="12035" width="12.42578125" style="2090" customWidth="1"/>
    <col min="12036" max="12036" width="12.85546875" style="2090" customWidth="1"/>
    <col min="12037" max="12037" width="13.7109375" style="2090" customWidth="1"/>
    <col min="12038" max="12039" width="11" style="2090" customWidth="1"/>
    <col min="12040" max="12040" width="10.85546875" style="2090" customWidth="1"/>
    <col min="12041" max="12041" width="13.5703125" style="2090" customWidth="1"/>
    <col min="12042" max="12042" width="12.7109375" style="2090" customWidth="1"/>
    <col min="12043" max="12043" width="11.85546875" style="2090" customWidth="1"/>
    <col min="12044" max="12044" width="11.5703125" style="2090" customWidth="1"/>
    <col min="12045" max="12045" width="12.28515625" style="2090" customWidth="1"/>
    <col min="12046" max="12289" width="9.140625" style="2090"/>
    <col min="12290" max="12290" width="17.42578125" style="2090" customWidth="1"/>
    <col min="12291" max="12291" width="12.42578125" style="2090" customWidth="1"/>
    <col min="12292" max="12292" width="12.85546875" style="2090" customWidth="1"/>
    <col min="12293" max="12293" width="13.7109375" style="2090" customWidth="1"/>
    <col min="12294" max="12295" width="11" style="2090" customWidth="1"/>
    <col min="12296" max="12296" width="10.85546875" style="2090" customWidth="1"/>
    <col min="12297" max="12297" width="13.5703125" style="2090" customWidth="1"/>
    <col min="12298" max="12298" width="12.7109375" style="2090" customWidth="1"/>
    <col min="12299" max="12299" width="11.85546875" style="2090" customWidth="1"/>
    <col min="12300" max="12300" width="11.5703125" style="2090" customWidth="1"/>
    <col min="12301" max="12301" width="12.28515625" style="2090" customWidth="1"/>
    <col min="12302" max="12545" width="9.140625" style="2090"/>
    <col min="12546" max="12546" width="17.42578125" style="2090" customWidth="1"/>
    <col min="12547" max="12547" width="12.42578125" style="2090" customWidth="1"/>
    <col min="12548" max="12548" width="12.85546875" style="2090" customWidth="1"/>
    <col min="12549" max="12549" width="13.7109375" style="2090" customWidth="1"/>
    <col min="12550" max="12551" width="11" style="2090" customWidth="1"/>
    <col min="12552" max="12552" width="10.85546875" style="2090" customWidth="1"/>
    <col min="12553" max="12553" width="13.5703125" style="2090" customWidth="1"/>
    <col min="12554" max="12554" width="12.7109375" style="2090" customWidth="1"/>
    <col min="12555" max="12555" width="11.85546875" style="2090" customWidth="1"/>
    <col min="12556" max="12556" width="11.5703125" style="2090" customWidth="1"/>
    <col min="12557" max="12557" width="12.28515625" style="2090" customWidth="1"/>
    <col min="12558" max="12801" width="9.140625" style="2090"/>
    <col min="12802" max="12802" width="17.42578125" style="2090" customWidth="1"/>
    <col min="12803" max="12803" width="12.42578125" style="2090" customWidth="1"/>
    <col min="12804" max="12804" width="12.85546875" style="2090" customWidth="1"/>
    <col min="12805" max="12805" width="13.7109375" style="2090" customWidth="1"/>
    <col min="12806" max="12807" width="11" style="2090" customWidth="1"/>
    <col min="12808" max="12808" width="10.85546875" style="2090" customWidth="1"/>
    <col min="12809" max="12809" width="13.5703125" style="2090" customWidth="1"/>
    <col min="12810" max="12810" width="12.7109375" style="2090" customWidth="1"/>
    <col min="12811" max="12811" width="11.85546875" style="2090" customWidth="1"/>
    <col min="12812" max="12812" width="11.5703125" style="2090" customWidth="1"/>
    <col min="12813" max="12813" width="12.28515625" style="2090" customWidth="1"/>
    <col min="12814" max="13057" width="9.140625" style="2090"/>
    <col min="13058" max="13058" width="17.42578125" style="2090" customWidth="1"/>
    <col min="13059" max="13059" width="12.42578125" style="2090" customWidth="1"/>
    <col min="13060" max="13060" width="12.85546875" style="2090" customWidth="1"/>
    <col min="13061" max="13061" width="13.7109375" style="2090" customWidth="1"/>
    <col min="13062" max="13063" width="11" style="2090" customWidth="1"/>
    <col min="13064" max="13064" width="10.85546875" style="2090" customWidth="1"/>
    <col min="13065" max="13065" width="13.5703125" style="2090" customWidth="1"/>
    <col min="13066" max="13066" width="12.7109375" style="2090" customWidth="1"/>
    <col min="13067" max="13067" width="11.85546875" style="2090" customWidth="1"/>
    <col min="13068" max="13068" width="11.5703125" style="2090" customWidth="1"/>
    <col min="13069" max="13069" width="12.28515625" style="2090" customWidth="1"/>
    <col min="13070" max="13313" width="9.140625" style="2090"/>
    <col min="13314" max="13314" width="17.42578125" style="2090" customWidth="1"/>
    <col min="13315" max="13315" width="12.42578125" style="2090" customWidth="1"/>
    <col min="13316" max="13316" width="12.85546875" style="2090" customWidth="1"/>
    <col min="13317" max="13317" width="13.7109375" style="2090" customWidth="1"/>
    <col min="13318" max="13319" width="11" style="2090" customWidth="1"/>
    <col min="13320" max="13320" width="10.85546875" style="2090" customWidth="1"/>
    <col min="13321" max="13321" width="13.5703125" style="2090" customWidth="1"/>
    <col min="13322" max="13322" width="12.7109375" style="2090" customWidth="1"/>
    <col min="13323" max="13323" width="11.85546875" style="2090" customWidth="1"/>
    <col min="13324" max="13324" width="11.5703125" style="2090" customWidth="1"/>
    <col min="13325" max="13325" width="12.28515625" style="2090" customWidth="1"/>
    <col min="13326" max="13569" width="9.140625" style="2090"/>
    <col min="13570" max="13570" width="17.42578125" style="2090" customWidth="1"/>
    <col min="13571" max="13571" width="12.42578125" style="2090" customWidth="1"/>
    <col min="13572" max="13572" width="12.85546875" style="2090" customWidth="1"/>
    <col min="13573" max="13573" width="13.7109375" style="2090" customWidth="1"/>
    <col min="13574" max="13575" width="11" style="2090" customWidth="1"/>
    <col min="13576" max="13576" width="10.85546875" style="2090" customWidth="1"/>
    <col min="13577" max="13577" width="13.5703125" style="2090" customWidth="1"/>
    <col min="13578" max="13578" width="12.7109375" style="2090" customWidth="1"/>
    <col min="13579" max="13579" width="11.85546875" style="2090" customWidth="1"/>
    <col min="13580" max="13580" width="11.5703125" style="2090" customWidth="1"/>
    <col min="13581" max="13581" width="12.28515625" style="2090" customWidth="1"/>
    <col min="13582" max="13825" width="9.140625" style="2090"/>
    <col min="13826" max="13826" width="17.42578125" style="2090" customWidth="1"/>
    <col min="13827" max="13827" width="12.42578125" style="2090" customWidth="1"/>
    <col min="13828" max="13828" width="12.85546875" style="2090" customWidth="1"/>
    <col min="13829" max="13829" width="13.7109375" style="2090" customWidth="1"/>
    <col min="13830" max="13831" width="11" style="2090" customWidth="1"/>
    <col min="13832" max="13832" width="10.85546875" style="2090" customWidth="1"/>
    <col min="13833" max="13833" width="13.5703125" style="2090" customWidth="1"/>
    <col min="13834" max="13834" width="12.7109375" style="2090" customWidth="1"/>
    <col min="13835" max="13835" width="11.85546875" style="2090" customWidth="1"/>
    <col min="13836" max="13836" width="11.5703125" style="2090" customWidth="1"/>
    <col min="13837" max="13837" width="12.28515625" style="2090" customWidth="1"/>
    <col min="13838" max="14081" width="9.140625" style="2090"/>
    <col min="14082" max="14082" width="17.42578125" style="2090" customWidth="1"/>
    <col min="14083" max="14083" width="12.42578125" style="2090" customWidth="1"/>
    <col min="14084" max="14084" width="12.85546875" style="2090" customWidth="1"/>
    <col min="14085" max="14085" width="13.7109375" style="2090" customWidth="1"/>
    <col min="14086" max="14087" width="11" style="2090" customWidth="1"/>
    <col min="14088" max="14088" width="10.85546875" style="2090" customWidth="1"/>
    <col min="14089" max="14089" width="13.5703125" style="2090" customWidth="1"/>
    <col min="14090" max="14090" width="12.7109375" style="2090" customWidth="1"/>
    <col min="14091" max="14091" width="11.85546875" style="2090" customWidth="1"/>
    <col min="14092" max="14092" width="11.5703125" style="2090" customWidth="1"/>
    <col min="14093" max="14093" width="12.28515625" style="2090" customWidth="1"/>
    <col min="14094" max="14337" width="9.140625" style="2090"/>
    <col min="14338" max="14338" width="17.42578125" style="2090" customWidth="1"/>
    <col min="14339" max="14339" width="12.42578125" style="2090" customWidth="1"/>
    <col min="14340" max="14340" width="12.85546875" style="2090" customWidth="1"/>
    <col min="14341" max="14341" width="13.7109375" style="2090" customWidth="1"/>
    <col min="14342" max="14343" width="11" style="2090" customWidth="1"/>
    <col min="14344" max="14344" width="10.85546875" style="2090" customWidth="1"/>
    <col min="14345" max="14345" width="13.5703125" style="2090" customWidth="1"/>
    <col min="14346" max="14346" width="12.7109375" style="2090" customWidth="1"/>
    <col min="14347" max="14347" width="11.85546875" style="2090" customWidth="1"/>
    <col min="14348" max="14348" width="11.5703125" style="2090" customWidth="1"/>
    <col min="14349" max="14349" width="12.28515625" style="2090" customWidth="1"/>
    <col min="14350" max="14593" width="9.140625" style="2090"/>
    <col min="14594" max="14594" width="17.42578125" style="2090" customWidth="1"/>
    <col min="14595" max="14595" width="12.42578125" style="2090" customWidth="1"/>
    <col min="14596" max="14596" width="12.85546875" style="2090" customWidth="1"/>
    <col min="14597" max="14597" width="13.7109375" style="2090" customWidth="1"/>
    <col min="14598" max="14599" width="11" style="2090" customWidth="1"/>
    <col min="14600" max="14600" width="10.85546875" style="2090" customWidth="1"/>
    <col min="14601" max="14601" width="13.5703125" style="2090" customWidth="1"/>
    <col min="14602" max="14602" width="12.7109375" style="2090" customWidth="1"/>
    <col min="14603" max="14603" width="11.85546875" style="2090" customWidth="1"/>
    <col min="14604" max="14604" width="11.5703125" style="2090" customWidth="1"/>
    <col min="14605" max="14605" width="12.28515625" style="2090" customWidth="1"/>
    <col min="14606" max="14849" width="9.140625" style="2090"/>
    <col min="14850" max="14850" width="17.42578125" style="2090" customWidth="1"/>
    <col min="14851" max="14851" width="12.42578125" style="2090" customWidth="1"/>
    <col min="14852" max="14852" width="12.85546875" style="2090" customWidth="1"/>
    <col min="14853" max="14853" width="13.7109375" style="2090" customWidth="1"/>
    <col min="14854" max="14855" width="11" style="2090" customWidth="1"/>
    <col min="14856" max="14856" width="10.85546875" style="2090" customWidth="1"/>
    <col min="14857" max="14857" width="13.5703125" style="2090" customWidth="1"/>
    <col min="14858" max="14858" width="12.7109375" style="2090" customWidth="1"/>
    <col min="14859" max="14859" width="11.85546875" style="2090" customWidth="1"/>
    <col min="14860" max="14860" width="11.5703125" style="2090" customWidth="1"/>
    <col min="14861" max="14861" width="12.28515625" style="2090" customWidth="1"/>
    <col min="14862" max="15105" width="9.140625" style="2090"/>
    <col min="15106" max="15106" width="17.42578125" style="2090" customWidth="1"/>
    <col min="15107" max="15107" width="12.42578125" style="2090" customWidth="1"/>
    <col min="15108" max="15108" width="12.85546875" style="2090" customWidth="1"/>
    <col min="15109" max="15109" width="13.7109375" style="2090" customWidth="1"/>
    <col min="15110" max="15111" width="11" style="2090" customWidth="1"/>
    <col min="15112" max="15112" width="10.85546875" style="2090" customWidth="1"/>
    <col min="15113" max="15113" width="13.5703125" style="2090" customWidth="1"/>
    <col min="15114" max="15114" width="12.7109375" style="2090" customWidth="1"/>
    <col min="15115" max="15115" width="11.85546875" style="2090" customWidth="1"/>
    <col min="15116" max="15116" width="11.5703125" style="2090" customWidth="1"/>
    <col min="15117" max="15117" width="12.28515625" style="2090" customWidth="1"/>
    <col min="15118" max="15361" width="9.140625" style="2090"/>
    <col min="15362" max="15362" width="17.42578125" style="2090" customWidth="1"/>
    <col min="15363" max="15363" width="12.42578125" style="2090" customWidth="1"/>
    <col min="15364" max="15364" width="12.85546875" style="2090" customWidth="1"/>
    <col min="15365" max="15365" width="13.7109375" style="2090" customWidth="1"/>
    <col min="15366" max="15367" width="11" style="2090" customWidth="1"/>
    <col min="15368" max="15368" width="10.85546875" style="2090" customWidth="1"/>
    <col min="15369" max="15369" width="13.5703125" style="2090" customWidth="1"/>
    <col min="15370" max="15370" width="12.7109375" style="2090" customWidth="1"/>
    <col min="15371" max="15371" width="11.85546875" style="2090" customWidth="1"/>
    <col min="15372" max="15372" width="11.5703125" style="2090" customWidth="1"/>
    <col min="15373" max="15373" width="12.28515625" style="2090" customWidth="1"/>
    <col min="15374" max="15617" width="9.140625" style="2090"/>
    <col min="15618" max="15618" width="17.42578125" style="2090" customWidth="1"/>
    <col min="15619" max="15619" width="12.42578125" style="2090" customWidth="1"/>
    <col min="15620" max="15620" width="12.85546875" style="2090" customWidth="1"/>
    <col min="15621" max="15621" width="13.7109375" style="2090" customWidth="1"/>
    <col min="15622" max="15623" width="11" style="2090" customWidth="1"/>
    <col min="15624" max="15624" width="10.85546875" style="2090" customWidth="1"/>
    <col min="15625" max="15625" width="13.5703125" style="2090" customWidth="1"/>
    <col min="15626" max="15626" width="12.7109375" style="2090" customWidth="1"/>
    <col min="15627" max="15627" width="11.85546875" style="2090" customWidth="1"/>
    <col min="15628" max="15628" width="11.5703125" style="2090" customWidth="1"/>
    <col min="15629" max="15629" width="12.28515625" style="2090" customWidth="1"/>
    <col min="15630" max="15873" width="9.140625" style="2090"/>
    <col min="15874" max="15874" width="17.42578125" style="2090" customWidth="1"/>
    <col min="15875" max="15875" width="12.42578125" style="2090" customWidth="1"/>
    <col min="15876" max="15876" width="12.85546875" style="2090" customWidth="1"/>
    <col min="15877" max="15877" width="13.7109375" style="2090" customWidth="1"/>
    <col min="15878" max="15879" width="11" style="2090" customWidth="1"/>
    <col min="15880" max="15880" width="10.85546875" style="2090" customWidth="1"/>
    <col min="15881" max="15881" width="13.5703125" style="2090" customWidth="1"/>
    <col min="15882" max="15882" width="12.7109375" style="2090" customWidth="1"/>
    <col min="15883" max="15883" width="11.85546875" style="2090" customWidth="1"/>
    <col min="15884" max="15884" width="11.5703125" style="2090" customWidth="1"/>
    <col min="15885" max="15885" width="12.28515625" style="2090" customWidth="1"/>
    <col min="15886" max="16129" width="9.140625" style="2090"/>
    <col min="16130" max="16130" width="17.42578125" style="2090" customWidth="1"/>
    <col min="16131" max="16131" width="12.42578125" style="2090" customWidth="1"/>
    <col min="16132" max="16132" width="12.85546875" style="2090" customWidth="1"/>
    <col min="16133" max="16133" width="13.7109375" style="2090" customWidth="1"/>
    <col min="16134" max="16135" width="11" style="2090" customWidth="1"/>
    <col min="16136" max="16136" width="10.85546875" style="2090" customWidth="1"/>
    <col min="16137" max="16137" width="13.5703125" style="2090" customWidth="1"/>
    <col min="16138" max="16138" width="12.7109375" style="2090" customWidth="1"/>
    <col min="16139" max="16139" width="11.85546875" style="2090" customWidth="1"/>
    <col min="16140" max="16140" width="11.5703125" style="2090" customWidth="1"/>
    <col min="16141" max="16141" width="12.28515625" style="2090" customWidth="1"/>
    <col min="16142" max="16384" width="9.140625" style="2090"/>
  </cols>
  <sheetData>
    <row r="2" spans="1:15" ht="15" customHeight="1" x14ac:dyDescent="0.15">
      <c r="A2" s="2688" t="s">
        <v>3396</v>
      </c>
      <c r="B2" s="2688"/>
      <c r="C2" s="2688"/>
      <c r="D2" s="2688"/>
      <c r="E2" s="2688"/>
      <c r="F2" s="2688"/>
      <c r="G2" s="2688"/>
      <c r="H2" s="2688"/>
      <c r="I2" s="2688"/>
      <c r="J2" s="2688"/>
      <c r="K2" s="2688"/>
      <c r="L2" s="2688"/>
      <c r="M2" s="2688"/>
    </row>
    <row r="3" spans="1:15" ht="11.25" customHeight="1" x14ac:dyDescent="0.15">
      <c r="A3" s="3399"/>
      <c r="B3" s="3399"/>
      <c r="C3" s="3399"/>
      <c r="D3" s="3399"/>
      <c r="E3" s="3399"/>
      <c r="F3" s="3399"/>
      <c r="G3" s="3399"/>
      <c r="H3" s="3399"/>
      <c r="I3" s="3399"/>
      <c r="J3" s="3399"/>
      <c r="K3" s="3399"/>
      <c r="L3" s="3399"/>
      <c r="M3" s="3399"/>
    </row>
    <row r="4" spans="1:15" x14ac:dyDescent="0.15">
      <c r="A4" s="3393" t="s">
        <v>1</v>
      </c>
      <c r="B4" s="3400" t="s">
        <v>1472</v>
      </c>
      <c r="C4" s="3401"/>
      <c r="D4" s="3401"/>
      <c r="E4" s="3401"/>
      <c r="F4" s="3401"/>
      <c r="G4" s="3401"/>
      <c r="H4" s="3401"/>
      <c r="I4" s="3401"/>
      <c r="J4" s="3401"/>
      <c r="K4" s="3401"/>
      <c r="L4" s="3401"/>
      <c r="M4" s="3402"/>
    </row>
    <row r="5" spans="1:15" ht="12.75" customHeight="1" x14ac:dyDescent="0.15">
      <c r="A5" s="2460"/>
      <c r="B5" s="3393" t="s">
        <v>141</v>
      </c>
      <c r="C5" s="2359"/>
      <c r="D5" s="3400" t="s">
        <v>1474</v>
      </c>
      <c r="E5" s="3401"/>
      <c r="F5" s="3401"/>
      <c r="G5" s="3401"/>
      <c r="H5" s="3401"/>
      <c r="I5" s="3401"/>
      <c r="J5" s="3401"/>
      <c r="K5" s="3401"/>
      <c r="L5" s="3401"/>
      <c r="M5" s="3402"/>
    </row>
    <row r="6" spans="1:15" ht="21" x14ac:dyDescent="0.15">
      <c r="A6" s="2360"/>
      <c r="B6" s="2360"/>
      <c r="C6" s="2360"/>
      <c r="D6" s="2094" t="s">
        <v>3403</v>
      </c>
      <c r="E6" s="1617" t="s">
        <v>3404</v>
      </c>
      <c r="F6" s="1617" t="s">
        <v>3405</v>
      </c>
      <c r="G6" s="1617" t="s">
        <v>3381</v>
      </c>
      <c r="H6" s="1617" t="s">
        <v>3406</v>
      </c>
      <c r="I6" s="1617" t="s">
        <v>3407</v>
      </c>
      <c r="J6" s="1617" t="s">
        <v>3348</v>
      </c>
      <c r="K6" s="1617" t="s">
        <v>3376</v>
      </c>
      <c r="L6" s="1617" t="s">
        <v>3408</v>
      </c>
      <c r="M6" s="1617" t="s">
        <v>3409</v>
      </c>
    </row>
    <row r="7" spans="1:15" x14ac:dyDescent="0.15">
      <c r="A7" s="2146" t="s">
        <v>141</v>
      </c>
      <c r="B7" s="543">
        <f t="shared" ref="B7:B22" si="0">SUM(D7:M7)</f>
        <v>62792</v>
      </c>
      <c r="C7" s="1618">
        <f>+B7/$B$7</f>
        <v>1</v>
      </c>
      <c r="D7" s="543">
        <f t="shared" ref="D7:M7" si="1">SUM(D8:D22)</f>
        <v>29851</v>
      </c>
      <c r="E7" s="543">
        <f t="shared" si="1"/>
        <v>925</v>
      </c>
      <c r="F7" s="543">
        <f t="shared" si="1"/>
        <v>10108</v>
      </c>
      <c r="G7" s="543">
        <f t="shared" si="1"/>
        <v>8162</v>
      </c>
      <c r="H7" s="543">
        <f t="shared" si="1"/>
        <v>4176</v>
      </c>
      <c r="I7" s="543">
        <f t="shared" si="1"/>
        <v>3161</v>
      </c>
      <c r="J7" s="543">
        <f t="shared" si="1"/>
        <v>3150</v>
      </c>
      <c r="K7" s="543">
        <f t="shared" si="1"/>
        <v>892</v>
      </c>
      <c r="L7" s="543">
        <f t="shared" si="1"/>
        <v>1282</v>
      </c>
      <c r="M7" s="543">
        <f t="shared" si="1"/>
        <v>1085</v>
      </c>
    </row>
    <row r="8" spans="1:15" x14ac:dyDescent="0.15">
      <c r="A8" s="2092" t="s">
        <v>5</v>
      </c>
      <c r="B8" s="543">
        <f t="shared" si="0"/>
        <v>3437</v>
      </c>
      <c r="C8" s="1618">
        <f>+B8/$B$7</f>
        <v>5.4736272136577911E-2</v>
      </c>
      <c r="D8" s="545">
        <v>3092</v>
      </c>
      <c r="E8" s="545">
        <v>21</v>
      </c>
      <c r="F8" s="545">
        <v>48</v>
      </c>
      <c r="G8" s="545">
        <v>101</v>
      </c>
      <c r="H8" s="545">
        <v>40</v>
      </c>
      <c r="I8" s="545">
        <v>0</v>
      </c>
      <c r="J8" s="545">
        <v>134</v>
      </c>
      <c r="K8" s="545">
        <v>0</v>
      </c>
      <c r="L8" s="545">
        <v>1</v>
      </c>
      <c r="M8" s="545">
        <v>0</v>
      </c>
    </row>
    <row r="9" spans="1:15" x14ac:dyDescent="0.15">
      <c r="A9" s="2092" t="s">
        <v>6</v>
      </c>
      <c r="B9" s="543">
        <f t="shared" si="0"/>
        <v>453</v>
      </c>
      <c r="C9" s="1618">
        <f t="shared" ref="C9:C22" si="2">+B9/$B$7</f>
        <v>7.2142948146260667E-3</v>
      </c>
      <c r="D9" s="545">
        <v>250</v>
      </c>
      <c r="E9" s="545">
        <v>27</v>
      </c>
      <c r="F9" s="545">
        <v>31</v>
      </c>
      <c r="G9" s="545">
        <v>36</v>
      </c>
      <c r="H9" s="545">
        <v>29</v>
      </c>
      <c r="I9" s="545">
        <v>0</v>
      </c>
      <c r="J9" s="545">
        <v>55</v>
      </c>
      <c r="K9" s="545">
        <v>16</v>
      </c>
      <c r="L9" s="545">
        <v>2</v>
      </c>
      <c r="M9" s="545">
        <v>7</v>
      </c>
    </row>
    <row r="10" spans="1:15" ht="11.25" x14ac:dyDescent="0.15">
      <c r="A10" s="2092" t="s">
        <v>4268</v>
      </c>
      <c r="B10" s="543">
        <f t="shared" si="0"/>
        <v>2448</v>
      </c>
      <c r="C10" s="1618">
        <f t="shared" si="2"/>
        <v>3.898585807109186E-2</v>
      </c>
      <c r="D10" s="545">
        <v>1616</v>
      </c>
      <c r="E10" s="545">
        <v>31</v>
      </c>
      <c r="F10" s="545">
        <v>196</v>
      </c>
      <c r="G10" s="545">
        <v>324</v>
      </c>
      <c r="H10" s="545">
        <v>23</v>
      </c>
      <c r="I10" s="545">
        <v>9</v>
      </c>
      <c r="J10" s="545">
        <v>174</v>
      </c>
      <c r="K10" s="545">
        <v>13</v>
      </c>
      <c r="L10" s="545">
        <v>3</v>
      </c>
      <c r="M10" s="545">
        <v>59</v>
      </c>
    </row>
    <row r="11" spans="1:15" ht="11.25" x14ac:dyDescent="0.15">
      <c r="A11" s="2092" t="s">
        <v>4270</v>
      </c>
      <c r="B11" s="543">
        <f t="shared" si="0"/>
        <v>1380</v>
      </c>
      <c r="C11" s="1618">
        <f t="shared" si="2"/>
        <v>2.1977321951840999E-2</v>
      </c>
      <c r="D11" s="545">
        <v>474</v>
      </c>
      <c r="E11" s="545">
        <v>27</v>
      </c>
      <c r="F11" s="545">
        <v>481</v>
      </c>
      <c r="G11" s="545">
        <v>127</v>
      </c>
      <c r="H11" s="545">
        <v>57</v>
      </c>
      <c r="I11" s="545">
        <v>3</v>
      </c>
      <c r="J11" s="545">
        <v>145</v>
      </c>
      <c r="K11" s="545">
        <v>4</v>
      </c>
      <c r="L11" s="545">
        <v>56</v>
      </c>
      <c r="M11" s="545">
        <v>6</v>
      </c>
    </row>
    <row r="12" spans="1:15" ht="11.25" x14ac:dyDescent="0.15">
      <c r="A12" s="2092" t="s">
        <v>4269</v>
      </c>
      <c r="B12" s="543">
        <f t="shared" si="0"/>
        <v>1575</v>
      </c>
      <c r="C12" s="1618">
        <f t="shared" si="2"/>
        <v>2.5082813097209836E-2</v>
      </c>
      <c r="D12" s="545">
        <v>527</v>
      </c>
      <c r="E12" s="545">
        <v>33</v>
      </c>
      <c r="F12" s="545">
        <v>168</v>
      </c>
      <c r="G12" s="545">
        <v>594</v>
      </c>
      <c r="H12" s="545">
        <v>46</v>
      </c>
      <c r="I12" s="545">
        <v>5</v>
      </c>
      <c r="J12" s="545">
        <v>51</v>
      </c>
      <c r="K12" s="545">
        <v>39</v>
      </c>
      <c r="L12" s="545">
        <v>38</v>
      </c>
      <c r="M12" s="545">
        <v>74</v>
      </c>
    </row>
    <row r="13" spans="1:15" ht="11.25" x14ac:dyDescent="0.15">
      <c r="A13" s="2092" t="s">
        <v>4271</v>
      </c>
      <c r="B13" s="543">
        <f t="shared" si="0"/>
        <v>9561</v>
      </c>
      <c r="C13" s="1618">
        <f t="shared" si="2"/>
        <v>0.15226461969677665</v>
      </c>
      <c r="D13" s="545">
        <v>4661</v>
      </c>
      <c r="E13" s="545">
        <v>191</v>
      </c>
      <c r="F13" s="545">
        <v>1137</v>
      </c>
      <c r="G13" s="545">
        <v>794</v>
      </c>
      <c r="H13" s="545">
        <v>227</v>
      </c>
      <c r="I13" s="545">
        <v>490</v>
      </c>
      <c r="J13" s="545">
        <v>1521</v>
      </c>
      <c r="K13" s="545">
        <v>197</v>
      </c>
      <c r="L13" s="545">
        <v>131</v>
      </c>
      <c r="M13" s="545">
        <v>212</v>
      </c>
      <c r="N13" s="2093"/>
      <c r="O13" s="2093"/>
    </row>
    <row r="14" spans="1:15" x14ac:dyDescent="0.15">
      <c r="A14" s="2092" t="s">
        <v>11</v>
      </c>
      <c r="B14" s="543">
        <f t="shared" si="0"/>
        <v>7988</v>
      </c>
      <c r="C14" s="1618">
        <f t="shared" si="2"/>
        <v>0.12721365779080138</v>
      </c>
      <c r="D14" s="545">
        <v>3623</v>
      </c>
      <c r="E14" s="545">
        <v>223</v>
      </c>
      <c r="F14" s="545">
        <v>927</v>
      </c>
      <c r="G14" s="545">
        <v>1200</v>
      </c>
      <c r="H14" s="545">
        <v>537</v>
      </c>
      <c r="I14" s="545">
        <v>369</v>
      </c>
      <c r="J14" s="545">
        <v>306</v>
      </c>
      <c r="K14" s="1619">
        <v>193</v>
      </c>
      <c r="L14" s="545">
        <v>375</v>
      </c>
      <c r="M14" s="545">
        <v>235</v>
      </c>
      <c r="N14" s="2093"/>
      <c r="O14" s="2093"/>
    </row>
    <row r="15" spans="1:15" x14ac:dyDescent="0.15">
      <c r="A15" s="2092" t="s">
        <v>12</v>
      </c>
      <c r="B15" s="543">
        <f t="shared" si="0"/>
        <v>2691</v>
      </c>
      <c r="C15" s="1618">
        <f t="shared" si="2"/>
        <v>4.2855777806089949E-2</v>
      </c>
      <c r="D15" s="545">
        <v>1073</v>
      </c>
      <c r="E15" s="545">
        <v>48</v>
      </c>
      <c r="F15" s="545">
        <v>551</v>
      </c>
      <c r="G15" s="545">
        <v>305</v>
      </c>
      <c r="H15" s="545">
        <v>172</v>
      </c>
      <c r="I15" s="545">
        <v>23</v>
      </c>
      <c r="J15" s="545">
        <v>99</v>
      </c>
      <c r="K15" s="545">
        <v>102</v>
      </c>
      <c r="L15" s="545">
        <v>241</v>
      </c>
      <c r="M15" s="545">
        <v>77</v>
      </c>
      <c r="N15" s="2093"/>
      <c r="O15" s="2093"/>
    </row>
    <row r="16" spans="1:15" x14ac:dyDescent="0.15">
      <c r="A16" s="2092" t="s">
        <v>13</v>
      </c>
      <c r="B16" s="543">
        <f t="shared" si="0"/>
        <v>8366</v>
      </c>
      <c r="C16" s="1618">
        <f t="shared" si="2"/>
        <v>0.13323353293413173</v>
      </c>
      <c r="D16" s="545">
        <v>1056</v>
      </c>
      <c r="E16" s="545">
        <v>88</v>
      </c>
      <c r="F16" s="545">
        <v>580</v>
      </c>
      <c r="G16" s="545">
        <v>2260</v>
      </c>
      <c r="H16" s="545">
        <v>2320</v>
      </c>
      <c r="I16" s="545">
        <v>1847</v>
      </c>
      <c r="J16" s="545">
        <v>180</v>
      </c>
      <c r="K16" s="545">
        <v>5</v>
      </c>
      <c r="L16" s="545">
        <v>26</v>
      </c>
      <c r="M16" s="545">
        <v>4</v>
      </c>
      <c r="N16" s="2093"/>
      <c r="O16" s="2093"/>
    </row>
    <row r="17" spans="1:15" x14ac:dyDescent="0.15">
      <c r="A17" s="2092" t="s">
        <v>14</v>
      </c>
      <c r="B17" s="543">
        <f t="shared" si="0"/>
        <v>5550</v>
      </c>
      <c r="C17" s="1618">
        <f t="shared" si="2"/>
        <v>8.8387055675882273E-2</v>
      </c>
      <c r="D17" s="545">
        <v>3265</v>
      </c>
      <c r="E17" s="545">
        <v>100</v>
      </c>
      <c r="F17" s="545">
        <v>890</v>
      </c>
      <c r="G17" s="545">
        <v>590</v>
      </c>
      <c r="H17" s="545">
        <v>309</v>
      </c>
      <c r="I17" s="545">
        <v>45</v>
      </c>
      <c r="J17" s="545">
        <v>61</v>
      </c>
      <c r="K17" s="545">
        <v>130</v>
      </c>
      <c r="L17" s="545">
        <v>85</v>
      </c>
      <c r="M17" s="545">
        <v>75</v>
      </c>
      <c r="N17" s="2093"/>
      <c r="O17" s="2093"/>
    </row>
    <row r="18" spans="1:15" x14ac:dyDescent="0.15">
      <c r="A18" s="2092" t="s">
        <v>15</v>
      </c>
      <c r="B18" s="543">
        <f t="shared" si="0"/>
        <v>13331</v>
      </c>
      <c r="C18" s="1618">
        <f t="shared" si="2"/>
        <v>0.21230411517390751</v>
      </c>
      <c r="D18" s="545">
        <v>7256</v>
      </c>
      <c r="E18" s="545">
        <v>91</v>
      </c>
      <c r="F18" s="545">
        <v>3165</v>
      </c>
      <c r="G18" s="545">
        <v>1267</v>
      </c>
      <c r="H18" s="545">
        <v>315</v>
      </c>
      <c r="I18" s="545">
        <v>279</v>
      </c>
      <c r="J18" s="545">
        <v>348</v>
      </c>
      <c r="K18" s="545">
        <v>173</v>
      </c>
      <c r="L18" s="545">
        <v>242</v>
      </c>
      <c r="M18" s="545">
        <v>195</v>
      </c>
      <c r="N18" s="2093"/>
      <c r="O18" s="2093"/>
    </row>
    <row r="19" spans="1:15" x14ac:dyDescent="0.15">
      <c r="A19" s="2092" t="s">
        <v>16</v>
      </c>
      <c r="B19" s="543">
        <f t="shared" si="0"/>
        <v>988</v>
      </c>
      <c r="C19" s="1618">
        <f t="shared" si="2"/>
        <v>1.5734488469868774E-2</v>
      </c>
      <c r="D19" s="545">
        <v>409</v>
      </c>
      <c r="E19" s="545">
        <v>17</v>
      </c>
      <c r="F19" s="545">
        <v>260</v>
      </c>
      <c r="G19" s="545">
        <v>209</v>
      </c>
      <c r="H19" s="545">
        <v>40</v>
      </c>
      <c r="I19" s="545">
        <v>5</v>
      </c>
      <c r="J19" s="545">
        <v>38</v>
      </c>
      <c r="K19" s="545">
        <v>0</v>
      </c>
      <c r="L19" s="545">
        <v>7</v>
      </c>
      <c r="M19" s="545">
        <v>3</v>
      </c>
      <c r="N19" s="2093"/>
      <c r="O19" s="2093"/>
    </row>
    <row r="20" spans="1:15" x14ac:dyDescent="0.15">
      <c r="A20" s="2092" t="s">
        <v>17</v>
      </c>
      <c r="B20" s="543">
        <f t="shared" si="0"/>
        <v>2342</v>
      </c>
      <c r="C20" s="1618">
        <f t="shared" si="2"/>
        <v>3.7297744935660591E-2</v>
      </c>
      <c r="D20" s="545">
        <v>1252</v>
      </c>
      <c r="E20" s="545">
        <v>27</v>
      </c>
      <c r="F20" s="545">
        <v>659</v>
      </c>
      <c r="G20" s="545">
        <v>236</v>
      </c>
      <c r="H20" s="545">
        <v>45</v>
      </c>
      <c r="I20" s="545">
        <v>5</v>
      </c>
      <c r="J20" s="545">
        <v>26</v>
      </c>
      <c r="K20" s="545">
        <v>0</v>
      </c>
      <c r="L20" s="545">
        <v>17</v>
      </c>
      <c r="M20" s="545">
        <v>75</v>
      </c>
      <c r="N20" s="2093"/>
      <c r="O20" s="2093"/>
    </row>
    <row r="21" spans="1:15" x14ac:dyDescent="0.15">
      <c r="A21" s="2092" t="s">
        <v>18</v>
      </c>
      <c r="B21" s="543">
        <f t="shared" si="0"/>
        <v>2261</v>
      </c>
      <c r="C21" s="1618">
        <f t="shared" si="2"/>
        <v>3.6007771690661231E-2</v>
      </c>
      <c r="D21" s="545">
        <v>1115</v>
      </c>
      <c r="E21" s="545">
        <v>1</v>
      </c>
      <c r="F21" s="545">
        <v>902</v>
      </c>
      <c r="G21" s="545">
        <v>71</v>
      </c>
      <c r="H21" s="545">
        <v>16</v>
      </c>
      <c r="I21" s="545">
        <v>76</v>
      </c>
      <c r="J21" s="545">
        <v>3</v>
      </c>
      <c r="K21" s="545">
        <v>13</v>
      </c>
      <c r="L21" s="545">
        <v>58</v>
      </c>
      <c r="M21" s="545">
        <v>6</v>
      </c>
      <c r="N21" s="2093"/>
      <c r="O21" s="2093"/>
    </row>
    <row r="22" spans="1:15" x14ac:dyDescent="0.15">
      <c r="A22" s="2092" t="s">
        <v>19</v>
      </c>
      <c r="B22" s="543">
        <f t="shared" si="0"/>
        <v>421</v>
      </c>
      <c r="C22" s="1618">
        <f t="shared" si="2"/>
        <v>6.7046757548732318E-3</v>
      </c>
      <c r="D22" s="545">
        <v>182</v>
      </c>
      <c r="E22" s="545">
        <v>0</v>
      </c>
      <c r="F22" s="545">
        <v>113</v>
      </c>
      <c r="G22" s="545">
        <v>48</v>
      </c>
      <c r="H22" s="545">
        <v>0</v>
      </c>
      <c r="I22" s="545">
        <v>5</v>
      </c>
      <c r="J22" s="545">
        <v>9</v>
      </c>
      <c r="K22" s="545">
        <v>7</v>
      </c>
      <c r="L22" s="545">
        <v>0</v>
      </c>
      <c r="M22" s="545">
        <v>57</v>
      </c>
      <c r="N22" s="2093"/>
      <c r="O22" s="2093"/>
    </row>
    <row r="23" spans="1:15" ht="12" customHeight="1" x14ac:dyDescent="0.15">
      <c r="A23" s="2477"/>
      <c r="B23" s="2477"/>
      <c r="C23" s="2477"/>
      <c r="D23" s="2477"/>
      <c r="E23" s="2477"/>
      <c r="F23" s="2477"/>
      <c r="G23" s="2477"/>
      <c r="H23" s="2477"/>
      <c r="I23" s="2477"/>
      <c r="J23" s="2477"/>
      <c r="K23" s="2477"/>
      <c r="L23" s="2477"/>
      <c r="M23" s="2477"/>
      <c r="N23" s="2093"/>
      <c r="O23" s="2093"/>
    </row>
    <row r="24" spans="1:15" ht="22.5" customHeight="1" x14ac:dyDescent="0.15">
      <c r="A24" s="2414" t="s">
        <v>3394</v>
      </c>
      <c r="B24" s="2414"/>
      <c r="C24" s="2414"/>
      <c r="D24" s="2414"/>
      <c r="E24" s="2414"/>
      <c r="F24" s="2414"/>
      <c r="G24" s="2414"/>
      <c r="H24" s="2414"/>
      <c r="I24" s="2414"/>
      <c r="J24" s="2414"/>
      <c r="K24" s="2414"/>
      <c r="L24" s="2414"/>
      <c r="M24" s="2414"/>
      <c r="N24" s="2093"/>
      <c r="O24" s="2093"/>
    </row>
    <row r="25" spans="1:15" ht="10.5" customHeight="1" x14ac:dyDescent="0.15">
      <c r="A25" s="2699" t="s">
        <v>1489</v>
      </c>
      <c r="B25" s="2699"/>
      <c r="C25" s="2699"/>
      <c r="D25" s="2699"/>
      <c r="E25" s="2699"/>
      <c r="F25" s="2699"/>
      <c r="G25" s="2699"/>
      <c r="H25" s="2699"/>
      <c r="I25" s="2699"/>
      <c r="J25" s="2699"/>
      <c r="K25" s="2699"/>
      <c r="L25" s="2699"/>
      <c r="M25" s="2699"/>
      <c r="N25" s="2093"/>
      <c r="O25" s="2093"/>
    </row>
    <row r="26" spans="1:15" ht="10.5" customHeight="1" x14ac:dyDescent="0.15">
      <c r="A26" s="2463" t="s">
        <v>20</v>
      </c>
      <c r="B26" s="2463"/>
      <c r="C26" s="2463"/>
      <c r="D26" s="2463"/>
      <c r="E26" s="2463"/>
      <c r="F26" s="2463"/>
      <c r="G26" s="2463"/>
      <c r="H26" s="2463"/>
      <c r="I26" s="2463"/>
      <c r="J26" s="2463"/>
      <c r="K26" s="2463"/>
      <c r="L26" s="2463"/>
      <c r="M26" s="2463"/>
      <c r="N26" s="2093"/>
      <c r="O26" s="2093"/>
    </row>
    <row r="27" spans="1:15" ht="10.5" customHeight="1" x14ac:dyDescent="0.15">
      <c r="A27" s="2463" t="s">
        <v>1483</v>
      </c>
      <c r="B27" s="2463"/>
      <c r="C27" s="2463"/>
      <c r="D27" s="2463"/>
      <c r="E27" s="2463"/>
      <c r="F27" s="2463"/>
      <c r="G27" s="2463"/>
      <c r="H27" s="2463"/>
      <c r="I27" s="2463"/>
      <c r="J27" s="2463"/>
      <c r="K27" s="2463"/>
      <c r="L27" s="2463"/>
      <c r="M27" s="2463"/>
      <c r="N27" s="2093"/>
      <c r="O27" s="2093"/>
    </row>
    <row r="28" spans="1:15" x14ac:dyDescent="0.15">
      <c r="A28" s="2093"/>
      <c r="B28" s="2093"/>
      <c r="C28" s="2093"/>
      <c r="D28" s="2093"/>
      <c r="E28" s="2093"/>
      <c r="F28" s="2093"/>
      <c r="G28" s="2093"/>
      <c r="H28" s="2093"/>
      <c r="I28" s="2093"/>
      <c r="J28" s="2093"/>
      <c r="K28" s="2093"/>
      <c r="L28" s="2093"/>
      <c r="M28" s="2093"/>
      <c r="N28" s="2093"/>
      <c r="O28" s="2093"/>
    </row>
    <row r="29" spans="1:15" x14ac:dyDescent="0.15">
      <c r="A29" s="2093"/>
      <c r="B29" s="2093"/>
      <c r="C29" s="2093"/>
      <c r="D29" s="2093"/>
      <c r="E29" s="2093"/>
      <c r="F29" s="2093"/>
      <c r="G29" s="2093"/>
      <c r="H29" s="2093"/>
      <c r="I29" s="2093"/>
      <c r="J29" s="2093"/>
      <c r="K29" s="2093"/>
      <c r="L29" s="2093"/>
      <c r="M29" s="2093"/>
      <c r="N29" s="2093"/>
      <c r="O29" s="2093"/>
    </row>
    <row r="30" spans="1:15" x14ac:dyDescent="0.15">
      <c r="A30" s="2093"/>
      <c r="B30" s="2093"/>
      <c r="C30" s="2093"/>
      <c r="D30" s="2093"/>
      <c r="E30" s="2093"/>
      <c r="F30" s="2093"/>
      <c r="G30" s="2093"/>
      <c r="H30" s="2093"/>
      <c r="I30" s="2093"/>
      <c r="J30" s="2093"/>
      <c r="K30" s="2093"/>
      <c r="L30" s="2093"/>
      <c r="M30" s="2093"/>
      <c r="N30" s="2093"/>
      <c r="O30" s="2093"/>
    </row>
    <row r="31" spans="1:15" x14ac:dyDescent="0.15">
      <c r="A31" s="2093"/>
      <c r="B31" s="2093"/>
      <c r="C31" s="2093"/>
      <c r="D31" s="2093"/>
      <c r="E31" s="2093"/>
      <c r="F31" s="2093"/>
      <c r="G31" s="2093"/>
      <c r="H31" s="2093"/>
      <c r="I31" s="2093"/>
      <c r="J31" s="2093"/>
      <c r="K31" s="2093"/>
      <c r="L31" s="2093"/>
      <c r="M31" s="2093"/>
      <c r="N31" s="2093"/>
      <c r="O31" s="2093"/>
    </row>
    <row r="32" spans="1:15" x14ac:dyDescent="0.15">
      <c r="A32" s="2093"/>
      <c r="B32" s="2093"/>
      <c r="C32" s="2093"/>
      <c r="D32" s="2093"/>
      <c r="E32" s="2093"/>
      <c r="F32" s="2093"/>
      <c r="G32" s="2093"/>
      <c r="H32" s="2093"/>
      <c r="I32" s="2093"/>
      <c r="J32" s="2093"/>
      <c r="K32" s="2093"/>
      <c r="L32" s="2093"/>
      <c r="M32" s="2093"/>
      <c r="N32" s="2093"/>
      <c r="O32" s="2093"/>
    </row>
    <row r="33" spans="1:15" x14ac:dyDescent="0.15">
      <c r="A33" s="2093"/>
      <c r="B33" s="2093"/>
      <c r="C33" s="2093"/>
      <c r="D33" s="2093"/>
      <c r="E33" s="2093"/>
      <c r="F33" s="2093"/>
      <c r="G33" s="2093"/>
      <c r="H33" s="2093"/>
      <c r="I33" s="2093"/>
      <c r="J33" s="2093"/>
      <c r="K33" s="2093"/>
      <c r="L33" s="2093"/>
      <c r="M33" s="2093"/>
      <c r="N33" s="2093"/>
      <c r="O33" s="2093"/>
    </row>
    <row r="34" spans="1:15" x14ac:dyDescent="0.15">
      <c r="A34" s="2093"/>
      <c r="B34" s="2093"/>
      <c r="C34" s="2093"/>
      <c r="D34" s="2093"/>
      <c r="E34" s="2093"/>
      <c r="F34" s="2093"/>
      <c r="G34" s="2093"/>
      <c r="H34" s="2093"/>
      <c r="I34" s="2093"/>
      <c r="J34" s="2093"/>
      <c r="K34" s="2093"/>
      <c r="L34" s="2093"/>
      <c r="M34" s="2093"/>
      <c r="N34" s="2093"/>
      <c r="O34" s="2093"/>
    </row>
    <row r="35" spans="1:15" x14ac:dyDescent="0.15">
      <c r="A35" s="2093"/>
      <c r="B35" s="2093"/>
      <c r="C35" s="2093"/>
      <c r="D35" s="2093"/>
      <c r="E35" s="2093"/>
      <c r="F35" s="2093"/>
      <c r="G35" s="2093"/>
      <c r="H35" s="2093"/>
      <c r="I35" s="2093"/>
      <c r="J35" s="2093"/>
      <c r="K35" s="2093"/>
      <c r="L35" s="2093"/>
      <c r="M35" s="2093"/>
      <c r="N35" s="2093"/>
      <c r="O35" s="2093"/>
    </row>
  </sheetData>
  <mergeCells count="12">
    <mergeCell ref="A23:M23"/>
    <mergeCell ref="A24:M24"/>
    <mergeCell ref="A25:M25"/>
    <mergeCell ref="A26:M26"/>
    <mergeCell ref="A27:M27"/>
    <mergeCell ref="A2:M2"/>
    <mergeCell ref="A3:M3"/>
    <mergeCell ref="A4:A6"/>
    <mergeCell ref="B4:M4"/>
    <mergeCell ref="B5:B6"/>
    <mergeCell ref="D5:M5"/>
    <mergeCell ref="C5:C6"/>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&amp;A</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L35"/>
  <sheetViews>
    <sheetView zoomScaleNormal="100" workbookViewId="0">
      <selection sqref="A1:XFD1048576"/>
    </sheetView>
  </sheetViews>
  <sheetFormatPr baseColWidth="10" defaultColWidth="9.140625" defaultRowHeight="10.5" x14ac:dyDescent="0.15"/>
  <cols>
    <col min="1" max="1" width="18.28515625" style="2090" customWidth="1"/>
    <col min="2" max="2" width="12.5703125" style="2090" customWidth="1"/>
    <col min="3" max="3" width="14.85546875" style="2090" customWidth="1"/>
    <col min="4" max="4" width="13" style="2090" customWidth="1"/>
    <col min="5" max="5" width="14" style="2090" customWidth="1"/>
    <col min="6" max="6" width="11.140625" style="2090" customWidth="1"/>
    <col min="7" max="7" width="12.5703125" style="2090" customWidth="1"/>
    <col min="8" max="8" width="13" style="2090" customWidth="1"/>
    <col min="9" max="9" width="11.7109375" style="2090" customWidth="1"/>
    <col min="10" max="10" width="9.85546875" style="2090" customWidth="1"/>
    <col min="11" max="11" width="9.5703125" style="2090" customWidth="1"/>
    <col min="12" max="12" width="11.85546875" style="2090" customWidth="1"/>
    <col min="13" max="13" width="3.42578125" style="2090" customWidth="1"/>
    <col min="14" max="256" width="9.140625" style="2090"/>
    <col min="257" max="257" width="18.28515625" style="2090" customWidth="1"/>
    <col min="258" max="258" width="12.5703125" style="2090" customWidth="1"/>
    <col min="259" max="259" width="14.85546875" style="2090" customWidth="1"/>
    <col min="260" max="260" width="13" style="2090" customWidth="1"/>
    <col min="261" max="261" width="14" style="2090" customWidth="1"/>
    <col min="262" max="262" width="11.140625" style="2090" customWidth="1"/>
    <col min="263" max="263" width="12.5703125" style="2090" customWidth="1"/>
    <col min="264" max="264" width="13" style="2090" customWidth="1"/>
    <col min="265" max="265" width="11.7109375" style="2090" customWidth="1"/>
    <col min="266" max="266" width="9.85546875" style="2090" customWidth="1"/>
    <col min="267" max="267" width="9.5703125" style="2090" customWidth="1"/>
    <col min="268" max="268" width="11.85546875" style="2090" customWidth="1"/>
    <col min="269" max="269" width="3.42578125" style="2090" customWidth="1"/>
    <col min="270" max="512" width="9.140625" style="2090"/>
    <col min="513" max="513" width="18.28515625" style="2090" customWidth="1"/>
    <col min="514" max="514" width="12.5703125" style="2090" customWidth="1"/>
    <col min="515" max="515" width="14.85546875" style="2090" customWidth="1"/>
    <col min="516" max="516" width="13" style="2090" customWidth="1"/>
    <col min="517" max="517" width="14" style="2090" customWidth="1"/>
    <col min="518" max="518" width="11.140625" style="2090" customWidth="1"/>
    <col min="519" max="519" width="12.5703125" style="2090" customWidth="1"/>
    <col min="520" max="520" width="13" style="2090" customWidth="1"/>
    <col min="521" max="521" width="11.7109375" style="2090" customWidth="1"/>
    <col min="522" max="522" width="9.85546875" style="2090" customWidth="1"/>
    <col min="523" max="523" width="9.5703125" style="2090" customWidth="1"/>
    <col min="524" max="524" width="11.85546875" style="2090" customWidth="1"/>
    <col min="525" max="525" width="3.42578125" style="2090" customWidth="1"/>
    <col min="526" max="768" width="9.140625" style="2090"/>
    <col min="769" max="769" width="18.28515625" style="2090" customWidth="1"/>
    <col min="770" max="770" width="12.5703125" style="2090" customWidth="1"/>
    <col min="771" max="771" width="14.85546875" style="2090" customWidth="1"/>
    <col min="772" max="772" width="13" style="2090" customWidth="1"/>
    <col min="773" max="773" width="14" style="2090" customWidth="1"/>
    <col min="774" max="774" width="11.140625" style="2090" customWidth="1"/>
    <col min="775" max="775" width="12.5703125" style="2090" customWidth="1"/>
    <col min="776" max="776" width="13" style="2090" customWidth="1"/>
    <col min="777" max="777" width="11.7109375" style="2090" customWidth="1"/>
    <col min="778" max="778" width="9.85546875" style="2090" customWidth="1"/>
    <col min="779" max="779" width="9.5703125" style="2090" customWidth="1"/>
    <col min="780" max="780" width="11.85546875" style="2090" customWidth="1"/>
    <col min="781" max="781" width="3.42578125" style="2090" customWidth="1"/>
    <col min="782" max="1024" width="9.140625" style="2090"/>
    <col min="1025" max="1025" width="18.28515625" style="2090" customWidth="1"/>
    <col min="1026" max="1026" width="12.5703125" style="2090" customWidth="1"/>
    <col min="1027" max="1027" width="14.85546875" style="2090" customWidth="1"/>
    <col min="1028" max="1028" width="13" style="2090" customWidth="1"/>
    <col min="1029" max="1029" width="14" style="2090" customWidth="1"/>
    <col min="1030" max="1030" width="11.140625" style="2090" customWidth="1"/>
    <col min="1031" max="1031" width="12.5703125" style="2090" customWidth="1"/>
    <col min="1032" max="1032" width="13" style="2090" customWidth="1"/>
    <col min="1033" max="1033" width="11.7109375" style="2090" customWidth="1"/>
    <col min="1034" max="1034" width="9.85546875" style="2090" customWidth="1"/>
    <col min="1035" max="1035" width="9.5703125" style="2090" customWidth="1"/>
    <col min="1036" max="1036" width="11.85546875" style="2090" customWidth="1"/>
    <col min="1037" max="1037" width="3.42578125" style="2090" customWidth="1"/>
    <col min="1038" max="1280" width="9.140625" style="2090"/>
    <col min="1281" max="1281" width="18.28515625" style="2090" customWidth="1"/>
    <col min="1282" max="1282" width="12.5703125" style="2090" customWidth="1"/>
    <col min="1283" max="1283" width="14.85546875" style="2090" customWidth="1"/>
    <col min="1284" max="1284" width="13" style="2090" customWidth="1"/>
    <col min="1285" max="1285" width="14" style="2090" customWidth="1"/>
    <col min="1286" max="1286" width="11.140625" style="2090" customWidth="1"/>
    <col min="1287" max="1287" width="12.5703125" style="2090" customWidth="1"/>
    <col min="1288" max="1288" width="13" style="2090" customWidth="1"/>
    <col min="1289" max="1289" width="11.7109375" style="2090" customWidth="1"/>
    <col min="1290" max="1290" width="9.85546875" style="2090" customWidth="1"/>
    <col min="1291" max="1291" width="9.5703125" style="2090" customWidth="1"/>
    <col min="1292" max="1292" width="11.85546875" style="2090" customWidth="1"/>
    <col min="1293" max="1293" width="3.42578125" style="2090" customWidth="1"/>
    <col min="1294" max="1536" width="9.140625" style="2090"/>
    <col min="1537" max="1537" width="18.28515625" style="2090" customWidth="1"/>
    <col min="1538" max="1538" width="12.5703125" style="2090" customWidth="1"/>
    <col min="1539" max="1539" width="14.85546875" style="2090" customWidth="1"/>
    <col min="1540" max="1540" width="13" style="2090" customWidth="1"/>
    <col min="1541" max="1541" width="14" style="2090" customWidth="1"/>
    <col min="1542" max="1542" width="11.140625" style="2090" customWidth="1"/>
    <col min="1543" max="1543" width="12.5703125" style="2090" customWidth="1"/>
    <col min="1544" max="1544" width="13" style="2090" customWidth="1"/>
    <col min="1545" max="1545" width="11.7109375" style="2090" customWidth="1"/>
    <col min="1546" max="1546" width="9.85546875" style="2090" customWidth="1"/>
    <col min="1547" max="1547" width="9.5703125" style="2090" customWidth="1"/>
    <col min="1548" max="1548" width="11.85546875" style="2090" customWidth="1"/>
    <col min="1549" max="1549" width="3.42578125" style="2090" customWidth="1"/>
    <col min="1550" max="1792" width="9.140625" style="2090"/>
    <col min="1793" max="1793" width="18.28515625" style="2090" customWidth="1"/>
    <col min="1794" max="1794" width="12.5703125" style="2090" customWidth="1"/>
    <col min="1795" max="1795" width="14.85546875" style="2090" customWidth="1"/>
    <col min="1796" max="1796" width="13" style="2090" customWidth="1"/>
    <col min="1797" max="1797" width="14" style="2090" customWidth="1"/>
    <col min="1798" max="1798" width="11.140625" style="2090" customWidth="1"/>
    <col min="1799" max="1799" width="12.5703125" style="2090" customWidth="1"/>
    <col min="1800" max="1800" width="13" style="2090" customWidth="1"/>
    <col min="1801" max="1801" width="11.7109375" style="2090" customWidth="1"/>
    <col min="1802" max="1802" width="9.85546875" style="2090" customWidth="1"/>
    <col min="1803" max="1803" width="9.5703125" style="2090" customWidth="1"/>
    <col min="1804" max="1804" width="11.85546875" style="2090" customWidth="1"/>
    <col min="1805" max="1805" width="3.42578125" style="2090" customWidth="1"/>
    <col min="1806" max="2048" width="9.140625" style="2090"/>
    <col min="2049" max="2049" width="18.28515625" style="2090" customWidth="1"/>
    <col min="2050" max="2050" width="12.5703125" style="2090" customWidth="1"/>
    <col min="2051" max="2051" width="14.85546875" style="2090" customWidth="1"/>
    <col min="2052" max="2052" width="13" style="2090" customWidth="1"/>
    <col min="2053" max="2053" width="14" style="2090" customWidth="1"/>
    <col min="2054" max="2054" width="11.140625" style="2090" customWidth="1"/>
    <col min="2055" max="2055" width="12.5703125" style="2090" customWidth="1"/>
    <col min="2056" max="2056" width="13" style="2090" customWidth="1"/>
    <col min="2057" max="2057" width="11.7109375" style="2090" customWidth="1"/>
    <col min="2058" max="2058" width="9.85546875" style="2090" customWidth="1"/>
    <col min="2059" max="2059" width="9.5703125" style="2090" customWidth="1"/>
    <col min="2060" max="2060" width="11.85546875" style="2090" customWidth="1"/>
    <col min="2061" max="2061" width="3.42578125" style="2090" customWidth="1"/>
    <col min="2062" max="2304" width="9.140625" style="2090"/>
    <col min="2305" max="2305" width="18.28515625" style="2090" customWidth="1"/>
    <col min="2306" max="2306" width="12.5703125" style="2090" customWidth="1"/>
    <col min="2307" max="2307" width="14.85546875" style="2090" customWidth="1"/>
    <col min="2308" max="2308" width="13" style="2090" customWidth="1"/>
    <col min="2309" max="2309" width="14" style="2090" customWidth="1"/>
    <col min="2310" max="2310" width="11.140625" style="2090" customWidth="1"/>
    <col min="2311" max="2311" width="12.5703125" style="2090" customWidth="1"/>
    <col min="2312" max="2312" width="13" style="2090" customWidth="1"/>
    <col min="2313" max="2313" width="11.7109375" style="2090" customWidth="1"/>
    <col min="2314" max="2314" width="9.85546875" style="2090" customWidth="1"/>
    <col min="2315" max="2315" width="9.5703125" style="2090" customWidth="1"/>
    <col min="2316" max="2316" width="11.85546875" style="2090" customWidth="1"/>
    <col min="2317" max="2317" width="3.42578125" style="2090" customWidth="1"/>
    <col min="2318" max="2560" width="9.140625" style="2090"/>
    <col min="2561" max="2561" width="18.28515625" style="2090" customWidth="1"/>
    <col min="2562" max="2562" width="12.5703125" style="2090" customWidth="1"/>
    <col min="2563" max="2563" width="14.85546875" style="2090" customWidth="1"/>
    <col min="2564" max="2564" width="13" style="2090" customWidth="1"/>
    <col min="2565" max="2565" width="14" style="2090" customWidth="1"/>
    <col min="2566" max="2566" width="11.140625" style="2090" customWidth="1"/>
    <col min="2567" max="2567" width="12.5703125" style="2090" customWidth="1"/>
    <col min="2568" max="2568" width="13" style="2090" customWidth="1"/>
    <col min="2569" max="2569" width="11.7109375" style="2090" customWidth="1"/>
    <col min="2570" max="2570" width="9.85546875" style="2090" customWidth="1"/>
    <col min="2571" max="2571" width="9.5703125" style="2090" customWidth="1"/>
    <col min="2572" max="2572" width="11.85546875" style="2090" customWidth="1"/>
    <col min="2573" max="2573" width="3.42578125" style="2090" customWidth="1"/>
    <col min="2574" max="2816" width="9.140625" style="2090"/>
    <col min="2817" max="2817" width="18.28515625" style="2090" customWidth="1"/>
    <col min="2818" max="2818" width="12.5703125" style="2090" customWidth="1"/>
    <col min="2819" max="2819" width="14.85546875" style="2090" customWidth="1"/>
    <col min="2820" max="2820" width="13" style="2090" customWidth="1"/>
    <col min="2821" max="2821" width="14" style="2090" customWidth="1"/>
    <col min="2822" max="2822" width="11.140625" style="2090" customWidth="1"/>
    <col min="2823" max="2823" width="12.5703125" style="2090" customWidth="1"/>
    <col min="2824" max="2824" width="13" style="2090" customWidth="1"/>
    <col min="2825" max="2825" width="11.7109375" style="2090" customWidth="1"/>
    <col min="2826" max="2826" width="9.85546875" style="2090" customWidth="1"/>
    <col min="2827" max="2827" width="9.5703125" style="2090" customWidth="1"/>
    <col min="2828" max="2828" width="11.85546875" style="2090" customWidth="1"/>
    <col min="2829" max="2829" width="3.42578125" style="2090" customWidth="1"/>
    <col min="2830" max="3072" width="9.140625" style="2090"/>
    <col min="3073" max="3073" width="18.28515625" style="2090" customWidth="1"/>
    <col min="3074" max="3074" width="12.5703125" style="2090" customWidth="1"/>
    <col min="3075" max="3075" width="14.85546875" style="2090" customWidth="1"/>
    <col min="3076" max="3076" width="13" style="2090" customWidth="1"/>
    <col min="3077" max="3077" width="14" style="2090" customWidth="1"/>
    <col min="3078" max="3078" width="11.140625" style="2090" customWidth="1"/>
    <col min="3079" max="3079" width="12.5703125" style="2090" customWidth="1"/>
    <col min="3080" max="3080" width="13" style="2090" customWidth="1"/>
    <col min="3081" max="3081" width="11.7109375" style="2090" customWidth="1"/>
    <col min="3082" max="3082" width="9.85546875" style="2090" customWidth="1"/>
    <col min="3083" max="3083" width="9.5703125" style="2090" customWidth="1"/>
    <col min="3084" max="3084" width="11.85546875" style="2090" customWidth="1"/>
    <col min="3085" max="3085" width="3.42578125" style="2090" customWidth="1"/>
    <col min="3086" max="3328" width="9.140625" style="2090"/>
    <col min="3329" max="3329" width="18.28515625" style="2090" customWidth="1"/>
    <col min="3330" max="3330" width="12.5703125" style="2090" customWidth="1"/>
    <col min="3331" max="3331" width="14.85546875" style="2090" customWidth="1"/>
    <col min="3332" max="3332" width="13" style="2090" customWidth="1"/>
    <col min="3333" max="3333" width="14" style="2090" customWidth="1"/>
    <col min="3334" max="3334" width="11.140625" style="2090" customWidth="1"/>
    <col min="3335" max="3335" width="12.5703125" style="2090" customWidth="1"/>
    <col min="3336" max="3336" width="13" style="2090" customWidth="1"/>
    <col min="3337" max="3337" width="11.7109375" style="2090" customWidth="1"/>
    <col min="3338" max="3338" width="9.85546875" style="2090" customWidth="1"/>
    <col min="3339" max="3339" width="9.5703125" style="2090" customWidth="1"/>
    <col min="3340" max="3340" width="11.85546875" style="2090" customWidth="1"/>
    <col min="3341" max="3341" width="3.42578125" style="2090" customWidth="1"/>
    <col min="3342" max="3584" width="9.140625" style="2090"/>
    <col min="3585" max="3585" width="18.28515625" style="2090" customWidth="1"/>
    <col min="3586" max="3586" width="12.5703125" style="2090" customWidth="1"/>
    <col min="3587" max="3587" width="14.85546875" style="2090" customWidth="1"/>
    <col min="3588" max="3588" width="13" style="2090" customWidth="1"/>
    <col min="3589" max="3589" width="14" style="2090" customWidth="1"/>
    <col min="3590" max="3590" width="11.140625" style="2090" customWidth="1"/>
    <col min="3591" max="3591" width="12.5703125" style="2090" customWidth="1"/>
    <col min="3592" max="3592" width="13" style="2090" customWidth="1"/>
    <col min="3593" max="3593" width="11.7109375" style="2090" customWidth="1"/>
    <col min="3594" max="3594" width="9.85546875" style="2090" customWidth="1"/>
    <col min="3595" max="3595" width="9.5703125" style="2090" customWidth="1"/>
    <col min="3596" max="3596" width="11.85546875" style="2090" customWidth="1"/>
    <col min="3597" max="3597" width="3.42578125" style="2090" customWidth="1"/>
    <col min="3598" max="3840" width="9.140625" style="2090"/>
    <col min="3841" max="3841" width="18.28515625" style="2090" customWidth="1"/>
    <col min="3842" max="3842" width="12.5703125" style="2090" customWidth="1"/>
    <col min="3843" max="3843" width="14.85546875" style="2090" customWidth="1"/>
    <col min="3844" max="3844" width="13" style="2090" customWidth="1"/>
    <col min="3845" max="3845" width="14" style="2090" customWidth="1"/>
    <col min="3846" max="3846" width="11.140625" style="2090" customWidth="1"/>
    <col min="3847" max="3847" width="12.5703125" style="2090" customWidth="1"/>
    <col min="3848" max="3848" width="13" style="2090" customWidth="1"/>
    <col min="3849" max="3849" width="11.7109375" style="2090" customWidth="1"/>
    <col min="3850" max="3850" width="9.85546875" style="2090" customWidth="1"/>
    <col min="3851" max="3851" width="9.5703125" style="2090" customWidth="1"/>
    <col min="3852" max="3852" width="11.85546875" style="2090" customWidth="1"/>
    <col min="3853" max="3853" width="3.42578125" style="2090" customWidth="1"/>
    <col min="3854" max="4096" width="9.140625" style="2090"/>
    <col min="4097" max="4097" width="18.28515625" style="2090" customWidth="1"/>
    <col min="4098" max="4098" width="12.5703125" style="2090" customWidth="1"/>
    <col min="4099" max="4099" width="14.85546875" style="2090" customWidth="1"/>
    <col min="4100" max="4100" width="13" style="2090" customWidth="1"/>
    <col min="4101" max="4101" width="14" style="2090" customWidth="1"/>
    <col min="4102" max="4102" width="11.140625" style="2090" customWidth="1"/>
    <col min="4103" max="4103" width="12.5703125" style="2090" customWidth="1"/>
    <col min="4104" max="4104" width="13" style="2090" customWidth="1"/>
    <col min="4105" max="4105" width="11.7109375" style="2090" customWidth="1"/>
    <col min="4106" max="4106" width="9.85546875" style="2090" customWidth="1"/>
    <col min="4107" max="4107" width="9.5703125" style="2090" customWidth="1"/>
    <col min="4108" max="4108" width="11.85546875" style="2090" customWidth="1"/>
    <col min="4109" max="4109" width="3.42578125" style="2090" customWidth="1"/>
    <col min="4110" max="4352" width="9.140625" style="2090"/>
    <col min="4353" max="4353" width="18.28515625" style="2090" customWidth="1"/>
    <col min="4354" max="4354" width="12.5703125" style="2090" customWidth="1"/>
    <col min="4355" max="4355" width="14.85546875" style="2090" customWidth="1"/>
    <col min="4356" max="4356" width="13" style="2090" customWidth="1"/>
    <col min="4357" max="4357" width="14" style="2090" customWidth="1"/>
    <col min="4358" max="4358" width="11.140625" style="2090" customWidth="1"/>
    <col min="4359" max="4359" width="12.5703125" style="2090" customWidth="1"/>
    <col min="4360" max="4360" width="13" style="2090" customWidth="1"/>
    <col min="4361" max="4361" width="11.7109375" style="2090" customWidth="1"/>
    <col min="4362" max="4362" width="9.85546875" style="2090" customWidth="1"/>
    <col min="4363" max="4363" width="9.5703125" style="2090" customWidth="1"/>
    <col min="4364" max="4364" width="11.85546875" style="2090" customWidth="1"/>
    <col min="4365" max="4365" width="3.42578125" style="2090" customWidth="1"/>
    <col min="4366" max="4608" width="9.140625" style="2090"/>
    <col min="4609" max="4609" width="18.28515625" style="2090" customWidth="1"/>
    <col min="4610" max="4610" width="12.5703125" style="2090" customWidth="1"/>
    <col min="4611" max="4611" width="14.85546875" style="2090" customWidth="1"/>
    <col min="4612" max="4612" width="13" style="2090" customWidth="1"/>
    <col min="4613" max="4613" width="14" style="2090" customWidth="1"/>
    <col min="4614" max="4614" width="11.140625" style="2090" customWidth="1"/>
    <col min="4615" max="4615" width="12.5703125" style="2090" customWidth="1"/>
    <col min="4616" max="4616" width="13" style="2090" customWidth="1"/>
    <col min="4617" max="4617" width="11.7109375" style="2090" customWidth="1"/>
    <col min="4618" max="4618" width="9.85546875" style="2090" customWidth="1"/>
    <col min="4619" max="4619" width="9.5703125" style="2090" customWidth="1"/>
    <col min="4620" max="4620" width="11.85546875" style="2090" customWidth="1"/>
    <col min="4621" max="4621" width="3.42578125" style="2090" customWidth="1"/>
    <col min="4622" max="4864" width="9.140625" style="2090"/>
    <col min="4865" max="4865" width="18.28515625" style="2090" customWidth="1"/>
    <col min="4866" max="4866" width="12.5703125" style="2090" customWidth="1"/>
    <col min="4867" max="4867" width="14.85546875" style="2090" customWidth="1"/>
    <col min="4868" max="4868" width="13" style="2090" customWidth="1"/>
    <col min="4869" max="4869" width="14" style="2090" customWidth="1"/>
    <col min="4870" max="4870" width="11.140625" style="2090" customWidth="1"/>
    <col min="4871" max="4871" width="12.5703125" style="2090" customWidth="1"/>
    <col min="4872" max="4872" width="13" style="2090" customWidth="1"/>
    <col min="4873" max="4873" width="11.7109375" style="2090" customWidth="1"/>
    <col min="4874" max="4874" width="9.85546875" style="2090" customWidth="1"/>
    <col min="4875" max="4875" width="9.5703125" style="2090" customWidth="1"/>
    <col min="4876" max="4876" width="11.85546875" style="2090" customWidth="1"/>
    <col min="4877" max="4877" width="3.42578125" style="2090" customWidth="1"/>
    <col min="4878" max="5120" width="9.140625" style="2090"/>
    <col min="5121" max="5121" width="18.28515625" style="2090" customWidth="1"/>
    <col min="5122" max="5122" width="12.5703125" style="2090" customWidth="1"/>
    <col min="5123" max="5123" width="14.85546875" style="2090" customWidth="1"/>
    <col min="5124" max="5124" width="13" style="2090" customWidth="1"/>
    <col min="5125" max="5125" width="14" style="2090" customWidth="1"/>
    <col min="5126" max="5126" width="11.140625" style="2090" customWidth="1"/>
    <col min="5127" max="5127" width="12.5703125" style="2090" customWidth="1"/>
    <col min="5128" max="5128" width="13" style="2090" customWidth="1"/>
    <col min="5129" max="5129" width="11.7109375" style="2090" customWidth="1"/>
    <col min="5130" max="5130" width="9.85546875" style="2090" customWidth="1"/>
    <col min="5131" max="5131" width="9.5703125" style="2090" customWidth="1"/>
    <col min="5132" max="5132" width="11.85546875" style="2090" customWidth="1"/>
    <col min="5133" max="5133" width="3.42578125" style="2090" customWidth="1"/>
    <col min="5134" max="5376" width="9.140625" style="2090"/>
    <col min="5377" max="5377" width="18.28515625" style="2090" customWidth="1"/>
    <col min="5378" max="5378" width="12.5703125" style="2090" customWidth="1"/>
    <col min="5379" max="5379" width="14.85546875" style="2090" customWidth="1"/>
    <col min="5380" max="5380" width="13" style="2090" customWidth="1"/>
    <col min="5381" max="5381" width="14" style="2090" customWidth="1"/>
    <col min="5382" max="5382" width="11.140625" style="2090" customWidth="1"/>
    <col min="5383" max="5383" width="12.5703125" style="2090" customWidth="1"/>
    <col min="5384" max="5384" width="13" style="2090" customWidth="1"/>
    <col min="5385" max="5385" width="11.7109375" style="2090" customWidth="1"/>
    <col min="5386" max="5386" width="9.85546875" style="2090" customWidth="1"/>
    <col min="5387" max="5387" width="9.5703125" style="2090" customWidth="1"/>
    <col min="5388" max="5388" width="11.85546875" style="2090" customWidth="1"/>
    <col min="5389" max="5389" width="3.42578125" style="2090" customWidth="1"/>
    <col min="5390" max="5632" width="9.140625" style="2090"/>
    <col min="5633" max="5633" width="18.28515625" style="2090" customWidth="1"/>
    <col min="5634" max="5634" width="12.5703125" style="2090" customWidth="1"/>
    <col min="5635" max="5635" width="14.85546875" style="2090" customWidth="1"/>
    <col min="5636" max="5636" width="13" style="2090" customWidth="1"/>
    <col min="5637" max="5637" width="14" style="2090" customWidth="1"/>
    <col min="5638" max="5638" width="11.140625" style="2090" customWidth="1"/>
    <col min="5639" max="5639" width="12.5703125" style="2090" customWidth="1"/>
    <col min="5640" max="5640" width="13" style="2090" customWidth="1"/>
    <col min="5641" max="5641" width="11.7109375" style="2090" customWidth="1"/>
    <col min="5642" max="5642" width="9.85546875" style="2090" customWidth="1"/>
    <col min="5643" max="5643" width="9.5703125" style="2090" customWidth="1"/>
    <col min="5644" max="5644" width="11.85546875" style="2090" customWidth="1"/>
    <col min="5645" max="5645" width="3.42578125" style="2090" customWidth="1"/>
    <col min="5646" max="5888" width="9.140625" style="2090"/>
    <col min="5889" max="5889" width="18.28515625" style="2090" customWidth="1"/>
    <col min="5890" max="5890" width="12.5703125" style="2090" customWidth="1"/>
    <col min="5891" max="5891" width="14.85546875" style="2090" customWidth="1"/>
    <col min="5892" max="5892" width="13" style="2090" customWidth="1"/>
    <col min="5893" max="5893" width="14" style="2090" customWidth="1"/>
    <col min="5894" max="5894" width="11.140625" style="2090" customWidth="1"/>
    <col min="5895" max="5895" width="12.5703125" style="2090" customWidth="1"/>
    <col min="5896" max="5896" width="13" style="2090" customWidth="1"/>
    <col min="5897" max="5897" width="11.7109375" style="2090" customWidth="1"/>
    <col min="5898" max="5898" width="9.85546875" style="2090" customWidth="1"/>
    <col min="5899" max="5899" width="9.5703125" style="2090" customWidth="1"/>
    <col min="5900" max="5900" width="11.85546875" style="2090" customWidth="1"/>
    <col min="5901" max="5901" width="3.42578125" style="2090" customWidth="1"/>
    <col min="5902" max="6144" width="9.140625" style="2090"/>
    <col min="6145" max="6145" width="18.28515625" style="2090" customWidth="1"/>
    <col min="6146" max="6146" width="12.5703125" style="2090" customWidth="1"/>
    <col min="6147" max="6147" width="14.85546875" style="2090" customWidth="1"/>
    <col min="6148" max="6148" width="13" style="2090" customWidth="1"/>
    <col min="6149" max="6149" width="14" style="2090" customWidth="1"/>
    <col min="6150" max="6150" width="11.140625" style="2090" customWidth="1"/>
    <col min="6151" max="6151" width="12.5703125" style="2090" customWidth="1"/>
    <col min="6152" max="6152" width="13" style="2090" customWidth="1"/>
    <col min="6153" max="6153" width="11.7109375" style="2090" customWidth="1"/>
    <col min="6154" max="6154" width="9.85546875" style="2090" customWidth="1"/>
    <col min="6155" max="6155" width="9.5703125" style="2090" customWidth="1"/>
    <col min="6156" max="6156" width="11.85546875" style="2090" customWidth="1"/>
    <col min="6157" max="6157" width="3.42578125" style="2090" customWidth="1"/>
    <col min="6158" max="6400" width="9.140625" style="2090"/>
    <col min="6401" max="6401" width="18.28515625" style="2090" customWidth="1"/>
    <col min="6402" max="6402" width="12.5703125" style="2090" customWidth="1"/>
    <col min="6403" max="6403" width="14.85546875" style="2090" customWidth="1"/>
    <col min="6404" max="6404" width="13" style="2090" customWidth="1"/>
    <col min="6405" max="6405" width="14" style="2090" customWidth="1"/>
    <col min="6406" max="6406" width="11.140625" style="2090" customWidth="1"/>
    <col min="6407" max="6407" width="12.5703125" style="2090" customWidth="1"/>
    <col min="6408" max="6408" width="13" style="2090" customWidth="1"/>
    <col min="6409" max="6409" width="11.7109375" style="2090" customWidth="1"/>
    <col min="6410" max="6410" width="9.85546875" style="2090" customWidth="1"/>
    <col min="6411" max="6411" width="9.5703125" style="2090" customWidth="1"/>
    <col min="6412" max="6412" width="11.85546875" style="2090" customWidth="1"/>
    <col min="6413" max="6413" width="3.42578125" style="2090" customWidth="1"/>
    <col min="6414" max="6656" width="9.140625" style="2090"/>
    <col min="6657" max="6657" width="18.28515625" style="2090" customWidth="1"/>
    <col min="6658" max="6658" width="12.5703125" style="2090" customWidth="1"/>
    <col min="6659" max="6659" width="14.85546875" style="2090" customWidth="1"/>
    <col min="6660" max="6660" width="13" style="2090" customWidth="1"/>
    <col min="6661" max="6661" width="14" style="2090" customWidth="1"/>
    <col min="6662" max="6662" width="11.140625" style="2090" customWidth="1"/>
    <col min="6663" max="6663" width="12.5703125" style="2090" customWidth="1"/>
    <col min="6664" max="6664" width="13" style="2090" customWidth="1"/>
    <col min="6665" max="6665" width="11.7109375" style="2090" customWidth="1"/>
    <col min="6666" max="6666" width="9.85546875" style="2090" customWidth="1"/>
    <col min="6667" max="6667" width="9.5703125" style="2090" customWidth="1"/>
    <col min="6668" max="6668" width="11.85546875" style="2090" customWidth="1"/>
    <col min="6669" max="6669" width="3.42578125" style="2090" customWidth="1"/>
    <col min="6670" max="6912" width="9.140625" style="2090"/>
    <col min="6913" max="6913" width="18.28515625" style="2090" customWidth="1"/>
    <col min="6914" max="6914" width="12.5703125" style="2090" customWidth="1"/>
    <col min="6915" max="6915" width="14.85546875" style="2090" customWidth="1"/>
    <col min="6916" max="6916" width="13" style="2090" customWidth="1"/>
    <col min="6917" max="6917" width="14" style="2090" customWidth="1"/>
    <col min="6918" max="6918" width="11.140625" style="2090" customWidth="1"/>
    <col min="6919" max="6919" width="12.5703125" style="2090" customWidth="1"/>
    <col min="6920" max="6920" width="13" style="2090" customWidth="1"/>
    <col min="6921" max="6921" width="11.7109375" style="2090" customWidth="1"/>
    <col min="6922" max="6922" width="9.85546875" style="2090" customWidth="1"/>
    <col min="6923" max="6923" width="9.5703125" style="2090" customWidth="1"/>
    <col min="6924" max="6924" width="11.85546875" style="2090" customWidth="1"/>
    <col min="6925" max="6925" width="3.42578125" style="2090" customWidth="1"/>
    <col min="6926" max="7168" width="9.140625" style="2090"/>
    <col min="7169" max="7169" width="18.28515625" style="2090" customWidth="1"/>
    <col min="7170" max="7170" width="12.5703125" style="2090" customWidth="1"/>
    <col min="7171" max="7171" width="14.85546875" style="2090" customWidth="1"/>
    <col min="7172" max="7172" width="13" style="2090" customWidth="1"/>
    <col min="7173" max="7173" width="14" style="2090" customWidth="1"/>
    <col min="7174" max="7174" width="11.140625" style="2090" customWidth="1"/>
    <col min="7175" max="7175" width="12.5703125" style="2090" customWidth="1"/>
    <col min="7176" max="7176" width="13" style="2090" customWidth="1"/>
    <col min="7177" max="7177" width="11.7109375" style="2090" customWidth="1"/>
    <col min="7178" max="7178" width="9.85546875" style="2090" customWidth="1"/>
    <col min="7179" max="7179" width="9.5703125" style="2090" customWidth="1"/>
    <col min="7180" max="7180" width="11.85546875" style="2090" customWidth="1"/>
    <col min="7181" max="7181" width="3.42578125" style="2090" customWidth="1"/>
    <col min="7182" max="7424" width="9.140625" style="2090"/>
    <col min="7425" max="7425" width="18.28515625" style="2090" customWidth="1"/>
    <col min="7426" max="7426" width="12.5703125" style="2090" customWidth="1"/>
    <col min="7427" max="7427" width="14.85546875" style="2090" customWidth="1"/>
    <col min="7428" max="7428" width="13" style="2090" customWidth="1"/>
    <col min="7429" max="7429" width="14" style="2090" customWidth="1"/>
    <col min="7430" max="7430" width="11.140625" style="2090" customWidth="1"/>
    <col min="7431" max="7431" width="12.5703125" style="2090" customWidth="1"/>
    <col min="7432" max="7432" width="13" style="2090" customWidth="1"/>
    <col min="7433" max="7433" width="11.7109375" style="2090" customWidth="1"/>
    <col min="7434" max="7434" width="9.85546875" style="2090" customWidth="1"/>
    <col min="7435" max="7435" width="9.5703125" style="2090" customWidth="1"/>
    <col min="7436" max="7436" width="11.85546875" style="2090" customWidth="1"/>
    <col min="7437" max="7437" width="3.42578125" style="2090" customWidth="1"/>
    <col min="7438" max="7680" width="9.140625" style="2090"/>
    <col min="7681" max="7681" width="18.28515625" style="2090" customWidth="1"/>
    <col min="7682" max="7682" width="12.5703125" style="2090" customWidth="1"/>
    <col min="7683" max="7683" width="14.85546875" style="2090" customWidth="1"/>
    <col min="7684" max="7684" width="13" style="2090" customWidth="1"/>
    <col min="7685" max="7685" width="14" style="2090" customWidth="1"/>
    <col min="7686" max="7686" width="11.140625" style="2090" customWidth="1"/>
    <col min="7687" max="7687" width="12.5703125" style="2090" customWidth="1"/>
    <col min="7688" max="7688" width="13" style="2090" customWidth="1"/>
    <col min="7689" max="7689" width="11.7109375" style="2090" customWidth="1"/>
    <col min="7690" max="7690" width="9.85546875" style="2090" customWidth="1"/>
    <col min="7691" max="7691" width="9.5703125" style="2090" customWidth="1"/>
    <col min="7692" max="7692" width="11.85546875" style="2090" customWidth="1"/>
    <col min="7693" max="7693" width="3.42578125" style="2090" customWidth="1"/>
    <col min="7694" max="7936" width="9.140625" style="2090"/>
    <col min="7937" max="7937" width="18.28515625" style="2090" customWidth="1"/>
    <col min="7938" max="7938" width="12.5703125" style="2090" customWidth="1"/>
    <col min="7939" max="7939" width="14.85546875" style="2090" customWidth="1"/>
    <col min="7940" max="7940" width="13" style="2090" customWidth="1"/>
    <col min="7941" max="7941" width="14" style="2090" customWidth="1"/>
    <col min="7942" max="7942" width="11.140625" style="2090" customWidth="1"/>
    <col min="7943" max="7943" width="12.5703125" style="2090" customWidth="1"/>
    <col min="7944" max="7944" width="13" style="2090" customWidth="1"/>
    <col min="7945" max="7945" width="11.7109375" style="2090" customWidth="1"/>
    <col min="7946" max="7946" width="9.85546875" style="2090" customWidth="1"/>
    <col min="7947" max="7947" width="9.5703125" style="2090" customWidth="1"/>
    <col min="7948" max="7948" width="11.85546875" style="2090" customWidth="1"/>
    <col min="7949" max="7949" width="3.42578125" style="2090" customWidth="1"/>
    <col min="7950" max="8192" width="9.140625" style="2090"/>
    <col min="8193" max="8193" width="18.28515625" style="2090" customWidth="1"/>
    <col min="8194" max="8194" width="12.5703125" style="2090" customWidth="1"/>
    <col min="8195" max="8195" width="14.85546875" style="2090" customWidth="1"/>
    <col min="8196" max="8196" width="13" style="2090" customWidth="1"/>
    <col min="8197" max="8197" width="14" style="2090" customWidth="1"/>
    <col min="8198" max="8198" width="11.140625" style="2090" customWidth="1"/>
    <col min="8199" max="8199" width="12.5703125" style="2090" customWidth="1"/>
    <col min="8200" max="8200" width="13" style="2090" customWidth="1"/>
    <col min="8201" max="8201" width="11.7109375" style="2090" customWidth="1"/>
    <col min="8202" max="8202" width="9.85546875" style="2090" customWidth="1"/>
    <col min="8203" max="8203" width="9.5703125" style="2090" customWidth="1"/>
    <col min="8204" max="8204" width="11.85546875" style="2090" customWidth="1"/>
    <col min="8205" max="8205" width="3.42578125" style="2090" customWidth="1"/>
    <col min="8206" max="8448" width="9.140625" style="2090"/>
    <col min="8449" max="8449" width="18.28515625" style="2090" customWidth="1"/>
    <col min="8450" max="8450" width="12.5703125" style="2090" customWidth="1"/>
    <col min="8451" max="8451" width="14.85546875" style="2090" customWidth="1"/>
    <col min="8452" max="8452" width="13" style="2090" customWidth="1"/>
    <col min="8453" max="8453" width="14" style="2090" customWidth="1"/>
    <col min="8454" max="8454" width="11.140625" style="2090" customWidth="1"/>
    <col min="8455" max="8455" width="12.5703125" style="2090" customWidth="1"/>
    <col min="8456" max="8456" width="13" style="2090" customWidth="1"/>
    <col min="8457" max="8457" width="11.7109375" style="2090" customWidth="1"/>
    <col min="8458" max="8458" width="9.85546875" style="2090" customWidth="1"/>
    <col min="8459" max="8459" width="9.5703125" style="2090" customWidth="1"/>
    <col min="8460" max="8460" width="11.85546875" style="2090" customWidth="1"/>
    <col min="8461" max="8461" width="3.42578125" style="2090" customWidth="1"/>
    <col min="8462" max="8704" width="9.140625" style="2090"/>
    <col min="8705" max="8705" width="18.28515625" style="2090" customWidth="1"/>
    <col min="8706" max="8706" width="12.5703125" style="2090" customWidth="1"/>
    <col min="8707" max="8707" width="14.85546875" style="2090" customWidth="1"/>
    <col min="8708" max="8708" width="13" style="2090" customWidth="1"/>
    <col min="8709" max="8709" width="14" style="2090" customWidth="1"/>
    <col min="8710" max="8710" width="11.140625" style="2090" customWidth="1"/>
    <col min="8711" max="8711" width="12.5703125" style="2090" customWidth="1"/>
    <col min="8712" max="8712" width="13" style="2090" customWidth="1"/>
    <col min="8713" max="8713" width="11.7109375" style="2090" customWidth="1"/>
    <col min="8714" max="8714" width="9.85546875" style="2090" customWidth="1"/>
    <col min="8715" max="8715" width="9.5703125" style="2090" customWidth="1"/>
    <col min="8716" max="8716" width="11.85546875" style="2090" customWidth="1"/>
    <col min="8717" max="8717" width="3.42578125" style="2090" customWidth="1"/>
    <col min="8718" max="8960" width="9.140625" style="2090"/>
    <col min="8961" max="8961" width="18.28515625" style="2090" customWidth="1"/>
    <col min="8962" max="8962" width="12.5703125" style="2090" customWidth="1"/>
    <col min="8963" max="8963" width="14.85546875" style="2090" customWidth="1"/>
    <col min="8964" max="8964" width="13" style="2090" customWidth="1"/>
    <col min="8965" max="8965" width="14" style="2090" customWidth="1"/>
    <col min="8966" max="8966" width="11.140625" style="2090" customWidth="1"/>
    <col min="8967" max="8967" width="12.5703125" style="2090" customWidth="1"/>
    <col min="8968" max="8968" width="13" style="2090" customWidth="1"/>
    <col min="8969" max="8969" width="11.7109375" style="2090" customWidth="1"/>
    <col min="8970" max="8970" width="9.85546875" style="2090" customWidth="1"/>
    <col min="8971" max="8971" width="9.5703125" style="2090" customWidth="1"/>
    <col min="8972" max="8972" width="11.85546875" style="2090" customWidth="1"/>
    <col min="8973" max="8973" width="3.42578125" style="2090" customWidth="1"/>
    <col min="8974" max="9216" width="9.140625" style="2090"/>
    <col min="9217" max="9217" width="18.28515625" style="2090" customWidth="1"/>
    <col min="9218" max="9218" width="12.5703125" style="2090" customWidth="1"/>
    <col min="9219" max="9219" width="14.85546875" style="2090" customWidth="1"/>
    <col min="9220" max="9220" width="13" style="2090" customWidth="1"/>
    <col min="9221" max="9221" width="14" style="2090" customWidth="1"/>
    <col min="9222" max="9222" width="11.140625" style="2090" customWidth="1"/>
    <col min="9223" max="9223" width="12.5703125" style="2090" customWidth="1"/>
    <col min="9224" max="9224" width="13" style="2090" customWidth="1"/>
    <col min="9225" max="9225" width="11.7109375" style="2090" customWidth="1"/>
    <col min="9226" max="9226" width="9.85546875" style="2090" customWidth="1"/>
    <col min="9227" max="9227" width="9.5703125" style="2090" customWidth="1"/>
    <col min="9228" max="9228" width="11.85546875" style="2090" customWidth="1"/>
    <col min="9229" max="9229" width="3.42578125" style="2090" customWidth="1"/>
    <col min="9230" max="9472" width="9.140625" style="2090"/>
    <col min="9473" max="9473" width="18.28515625" style="2090" customWidth="1"/>
    <col min="9474" max="9474" width="12.5703125" style="2090" customWidth="1"/>
    <col min="9475" max="9475" width="14.85546875" style="2090" customWidth="1"/>
    <col min="9476" max="9476" width="13" style="2090" customWidth="1"/>
    <col min="9477" max="9477" width="14" style="2090" customWidth="1"/>
    <col min="9478" max="9478" width="11.140625" style="2090" customWidth="1"/>
    <col min="9479" max="9479" width="12.5703125" style="2090" customWidth="1"/>
    <col min="9480" max="9480" width="13" style="2090" customWidth="1"/>
    <col min="9481" max="9481" width="11.7109375" style="2090" customWidth="1"/>
    <col min="9482" max="9482" width="9.85546875" style="2090" customWidth="1"/>
    <col min="9483" max="9483" width="9.5703125" style="2090" customWidth="1"/>
    <col min="9484" max="9484" width="11.85546875" style="2090" customWidth="1"/>
    <col min="9485" max="9485" width="3.42578125" style="2090" customWidth="1"/>
    <col min="9486" max="9728" width="9.140625" style="2090"/>
    <col min="9729" max="9729" width="18.28515625" style="2090" customWidth="1"/>
    <col min="9730" max="9730" width="12.5703125" style="2090" customWidth="1"/>
    <col min="9731" max="9731" width="14.85546875" style="2090" customWidth="1"/>
    <col min="9732" max="9732" width="13" style="2090" customWidth="1"/>
    <col min="9733" max="9733" width="14" style="2090" customWidth="1"/>
    <col min="9734" max="9734" width="11.140625" style="2090" customWidth="1"/>
    <col min="9735" max="9735" width="12.5703125" style="2090" customWidth="1"/>
    <col min="9736" max="9736" width="13" style="2090" customWidth="1"/>
    <col min="9737" max="9737" width="11.7109375" style="2090" customWidth="1"/>
    <col min="9738" max="9738" width="9.85546875" style="2090" customWidth="1"/>
    <col min="9739" max="9739" width="9.5703125" style="2090" customWidth="1"/>
    <col min="9740" max="9740" width="11.85546875" style="2090" customWidth="1"/>
    <col min="9741" max="9741" width="3.42578125" style="2090" customWidth="1"/>
    <col min="9742" max="9984" width="9.140625" style="2090"/>
    <col min="9985" max="9985" width="18.28515625" style="2090" customWidth="1"/>
    <col min="9986" max="9986" width="12.5703125" style="2090" customWidth="1"/>
    <col min="9987" max="9987" width="14.85546875" style="2090" customWidth="1"/>
    <col min="9988" max="9988" width="13" style="2090" customWidth="1"/>
    <col min="9989" max="9989" width="14" style="2090" customWidth="1"/>
    <col min="9990" max="9990" width="11.140625" style="2090" customWidth="1"/>
    <col min="9991" max="9991" width="12.5703125" style="2090" customWidth="1"/>
    <col min="9992" max="9992" width="13" style="2090" customWidth="1"/>
    <col min="9993" max="9993" width="11.7109375" style="2090" customWidth="1"/>
    <col min="9994" max="9994" width="9.85546875" style="2090" customWidth="1"/>
    <col min="9995" max="9995" width="9.5703125" style="2090" customWidth="1"/>
    <col min="9996" max="9996" width="11.85546875" style="2090" customWidth="1"/>
    <col min="9997" max="9997" width="3.42578125" style="2090" customWidth="1"/>
    <col min="9998" max="10240" width="9.140625" style="2090"/>
    <col min="10241" max="10241" width="18.28515625" style="2090" customWidth="1"/>
    <col min="10242" max="10242" width="12.5703125" style="2090" customWidth="1"/>
    <col min="10243" max="10243" width="14.85546875" style="2090" customWidth="1"/>
    <col min="10244" max="10244" width="13" style="2090" customWidth="1"/>
    <col min="10245" max="10245" width="14" style="2090" customWidth="1"/>
    <col min="10246" max="10246" width="11.140625" style="2090" customWidth="1"/>
    <col min="10247" max="10247" width="12.5703125" style="2090" customWidth="1"/>
    <col min="10248" max="10248" width="13" style="2090" customWidth="1"/>
    <col min="10249" max="10249" width="11.7109375" style="2090" customWidth="1"/>
    <col min="10250" max="10250" width="9.85546875" style="2090" customWidth="1"/>
    <col min="10251" max="10251" width="9.5703125" style="2090" customWidth="1"/>
    <col min="10252" max="10252" width="11.85546875" style="2090" customWidth="1"/>
    <col min="10253" max="10253" width="3.42578125" style="2090" customWidth="1"/>
    <col min="10254" max="10496" width="9.140625" style="2090"/>
    <col min="10497" max="10497" width="18.28515625" style="2090" customWidth="1"/>
    <col min="10498" max="10498" width="12.5703125" style="2090" customWidth="1"/>
    <col min="10499" max="10499" width="14.85546875" style="2090" customWidth="1"/>
    <col min="10500" max="10500" width="13" style="2090" customWidth="1"/>
    <col min="10501" max="10501" width="14" style="2090" customWidth="1"/>
    <col min="10502" max="10502" width="11.140625" style="2090" customWidth="1"/>
    <col min="10503" max="10503" width="12.5703125" style="2090" customWidth="1"/>
    <col min="10504" max="10504" width="13" style="2090" customWidth="1"/>
    <col min="10505" max="10505" width="11.7109375" style="2090" customWidth="1"/>
    <col min="10506" max="10506" width="9.85546875" style="2090" customWidth="1"/>
    <col min="10507" max="10507" width="9.5703125" style="2090" customWidth="1"/>
    <col min="10508" max="10508" width="11.85546875" style="2090" customWidth="1"/>
    <col min="10509" max="10509" width="3.42578125" style="2090" customWidth="1"/>
    <col min="10510" max="10752" width="9.140625" style="2090"/>
    <col min="10753" max="10753" width="18.28515625" style="2090" customWidth="1"/>
    <col min="10754" max="10754" width="12.5703125" style="2090" customWidth="1"/>
    <col min="10755" max="10755" width="14.85546875" style="2090" customWidth="1"/>
    <col min="10756" max="10756" width="13" style="2090" customWidth="1"/>
    <col min="10757" max="10757" width="14" style="2090" customWidth="1"/>
    <col min="10758" max="10758" width="11.140625" style="2090" customWidth="1"/>
    <col min="10759" max="10759" width="12.5703125" style="2090" customWidth="1"/>
    <col min="10760" max="10760" width="13" style="2090" customWidth="1"/>
    <col min="10761" max="10761" width="11.7109375" style="2090" customWidth="1"/>
    <col min="10762" max="10762" width="9.85546875" style="2090" customWidth="1"/>
    <col min="10763" max="10763" width="9.5703125" style="2090" customWidth="1"/>
    <col min="10764" max="10764" width="11.85546875" style="2090" customWidth="1"/>
    <col min="10765" max="10765" width="3.42578125" style="2090" customWidth="1"/>
    <col min="10766" max="11008" width="9.140625" style="2090"/>
    <col min="11009" max="11009" width="18.28515625" style="2090" customWidth="1"/>
    <col min="11010" max="11010" width="12.5703125" style="2090" customWidth="1"/>
    <col min="11011" max="11011" width="14.85546875" style="2090" customWidth="1"/>
    <col min="11012" max="11012" width="13" style="2090" customWidth="1"/>
    <col min="11013" max="11013" width="14" style="2090" customWidth="1"/>
    <col min="11014" max="11014" width="11.140625" style="2090" customWidth="1"/>
    <col min="11015" max="11015" width="12.5703125" style="2090" customWidth="1"/>
    <col min="11016" max="11016" width="13" style="2090" customWidth="1"/>
    <col min="11017" max="11017" width="11.7109375" style="2090" customWidth="1"/>
    <col min="11018" max="11018" width="9.85546875" style="2090" customWidth="1"/>
    <col min="11019" max="11019" width="9.5703125" style="2090" customWidth="1"/>
    <col min="11020" max="11020" width="11.85546875" style="2090" customWidth="1"/>
    <col min="11021" max="11021" width="3.42578125" style="2090" customWidth="1"/>
    <col min="11022" max="11264" width="9.140625" style="2090"/>
    <col min="11265" max="11265" width="18.28515625" style="2090" customWidth="1"/>
    <col min="11266" max="11266" width="12.5703125" style="2090" customWidth="1"/>
    <col min="11267" max="11267" width="14.85546875" style="2090" customWidth="1"/>
    <col min="11268" max="11268" width="13" style="2090" customWidth="1"/>
    <col min="11269" max="11269" width="14" style="2090" customWidth="1"/>
    <col min="11270" max="11270" width="11.140625" style="2090" customWidth="1"/>
    <col min="11271" max="11271" width="12.5703125" style="2090" customWidth="1"/>
    <col min="11272" max="11272" width="13" style="2090" customWidth="1"/>
    <col min="11273" max="11273" width="11.7109375" style="2090" customWidth="1"/>
    <col min="11274" max="11274" width="9.85546875" style="2090" customWidth="1"/>
    <col min="11275" max="11275" width="9.5703125" style="2090" customWidth="1"/>
    <col min="11276" max="11276" width="11.85546875" style="2090" customWidth="1"/>
    <col min="11277" max="11277" width="3.42578125" style="2090" customWidth="1"/>
    <col min="11278" max="11520" width="9.140625" style="2090"/>
    <col min="11521" max="11521" width="18.28515625" style="2090" customWidth="1"/>
    <col min="11522" max="11522" width="12.5703125" style="2090" customWidth="1"/>
    <col min="11523" max="11523" width="14.85546875" style="2090" customWidth="1"/>
    <col min="11524" max="11524" width="13" style="2090" customWidth="1"/>
    <col min="11525" max="11525" width="14" style="2090" customWidth="1"/>
    <col min="11526" max="11526" width="11.140625" style="2090" customWidth="1"/>
    <col min="11527" max="11527" width="12.5703125" style="2090" customWidth="1"/>
    <col min="11528" max="11528" width="13" style="2090" customWidth="1"/>
    <col min="11529" max="11529" width="11.7109375" style="2090" customWidth="1"/>
    <col min="11530" max="11530" width="9.85546875" style="2090" customWidth="1"/>
    <col min="11531" max="11531" width="9.5703125" style="2090" customWidth="1"/>
    <col min="11532" max="11532" width="11.85546875" style="2090" customWidth="1"/>
    <col min="11533" max="11533" width="3.42578125" style="2090" customWidth="1"/>
    <col min="11534" max="11776" width="9.140625" style="2090"/>
    <col min="11777" max="11777" width="18.28515625" style="2090" customWidth="1"/>
    <col min="11778" max="11778" width="12.5703125" style="2090" customWidth="1"/>
    <col min="11779" max="11779" width="14.85546875" style="2090" customWidth="1"/>
    <col min="11780" max="11780" width="13" style="2090" customWidth="1"/>
    <col min="11781" max="11781" width="14" style="2090" customWidth="1"/>
    <col min="11782" max="11782" width="11.140625" style="2090" customWidth="1"/>
    <col min="11783" max="11783" width="12.5703125" style="2090" customWidth="1"/>
    <col min="11784" max="11784" width="13" style="2090" customWidth="1"/>
    <col min="11785" max="11785" width="11.7109375" style="2090" customWidth="1"/>
    <col min="11786" max="11786" width="9.85546875" style="2090" customWidth="1"/>
    <col min="11787" max="11787" width="9.5703125" style="2090" customWidth="1"/>
    <col min="11788" max="11788" width="11.85546875" style="2090" customWidth="1"/>
    <col min="11789" max="11789" width="3.42578125" style="2090" customWidth="1"/>
    <col min="11790" max="12032" width="9.140625" style="2090"/>
    <col min="12033" max="12033" width="18.28515625" style="2090" customWidth="1"/>
    <col min="12034" max="12034" width="12.5703125" style="2090" customWidth="1"/>
    <col min="12035" max="12035" width="14.85546875" style="2090" customWidth="1"/>
    <col min="12036" max="12036" width="13" style="2090" customWidth="1"/>
    <col min="12037" max="12037" width="14" style="2090" customWidth="1"/>
    <col min="12038" max="12038" width="11.140625" style="2090" customWidth="1"/>
    <col min="12039" max="12039" width="12.5703125" style="2090" customWidth="1"/>
    <col min="12040" max="12040" width="13" style="2090" customWidth="1"/>
    <col min="12041" max="12041" width="11.7109375" style="2090" customWidth="1"/>
    <col min="12042" max="12042" width="9.85546875" style="2090" customWidth="1"/>
    <col min="12043" max="12043" width="9.5703125" style="2090" customWidth="1"/>
    <col min="12044" max="12044" width="11.85546875" style="2090" customWidth="1"/>
    <col min="12045" max="12045" width="3.42578125" style="2090" customWidth="1"/>
    <col min="12046" max="12288" width="9.140625" style="2090"/>
    <col min="12289" max="12289" width="18.28515625" style="2090" customWidth="1"/>
    <col min="12290" max="12290" width="12.5703125" style="2090" customWidth="1"/>
    <col min="12291" max="12291" width="14.85546875" style="2090" customWidth="1"/>
    <col min="12292" max="12292" width="13" style="2090" customWidth="1"/>
    <col min="12293" max="12293" width="14" style="2090" customWidth="1"/>
    <col min="12294" max="12294" width="11.140625" style="2090" customWidth="1"/>
    <col min="12295" max="12295" width="12.5703125" style="2090" customWidth="1"/>
    <col min="12296" max="12296" width="13" style="2090" customWidth="1"/>
    <col min="12297" max="12297" width="11.7109375" style="2090" customWidth="1"/>
    <col min="12298" max="12298" width="9.85546875" style="2090" customWidth="1"/>
    <col min="12299" max="12299" width="9.5703125" style="2090" customWidth="1"/>
    <col min="12300" max="12300" width="11.85546875" style="2090" customWidth="1"/>
    <col min="12301" max="12301" width="3.42578125" style="2090" customWidth="1"/>
    <col min="12302" max="12544" width="9.140625" style="2090"/>
    <col min="12545" max="12545" width="18.28515625" style="2090" customWidth="1"/>
    <col min="12546" max="12546" width="12.5703125" style="2090" customWidth="1"/>
    <col min="12547" max="12547" width="14.85546875" style="2090" customWidth="1"/>
    <col min="12548" max="12548" width="13" style="2090" customWidth="1"/>
    <col min="12549" max="12549" width="14" style="2090" customWidth="1"/>
    <col min="12550" max="12550" width="11.140625" style="2090" customWidth="1"/>
    <col min="12551" max="12551" width="12.5703125" style="2090" customWidth="1"/>
    <col min="12552" max="12552" width="13" style="2090" customWidth="1"/>
    <col min="12553" max="12553" width="11.7109375" style="2090" customWidth="1"/>
    <col min="12554" max="12554" width="9.85546875" style="2090" customWidth="1"/>
    <col min="12555" max="12555" width="9.5703125" style="2090" customWidth="1"/>
    <col min="12556" max="12556" width="11.85546875" style="2090" customWidth="1"/>
    <col min="12557" max="12557" width="3.42578125" style="2090" customWidth="1"/>
    <col min="12558" max="12800" width="9.140625" style="2090"/>
    <col min="12801" max="12801" width="18.28515625" style="2090" customWidth="1"/>
    <col min="12802" max="12802" width="12.5703125" style="2090" customWidth="1"/>
    <col min="12803" max="12803" width="14.85546875" style="2090" customWidth="1"/>
    <col min="12804" max="12804" width="13" style="2090" customWidth="1"/>
    <col min="12805" max="12805" width="14" style="2090" customWidth="1"/>
    <col min="12806" max="12806" width="11.140625" style="2090" customWidth="1"/>
    <col min="12807" max="12807" width="12.5703125" style="2090" customWidth="1"/>
    <col min="12808" max="12808" width="13" style="2090" customWidth="1"/>
    <col min="12809" max="12809" width="11.7109375" style="2090" customWidth="1"/>
    <col min="12810" max="12810" width="9.85546875" style="2090" customWidth="1"/>
    <col min="12811" max="12811" width="9.5703125" style="2090" customWidth="1"/>
    <col min="12812" max="12812" width="11.85546875" style="2090" customWidth="1"/>
    <col min="12813" max="12813" width="3.42578125" style="2090" customWidth="1"/>
    <col min="12814" max="13056" width="9.140625" style="2090"/>
    <col min="13057" max="13057" width="18.28515625" style="2090" customWidth="1"/>
    <col min="13058" max="13058" width="12.5703125" style="2090" customWidth="1"/>
    <col min="13059" max="13059" width="14.85546875" style="2090" customWidth="1"/>
    <col min="13060" max="13060" width="13" style="2090" customWidth="1"/>
    <col min="13061" max="13061" width="14" style="2090" customWidth="1"/>
    <col min="13062" max="13062" width="11.140625" style="2090" customWidth="1"/>
    <col min="13063" max="13063" width="12.5703125" style="2090" customWidth="1"/>
    <col min="13064" max="13064" width="13" style="2090" customWidth="1"/>
    <col min="13065" max="13065" width="11.7109375" style="2090" customWidth="1"/>
    <col min="13066" max="13066" width="9.85546875" style="2090" customWidth="1"/>
    <col min="13067" max="13067" width="9.5703125" style="2090" customWidth="1"/>
    <col min="13068" max="13068" width="11.85546875" style="2090" customWidth="1"/>
    <col min="13069" max="13069" width="3.42578125" style="2090" customWidth="1"/>
    <col min="13070" max="13312" width="9.140625" style="2090"/>
    <col min="13313" max="13313" width="18.28515625" style="2090" customWidth="1"/>
    <col min="13314" max="13314" width="12.5703125" style="2090" customWidth="1"/>
    <col min="13315" max="13315" width="14.85546875" style="2090" customWidth="1"/>
    <col min="13316" max="13316" width="13" style="2090" customWidth="1"/>
    <col min="13317" max="13317" width="14" style="2090" customWidth="1"/>
    <col min="13318" max="13318" width="11.140625" style="2090" customWidth="1"/>
    <col min="13319" max="13319" width="12.5703125" style="2090" customWidth="1"/>
    <col min="13320" max="13320" width="13" style="2090" customWidth="1"/>
    <col min="13321" max="13321" width="11.7109375" style="2090" customWidth="1"/>
    <col min="13322" max="13322" width="9.85546875" style="2090" customWidth="1"/>
    <col min="13323" max="13323" width="9.5703125" style="2090" customWidth="1"/>
    <col min="13324" max="13324" width="11.85546875" style="2090" customWidth="1"/>
    <col min="13325" max="13325" width="3.42578125" style="2090" customWidth="1"/>
    <col min="13326" max="13568" width="9.140625" style="2090"/>
    <col min="13569" max="13569" width="18.28515625" style="2090" customWidth="1"/>
    <col min="13570" max="13570" width="12.5703125" style="2090" customWidth="1"/>
    <col min="13571" max="13571" width="14.85546875" style="2090" customWidth="1"/>
    <col min="13572" max="13572" width="13" style="2090" customWidth="1"/>
    <col min="13573" max="13573" width="14" style="2090" customWidth="1"/>
    <col min="13574" max="13574" width="11.140625" style="2090" customWidth="1"/>
    <col min="13575" max="13575" width="12.5703125" style="2090" customWidth="1"/>
    <col min="13576" max="13576" width="13" style="2090" customWidth="1"/>
    <col min="13577" max="13577" width="11.7109375" style="2090" customWidth="1"/>
    <col min="13578" max="13578" width="9.85546875" style="2090" customWidth="1"/>
    <col min="13579" max="13579" width="9.5703125" style="2090" customWidth="1"/>
    <col min="13580" max="13580" width="11.85546875" style="2090" customWidth="1"/>
    <col min="13581" max="13581" width="3.42578125" style="2090" customWidth="1"/>
    <col min="13582" max="13824" width="9.140625" style="2090"/>
    <col min="13825" max="13825" width="18.28515625" style="2090" customWidth="1"/>
    <col min="13826" max="13826" width="12.5703125" style="2090" customWidth="1"/>
    <col min="13827" max="13827" width="14.85546875" style="2090" customWidth="1"/>
    <col min="13828" max="13828" width="13" style="2090" customWidth="1"/>
    <col min="13829" max="13829" width="14" style="2090" customWidth="1"/>
    <col min="13830" max="13830" width="11.140625" style="2090" customWidth="1"/>
    <col min="13831" max="13831" width="12.5703125" style="2090" customWidth="1"/>
    <col min="13832" max="13832" width="13" style="2090" customWidth="1"/>
    <col min="13833" max="13833" width="11.7109375" style="2090" customWidth="1"/>
    <col min="13834" max="13834" width="9.85546875" style="2090" customWidth="1"/>
    <col min="13835" max="13835" width="9.5703125" style="2090" customWidth="1"/>
    <col min="13836" max="13836" width="11.85546875" style="2090" customWidth="1"/>
    <col min="13837" max="13837" width="3.42578125" style="2090" customWidth="1"/>
    <col min="13838" max="14080" width="9.140625" style="2090"/>
    <col min="14081" max="14081" width="18.28515625" style="2090" customWidth="1"/>
    <col min="14082" max="14082" width="12.5703125" style="2090" customWidth="1"/>
    <col min="14083" max="14083" width="14.85546875" style="2090" customWidth="1"/>
    <col min="14084" max="14084" width="13" style="2090" customWidth="1"/>
    <col min="14085" max="14085" width="14" style="2090" customWidth="1"/>
    <col min="14086" max="14086" width="11.140625" style="2090" customWidth="1"/>
    <col min="14087" max="14087" width="12.5703125" style="2090" customWidth="1"/>
    <col min="14088" max="14088" width="13" style="2090" customWidth="1"/>
    <col min="14089" max="14089" width="11.7109375" style="2090" customWidth="1"/>
    <col min="14090" max="14090" width="9.85546875" style="2090" customWidth="1"/>
    <col min="14091" max="14091" width="9.5703125" style="2090" customWidth="1"/>
    <col min="14092" max="14092" width="11.85546875" style="2090" customWidth="1"/>
    <col min="14093" max="14093" width="3.42578125" style="2090" customWidth="1"/>
    <col min="14094" max="14336" width="9.140625" style="2090"/>
    <col min="14337" max="14337" width="18.28515625" style="2090" customWidth="1"/>
    <col min="14338" max="14338" width="12.5703125" style="2090" customWidth="1"/>
    <col min="14339" max="14339" width="14.85546875" style="2090" customWidth="1"/>
    <col min="14340" max="14340" width="13" style="2090" customWidth="1"/>
    <col min="14341" max="14341" width="14" style="2090" customWidth="1"/>
    <col min="14342" max="14342" width="11.140625" style="2090" customWidth="1"/>
    <col min="14343" max="14343" width="12.5703125" style="2090" customWidth="1"/>
    <col min="14344" max="14344" width="13" style="2090" customWidth="1"/>
    <col min="14345" max="14345" width="11.7109375" style="2090" customWidth="1"/>
    <col min="14346" max="14346" width="9.85546875" style="2090" customWidth="1"/>
    <col min="14347" max="14347" width="9.5703125" style="2090" customWidth="1"/>
    <col min="14348" max="14348" width="11.85546875" style="2090" customWidth="1"/>
    <col min="14349" max="14349" width="3.42578125" style="2090" customWidth="1"/>
    <col min="14350" max="14592" width="9.140625" style="2090"/>
    <col min="14593" max="14593" width="18.28515625" style="2090" customWidth="1"/>
    <col min="14594" max="14594" width="12.5703125" style="2090" customWidth="1"/>
    <col min="14595" max="14595" width="14.85546875" style="2090" customWidth="1"/>
    <col min="14596" max="14596" width="13" style="2090" customWidth="1"/>
    <col min="14597" max="14597" width="14" style="2090" customWidth="1"/>
    <col min="14598" max="14598" width="11.140625" style="2090" customWidth="1"/>
    <col min="14599" max="14599" width="12.5703125" style="2090" customWidth="1"/>
    <col min="14600" max="14600" width="13" style="2090" customWidth="1"/>
    <col min="14601" max="14601" width="11.7109375" style="2090" customWidth="1"/>
    <col min="14602" max="14602" width="9.85546875" style="2090" customWidth="1"/>
    <col min="14603" max="14603" width="9.5703125" style="2090" customWidth="1"/>
    <col min="14604" max="14604" width="11.85546875" style="2090" customWidth="1"/>
    <col min="14605" max="14605" width="3.42578125" style="2090" customWidth="1"/>
    <col min="14606" max="14848" width="9.140625" style="2090"/>
    <col min="14849" max="14849" width="18.28515625" style="2090" customWidth="1"/>
    <col min="14850" max="14850" width="12.5703125" style="2090" customWidth="1"/>
    <col min="14851" max="14851" width="14.85546875" style="2090" customWidth="1"/>
    <col min="14852" max="14852" width="13" style="2090" customWidth="1"/>
    <col min="14853" max="14853" width="14" style="2090" customWidth="1"/>
    <col min="14854" max="14854" width="11.140625" style="2090" customWidth="1"/>
    <col min="14855" max="14855" width="12.5703125" style="2090" customWidth="1"/>
    <col min="14856" max="14856" width="13" style="2090" customWidth="1"/>
    <col min="14857" max="14857" width="11.7109375" style="2090" customWidth="1"/>
    <col min="14858" max="14858" width="9.85546875" style="2090" customWidth="1"/>
    <col min="14859" max="14859" width="9.5703125" style="2090" customWidth="1"/>
    <col min="14860" max="14860" width="11.85546875" style="2090" customWidth="1"/>
    <col min="14861" max="14861" width="3.42578125" style="2090" customWidth="1"/>
    <col min="14862" max="15104" width="9.140625" style="2090"/>
    <col min="15105" max="15105" width="18.28515625" style="2090" customWidth="1"/>
    <col min="15106" max="15106" width="12.5703125" style="2090" customWidth="1"/>
    <col min="15107" max="15107" width="14.85546875" style="2090" customWidth="1"/>
    <col min="15108" max="15108" width="13" style="2090" customWidth="1"/>
    <col min="15109" max="15109" width="14" style="2090" customWidth="1"/>
    <col min="15110" max="15110" width="11.140625" style="2090" customWidth="1"/>
    <col min="15111" max="15111" width="12.5703125" style="2090" customWidth="1"/>
    <col min="15112" max="15112" width="13" style="2090" customWidth="1"/>
    <col min="15113" max="15113" width="11.7109375" style="2090" customWidth="1"/>
    <col min="15114" max="15114" width="9.85546875" style="2090" customWidth="1"/>
    <col min="15115" max="15115" width="9.5703125" style="2090" customWidth="1"/>
    <col min="15116" max="15116" width="11.85546875" style="2090" customWidth="1"/>
    <col min="15117" max="15117" width="3.42578125" style="2090" customWidth="1"/>
    <col min="15118" max="15360" width="9.140625" style="2090"/>
    <col min="15361" max="15361" width="18.28515625" style="2090" customWidth="1"/>
    <col min="15362" max="15362" width="12.5703125" style="2090" customWidth="1"/>
    <col min="15363" max="15363" width="14.85546875" style="2090" customWidth="1"/>
    <col min="15364" max="15364" width="13" style="2090" customWidth="1"/>
    <col min="15365" max="15365" width="14" style="2090" customWidth="1"/>
    <col min="15366" max="15366" width="11.140625" style="2090" customWidth="1"/>
    <col min="15367" max="15367" width="12.5703125" style="2090" customWidth="1"/>
    <col min="15368" max="15368" width="13" style="2090" customWidth="1"/>
    <col min="15369" max="15369" width="11.7109375" style="2090" customWidth="1"/>
    <col min="15370" max="15370" width="9.85546875" style="2090" customWidth="1"/>
    <col min="15371" max="15371" width="9.5703125" style="2090" customWidth="1"/>
    <col min="15372" max="15372" width="11.85546875" style="2090" customWidth="1"/>
    <col min="15373" max="15373" width="3.42578125" style="2090" customWidth="1"/>
    <col min="15374" max="15616" width="9.140625" style="2090"/>
    <col min="15617" max="15617" width="18.28515625" style="2090" customWidth="1"/>
    <col min="15618" max="15618" width="12.5703125" style="2090" customWidth="1"/>
    <col min="15619" max="15619" width="14.85546875" style="2090" customWidth="1"/>
    <col min="15620" max="15620" width="13" style="2090" customWidth="1"/>
    <col min="15621" max="15621" width="14" style="2090" customWidth="1"/>
    <col min="15622" max="15622" width="11.140625" style="2090" customWidth="1"/>
    <col min="15623" max="15623" width="12.5703125" style="2090" customWidth="1"/>
    <col min="15624" max="15624" width="13" style="2090" customWidth="1"/>
    <col min="15625" max="15625" width="11.7109375" style="2090" customWidth="1"/>
    <col min="15626" max="15626" width="9.85546875" style="2090" customWidth="1"/>
    <col min="15627" max="15627" width="9.5703125" style="2090" customWidth="1"/>
    <col min="15628" max="15628" width="11.85546875" style="2090" customWidth="1"/>
    <col min="15629" max="15629" width="3.42578125" style="2090" customWidth="1"/>
    <col min="15630" max="15872" width="9.140625" style="2090"/>
    <col min="15873" max="15873" width="18.28515625" style="2090" customWidth="1"/>
    <col min="15874" max="15874" width="12.5703125" style="2090" customWidth="1"/>
    <col min="15875" max="15875" width="14.85546875" style="2090" customWidth="1"/>
    <col min="15876" max="15876" width="13" style="2090" customWidth="1"/>
    <col min="15877" max="15877" width="14" style="2090" customWidth="1"/>
    <col min="15878" max="15878" width="11.140625" style="2090" customWidth="1"/>
    <col min="15879" max="15879" width="12.5703125" style="2090" customWidth="1"/>
    <col min="15880" max="15880" width="13" style="2090" customWidth="1"/>
    <col min="15881" max="15881" width="11.7109375" style="2090" customWidth="1"/>
    <col min="15882" max="15882" width="9.85546875" style="2090" customWidth="1"/>
    <col min="15883" max="15883" width="9.5703125" style="2090" customWidth="1"/>
    <col min="15884" max="15884" width="11.85546875" style="2090" customWidth="1"/>
    <col min="15885" max="15885" width="3.42578125" style="2090" customWidth="1"/>
    <col min="15886" max="16128" width="9.140625" style="2090"/>
    <col min="16129" max="16129" width="18.28515625" style="2090" customWidth="1"/>
    <col min="16130" max="16130" width="12.5703125" style="2090" customWidth="1"/>
    <col min="16131" max="16131" width="14.85546875" style="2090" customWidth="1"/>
    <col min="16132" max="16132" width="13" style="2090" customWidth="1"/>
    <col min="16133" max="16133" width="14" style="2090" customWidth="1"/>
    <col min="16134" max="16134" width="11.140625" style="2090" customWidth="1"/>
    <col min="16135" max="16135" width="12.5703125" style="2090" customWidth="1"/>
    <col min="16136" max="16136" width="13" style="2090" customWidth="1"/>
    <col min="16137" max="16137" width="11.7109375" style="2090" customWidth="1"/>
    <col min="16138" max="16138" width="9.85546875" style="2090" customWidth="1"/>
    <col min="16139" max="16139" width="9.5703125" style="2090" customWidth="1"/>
    <col min="16140" max="16140" width="11.85546875" style="2090" customWidth="1"/>
    <col min="16141" max="16141" width="3.42578125" style="2090" customWidth="1"/>
    <col min="16142" max="16384" width="9.140625" style="2090"/>
  </cols>
  <sheetData>
    <row r="2" spans="1:12" ht="22.5" customHeight="1" x14ac:dyDescent="0.15">
      <c r="A2" s="2688" t="s">
        <v>3400</v>
      </c>
      <c r="B2" s="2354"/>
      <c r="C2" s="2354"/>
      <c r="D2" s="2354"/>
      <c r="E2" s="2354"/>
      <c r="F2" s="2354"/>
      <c r="G2" s="2354"/>
      <c r="H2" s="2354"/>
      <c r="I2" s="2354"/>
      <c r="J2" s="2354"/>
      <c r="K2" s="2354"/>
      <c r="L2" s="2354"/>
    </row>
    <row r="3" spans="1:12" ht="11.25" customHeight="1" x14ac:dyDescent="0.15">
      <c r="A3" s="2347"/>
      <c r="B3" s="2348"/>
      <c r="C3" s="2348"/>
      <c r="D3" s="2348"/>
      <c r="E3" s="2348"/>
      <c r="F3" s="2348"/>
      <c r="G3" s="2348"/>
      <c r="H3" s="2348"/>
      <c r="I3" s="2348"/>
      <c r="J3" s="2348"/>
      <c r="K3" s="2348"/>
      <c r="L3" s="2348"/>
    </row>
    <row r="4" spans="1:12" x14ac:dyDescent="0.15">
      <c r="A4" s="3393" t="s">
        <v>1</v>
      </c>
      <c r="B4" s="3394" t="s">
        <v>3401</v>
      </c>
      <c r="C4" s="3403"/>
      <c r="D4" s="3403"/>
      <c r="E4" s="3403"/>
      <c r="F4" s="3403"/>
      <c r="G4" s="3403"/>
      <c r="H4" s="3403"/>
      <c r="I4" s="3403"/>
      <c r="J4" s="3403"/>
      <c r="K4" s="3403"/>
      <c r="L4" s="3404"/>
    </row>
    <row r="5" spans="1:12" x14ac:dyDescent="0.15">
      <c r="A5" s="2460"/>
      <c r="B5" s="3393" t="s">
        <v>141</v>
      </c>
      <c r="C5" s="2361" t="s">
        <v>1474</v>
      </c>
      <c r="D5" s="3405"/>
      <c r="E5" s="3405"/>
      <c r="F5" s="3405"/>
      <c r="G5" s="3405"/>
      <c r="H5" s="3405"/>
      <c r="I5" s="3405"/>
      <c r="J5" s="3405"/>
      <c r="K5" s="3405"/>
      <c r="L5" s="3406"/>
    </row>
    <row r="6" spans="1:12" ht="38.25" customHeight="1" x14ac:dyDescent="0.15">
      <c r="A6" s="2360"/>
      <c r="B6" s="2360"/>
      <c r="C6" s="2110" t="s">
        <v>3384</v>
      </c>
      <c r="D6" s="1615" t="s">
        <v>3385</v>
      </c>
      <c r="E6" s="1615" t="s">
        <v>3386</v>
      </c>
      <c r="F6" s="1615" t="s">
        <v>3387</v>
      </c>
      <c r="G6" s="1615" t="s">
        <v>3388</v>
      </c>
      <c r="H6" s="1615" t="s">
        <v>3397</v>
      </c>
      <c r="I6" s="1615" t="s">
        <v>3390</v>
      </c>
      <c r="J6" s="1615" t="s">
        <v>3391</v>
      </c>
      <c r="K6" s="1615" t="s">
        <v>3398</v>
      </c>
      <c r="L6" s="1615" t="s">
        <v>3399</v>
      </c>
    </row>
    <row r="7" spans="1:12" x14ac:dyDescent="0.15">
      <c r="A7" s="2146" t="s">
        <v>141</v>
      </c>
      <c r="B7" s="543">
        <f>SUM(C7:L7)</f>
        <v>4242489</v>
      </c>
      <c r="C7" s="543">
        <f t="shared" ref="C7:L7" si="0">SUM(C8:C22)</f>
        <v>884842</v>
      </c>
      <c r="D7" s="543">
        <f t="shared" si="0"/>
        <v>2971684</v>
      </c>
      <c r="E7" s="543">
        <f t="shared" si="0"/>
        <v>88410</v>
      </c>
      <c r="F7" s="543">
        <f t="shared" si="0"/>
        <v>147535</v>
      </c>
      <c r="G7" s="543">
        <f t="shared" si="0"/>
        <v>8723</v>
      </c>
      <c r="H7" s="543">
        <f t="shared" si="0"/>
        <v>46225</v>
      </c>
      <c r="I7" s="543">
        <f t="shared" si="0"/>
        <v>39129</v>
      </c>
      <c r="J7" s="712">
        <f t="shared" si="0"/>
        <v>650</v>
      </c>
      <c r="K7" s="543">
        <f t="shared" si="0"/>
        <v>16011</v>
      </c>
      <c r="L7" s="543">
        <f t="shared" si="0"/>
        <v>39280</v>
      </c>
    </row>
    <row r="8" spans="1:12" x14ac:dyDescent="0.15">
      <c r="A8" s="2092" t="s">
        <v>5</v>
      </c>
      <c r="B8" s="543">
        <f>SUM(C8:L8)</f>
        <v>143995</v>
      </c>
      <c r="C8" s="545">
        <v>48215</v>
      </c>
      <c r="D8" s="545">
        <v>95780</v>
      </c>
      <c r="E8" s="545">
        <v>0</v>
      </c>
      <c r="F8" s="545">
        <v>0</v>
      </c>
      <c r="G8" s="545">
        <v>0</v>
      </c>
      <c r="H8" s="545">
        <v>0</v>
      </c>
      <c r="I8" s="545">
        <v>0</v>
      </c>
      <c r="J8" s="1619">
        <v>0</v>
      </c>
      <c r="K8" s="545">
        <v>0</v>
      </c>
      <c r="L8" s="545">
        <v>0</v>
      </c>
    </row>
    <row r="9" spans="1:12" x14ac:dyDescent="0.15">
      <c r="A9" s="2092" t="s">
        <v>6</v>
      </c>
      <c r="B9" s="543">
        <f t="shared" ref="B9:B22" si="1">SUM(C9:L9)</f>
        <v>45150</v>
      </c>
      <c r="C9" s="545">
        <v>2150</v>
      </c>
      <c r="D9" s="545">
        <v>43000</v>
      </c>
      <c r="E9" s="545">
        <v>0</v>
      </c>
      <c r="F9" s="545">
        <v>0</v>
      </c>
      <c r="G9" s="545">
        <v>0</v>
      </c>
      <c r="H9" s="545">
        <v>0</v>
      </c>
      <c r="I9" s="545">
        <v>0</v>
      </c>
      <c r="J9" s="1619">
        <v>0</v>
      </c>
      <c r="K9" s="545">
        <v>0</v>
      </c>
      <c r="L9" s="545">
        <v>0</v>
      </c>
    </row>
    <row r="10" spans="1:12" ht="11.25" x14ac:dyDescent="0.15">
      <c r="A10" s="2092" t="s">
        <v>4268</v>
      </c>
      <c r="B10" s="543">
        <f t="shared" si="1"/>
        <v>76831</v>
      </c>
      <c r="C10" s="545">
        <v>4464</v>
      </c>
      <c r="D10" s="545">
        <v>65600</v>
      </c>
      <c r="E10" s="545">
        <v>3455</v>
      </c>
      <c r="F10" s="545">
        <v>3012</v>
      </c>
      <c r="G10" s="545">
        <v>0</v>
      </c>
      <c r="H10" s="545">
        <v>0</v>
      </c>
      <c r="I10" s="545">
        <v>0</v>
      </c>
      <c r="J10" s="1619">
        <v>0</v>
      </c>
      <c r="K10" s="545">
        <v>300</v>
      </c>
      <c r="L10" s="545">
        <v>0</v>
      </c>
    </row>
    <row r="11" spans="1:12" ht="11.25" x14ac:dyDescent="0.15">
      <c r="A11" s="2092" t="s">
        <v>4270</v>
      </c>
      <c r="B11" s="543">
        <f t="shared" si="1"/>
        <v>37828</v>
      </c>
      <c r="C11" s="545">
        <v>12500</v>
      </c>
      <c r="D11" s="545">
        <v>25038</v>
      </c>
      <c r="E11" s="545">
        <v>200</v>
      </c>
      <c r="F11" s="545">
        <v>90</v>
      </c>
      <c r="G11" s="545">
        <v>0</v>
      </c>
      <c r="H11" s="545">
        <v>0</v>
      </c>
      <c r="I11" s="545">
        <v>0</v>
      </c>
      <c r="J11" s="1619">
        <v>0</v>
      </c>
      <c r="K11" s="545">
        <v>0</v>
      </c>
      <c r="L11" s="545">
        <v>0</v>
      </c>
    </row>
    <row r="12" spans="1:12" ht="11.25" x14ac:dyDescent="0.15">
      <c r="A12" s="2092" t="s">
        <v>4269</v>
      </c>
      <c r="B12" s="543">
        <f t="shared" si="1"/>
        <v>226830</v>
      </c>
      <c r="C12" s="545">
        <v>12260</v>
      </c>
      <c r="D12" s="545">
        <v>204172</v>
      </c>
      <c r="E12" s="545">
        <v>680</v>
      </c>
      <c r="F12" s="545">
        <v>8796</v>
      </c>
      <c r="G12" s="545">
        <v>0</v>
      </c>
      <c r="H12" s="545">
        <v>400</v>
      </c>
      <c r="I12" s="545">
        <v>122</v>
      </c>
      <c r="J12" s="1619">
        <v>0</v>
      </c>
      <c r="K12" s="545">
        <v>400</v>
      </c>
      <c r="L12" s="545">
        <v>0</v>
      </c>
    </row>
    <row r="13" spans="1:12" ht="11.25" x14ac:dyDescent="0.15">
      <c r="A13" s="2092" t="s">
        <v>4271</v>
      </c>
      <c r="B13" s="543">
        <f t="shared" si="1"/>
        <v>577383</v>
      </c>
      <c r="C13" s="545">
        <v>97898</v>
      </c>
      <c r="D13" s="545">
        <v>471131</v>
      </c>
      <c r="E13" s="545">
        <v>798</v>
      </c>
      <c r="F13" s="545">
        <v>1125</v>
      </c>
      <c r="G13" s="545">
        <v>470</v>
      </c>
      <c r="H13" s="545">
        <v>0</v>
      </c>
      <c r="I13" s="545">
        <v>557</v>
      </c>
      <c r="J13" s="1619">
        <v>0</v>
      </c>
      <c r="K13" s="545">
        <v>400</v>
      </c>
      <c r="L13" s="545">
        <v>5004</v>
      </c>
    </row>
    <row r="14" spans="1:12" x14ac:dyDescent="0.15">
      <c r="A14" s="2092" t="s">
        <v>11</v>
      </c>
      <c r="B14" s="543">
        <f t="shared" si="1"/>
        <v>1551939</v>
      </c>
      <c r="C14" s="545">
        <v>89188</v>
      </c>
      <c r="D14" s="545">
        <v>1351090</v>
      </c>
      <c r="E14" s="545">
        <v>8446</v>
      </c>
      <c r="F14" s="545">
        <v>11403</v>
      </c>
      <c r="G14" s="545">
        <v>2593</v>
      </c>
      <c r="H14" s="545">
        <v>41001</v>
      </c>
      <c r="I14" s="545">
        <v>36000</v>
      </c>
      <c r="J14" s="1619">
        <v>100</v>
      </c>
      <c r="K14" s="545">
        <v>4300</v>
      </c>
      <c r="L14" s="545">
        <v>7818</v>
      </c>
    </row>
    <row r="15" spans="1:12" x14ac:dyDescent="0.15">
      <c r="A15" s="2092" t="s">
        <v>12</v>
      </c>
      <c r="B15" s="543">
        <f t="shared" si="1"/>
        <v>335981</v>
      </c>
      <c r="C15" s="545">
        <v>121471</v>
      </c>
      <c r="D15" s="545">
        <v>179060</v>
      </c>
      <c r="E15" s="545">
        <v>9240</v>
      </c>
      <c r="F15" s="545">
        <v>11230</v>
      </c>
      <c r="G15" s="545">
        <v>5210</v>
      </c>
      <c r="H15" s="545">
        <v>320</v>
      </c>
      <c r="I15" s="545">
        <v>1270</v>
      </c>
      <c r="J15" s="1619">
        <v>0</v>
      </c>
      <c r="K15" s="545">
        <v>3400</v>
      </c>
      <c r="L15" s="545">
        <v>4780</v>
      </c>
    </row>
    <row r="16" spans="1:12" x14ac:dyDescent="0.15">
      <c r="A16" s="2092" t="s">
        <v>13</v>
      </c>
      <c r="B16" s="543">
        <f t="shared" si="1"/>
        <v>201626</v>
      </c>
      <c r="C16" s="545">
        <v>80363</v>
      </c>
      <c r="D16" s="545">
        <v>94943</v>
      </c>
      <c r="E16" s="545">
        <v>3450</v>
      </c>
      <c r="F16" s="545">
        <v>14550</v>
      </c>
      <c r="G16" s="545">
        <v>50</v>
      </c>
      <c r="H16" s="545">
        <v>3540</v>
      </c>
      <c r="I16" s="545">
        <v>80</v>
      </c>
      <c r="J16" s="1619">
        <v>0</v>
      </c>
      <c r="K16" s="545">
        <v>3650</v>
      </c>
      <c r="L16" s="545">
        <v>1000</v>
      </c>
    </row>
    <row r="17" spans="1:12" x14ac:dyDescent="0.15">
      <c r="A17" s="2092" t="s">
        <v>14</v>
      </c>
      <c r="B17" s="543">
        <f t="shared" si="1"/>
        <v>392221</v>
      </c>
      <c r="C17" s="545">
        <v>163488</v>
      </c>
      <c r="D17" s="545">
        <v>214573</v>
      </c>
      <c r="E17" s="545">
        <v>8080</v>
      </c>
      <c r="F17" s="545">
        <v>4500</v>
      </c>
      <c r="G17" s="545">
        <v>0</v>
      </c>
      <c r="H17" s="545">
        <v>0</v>
      </c>
      <c r="I17" s="545">
        <v>0</v>
      </c>
      <c r="J17" s="1619">
        <v>0</v>
      </c>
      <c r="K17" s="545">
        <v>700</v>
      </c>
      <c r="L17" s="545">
        <v>880</v>
      </c>
    </row>
    <row r="18" spans="1:12" x14ac:dyDescent="0.15">
      <c r="A18" s="2092" t="s">
        <v>15</v>
      </c>
      <c r="B18" s="543">
        <f t="shared" si="1"/>
        <v>304176</v>
      </c>
      <c r="C18" s="545">
        <v>99158</v>
      </c>
      <c r="D18" s="545">
        <v>171403</v>
      </c>
      <c r="E18" s="545">
        <v>16795</v>
      </c>
      <c r="F18" s="545">
        <v>12920</v>
      </c>
      <c r="G18" s="545">
        <v>0</v>
      </c>
      <c r="H18" s="545">
        <v>100</v>
      </c>
      <c r="I18" s="545">
        <v>1100</v>
      </c>
      <c r="J18" s="1619">
        <v>550</v>
      </c>
      <c r="K18" s="545">
        <v>500</v>
      </c>
      <c r="L18" s="545">
        <v>1650</v>
      </c>
    </row>
    <row r="19" spans="1:12" x14ac:dyDescent="0.15">
      <c r="A19" s="2092" t="s">
        <v>16</v>
      </c>
      <c r="B19" s="543">
        <f t="shared" si="1"/>
        <v>80153</v>
      </c>
      <c r="C19" s="545">
        <v>32032</v>
      </c>
      <c r="D19" s="545">
        <v>8050</v>
      </c>
      <c r="E19" s="545">
        <v>14750</v>
      </c>
      <c r="F19" s="545">
        <v>23836</v>
      </c>
      <c r="G19" s="545">
        <v>0</v>
      </c>
      <c r="H19" s="545">
        <v>0</v>
      </c>
      <c r="I19" s="545">
        <v>0</v>
      </c>
      <c r="J19" s="1619">
        <v>0</v>
      </c>
      <c r="K19" s="545">
        <v>735</v>
      </c>
      <c r="L19" s="545">
        <v>750</v>
      </c>
    </row>
    <row r="20" spans="1:12" x14ac:dyDescent="0.15">
      <c r="A20" s="2092" t="s">
        <v>17</v>
      </c>
      <c r="B20" s="543">
        <f t="shared" si="1"/>
        <v>241666</v>
      </c>
      <c r="C20" s="545">
        <v>112405</v>
      </c>
      <c r="D20" s="545">
        <v>47844</v>
      </c>
      <c r="E20" s="545">
        <v>9946</v>
      </c>
      <c r="F20" s="545">
        <v>54123</v>
      </c>
      <c r="G20" s="545">
        <v>400</v>
      </c>
      <c r="H20" s="545">
        <v>0</v>
      </c>
      <c r="I20" s="545">
        <v>0</v>
      </c>
      <c r="J20" s="1619">
        <v>0</v>
      </c>
      <c r="K20" s="545">
        <v>1050</v>
      </c>
      <c r="L20" s="545">
        <v>15898</v>
      </c>
    </row>
    <row r="21" spans="1:12" x14ac:dyDescent="0.15">
      <c r="A21" s="2092" t="s">
        <v>18</v>
      </c>
      <c r="B21" s="543">
        <f t="shared" si="1"/>
        <v>11580</v>
      </c>
      <c r="C21" s="545">
        <v>0</v>
      </c>
      <c r="D21" s="545">
        <v>0</v>
      </c>
      <c r="E21" s="545">
        <v>8640</v>
      </c>
      <c r="F21" s="545">
        <v>0</v>
      </c>
      <c r="G21" s="545">
        <v>0</v>
      </c>
      <c r="H21" s="545">
        <v>864</v>
      </c>
      <c r="I21" s="545">
        <v>0</v>
      </c>
      <c r="J21" s="1619">
        <v>0</v>
      </c>
      <c r="K21" s="545">
        <v>576</v>
      </c>
      <c r="L21" s="545">
        <v>1500</v>
      </c>
    </row>
    <row r="22" spans="1:12" x14ac:dyDescent="0.15">
      <c r="A22" s="2092" t="s">
        <v>19</v>
      </c>
      <c r="B22" s="543">
        <f t="shared" si="1"/>
        <v>15130</v>
      </c>
      <c r="C22" s="545">
        <v>9250</v>
      </c>
      <c r="D22" s="545">
        <v>0</v>
      </c>
      <c r="E22" s="545">
        <v>3930</v>
      </c>
      <c r="F22" s="545">
        <v>1950</v>
      </c>
      <c r="G22" s="545">
        <v>0</v>
      </c>
      <c r="H22" s="545">
        <v>0</v>
      </c>
      <c r="I22" s="545">
        <v>0</v>
      </c>
      <c r="J22" s="1619">
        <v>0</v>
      </c>
      <c r="K22" s="545">
        <v>0</v>
      </c>
      <c r="L22" s="545">
        <v>0</v>
      </c>
    </row>
    <row r="23" spans="1:12" ht="12" customHeight="1" x14ac:dyDescent="0.15">
      <c r="A23" s="2356"/>
      <c r="B23" s="2357"/>
      <c r="C23" s="2357"/>
      <c r="D23" s="2357"/>
      <c r="E23" s="2357"/>
      <c r="F23" s="2357"/>
      <c r="G23" s="2357"/>
      <c r="H23" s="2357"/>
      <c r="I23" s="2357"/>
      <c r="J23" s="2357"/>
      <c r="K23" s="2357"/>
      <c r="L23" s="2357"/>
    </row>
    <row r="24" spans="1:12" ht="22.5" customHeight="1" x14ac:dyDescent="0.15">
      <c r="A24" s="2414" t="s">
        <v>3394</v>
      </c>
      <c r="B24" s="2408"/>
      <c r="C24" s="2408"/>
      <c r="D24" s="2408"/>
      <c r="E24" s="2408"/>
      <c r="F24" s="2408"/>
      <c r="G24" s="2408"/>
      <c r="H24" s="2408"/>
      <c r="I24" s="2408"/>
      <c r="J24" s="2408"/>
      <c r="K24" s="2408"/>
      <c r="L24" s="2408"/>
    </row>
    <row r="25" spans="1:12" ht="10.5" customHeight="1" x14ac:dyDescent="0.15">
      <c r="A25" s="2699" t="s">
        <v>1489</v>
      </c>
      <c r="B25" s="2699"/>
      <c r="C25" s="2699"/>
      <c r="D25" s="2699"/>
      <c r="E25" s="2699"/>
      <c r="F25" s="2699"/>
      <c r="G25" s="2699"/>
      <c r="H25" s="2699"/>
      <c r="I25" s="2699"/>
      <c r="J25" s="2699"/>
      <c r="K25" s="2699"/>
      <c r="L25" s="2699"/>
    </row>
    <row r="26" spans="1:12" ht="10.5" customHeight="1" x14ac:dyDescent="0.15">
      <c r="A26" s="2463" t="s">
        <v>20</v>
      </c>
      <c r="B26" s="2408"/>
      <c r="C26" s="2408"/>
      <c r="D26" s="2408"/>
      <c r="E26" s="2408"/>
      <c r="F26" s="2408"/>
      <c r="G26" s="2408"/>
      <c r="H26" s="2408"/>
      <c r="I26" s="2408"/>
      <c r="J26" s="2408"/>
      <c r="K26" s="2408"/>
      <c r="L26" s="2408"/>
    </row>
    <row r="27" spans="1:12" ht="10.5" customHeight="1" x14ac:dyDescent="0.15">
      <c r="A27" s="2463" t="s">
        <v>1483</v>
      </c>
      <c r="B27" s="2408"/>
      <c r="C27" s="2408"/>
      <c r="D27" s="2408"/>
      <c r="E27" s="2408"/>
      <c r="F27" s="2408"/>
      <c r="G27" s="2408"/>
      <c r="H27" s="2408"/>
      <c r="I27" s="2408"/>
      <c r="J27" s="2408"/>
      <c r="K27" s="2408"/>
      <c r="L27" s="2408"/>
    </row>
    <row r="28" spans="1:12" x14ac:dyDescent="0.15">
      <c r="A28" s="2093"/>
      <c r="B28" s="2093"/>
      <c r="C28" s="2093"/>
      <c r="D28" s="2093"/>
      <c r="E28" s="2093"/>
      <c r="F28" s="2093"/>
      <c r="G28" s="2093"/>
      <c r="H28" s="2093"/>
      <c r="I28" s="2093"/>
      <c r="J28" s="2093"/>
      <c r="K28" s="2093"/>
      <c r="L28" s="2093"/>
    </row>
    <row r="29" spans="1:12" x14ac:dyDescent="0.15">
      <c r="A29" s="2093"/>
      <c r="B29" s="2093"/>
      <c r="C29" s="2093"/>
      <c r="D29" s="2093"/>
      <c r="E29" s="2093"/>
      <c r="F29" s="2093"/>
      <c r="G29" s="2093"/>
      <c r="H29" s="2093"/>
      <c r="I29" s="2093"/>
      <c r="J29" s="2093"/>
      <c r="K29" s="2093"/>
      <c r="L29" s="2093"/>
    </row>
    <row r="30" spans="1:12" x14ac:dyDescent="0.15">
      <c r="A30" s="2093"/>
      <c r="B30" s="2093"/>
      <c r="C30" s="2093"/>
      <c r="D30" s="2093"/>
      <c r="E30" s="2093"/>
      <c r="F30" s="2093"/>
      <c r="G30" s="2093"/>
      <c r="H30" s="2093"/>
      <c r="I30" s="2093"/>
      <c r="J30" s="2093"/>
      <c r="K30" s="2093"/>
      <c r="L30" s="2093"/>
    </row>
    <row r="31" spans="1:12" x14ac:dyDescent="0.15">
      <c r="A31" s="2093"/>
      <c r="B31" s="2093"/>
      <c r="C31" s="2093"/>
      <c r="D31" s="2093"/>
      <c r="E31" s="2093"/>
      <c r="F31" s="2093"/>
      <c r="G31" s="2093"/>
      <c r="H31" s="2093"/>
      <c r="I31" s="2093"/>
      <c r="J31" s="2093"/>
      <c r="K31" s="2093"/>
      <c r="L31" s="2093"/>
    </row>
    <row r="32" spans="1:12" x14ac:dyDescent="0.15">
      <c r="A32" s="2093"/>
      <c r="B32" s="2093"/>
      <c r="C32" s="2093"/>
      <c r="D32" s="2093"/>
      <c r="E32" s="2093"/>
      <c r="F32" s="2093"/>
      <c r="G32" s="2093"/>
      <c r="H32" s="2093"/>
      <c r="I32" s="2093"/>
      <c r="J32" s="2093"/>
      <c r="K32" s="2093"/>
      <c r="L32" s="2093"/>
    </row>
    <row r="33" spans="1:12" x14ac:dyDescent="0.15">
      <c r="A33" s="2093"/>
      <c r="B33" s="2093"/>
      <c r="C33" s="2093"/>
      <c r="D33" s="2093"/>
      <c r="E33" s="2093"/>
      <c r="F33" s="2093"/>
      <c r="G33" s="2093"/>
      <c r="H33" s="2093"/>
      <c r="I33" s="2093"/>
      <c r="J33" s="2093"/>
      <c r="K33" s="2093"/>
      <c r="L33" s="2093"/>
    </row>
    <row r="34" spans="1:12" x14ac:dyDescent="0.15">
      <c r="A34" s="2093"/>
      <c r="B34" s="2093"/>
      <c r="C34" s="2093"/>
      <c r="D34" s="2093"/>
      <c r="E34" s="2093"/>
      <c r="F34" s="2093"/>
      <c r="G34" s="2093"/>
      <c r="H34" s="2093"/>
      <c r="I34" s="2093"/>
      <c r="J34" s="2093"/>
      <c r="K34" s="2093"/>
      <c r="L34" s="2093"/>
    </row>
    <row r="35" spans="1:12" x14ac:dyDescent="0.15">
      <c r="A35" s="2093"/>
      <c r="B35" s="2093"/>
      <c r="C35" s="2093"/>
      <c r="D35" s="2093"/>
      <c r="E35" s="2093"/>
      <c r="F35" s="2093"/>
      <c r="G35" s="2093"/>
      <c r="H35" s="2093"/>
      <c r="I35" s="2093"/>
      <c r="J35" s="2093"/>
      <c r="K35" s="2093"/>
      <c r="L35" s="2093"/>
    </row>
  </sheetData>
  <mergeCells count="11">
    <mergeCell ref="A23:L23"/>
    <mergeCell ref="A24:L24"/>
    <mergeCell ref="A25:L25"/>
    <mergeCell ref="A26:L26"/>
    <mergeCell ref="A27:L27"/>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N32"/>
  <sheetViews>
    <sheetView workbookViewId="0">
      <selection activeCell="H35" sqref="H35"/>
    </sheetView>
  </sheetViews>
  <sheetFormatPr baseColWidth="10" defaultColWidth="9.140625" defaultRowHeight="10.5" x14ac:dyDescent="0.15"/>
  <cols>
    <col min="1" max="1" width="17" style="2090" customWidth="1"/>
    <col min="2" max="2" width="12.28515625" style="2090" customWidth="1"/>
    <col min="3" max="3" width="11.28515625" style="2090" customWidth="1"/>
    <col min="4" max="4" width="15" style="2090" customWidth="1"/>
    <col min="5" max="5" width="14" style="2090" customWidth="1"/>
    <col min="6" max="6" width="13" style="2090" customWidth="1"/>
    <col min="7" max="7" width="11" style="2090" customWidth="1"/>
    <col min="8" max="8" width="12.7109375" style="2090" customWidth="1"/>
    <col min="9" max="9" width="12.140625" style="2090" customWidth="1"/>
    <col min="10" max="10" width="11.28515625" style="2090" customWidth="1"/>
    <col min="11" max="11" width="11.42578125" style="2090" customWidth="1"/>
    <col min="12" max="12" width="12" style="2090" customWidth="1"/>
    <col min="13" max="13" width="3.42578125" style="2090" customWidth="1"/>
    <col min="14" max="256" width="9.140625" style="2090"/>
    <col min="257" max="257" width="17" style="2090" customWidth="1"/>
    <col min="258" max="258" width="12.28515625" style="2090" customWidth="1"/>
    <col min="259" max="259" width="11.28515625" style="2090" customWidth="1"/>
    <col min="260" max="260" width="15" style="2090" customWidth="1"/>
    <col min="261" max="261" width="14" style="2090" customWidth="1"/>
    <col min="262" max="262" width="13" style="2090" customWidth="1"/>
    <col min="263" max="263" width="11" style="2090" customWidth="1"/>
    <col min="264" max="264" width="12.7109375" style="2090" customWidth="1"/>
    <col min="265" max="265" width="12.140625" style="2090" customWidth="1"/>
    <col min="266" max="266" width="11.28515625" style="2090" customWidth="1"/>
    <col min="267" max="267" width="11.42578125" style="2090" customWidth="1"/>
    <col min="268" max="268" width="12" style="2090" customWidth="1"/>
    <col min="269" max="269" width="3.42578125" style="2090" customWidth="1"/>
    <col min="270" max="512" width="9.140625" style="2090"/>
    <col min="513" max="513" width="17" style="2090" customWidth="1"/>
    <col min="514" max="514" width="12.28515625" style="2090" customWidth="1"/>
    <col min="515" max="515" width="11.28515625" style="2090" customWidth="1"/>
    <col min="516" max="516" width="15" style="2090" customWidth="1"/>
    <col min="517" max="517" width="14" style="2090" customWidth="1"/>
    <col min="518" max="518" width="13" style="2090" customWidth="1"/>
    <col min="519" max="519" width="11" style="2090" customWidth="1"/>
    <col min="520" max="520" width="12.7109375" style="2090" customWidth="1"/>
    <col min="521" max="521" width="12.140625" style="2090" customWidth="1"/>
    <col min="522" max="522" width="11.28515625" style="2090" customWidth="1"/>
    <col min="523" max="523" width="11.42578125" style="2090" customWidth="1"/>
    <col min="524" max="524" width="12" style="2090" customWidth="1"/>
    <col min="525" max="525" width="3.42578125" style="2090" customWidth="1"/>
    <col min="526" max="768" width="9.140625" style="2090"/>
    <col min="769" max="769" width="17" style="2090" customWidth="1"/>
    <col min="770" max="770" width="12.28515625" style="2090" customWidth="1"/>
    <col min="771" max="771" width="11.28515625" style="2090" customWidth="1"/>
    <col min="772" max="772" width="15" style="2090" customWidth="1"/>
    <col min="773" max="773" width="14" style="2090" customWidth="1"/>
    <col min="774" max="774" width="13" style="2090" customWidth="1"/>
    <col min="775" max="775" width="11" style="2090" customWidth="1"/>
    <col min="776" max="776" width="12.7109375" style="2090" customWidth="1"/>
    <col min="777" max="777" width="12.140625" style="2090" customWidth="1"/>
    <col min="778" max="778" width="11.28515625" style="2090" customWidth="1"/>
    <col min="779" max="779" width="11.42578125" style="2090" customWidth="1"/>
    <col min="780" max="780" width="12" style="2090" customWidth="1"/>
    <col min="781" max="781" width="3.42578125" style="2090" customWidth="1"/>
    <col min="782" max="1024" width="9.140625" style="2090"/>
    <col min="1025" max="1025" width="17" style="2090" customWidth="1"/>
    <col min="1026" max="1026" width="12.28515625" style="2090" customWidth="1"/>
    <col min="1027" max="1027" width="11.28515625" style="2090" customWidth="1"/>
    <col min="1028" max="1028" width="15" style="2090" customWidth="1"/>
    <col min="1029" max="1029" width="14" style="2090" customWidth="1"/>
    <col min="1030" max="1030" width="13" style="2090" customWidth="1"/>
    <col min="1031" max="1031" width="11" style="2090" customWidth="1"/>
    <col min="1032" max="1032" width="12.7109375" style="2090" customWidth="1"/>
    <col min="1033" max="1033" width="12.140625" style="2090" customWidth="1"/>
    <col min="1034" max="1034" width="11.28515625" style="2090" customWidth="1"/>
    <col min="1035" max="1035" width="11.42578125" style="2090" customWidth="1"/>
    <col min="1036" max="1036" width="12" style="2090" customWidth="1"/>
    <col min="1037" max="1037" width="3.42578125" style="2090" customWidth="1"/>
    <col min="1038" max="1280" width="9.140625" style="2090"/>
    <col min="1281" max="1281" width="17" style="2090" customWidth="1"/>
    <col min="1282" max="1282" width="12.28515625" style="2090" customWidth="1"/>
    <col min="1283" max="1283" width="11.28515625" style="2090" customWidth="1"/>
    <col min="1284" max="1284" width="15" style="2090" customWidth="1"/>
    <col min="1285" max="1285" width="14" style="2090" customWidth="1"/>
    <col min="1286" max="1286" width="13" style="2090" customWidth="1"/>
    <col min="1287" max="1287" width="11" style="2090" customWidth="1"/>
    <col min="1288" max="1288" width="12.7109375" style="2090" customWidth="1"/>
    <col min="1289" max="1289" width="12.140625" style="2090" customWidth="1"/>
    <col min="1290" max="1290" width="11.28515625" style="2090" customWidth="1"/>
    <col min="1291" max="1291" width="11.42578125" style="2090" customWidth="1"/>
    <col min="1292" max="1292" width="12" style="2090" customWidth="1"/>
    <col min="1293" max="1293" width="3.42578125" style="2090" customWidth="1"/>
    <col min="1294" max="1536" width="9.140625" style="2090"/>
    <col min="1537" max="1537" width="17" style="2090" customWidth="1"/>
    <col min="1538" max="1538" width="12.28515625" style="2090" customWidth="1"/>
    <col min="1539" max="1539" width="11.28515625" style="2090" customWidth="1"/>
    <col min="1540" max="1540" width="15" style="2090" customWidth="1"/>
    <col min="1541" max="1541" width="14" style="2090" customWidth="1"/>
    <col min="1542" max="1542" width="13" style="2090" customWidth="1"/>
    <col min="1543" max="1543" width="11" style="2090" customWidth="1"/>
    <col min="1544" max="1544" width="12.7109375" style="2090" customWidth="1"/>
    <col min="1545" max="1545" width="12.140625" style="2090" customWidth="1"/>
    <col min="1546" max="1546" width="11.28515625" style="2090" customWidth="1"/>
    <col min="1547" max="1547" width="11.42578125" style="2090" customWidth="1"/>
    <col min="1548" max="1548" width="12" style="2090" customWidth="1"/>
    <col min="1549" max="1549" width="3.42578125" style="2090" customWidth="1"/>
    <col min="1550" max="1792" width="9.140625" style="2090"/>
    <col min="1793" max="1793" width="17" style="2090" customWidth="1"/>
    <col min="1794" max="1794" width="12.28515625" style="2090" customWidth="1"/>
    <col min="1795" max="1795" width="11.28515625" style="2090" customWidth="1"/>
    <col min="1796" max="1796" width="15" style="2090" customWidth="1"/>
    <col min="1797" max="1797" width="14" style="2090" customWidth="1"/>
    <col min="1798" max="1798" width="13" style="2090" customWidth="1"/>
    <col min="1799" max="1799" width="11" style="2090" customWidth="1"/>
    <col min="1800" max="1800" width="12.7109375" style="2090" customWidth="1"/>
    <col min="1801" max="1801" width="12.140625" style="2090" customWidth="1"/>
    <col min="1802" max="1802" width="11.28515625" style="2090" customWidth="1"/>
    <col min="1803" max="1803" width="11.42578125" style="2090" customWidth="1"/>
    <col min="1804" max="1804" width="12" style="2090" customWidth="1"/>
    <col min="1805" max="1805" width="3.42578125" style="2090" customWidth="1"/>
    <col min="1806" max="2048" width="9.140625" style="2090"/>
    <col min="2049" max="2049" width="17" style="2090" customWidth="1"/>
    <col min="2050" max="2050" width="12.28515625" style="2090" customWidth="1"/>
    <col min="2051" max="2051" width="11.28515625" style="2090" customWidth="1"/>
    <col min="2052" max="2052" width="15" style="2090" customWidth="1"/>
    <col min="2053" max="2053" width="14" style="2090" customWidth="1"/>
    <col min="2054" max="2054" width="13" style="2090" customWidth="1"/>
    <col min="2055" max="2055" width="11" style="2090" customWidth="1"/>
    <col min="2056" max="2056" width="12.7109375" style="2090" customWidth="1"/>
    <col min="2057" max="2057" width="12.140625" style="2090" customWidth="1"/>
    <col min="2058" max="2058" width="11.28515625" style="2090" customWidth="1"/>
    <col min="2059" max="2059" width="11.42578125" style="2090" customWidth="1"/>
    <col min="2060" max="2060" width="12" style="2090" customWidth="1"/>
    <col min="2061" max="2061" width="3.42578125" style="2090" customWidth="1"/>
    <col min="2062" max="2304" width="9.140625" style="2090"/>
    <col min="2305" max="2305" width="17" style="2090" customWidth="1"/>
    <col min="2306" max="2306" width="12.28515625" style="2090" customWidth="1"/>
    <col min="2307" max="2307" width="11.28515625" style="2090" customWidth="1"/>
    <col min="2308" max="2308" width="15" style="2090" customWidth="1"/>
    <col min="2309" max="2309" width="14" style="2090" customWidth="1"/>
    <col min="2310" max="2310" width="13" style="2090" customWidth="1"/>
    <col min="2311" max="2311" width="11" style="2090" customWidth="1"/>
    <col min="2312" max="2312" width="12.7109375" style="2090" customWidth="1"/>
    <col min="2313" max="2313" width="12.140625" style="2090" customWidth="1"/>
    <col min="2314" max="2314" width="11.28515625" style="2090" customWidth="1"/>
    <col min="2315" max="2315" width="11.42578125" style="2090" customWidth="1"/>
    <col min="2316" max="2316" width="12" style="2090" customWidth="1"/>
    <col min="2317" max="2317" width="3.42578125" style="2090" customWidth="1"/>
    <col min="2318" max="2560" width="9.140625" style="2090"/>
    <col min="2561" max="2561" width="17" style="2090" customWidth="1"/>
    <col min="2562" max="2562" width="12.28515625" style="2090" customWidth="1"/>
    <col min="2563" max="2563" width="11.28515625" style="2090" customWidth="1"/>
    <col min="2564" max="2564" width="15" style="2090" customWidth="1"/>
    <col min="2565" max="2565" width="14" style="2090" customWidth="1"/>
    <col min="2566" max="2566" width="13" style="2090" customWidth="1"/>
    <col min="2567" max="2567" width="11" style="2090" customWidth="1"/>
    <col min="2568" max="2568" width="12.7109375" style="2090" customWidth="1"/>
    <col min="2569" max="2569" width="12.140625" style="2090" customWidth="1"/>
    <col min="2570" max="2570" width="11.28515625" style="2090" customWidth="1"/>
    <col min="2571" max="2571" width="11.42578125" style="2090" customWidth="1"/>
    <col min="2572" max="2572" width="12" style="2090" customWidth="1"/>
    <col min="2573" max="2573" width="3.42578125" style="2090" customWidth="1"/>
    <col min="2574" max="2816" width="9.140625" style="2090"/>
    <col min="2817" max="2817" width="17" style="2090" customWidth="1"/>
    <col min="2818" max="2818" width="12.28515625" style="2090" customWidth="1"/>
    <col min="2819" max="2819" width="11.28515625" style="2090" customWidth="1"/>
    <col min="2820" max="2820" width="15" style="2090" customWidth="1"/>
    <col min="2821" max="2821" width="14" style="2090" customWidth="1"/>
    <col min="2822" max="2822" width="13" style="2090" customWidth="1"/>
    <col min="2823" max="2823" width="11" style="2090" customWidth="1"/>
    <col min="2824" max="2824" width="12.7109375" style="2090" customWidth="1"/>
    <col min="2825" max="2825" width="12.140625" style="2090" customWidth="1"/>
    <col min="2826" max="2826" width="11.28515625" style="2090" customWidth="1"/>
    <col min="2827" max="2827" width="11.42578125" style="2090" customWidth="1"/>
    <col min="2828" max="2828" width="12" style="2090" customWidth="1"/>
    <col min="2829" max="2829" width="3.42578125" style="2090" customWidth="1"/>
    <col min="2830" max="3072" width="9.140625" style="2090"/>
    <col min="3073" max="3073" width="17" style="2090" customWidth="1"/>
    <col min="3074" max="3074" width="12.28515625" style="2090" customWidth="1"/>
    <col min="3075" max="3075" width="11.28515625" style="2090" customWidth="1"/>
    <col min="3076" max="3076" width="15" style="2090" customWidth="1"/>
    <col min="3077" max="3077" width="14" style="2090" customWidth="1"/>
    <col min="3078" max="3078" width="13" style="2090" customWidth="1"/>
    <col min="3079" max="3079" width="11" style="2090" customWidth="1"/>
    <col min="3080" max="3080" width="12.7109375" style="2090" customWidth="1"/>
    <col min="3081" max="3081" width="12.140625" style="2090" customWidth="1"/>
    <col min="3082" max="3082" width="11.28515625" style="2090" customWidth="1"/>
    <col min="3083" max="3083" width="11.42578125" style="2090" customWidth="1"/>
    <col min="3084" max="3084" width="12" style="2090" customWidth="1"/>
    <col min="3085" max="3085" width="3.42578125" style="2090" customWidth="1"/>
    <col min="3086" max="3328" width="9.140625" style="2090"/>
    <col min="3329" max="3329" width="17" style="2090" customWidth="1"/>
    <col min="3330" max="3330" width="12.28515625" style="2090" customWidth="1"/>
    <col min="3331" max="3331" width="11.28515625" style="2090" customWidth="1"/>
    <col min="3332" max="3332" width="15" style="2090" customWidth="1"/>
    <col min="3333" max="3333" width="14" style="2090" customWidth="1"/>
    <col min="3334" max="3334" width="13" style="2090" customWidth="1"/>
    <col min="3335" max="3335" width="11" style="2090" customWidth="1"/>
    <col min="3336" max="3336" width="12.7109375" style="2090" customWidth="1"/>
    <col min="3337" max="3337" width="12.140625" style="2090" customWidth="1"/>
    <col min="3338" max="3338" width="11.28515625" style="2090" customWidth="1"/>
    <col min="3339" max="3339" width="11.42578125" style="2090" customWidth="1"/>
    <col min="3340" max="3340" width="12" style="2090" customWidth="1"/>
    <col min="3341" max="3341" width="3.42578125" style="2090" customWidth="1"/>
    <col min="3342" max="3584" width="9.140625" style="2090"/>
    <col min="3585" max="3585" width="17" style="2090" customWidth="1"/>
    <col min="3586" max="3586" width="12.28515625" style="2090" customWidth="1"/>
    <col min="3587" max="3587" width="11.28515625" style="2090" customWidth="1"/>
    <col min="3588" max="3588" width="15" style="2090" customWidth="1"/>
    <col min="3589" max="3589" width="14" style="2090" customWidth="1"/>
    <col min="3590" max="3590" width="13" style="2090" customWidth="1"/>
    <col min="3591" max="3591" width="11" style="2090" customWidth="1"/>
    <col min="3592" max="3592" width="12.7109375" style="2090" customWidth="1"/>
    <col min="3593" max="3593" width="12.140625" style="2090" customWidth="1"/>
    <col min="3594" max="3594" width="11.28515625" style="2090" customWidth="1"/>
    <col min="3595" max="3595" width="11.42578125" style="2090" customWidth="1"/>
    <col min="3596" max="3596" width="12" style="2090" customWidth="1"/>
    <col min="3597" max="3597" width="3.42578125" style="2090" customWidth="1"/>
    <col min="3598" max="3840" width="9.140625" style="2090"/>
    <col min="3841" max="3841" width="17" style="2090" customWidth="1"/>
    <col min="3842" max="3842" width="12.28515625" style="2090" customWidth="1"/>
    <col min="3843" max="3843" width="11.28515625" style="2090" customWidth="1"/>
    <col min="3844" max="3844" width="15" style="2090" customWidth="1"/>
    <col min="3845" max="3845" width="14" style="2090" customWidth="1"/>
    <col min="3846" max="3846" width="13" style="2090" customWidth="1"/>
    <col min="3847" max="3847" width="11" style="2090" customWidth="1"/>
    <col min="3848" max="3848" width="12.7109375" style="2090" customWidth="1"/>
    <col min="3849" max="3849" width="12.140625" style="2090" customWidth="1"/>
    <col min="3850" max="3850" width="11.28515625" style="2090" customWidth="1"/>
    <col min="3851" max="3851" width="11.42578125" style="2090" customWidth="1"/>
    <col min="3852" max="3852" width="12" style="2090" customWidth="1"/>
    <col min="3853" max="3853" width="3.42578125" style="2090" customWidth="1"/>
    <col min="3854" max="4096" width="9.140625" style="2090"/>
    <col min="4097" max="4097" width="17" style="2090" customWidth="1"/>
    <col min="4098" max="4098" width="12.28515625" style="2090" customWidth="1"/>
    <col min="4099" max="4099" width="11.28515625" style="2090" customWidth="1"/>
    <col min="4100" max="4100" width="15" style="2090" customWidth="1"/>
    <col min="4101" max="4101" width="14" style="2090" customWidth="1"/>
    <col min="4102" max="4102" width="13" style="2090" customWidth="1"/>
    <col min="4103" max="4103" width="11" style="2090" customWidth="1"/>
    <col min="4104" max="4104" width="12.7109375" style="2090" customWidth="1"/>
    <col min="4105" max="4105" width="12.140625" style="2090" customWidth="1"/>
    <col min="4106" max="4106" width="11.28515625" style="2090" customWidth="1"/>
    <col min="4107" max="4107" width="11.42578125" style="2090" customWidth="1"/>
    <col min="4108" max="4108" width="12" style="2090" customWidth="1"/>
    <col min="4109" max="4109" width="3.42578125" style="2090" customWidth="1"/>
    <col min="4110" max="4352" width="9.140625" style="2090"/>
    <col min="4353" max="4353" width="17" style="2090" customWidth="1"/>
    <col min="4354" max="4354" width="12.28515625" style="2090" customWidth="1"/>
    <col min="4355" max="4355" width="11.28515625" style="2090" customWidth="1"/>
    <col min="4356" max="4356" width="15" style="2090" customWidth="1"/>
    <col min="4357" max="4357" width="14" style="2090" customWidth="1"/>
    <col min="4358" max="4358" width="13" style="2090" customWidth="1"/>
    <col min="4359" max="4359" width="11" style="2090" customWidth="1"/>
    <col min="4360" max="4360" width="12.7109375" style="2090" customWidth="1"/>
    <col min="4361" max="4361" width="12.140625" style="2090" customWidth="1"/>
    <col min="4362" max="4362" width="11.28515625" style="2090" customWidth="1"/>
    <col min="4363" max="4363" width="11.42578125" style="2090" customWidth="1"/>
    <col min="4364" max="4364" width="12" style="2090" customWidth="1"/>
    <col min="4365" max="4365" width="3.42578125" style="2090" customWidth="1"/>
    <col min="4366" max="4608" width="9.140625" style="2090"/>
    <col min="4609" max="4609" width="17" style="2090" customWidth="1"/>
    <col min="4610" max="4610" width="12.28515625" style="2090" customWidth="1"/>
    <col min="4611" max="4611" width="11.28515625" style="2090" customWidth="1"/>
    <col min="4612" max="4612" width="15" style="2090" customWidth="1"/>
    <col min="4613" max="4613" width="14" style="2090" customWidth="1"/>
    <col min="4614" max="4614" width="13" style="2090" customWidth="1"/>
    <col min="4615" max="4615" width="11" style="2090" customWidth="1"/>
    <col min="4616" max="4616" width="12.7109375" style="2090" customWidth="1"/>
    <col min="4617" max="4617" width="12.140625" style="2090" customWidth="1"/>
    <col min="4618" max="4618" width="11.28515625" style="2090" customWidth="1"/>
    <col min="4619" max="4619" width="11.42578125" style="2090" customWidth="1"/>
    <col min="4620" max="4620" width="12" style="2090" customWidth="1"/>
    <col min="4621" max="4621" width="3.42578125" style="2090" customWidth="1"/>
    <col min="4622" max="4864" width="9.140625" style="2090"/>
    <col min="4865" max="4865" width="17" style="2090" customWidth="1"/>
    <col min="4866" max="4866" width="12.28515625" style="2090" customWidth="1"/>
    <col min="4867" max="4867" width="11.28515625" style="2090" customWidth="1"/>
    <col min="4868" max="4868" width="15" style="2090" customWidth="1"/>
    <col min="4869" max="4869" width="14" style="2090" customWidth="1"/>
    <col min="4870" max="4870" width="13" style="2090" customWidth="1"/>
    <col min="4871" max="4871" width="11" style="2090" customWidth="1"/>
    <col min="4872" max="4872" width="12.7109375" style="2090" customWidth="1"/>
    <col min="4873" max="4873" width="12.140625" style="2090" customWidth="1"/>
    <col min="4874" max="4874" width="11.28515625" style="2090" customWidth="1"/>
    <col min="4875" max="4875" width="11.42578125" style="2090" customWidth="1"/>
    <col min="4876" max="4876" width="12" style="2090" customWidth="1"/>
    <col min="4877" max="4877" width="3.42578125" style="2090" customWidth="1"/>
    <col min="4878" max="5120" width="9.140625" style="2090"/>
    <col min="5121" max="5121" width="17" style="2090" customWidth="1"/>
    <col min="5122" max="5122" width="12.28515625" style="2090" customWidth="1"/>
    <col min="5123" max="5123" width="11.28515625" style="2090" customWidth="1"/>
    <col min="5124" max="5124" width="15" style="2090" customWidth="1"/>
    <col min="5125" max="5125" width="14" style="2090" customWidth="1"/>
    <col min="5126" max="5126" width="13" style="2090" customWidth="1"/>
    <col min="5127" max="5127" width="11" style="2090" customWidth="1"/>
    <col min="5128" max="5128" width="12.7109375" style="2090" customWidth="1"/>
    <col min="5129" max="5129" width="12.140625" style="2090" customWidth="1"/>
    <col min="5130" max="5130" width="11.28515625" style="2090" customWidth="1"/>
    <col min="5131" max="5131" width="11.42578125" style="2090" customWidth="1"/>
    <col min="5132" max="5132" width="12" style="2090" customWidth="1"/>
    <col min="5133" max="5133" width="3.42578125" style="2090" customWidth="1"/>
    <col min="5134" max="5376" width="9.140625" style="2090"/>
    <col min="5377" max="5377" width="17" style="2090" customWidth="1"/>
    <col min="5378" max="5378" width="12.28515625" style="2090" customWidth="1"/>
    <col min="5379" max="5379" width="11.28515625" style="2090" customWidth="1"/>
    <col min="5380" max="5380" width="15" style="2090" customWidth="1"/>
    <col min="5381" max="5381" width="14" style="2090" customWidth="1"/>
    <col min="5382" max="5382" width="13" style="2090" customWidth="1"/>
    <col min="5383" max="5383" width="11" style="2090" customWidth="1"/>
    <col min="5384" max="5384" width="12.7109375" style="2090" customWidth="1"/>
    <col min="5385" max="5385" width="12.140625" style="2090" customWidth="1"/>
    <col min="5386" max="5386" width="11.28515625" style="2090" customWidth="1"/>
    <col min="5387" max="5387" width="11.42578125" style="2090" customWidth="1"/>
    <col min="5388" max="5388" width="12" style="2090" customWidth="1"/>
    <col min="5389" max="5389" width="3.42578125" style="2090" customWidth="1"/>
    <col min="5390" max="5632" width="9.140625" style="2090"/>
    <col min="5633" max="5633" width="17" style="2090" customWidth="1"/>
    <col min="5634" max="5634" width="12.28515625" style="2090" customWidth="1"/>
    <col min="5635" max="5635" width="11.28515625" style="2090" customWidth="1"/>
    <col min="5636" max="5636" width="15" style="2090" customWidth="1"/>
    <col min="5637" max="5637" width="14" style="2090" customWidth="1"/>
    <col min="5638" max="5638" width="13" style="2090" customWidth="1"/>
    <col min="5639" max="5639" width="11" style="2090" customWidth="1"/>
    <col min="5640" max="5640" width="12.7109375" style="2090" customWidth="1"/>
    <col min="5641" max="5641" width="12.140625" style="2090" customWidth="1"/>
    <col min="5642" max="5642" width="11.28515625" style="2090" customWidth="1"/>
    <col min="5643" max="5643" width="11.42578125" style="2090" customWidth="1"/>
    <col min="5644" max="5644" width="12" style="2090" customWidth="1"/>
    <col min="5645" max="5645" width="3.42578125" style="2090" customWidth="1"/>
    <col min="5646" max="5888" width="9.140625" style="2090"/>
    <col min="5889" max="5889" width="17" style="2090" customWidth="1"/>
    <col min="5890" max="5890" width="12.28515625" style="2090" customWidth="1"/>
    <col min="5891" max="5891" width="11.28515625" style="2090" customWidth="1"/>
    <col min="5892" max="5892" width="15" style="2090" customWidth="1"/>
    <col min="5893" max="5893" width="14" style="2090" customWidth="1"/>
    <col min="5894" max="5894" width="13" style="2090" customWidth="1"/>
    <col min="5895" max="5895" width="11" style="2090" customWidth="1"/>
    <col min="5896" max="5896" width="12.7109375" style="2090" customWidth="1"/>
    <col min="5897" max="5897" width="12.140625" style="2090" customWidth="1"/>
    <col min="5898" max="5898" width="11.28515625" style="2090" customWidth="1"/>
    <col min="5899" max="5899" width="11.42578125" style="2090" customWidth="1"/>
    <col min="5900" max="5900" width="12" style="2090" customWidth="1"/>
    <col min="5901" max="5901" width="3.42578125" style="2090" customWidth="1"/>
    <col min="5902" max="6144" width="9.140625" style="2090"/>
    <col min="6145" max="6145" width="17" style="2090" customWidth="1"/>
    <col min="6146" max="6146" width="12.28515625" style="2090" customWidth="1"/>
    <col min="6147" max="6147" width="11.28515625" style="2090" customWidth="1"/>
    <col min="6148" max="6148" width="15" style="2090" customWidth="1"/>
    <col min="6149" max="6149" width="14" style="2090" customWidth="1"/>
    <col min="6150" max="6150" width="13" style="2090" customWidth="1"/>
    <col min="6151" max="6151" width="11" style="2090" customWidth="1"/>
    <col min="6152" max="6152" width="12.7109375" style="2090" customWidth="1"/>
    <col min="6153" max="6153" width="12.140625" style="2090" customWidth="1"/>
    <col min="6154" max="6154" width="11.28515625" style="2090" customWidth="1"/>
    <col min="6155" max="6155" width="11.42578125" style="2090" customWidth="1"/>
    <col min="6156" max="6156" width="12" style="2090" customWidth="1"/>
    <col min="6157" max="6157" width="3.42578125" style="2090" customWidth="1"/>
    <col min="6158" max="6400" width="9.140625" style="2090"/>
    <col min="6401" max="6401" width="17" style="2090" customWidth="1"/>
    <col min="6402" max="6402" width="12.28515625" style="2090" customWidth="1"/>
    <col min="6403" max="6403" width="11.28515625" style="2090" customWidth="1"/>
    <col min="6404" max="6404" width="15" style="2090" customWidth="1"/>
    <col min="6405" max="6405" width="14" style="2090" customWidth="1"/>
    <col min="6406" max="6406" width="13" style="2090" customWidth="1"/>
    <col min="6407" max="6407" width="11" style="2090" customWidth="1"/>
    <col min="6408" max="6408" width="12.7109375" style="2090" customWidth="1"/>
    <col min="6409" max="6409" width="12.140625" style="2090" customWidth="1"/>
    <col min="6410" max="6410" width="11.28515625" style="2090" customWidth="1"/>
    <col min="6411" max="6411" width="11.42578125" style="2090" customWidth="1"/>
    <col min="6412" max="6412" width="12" style="2090" customWidth="1"/>
    <col min="6413" max="6413" width="3.42578125" style="2090" customWidth="1"/>
    <col min="6414" max="6656" width="9.140625" style="2090"/>
    <col min="6657" max="6657" width="17" style="2090" customWidth="1"/>
    <col min="6658" max="6658" width="12.28515625" style="2090" customWidth="1"/>
    <col min="6659" max="6659" width="11.28515625" style="2090" customWidth="1"/>
    <col min="6660" max="6660" width="15" style="2090" customWidth="1"/>
    <col min="6661" max="6661" width="14" style="2090" customWidth="1"/>
    <col min="6662" max="6662" width="13" style="2090" customWidth="1"/>
    <col min="6663" max="6663" width="11" style="2090" customWidth="1"/>
    <col min="6664" max="6664" width="12.7109375" style="2090" customWidth="1"/>
    <col min="6665" max="6665" width="12.140625" style="2090" customWidth="1"/>
    <col min="6666" max="6666" width="11.28515625" style="2090" customWidth="1"/>
    <col min="6667" max="6667" width="11.42578125" style="2090" customWidth="1"/>
    <col min="6668" max="6668" width="12" style="2090" customWidth="1"/>
    <col min="6669" max="6669" width="3.42578125" style="2090" customWidth="1"/>
    <col min="6670" max="6912" width="9.140625" style="2090"/>
    <col min="6913" max="6913" width="17" style="2090" customWidth="1"/>
    <col min="6914" max="6914" width="12.28515625" style="2090" customWidth="1"/>
    <col min="6915" max="6915" width="11.28515625" style="2090" customWidth="1"/>
    <col min="6916" max="6916" width="15" style="2090" customWidth="1"/>
    <col min="6917" max="6917" width="14" style="2090" customWidth="1"/>
    <col min="6918" max="6918" width="13" style="2090" customWidth="1"/>
    <col min="6919" max="6919" width="11" style="2090" customWidth="1"/>
    <col min="6920" max="6920" width="12.7109375" style="2090" customWidth="1"/>
    <col min="6921" max="6921" width="12.140625" style="2090" customWidth="1"/>
    <col min="6922" max="6922" width="11.28515625" style="2090" customWidth="1"/>
    <col min="6923" max="6923" width="11.42578125" style="2090" customWidth="1"/>
    <col min="6924" max="6924" width="12" style="2090" customWidth="1"/>
    <col min="6925" max="6925" width="3.42578125" style="2090" customWidth="1"/>
    <col min="6926" max="7168" width="9.140625" style="2090"/>
    <col min="7169" max="7169" width="17" style="2090" customWidth="1"/>
    <col min="7170" max="7170" width="12.28515625" style="2090" customWidth="1"/>
    <col min="7171" max="7171" width="11.28515625" style="2090" customWidth="1"/>
    <col min="7172" max="7172" width="15" style="2090" customWidth="1"/>
    <col min="7173" max="7173" width="14" style="2090" customWidth="1"/>
    <col min="7174" max="7174" width="13" style="2090" customWidth="1"/>
    <col min="7175" max="7175" width="11" style="2090" customWidth="1"/>
    <col min="7176" max="7176" width="12.7109375" style="2090" customWidth="1"/>
    <col min="7177" max="7177" width="12.140625" style="2090" customWidth="1"/>
    <col min="7178" max="7178" width="11.28515625" style="2090" customWidth="1"/>
    <col min="7179" max="7179" width="11.42578125" style="2090" customWidth="1"/>
    <col min="7180" max="7180" width="12" style="2090" customWidth="1"/>
    <col min="7181" max="7181" width="3.42578125" style="2090" customWidth="1"/>
    <col min="7182" max="7424" width="9.140625" style="2090"/>
    <col min="7425" max="7425" width="17" style="2090" customWidth="1"/>
    <col min="7426" max="7426" width="12.28515625" style="2090" customWidth="1"/>
    <col min="7427" max="7427" width="11.28515625" style="2090" customWidth="1"/>
    <col min="7428" max="7428" width="15" style="2090" customWidth="1"/>
    <col min="7429" max="7429" width="14" style="2090" customWidth="1"/>
    <col min="7430" max="7430" width="13" style="2090" customWidth="1"/>
    <col min="7431" max="7431" width="11" style="2090" customWidth="1"/>
    <col min="7432" max="7432" width="12.7109375" style="2090" customWidth="1"/>
    <col min="7433" max="7433" width="12.140625" style="2090" customWidth="1"/>
    <col min="7434" max="7434" width="11.28515625" style="2090" customWidth="1"/>
    <col min="7435" max="7435" width="11.42578125" style="2090" customWidth="1"/>
    <col min="7436" max="7436" width="12" style="2090" customWidth="1"/>
    <col min="7437" max="7437" width="3.42578125" style="2090" customWidth="1"/>
    <col min="7438" max="7680" width="9.140625" style="2090"/>
    <col min="7681" max="7681" width="17" style="2090" customWidth="1"/>
    <col min="7682" max="7682" width="12.28515625" style="2090" customWidth="1"/>
    <col min="7683" max="7683" width="11.28515625" style="2090" customWidth="1"/>
    <col min="7684" max="7684" width="15" style="2090" customWidth="1"/>
    <col min="7685" max="7685" width="14" style="2090" customWidth="1"/>
    <col min="7686" max="7686" width="13" style="2090" customWidth="1"/>
    <col min="7687" max="7687" width="11" style="2090" customWidth="1"/>
    <col min="7688" max="7688" width="12.7109375" style="2090" customWidth="1"/>
    <col min="7689" max="7689" width="12.140625" style="2090" customWidth="1"/>
    <col min="7690" max="7690" width="11.28515625" style="2090" customWidth="1"/>
    <col min="7691" max="7691" width="11.42578125" style="2090" customWidth="1"/>
    <col min="7692" max="7692" width="12" style="2090" customWidth="1"/>
    <col min="7693" max="7693" width="3.42578125" style="2090" customWidth="1"/>
    <col min="7694" max="7936" width="9.140625" style="2090"/>
    <col min="7937" max="7937" width="17" style="2090" customWidth="1"/>
    <col min="7938" max="7938" width="12.28515625" style="2090" customWidth="1"/>
    <col min="7939" max="7939" width="11.28515625" style="2090" customWidth="1"/>
    <col min="7940" max="7940" width="15" style="2090" customWidth="1"/>
    <col min="7941" max="7941" width="14" style="2090" customWidth="1"/>
    <col min="7942" max="7942" width="13" style="2090" customWidth="1"/>
    <col min="7943" max="7943" width="11" style="2090" customWidth="1"/>
    <col min="7944" max="7944" width="12.7109375" style="2090" customWidth="1"/>
    <col min="7945" max="7945" width="12.140625" style="2090" customWidth="1"/>
    <col min="7946" max="7946" width="11.28515625" style="2090" customWidth="1"/>
    <col min="7947" max="7947" width="11.42578125" style="2090" customWidth="1"/>
    <col min="7948" max="7948" width="12" style="2090" customWidth="1"/>
    <col min="7949" max="7949" width="3.42578125" style="2090" customWidth="1"/>
    <col min="7950" max="8192" width="9.140625" style="2090"/>
    <col min="8193" max="8193" width="17" style="2090" customWidth="1"/>
    <col min="8194" max="8194" width="12.28515625" style="2090" customWidth="1"/>
    <col min="8195" max="8195" width="11.28515625" style="2090" customWidth="1"/>
    <col min="8196" max="8196" width="15" style="2090" customWidth="1"/>
    <col min="8197" max="8197" width="14" style="2090" customWidth="1"/>
    <col min="8198" max="8198" width="13" style="2090" customWidth="1"/>
    <col min="8199" max="8199" width="11" style="2090" customWidth="1"/>
    <col min="8200" max="8200" width="12.7109375" style="2090" customWidth="1"/>
    <col min="8201" max="8201" width="12.140625" style="2090" customWidth="1"/>
    <col min="8202" max="8202" width="11.28515625" style="2090" customWidth="1"/>
    <col min="8203" max="8203" width="11.42578125" style="2090" customWidth="1"/>
    <col min="8204" max="8204" width="12" style="2090" customWidth="1"/>
    <col min="8205" max="8205" width="3.42578125" style="2090" customWidth="1"/>
    <col min="8206" max="8448" width="9.140625" style="2090"/>
    <col min="8449" max="8449" width="17" style="2090" customWidth="1"/>
    <col min="8450" max="8450" width="12.28515625" style="2090" customWidth="1"/>
    <col min="8451" max="8451" width="11.28515625" style="2090" customWidth="1"/>
    <col min="8452" max="8452" width="15" style="2090" customWidth="1"/>
    <col min="8453" max="8453" width="14" style="2090" customWidth="1"/>
    <col min="8454" max="8454" width="13" style="2090" customWidth="1"/>
    <col min="8455" max="8455" width="11" style="2090" customWidth="1"/>
    <col min="8456" max="8456" width="12.7109375" style="2090" customWidth="1"/>
    <col min="8457" max="8457" width="12.140625" style="2090" customWidth="1"/>
    <col min="8458" max="8458" width="11.28515625" style="2090" customWidth="1"/>
    <col min="8459" max="8459" width="11.42578125" style="2090" customWidth="1"/>
    <col min="8460" max="8460" width="12" style="2090" customWidth="1"/>
    <col min="8461" max="8461" width="3.42578125" style="2090" customWidth="1"/>
    <col min="8462" max="8704" width="9.140625" style="2090"/>
    <col min="8705" max="8705" width="17" style="2090" customWidth="1"/>
    <col min="8706" max="8706" width="12.28515625" style="2090" customWidth="1"/>
    <col min="8707" max="8707" width="11.28515625" style="2090" customWidth="1"/>
    <col min="8708" max="8708" width="15" style="2090" customWidth="1"/>
    <col min="8709" max="8709" width="14" style="2090" customWidth="1"/>
    <col min="8710" max="8710" width="13" style="2090" customWidth="1"/>
    <col min="8711" max="8711" width="11" style="2090" customWidth="1"/>
    <col min="8712" max="8712" width="12.7109375" style="2090" customWidth="1"/>
    <col min="8713" max="8713" width="12.140625" style="2090" customWidth="1"/>
    <col min="8714" max="8714" width="11.28515625" style="2090" customWidth="1"/>
    <col min="8715" max="8715" width="11.42578125" style="2090" customWidth="1"/>
    <col min="8716" max="8716" width="12" style="2090" customWidth="1"/>
    <col min="8717" max="8717" width="3.42578125" style="2090" customWidth="1"/>
    <col min="8718" max="8960" width="9.140625" style="2090"/>
    <col min="8961" max="8961" width="17" style="2090" customWidth="1"/>
    <col min="8962" max="8962" width="12.28515625" style="2090" customWidth="1"/>
    <col min="8963" max="8963" width="11.28515625" style="2090" customWidth="1"/>
    <col min="8964" max="8964" width="15" style="2090" customWidth="1"/>
    <col min="8965" max="8965" width="14" style="2090" customWidth="1"/>
    <col min="8966" max="8966" width="13" style="2090" customWidth="1"/>
    <col min="8967" max="8967" width="11" style="2090" customWidth="1"/>
    <col min="8968" max="8968" width="12.7109375" style="2090" customWidth="1"/>
    <col min="8969" max="8969" width="12.140625" style="2090" customWidth="1"/>
    <col min="8970" max="8970" width="11.28515625" style="2090" customWidth="1"/>
    <col min="8971" max="8971" width="11.42578125" style="2090" customWidth="1"/>
    <col min="8972" max="8972" width="12" style="2090" customWidth="1"/>
    <col min="8973" max="8973" width="3.42578125" style="2090" customWidth="1"/>
    <col min="8974" max="9216" width="9.140625" style="2090"/>
    <col min="9217" max="9217" width="17" style="2090" customWidth="1"/>
    <col min="9218" max="9218" width="12.28515625" style="2090" customWidth="1"/>
    <col min="9219" max="9219" width="11.28515625" style="2090" customWidth="1"/>
    <col min="9220" max="9220" width="15" style="2090" customWidth="1"/>
    <col min="9221" max="9221" width="14" style="2090" customWidth="1"/>
    <col min="9222" max="9222" width="13" style="2090" customWidth="1"/>
    <col min="9223" max="9223" width="11" style="2090" customWidth="1"/>
    <col min="9224" max="9224" width="12.7109375" style="2090" customWidth="1"/>
    <col min="9225" max="9225" width="12.140625" style="2090" customWidth="1"/>
    <col min="9226" max="9226" width="11.28515625" style="2090" customWidth="1"/>
    <col min="9227" max="9227" width="11.42578125" style="2090" customWidth="1"/>
    <col min="9228" max="9228" width="12" style="2090" customWidth="1"/>
    <col min="9229" max="9229" width="3.42578125" style="2090" customWidth="1"/>
    <col min="9230" max="9472" width="9.140625" style="2090"/>
    <col min="9473" max="9473" width="17" style="2090" customWidth="1"/>
    <col min="9474" max="9474" width="12.28515625" style="2090" customWidth="1"/>
    <col min="9475" max="9475" width="11.28515625" style="2090" customWidth="1"/>
    <col min="9476" max="9476" width="15" style="2090" customWidth="1"/>
    <col min="9477" max="9477" width="14" style="2090" customWidth="1"/>
    <col min="9478" max="9478" width="13" style="2090" customWidth="1"/>
    <col min="9479" max="9479" width="11" style="2090" customWidth="1"/>
    <col min="9480" max="9480" width="12.7109375" style="2090" customWidth="1"/>
    <col min="9481" max="9481" width="12.140625" style="2090" customWidth="1"/>
    <col min="9482" max="9482" width="11.28515625" style="2090" customWidth="1"/>
    <col min="9483" max="9483" width="11.42578125" style="2090" customWidth="1"/>
    <col min="9484" max="9484" width="12" style="2090" customWidth="1"/>
    <col min="9485" max="9485" width="3.42578125" style="2090" customWidth="1"/>
    <col min="9486" max="9728" width="9.140625" style="2090"/>
    <col min="9729" max="9729" width="17" style="2090" customWidth="1"/>
    <col min="9730" max="9730" width="12.28515625" style="2090" customWidth="1"/>
    <col min="9731" max="9731" width="11.28515625" style="2090" customWidth="1"/>
    <col min="9732" max="9732" width="15" style="2090" customWidth="1"/>
    <col min="9733" max="9733" width="14" style="2090" customWidth="1"/>
    <col min="9734" max="9734" width="13" style="2090" customWidth="1"/>
    <col min="9735" max="9735" width="11" style="2090" customWidth="1"/>
    <col min="9736" max="9736" width="12.7109375" style="2090" customWidth="1"/>
    <col min="9737" max="9737" width="12.140625" style="2090" customWidth="1"/>
    <col min="9738" max="9738" width="11.28515625" style="2090" customWidth="1"/>
    <col min="9739" max="9739" width="11.42578125" style="2090" customWidth="1"/>
    <col min="9740" max="9740" width="12" style="2090" customWidth="1"/>
    <col min="9741" max="9741" width="3.42578125" style="2090" customWidth="1"/>
    <col min="9742" max="9984" width="9.140625" style="2090"/>
    <col min="9985" max="9985" width="17" style="2090" customWidth="1"/>
    <col min="9986" max="9986" width="12.28515625" style="2090" customWidth="1"/>
    <col min="9987" max="9987" width="11.28515625" style="2090" customWidth="1"/>
    <col min="9988" max="9988" width="15" style="2090" customWidth="1"/>
    <col min="9989" max="9989" width="14" style="2090" customWidth="1"/>
    <col min="9990" max="9990" width="13" style="2090" customWidth="1"/>
    <col min="9991" max="9991" width="11" style="2090" customWidth="1"/>
    <col min="9992" max="9992" width="12.7109375" style="2090" customWidth="1"/>
    <col min="9993" max="9993" width="12.140625" style="2090" customWidth="1"/>
    <col min="9994" max="9994" width="11.28515625" style="2090" customWidth="1"/>
    <col min="9995" max="9995" width="11.42578125" style="2090" customWidth="1"/>
    <col min="9996" max="9996" width="12" style="2090" customWidth="1"/>
    <col min="9997" max="9997" width="3.42578125" style="2090" customWidth="1"/>
    <col min="9998" max="10240" width="9.140625" style="2090"/>
    <col min="10241" max="10241" width="17" style="2090" customWidth="1"/>
    <col min="10242" max="10242" width="12.28515625" style="2090" customWidth="1"/>
    <col min="10243" max="10243" width="11.28515625" style="2090" customWidth="1"/>
    <col min="10244" max="10244" width="15" style="2090" customWidth="1"/>
    <col min="10245" max="10245" width="14" style="2090" customWidth="1"/>
    <col min="10246" max="10246" width="13" style="2090" customWidth="1"/>
    <col min="10247" max="10247" width="11" style="2090" customWidth="1"/>
    <col min="10248" max="10248" width="12.7109375" style="2090" customWidth="1"/>
    <col min="10249" max="10249" width="12.140625" style="2090" customWidth="1"/>
    <col min="10250" max="10250" width="11.28515625" style="2090" customWidth="1"/>
    <col min="10251" max="10251" width="11.42578125" style="2090" customWidth="1"/>
    <col min="10252" max="10252" width="12" style="2090" customWidth="1"/>
    <col min="10253" max="10253" width="3.42578125" style="2090" customWidth="1"/>
    <col min="10254" max="10496" width="9.140625" style="2090"/>
    <col min="10497" max="10497" width="17" style="2090" customWidth="1"/>
    <col min="10498" max="10498" width="12.28515625" style="2090" customWidth="1"/>
    <col min="10499" max="10499" width="11.28515625" style="2090" customWidth="1"/>
    <col min="10500" max="10500" width="15" style="2090" customWidth="1"/>
    <col min="10501" max="10501" width="14" style="2090" customWidth="1"/>
    <col min="10502" max="10502" width="13" style="2090" customWidth="1"/>
    <col min="10503" max="10503" width="11" style="2090" customWidth="1"/>
    <col min="10504" max="10504" width="12.7109375" style="2090" customWidth="1"/>
    <col min="10505" max="10505" width="12.140625" style="2090" customWidth="1"/>
    <col min="10506" max="10506" width="11.28515625" style="2090" customWidth="1"/>
    <col min="10507" max="10507" width="11.42578125" style="2090" customWidth="1"/>
    <col min="10508" max="10508" width="12" style="2090" customWidth="1"/>
    <col min="10509" max="10509" width="3.42578125" style="2090" customWidth="1"/>
    <col min="10510" max="10752" width="9.140625" style="2090"/>
    <col min="10753" max="10753" width="17" style="2090" customWidth="1"/>
    <col min="10754" max="10754" width="12.28515625" style="2090" customWidth="1"/>
    <col min="10755" max="10755" width="11.28515625" style="2090" customWidth="1"/>
    <col min="10756" max="10756" width="15" style="2090" customWidth="1"/>
    <col min="10757" max="10757" width="14" style="2090" customWidth="1"/>
    <col min="10758" max="10758" width="13" style="2090" customWidth="1"/>
    <col min="10759" max="10759" width="11" style="2090" customWidth="1"/>
    <col min="10760" max="10760" width="12.7109375" style="2090" customWidth="1"/>
    <col min="10761" max="10761" width="12.140625" style="2090" customWidth="1"/>
    <col min="10762" max="10762" width="11.28515625" style="2090" customWidth="1"/>
    <col min="10763" max="10763" width="11.42578125" style="2090" customWidth="1"/>
    <col min="10764" max="10764" width="12" style="2090" customWidth="1"/>
    <col min="10765" max="10765" width="3.42578125" style="2090" customWidth="1"/>
    <col min="10766" max="11008" width="9.140625" style="2090"/>
    <col min="11009" max="11009" width="17" style="2090" customWidth="1"/>
    <col min="11010" max="11010" width="12.28515625" style="2090" customWidth="1"/>
    <col min="11011" max="11011" width="11.28515625" style="2090" customWidth="1"/>
    <col min="11012" max="11012" width="15" style="2090" customWidth="1"/>
    <col min="11013" max="11013" width="14" style="2090" customWidth="1"/>
    <col min="11014" max="11014" width="13" style="2090" customWidth="1"/>
    <col min="11015" max="11015" width="11" style="2090" customWidth="1"/>
    <col min="11016" max="11016" width="12.7109375" style="2090" customWidth="1"/>
    <col min="11017" max="11017" width="12.140625" style="2090" customWidth="1"/>
    <col min="11018" max="11018" width="11.28515625" style="2090" customWidth="1"/>
    <col min="11019" max="11019" width="11.42578125" style="2090" customWidth="1"/>
    <col min="11020" max="11020" width="12" style="2090" customWidth="1"/>
    <col min="11021" max="11021" width="3.42578125" style="2090" customWidth="1"/>
    <col min="11022" max="11264" width="9.140625" style="2090"/>
    <col min="11265" max="11265" width="17" style="2090" customWidth="1"/>
    <col min="11266" max="11266" width="12.28515625" style="2090" customWidth="1"/>
    <col min="11267" max="11267" width="11.28515625" style="2090" customWidth="1"/>
    <col min="11268" max="11268" width="15" style="2090" customWidth="1"/>
    <col min="11269" max="11269" width="14" style="2090" customWidth="1"/>
    <col min="11270" max="11270" width="13" style="2090" customWidth="1"/>
    <col min="11271" max="11271" width="11" style="2090" customWidth="1"/>
    <col min="11272" max="11272" width="12.7109375" style="2090" customWidth="1"/>
    <col min="11273" max="11273" width="12.140625" style="2090" customWidth="1"/>
    <col min="11274" max="11274" width="11.28515625" style="2090" customWidth="1"/>
    <col min="11275" max="11275" width="11.42578125" style="2090" customWidth="1"/>
    <col min="11276" max="11276" width="12" style="2090" customWidth="1"/>
    <col min="11277" max="11277" width="3.42578125" style="2090" customWidth="1"/>
    <col min="11278" max="11520" width="9.140625" style="2090"/>
    <col min="11521" max="11521" width="17" style="2090" customWidth="1"/>
    <col min="11522" max="11522" width="12.28515625" style="2090" customWidth="1"/>
    <col min="11523" max="11523" width="11.28515625" style="2090" customWidth="1"/>
    <col min="11524" max="11524" width="15" style="2090" customWidth="1"/>
    <col min="11525" max="11525" width="14" style="2090" customWidth="1"/>
    <col min="11526" max="11526" width="13" style="2090" customWidth="1"/>
    <col min="11527" max="11527" width="11" style="2090" customWidth="1"/>
    <col min="11528" max="11528" width="12.7109375" style="2090" customWidth="1"/>
    <col min="11529" max="11529" width="12.140625" style="2090" customWidth="1"/>
    <col min="11530" max="11530" width="11.28515625" style="2090" customWidth="1"/>
    <col min="11531" max="11531" width="11.42578125" style="2090" customWidth="1"/>
    <col min="11532" max="11532" width="12" style="2090" customWidth="1"/>
    <col min="11533" max="11533" width="3.42578125" style="2090" customWidth="1"/>
    <col min="11534" max="11776" width="9.140625" style="2090"/>
    <col min="11777" max="11777" width="17" style="2090" customWidth="1"/>
    <col min="11778" max="11778" width="12.28515625" style="2090" customWidth="1"/>
    <col min="11779" max="11779" width="11.28515625" style="2090" customWidth="1"/>
    <col min="11780" max="11780" width="15" style="2090" customWidth="1"/>
    <col min="11781" max="11781" width="14" style="2090" customWidth="1"/>
    <col min="11782" max="11782" width="13" style="2090" customWidth="1"/>
    <col min="11783" max="11783" width="11" style="2090" customWidth="1"/>
    <col min="11784" max="11784" width="12.7109375" style="2090" customWidth="1"/>
    <col min="11785" max="11785" width="12.140625" style="2090" customWidth="1"/>
    <col min="11786" max="11786" width="11.28515625" style="2090" customWidth="1"/>
    <col min="11787" max="11787" width="11.42578125" style="2090" customWidth="1"/>
    <col min="11788" max="11788" width="12" style="2090" customWidth="1"/>
    <col min="11789" max="11789" width="3.42578125" style="2090" customWidth="1"/>
    <col min="11790" max="12032" width="9.140625" style="2090"/>
    <col min="12033" max="12033" width="17" style="2090" customWidth="1"/>
    <col min="12034" max="12034" width="12.28515625" style="2090" customWidth="1"/>
    <col min="12035" max="12035" width="11.28515625" style="2090" customWidth="1"/>
    <col min="12036" max="12036" width="15" style="2090" customWidth="1"/>
    <col min="12037" max="12037" width="14" style="2090" customWidth="1"/>
    <col min="12038" max="12038" width="13" style="2090" customWidth="1"/>
    <col min="12039" max="12039" width="11" style="2090" customWidth="1"/>
    <col min="12040" max="12040" width="12.7109375" style="2090" customWidth="1"/>
    <col min="12041" max="12041" width="12.140625" style="2090" customWidth="1"/>
    <col min="12042" max="12042" width="11.28515625" style="2090" customWidth="1"/>
    <col min="12043" max="12043" width="11.42578125" style="2090" customWidth="1"/>
    <col min="12044" max="12044" width="12" style="2090" customWidth="1"/>
    <col min="12045" max="12045" width="3.42578125" style="2090" customWidth="1"/>
    <col min="12046" max="12288" width="9.140625" style="2090"/>
    <col min="12289" max="12289" width="17" style="2090" customWidth="1"/>
    <col min="12290" max="12290" width="12.28515625" style="2090" customWidth="1"/>
    <col min="12291" max="12291" width="11.28515625" style="2090" customWidth="1"/>
    <col min="12292" max="12292" width="15" style="2090" customWidth="1"/>
    <col min="12293" max="12293" width="14" style="2090" customWidth="1"/>
    <col min="12294" max="12294" width="13" style="2090" customWidth="1"/>
    <col min="12295" max="12295" width="11" style="2090" customWidth="1"/>
    <col min="12296" max="12296" width="12.7109375" style="2090" customWidth="1"/>
    <col min="12297" max="12297" width="12.140625" style="2090" customWidth="1"/>
    <col min="12298" max="12298" width="11.28515625" style="2090" customWidth="1"/>
    <col min="12299" max="12299" width="11.42578125" style="2090" customWidth="1"/>
    <col min="12300" max="12300" width="12" style="2090" customWidth="1"/>
    <col min="12301" max="12301" width="3.42578125" style="2090" customWidth="1"/>
    <col min="12302" max="12544" width="9.140625" style="2090"/>
    <col min="12545" max="12545" width="17" style="2090" customWidth="1"/>
    <col min="12546" max="12546" width="12.28515625" style="2090" customWidth="1"/>
    <col min="12547" max="12547" width="11.28515625" style="2090" customWidth="1"/>
    <col min="12548" max="12548" width="15" style="2090" customWidth="1"/>
    <col min="12549" max="12549" width="14" style="2090" customWidth="1"/>
    <col min="12550" max="12550" width="13" style="2090" customWidth="1"/>
    <col min="12551" max="12551" width="11" style="2090" customWidth="1"/>
    <col min="12552" max="12552" width="12.7109375" style="2090" customWidth="1"/>
    <col min="12553" max="12553" width="12.140625" style="2090" customWidth="1"/>
    <col min="12554" max="12554" width="11.28515625" style="2090" customWidth="1"/>
    <col min="12555" max="12555" width="11.42578125" style="2090" customWidth="1"/>
    <col min="12556" max="12556" width="12" style="2090" customWidth="1"/>
    <col min="12557" max="12557" width="3.42578125" style="2090" customWidth="1"/>
    <col min="12558" max="12800" width="9.140625" style="2090"/>
    <col min="12801" max="12801" width="17" style="2090" customWidth="1"/>
    <col min="12802" max="12802" width="12.28515625" style="2090" customWidth="1"/>
    <col min="12803" max="12803" width="11.28515625" style="2090" customWidth="1"/>
    <col min="12804" max="12804" width="15" style="2090" customWidth="1"/>
    <col min="12805" max="12805" width="14" style="2090" customWidth="1"/>
    <col min="12806" max="12806" width="13" style="2090" customWidth="1"/>
    <col min="12807" max="12807" width="11" style="2090" customWidth="1"/>
    <col min="12808" max="12808" width="12.7109375" style="2090" customWidth="1"/>
    <col min="12809" max="12809" width="12.140625" style="2090" customWidth="1"/>
    <col min="12810" max="12810" width="11.28515625" style="2090" customWidth="1"/>
    <col min="12811" max="12811" width="11.42578125" style="2090" customWidth="1"/>
    <col min="12812" max="12812" width="12" style="2090" customWidth="1"/>
    <col min="12813" max="12813" width="3.42578125" style="2090" customWidth="1"/>
    <col min="12814" max="13056" width="9.140625" style="2090"/>
    <col min="13057" max="13057" width="17" style="2090" customWidth="1"/>
    <col min="13058" max="13058" width="12.28515625" style="2090" customWidth="1"/>
    <col min="13059" max="13059" width="11.28515625" style="2090" customWidth="1"/>
    <col min="13060" max="13060" width="15" style="2090" customWidth="1"/>
    <col min="13061" max="13061" width="14" style="2090" customWidth="1"/>
    <col min="13062" max="13062" width="13" style="2090" customWidth="1"/>
    <col min="13063" max="13063" width="11" style="2090" customWidth="1"/>
    <col min="13064" max="13064" width="12.7109375" style="2090" customWidth="1"/>
    <col min="13065" max="13065" width="12.140625" style="2090" customWidth="1"/>
    <col min="13066" max="13066" width="11.28515625" style="2090" customWidth="1"/>
    <col min="13067" max="13067" width="11.42578125" style="2090" customWidth="1"/>
    <col min="13068" max="13068" width="12" style="2090" customWidth="1"/>
    <col min="13069" max="13069" width="3.42578125" style="2090" customWidth="1"/>
    <col min="13070" max="13312" width="9.140625" style="2090"/>
    <col min="13313" max="13313" width="17" style="2090" customWidth="1"/>
    <col min="13314" max="13314" width="12.28515625" style="2090" customWidth="1"/>
    <col min="13315" max="13315" width="11.28515625" style="2090" customWidth="1"/>
    <col min="13316" max="13316" width="15" style="2090" customWidth="1"/>
    <col min="13317" max="13317" width="14" style="2090" customWidth="1"/>
    <col min="13318" max="13318" width="13" style="2090" customWidth="1"/>
    <col min="13319" max="13319" width="11" style="2090" customWidth="1"/>
    <col min="13320" max="13320" width="12.7109375" style="2090" customWidth="1"/>
    <col min="13321" max="13321" width="12.140625" style="2090" customWidth="1"/>
    <col min="13322" max="13322" width="11.28515625" style="2090" customWidth="1"/>
    <col min="13323" max="13323" width="11.42578125" style="2090" customWidth="1"/>
    <col min="13324" max="13324" width="12" style="2090" customWidth="1"/>
    <col min="13325" max="13325" width="3.42578125" style="2090" customWidth="1"/>
    <col min="13326" max="13568" width="9.140625" style="2090"/>
    <col min="13569" max="13569" width="17" style="2090" customWidth="1"/>
    <col min="13570" max="13570" width="12.28515625" style="2090" customWidth="1"/>
    <col min="13571" max="13571" width="11.28515625" style="2090" customWidth="1"/>
    <col min="13572" max="13572" width="15" style="2090" customWidth="1"/>
    <col min="13573" max="13573" width="14" style="2090" customWidth="1"/>
    <col min="13574" max="13574" width="13" style="2090" customWidth="1"/>
    <col min="13575" max="13575" width="11" style="2090" customWidth="1"/>
    <col min="13576" max="13576" width="12.7109375" style="2090" customWidth="1"/>
    <col min="13577" max="13577" width="12.140625" style="2090" customWidth="1"/>
    <col min="13578" max="13578" width="11.28515625" style="2090" customWidth="1"/>
    <col min="13579" max="13579" width="11.42578125" style="2090" customWidth="1"/>
    <col min="13580" max="13580" width="12" style="2090" customWidth="1"/>
    <col min="13581" max="13581" width="3.42578125" style="2090" customWidth="1"/>
    <col min="13582" max="13824" width="9.140625" style="2090"/>
    <col min="13825" max="13825" width="17" style="2090" customWidth="1"/>
    <col min="13826" max="13826" width="12.28515625" style="2090" customWidth="1"/>
    <col min="13827" max="13827" width="11.28515625" style="2090" customWidth="1"/>
    <col min="13828" max="13828" width="15" style="2090" customWidth="1"/>
    <col min="13829" max="13829" width="14" style="2090" customWidth="1"/>
    <col min="13830" max="13830" width="13" style="2090" customWidth="1"/>
    <col min="13831" max="13831" width="11" style="2090" customWidth="1"/>
    <col min="13832" max="13832" width="12.7109375" style="2090" customWidth="1"/>
    <col min="13833" max="13833" width="12.140625" style="2090" customWidth="1"/>
    <col min="13834" max="13834" width="11.28515625" style="2090" customWidth="1"/>
    <col min="13835" max="13835" width="11.42578125" style="2090" customWidth="1"/>
    <col min="13836" max="13836" width="12" style="2090" customWidth="1"/>
    <col min="13837" max="13837" width="3.42578125" style="2090" customWidth="1"/>
    <col min="13838" max="14080" width="9.140625" style="2090"/>
    <col min="14081" max="14081" width="17" style="2090" customWidth="1"/>
    <col min="14082" max="14082" width="12.28515625" style="2090" customWidth="1"/>
    <col min="14083" max="14083" width="11.28515625" style="2090" customWidth="1"/>
    <col min="14084" max="14084" width="15" style="2090" customWidth="1"/>
    <col min="14085" max="14085" width="14" style="2090" customWidth="1"/>
    <col min="14086" max="14086" width="13" style="2090" customWidth="1"/>
    <col min="14087" max="14087" width="11" style="2090" customWidth="1"/>
    <col min="14088" max="14088" width="12.7109375" style="2090" customWidth="1"/>
    <col min="14089" max="14089" width="12.140625" style="2090" customWidth="1"/>
    <col min="14090" max="14090" width="11.28515625" style="2090" customWidth="1"/>
    <col min="14091" max="14091" width="11.42578125" style="2090" customWidth="1"/>
    <col min="14092" max="14092" width="12" style="2090" customWidth="1"/>
    <col min="14093" max="14093" width="3.42578125" style="2090" customWidth="1"/>
    <col min="14094" max="14336" width="9.140625" style="2090"/>
    <col min="14337" max="14337" width="17" style="2090" customWidth="1"/>
    <col min="14338" max="14338" width="12.28515625" style="2090" customWidth="1"/>
    <col min="14339" max="14339" width="11.28515625" style="2090" customWidth="1"/>
    <col min="14340" max="14340" width="15" style="2090" customWidth="1"/>
    <col min="14341" max="14341" width="14" style="2090" customWidth="1"/>
    <col min="14342" max="14342" width="13" style="2090" customWidth="1"/>
    <col min="14343" max="14343" width="11" style="2090" customWidth="1"/>
    <col min="14344" max="14344" width="12.7109375" style="2090" customWidth="1"/>
    <col min="14345" max="14345" width="12.140625" style="2090" customWidth="1"/>
    <col min="14346" max="14346" width="11.28515625" style="2090" customWidth="1"/>
    <col min="14347" max="14347" width="11.42578125" style="2090" customWidth="1"/>
    <col min="14348" max="14348" width="12" style="2090" customWidth="1"/>
    <col min="14349" max="14349" width="3.42578125" style="2090" customWidth="1"/>
    <col min="14350" max="14592" width="9.140625" style="2090"/>
    <col min="14593" max="14593" width="17" style="2090" customWidth="1"/>
    <col min="14594" max="14594" width="12.28515625" style="2090" customWidth="1"/>
    <col min="14595" max="14595" width="11.28515625" style="2090" customWidth="1"/>
    <col min="14596" max="14596" width="15" style="2090" customWidth="1"/>
    <col min="14597" max="14597" width="14" style="2090" customWidth="1"/>
    <col min="14598" max="14598" width="13" style="2090" customWidth="1"/>
    <col min="14599" max="14599" width="11" style="2090" customWidth="1"/>
    <col min="14600" max="14600" width="12.7109375" style="2090" customWidth="1"/>
    <col min="14601" max="14601" width="12.140625" style="2090" customWidth="1"/>
    <col min="14602" max="14602" width="11.28515625" style="2090" customWidth="1"/>
    <col min="14603" max="14603" width="11.42578125" style="2090" customWidth="1"/>
    <col min="14604" max="14604" width="12" style="2090" customWidth="1"/>
    <col min="14605" max="14605" width="3.42578125" style="2090" customWidth="1"/>
    <col min="14606" max="14848" width="9.140625" style="2090"/>
    <col min="14849" max="14849" width="17" style="2090" customWidth="1"/>
    <col min="14850" max="14850" width="12.28515625" style="2090" customWidth="1"/>
    <col min="14851" max="14851" width="11.28515625" style="2090" customWidth="1"/>
    <col min="14852" max="14852" width="15" style="2090" customWidth="1"/>
    <col min="14853" max="14853" width="14" style="2090" customWidth="1"/>
    <col min="14854" max="14854" width="13" style="2090" customWidth="1"/>
    <col min="14855" max="14855" width="11" style="2090" customWidth="1"/>
    <col min="14856" max="14856" width="12.7109375" style="2090" customWidth="1"/>
    <col min="14857" max="14857" width="12.140625" style="2090" customWidth="1"/>
    <col min="14858" max="14858" width="11.28515625" style="2090" customWidth="1"/>
    <col min="14859" max="14859" width="11.42578125" style="2090" customWidth="1"/>
    <col min="14860" max="14860" width="12" style="2090" customWidth="1"/>
    <col min="14861" max="14861" width="3.42578125" style="2090" customWidth="1"/>
    <col min="14862" max="15104" width="9.140625" style="2090"/>
    <col min="15105" max="15105" width="17" style="2090" customWidth="1"/>
    <col min="15106" max="15106" width="12.28515625" style="2090" customWidth="1"/>
    <col min="15107" max="15107" width="11.28515625" style="2090" customWidth="1"/>
    <col min="15108" max="15108" width="15" style="2090" customWidth="1"/>
    <col min="15109" max="15109" width="14" style="2090" customWidth="1"/>
    <col min="15110" max="15110" width="13" style="2090" customWidth="1"/>
    <col min="15111" max="15111" width="11" style="2090" customWidth="1"/>
    <col min="15112" max="15112" width="12.7109375" style="2090" customWidth="1"/>
    <col min="15113" max="15113" width="12.140625" style="2090" customWidth="1"/>
    <col min="15114" max="15114" width="11.28515625" style="2090" customWidth="1"/>
    <col min="15115" max="15115" width="11.42578125" style="2090" customWidth="1"/>
    <col min="15116" max="15116" width="12" style="2090" customWidth="1"/>
    <col min="15117" max="15117" width="3.42578125" style="2090" customWidth="1"/>
    <col min="15118" max="15360" width="9.140625" style="2090"/>
    <col min="15361" max="15361" width="17" style="2090" customWidth="1"/>
    <col min="15362" max="15362" width="12.28515625" style="2090" customWidth="1"/>
    <col min="15363" max="15363" width="11.28515625" style="2090" customWidth="1"/>
    <col min="15364" max="15364" width="15" style="2090" customWidth="1"/>
    <col min="15365" max="15365" width="14" style="2090" customWidth="1"/>
    <col min="15366" max="15366" width="13" style="2090" customWidth="1"/>
    <col min="15367" max="15367" width="11" style="2090" customWidth="1"/>
    <col min="15368" max="15368" width="12.7109375" style="2090" customWidth="1"/>
    <col min="15369" max="15369" width="12.140625" style="2090" customWidth="1"/>
    <col min="15370" max="15370" width="11.28515625" style="2090" customWidth="1"/>
    <col min="15371" max="15371" width="11.42578125" style="2090" customWidth="1"/>
    <col min="15372" max="15372" width="12" style="2090" customWidth="1"/>
    <col min="15373" max="15373" width="3.42578125" style="2090" customWidth="1"/>
    <col min="15374" max="15616" width="9.140625" style="2090"/>
    <col min="15617" max="15617" width="17" style="2090" customWidth="1"/>
    <col min="15618" max="15618" width="12.28515625" style="2090" customWidth="1"/>
    <col min="15619" max="15619" width="11.28515625" style="2090" customWidth="1"/>
    <col min="15620" max="15620" width="15" style="2090" customWidth="1"/>
    <col min="15621" max="15621" width="14" style="2090" customWidth="1"/>
    <col min="15622" max="15622" width="13" style="2090" customWidth="1"/>
    <col min="15623" max="15623" width="11" style="2090" customWidth="1"/>
    <col min="15624" max="15624" width="12.7109375" style="2090" customWidth="1"/>
    <col min="15625" max="15625" width="12.140625" style="2090" customWidth="1"/>
    <col min="15626" max="15626" width="11.28515625" style="2090" customWidth="1"/>
    <col min="15627" max="15627" width="11.42578125" style="2090" customWidth="1"/>
    <col min="15628" max="15628" width="12" style="2090" customWidth="1"/>
    <col min="15629" max="15629" width="3.42578125" style="2090" customWidth="1"/>
    <col min="15630" max="15872" width="9.140625" style="2090"/>
    <col min="15873" max="15873" width="17" style="2090" customWidth="1"/>
    <col min="15874" max="15874" width="12.28515625" style="2090" customWidth="1"/>
    <col min="15875" max="15875" width="11.28515625" style="2090" customWidth="1"/>
    <col min="15876" max="15876" width="15" style="2090" customWidth="1"/>
    <col min="15877" max="15877" width="14" style="2090" customWidth="1"/>
    <col min="15878" max="15878" width="13" style="2090" customWidth="1"/>
    <col min="15879" max="15879" width="11" style="2090" customWidth="1"/>
    <col min="15880" max="15880" width="12.7109375" style="2090" customWidth="1"/>
    <col min="15881" max="15881" width="12.140625" style="2090" customWidth="1"/>
    <col min="15882" max="15882" width="11.28515625" style="2090" customWidth="1"/>
    <col min="15883" max="15883" width="11.42578125" style="2090" customWidth="1"/>
    <col min="15884" max="15884" width="12" style="2090" customWidth="1"/>
    <col min="15885" max="15885" width="3.42578125" style="2090" customWidth="1"/>
    <col min="15886" max="16128" width="9.140625" style="2090"/>
    <col min="16129" max="16129" width="17" style="2090" customWidth="1"/>
    <col min="16130" max="16130" width="12.28515625" style="2090" customWidth="1"/>
    <col min="16131" max="16131" width="11.28515625" style="2090" customWidth="1"/>
    <col min="16132" max="16132" width="15" style="2090" customWidth="1"/>
    <col min="16133" max="16133" width="14" style="2090" customWidth="1"/>
    <col min="16134" max="16134" width="13" style="2090" customWidth="1"/>
    <col min="16135" max="16135" width="11" style="2090" customWidth="1"/>
    <col min="16136" max="16136" width="12.7109375" style="2090" customWidth="1"/>
    <col min="16137" max="16137" width="12.140625" style="2090" customWidth="1"/>
    <col min="16138" max="16138" width="11.28515625" style="2090" customWidth="1"/>
    <col min="16139" max="16139" width="11.42578125" style="2090" customWidth="1"/>
    <col min="16140" max="16140" width="12" style="2090" customWidth="1"/>
    <col min="16141" max="16141" width="3.42578125" style="2090" customWidth="1"/>
    <col min="16142" max="16384" width="9.140625" style="2090"/>
  </cols>
  <sheetData>
    <row r="2" spans="1:14" ht="23.25" customHeight="1" x14ac:dyDescent="0.15">
      <c r="A2" s="2688" t="s">
        <v>3402</v>
      </c>
      <c r="B2" s="2354"/>
      <c r="C2" s="2354"/>
      <c r="D2" s="2354"/>
      <c r="E2" s="2354"/>
      <c r="F2" s="2354"/>
      <c r="G2" s="2354"/>
      <c r="H2" s="2354"/>
      <c r="I2" s="2354"/>
      <c r="J2" s="2354"/>
      <c r="K2" s="2354"/>
      <c r="L2" s="2354"/>
    </row>
    <row r="3" spans="1:14" ht="11.25" customHeight="1" x14ac:dyDescent="0.15">
      <c r="A3" s="2347"/>
      <c r="B3" s="2348"/>
      <c r="C3" s="2348"/>
      <c r="D3" s="2348"/>
      <c r="E3" s="2348"/>
      <c r="F3" s="2348"/>
      <c r="G3" s="2348"/>
      <c r="H3" s="2348"/>
      <c r="I3" s="2348"/>
      <c r="J3" s="2348"/>
      <c r="K3" s="2348"/>
      <c r="L3" s="2348"/>
    </row>
    <row r="4" spans="1:14" x14ac:dyDescent="0.15">
      <c r="A4" s="3393" t="s">
        <v>1</v>
      </c>
      <c r="B4" s="3394" t="s">
        <v>174</v>
      </c>
      <c r="C4" s="3403"/>
      <c r="D4" s="3403"/>
      <c r="E4" s="3403"/>
      <c r="F4" s="3403"/>
      <c r="G4" s="3403"/>
      <c r="H4" s="3403"/>
      <c r="I4" s="3403"/>
      <c r="J4" s="3403"/>
      <c r="K4" s="3403"/>
      <c r="L4" s="3404"/>
    </row>
    <row r="5" spans="1:14" x14ac:dyDescent="0.15">
      <c r="A5" s="2460"/>
      <c r="B5" s="3393" t="s">
        <v>141</v>
      </c>
      <c r="C5" s="2361" t="s">
        <v>1474</v>
      </c>
      <c r="D5" s="3405"/>
      <c r="E5" s="3405"/>
      <c r="F5" s="3405"/>
      <c r="G5" s="3405"/>
      <c r="H5" s="3405"/>
      <c r="I5" s="3405"/>
      <c r="J5" s="3405"/>
      <c r="K5" s="3405"/>
      <c r="L5" s="3406"/>
    </row>
    <row r="6" spans="1:14" ht="21" x14ac:dyDescent="0.15">
      <c r="A6" s="2360"/>
      <c r="B6" s="2360"/>
      <c r="C6" s="2094" t="s">
        <v>3403</v>
      </c>
      <c r="D6" s="1617" t="s">
        <v>3404</v>
      </c>
      <c r="E6" s="1617" t="s">
        <v>3405</v>
      </c>
      <c r="F6" s="1617" t="s">
        <v>3381</v>
      </c>
      <c r="G6" s="1617" t="s">
        <v>3406</v>
      </c>
      <c r="H6" s="1617" t="s">
        <v>3407</v>
      </c>
      <c r="I6" s="1617" t="s">
        <v>3348</v>
      </c>
      <c r="J6" s="1617" t="s">
        <v>3376</v>
      </c>
      <c r="K6" s="1617" t="s">
        <v>3408</v>
      </c>
      <c r="L6" s="1617" t="s">
        <v>3409</v>
      </c>
    </row>
    <row r="7" spans="1:14" x14ac:dyDescent="0.15">
      <c r="A7" s="2146" t="s">
        <v>141</v>
      </c>
      <c r="B7" s="543">
        <f t="shared" ref="B7:L7" si="0">SUM(B8:B22)</f>
        <v>3636531</v>
      </c>
      <c r="C7" s="543">
        <f t="shared" si="0"/>
        <v>1677578</v>
      </c>
      <c r="D7" s="543">
        <f t="shared" si="0"/>
        <v>391667</v>
      </c>
      <c r="E7" s="543">
        <f t="shared" si="0"/>
        <v>444596</v>
      </c>
      <c r="F7" s="543">
        <f t="shared" si="0"/>
        <v>450627</v>
      </c>
      <c r="G7" s="543">
        <f t="shared" si="0"/>
        <v>140779</v>
      </c>
      <c r="H7" s="543">
        <f t="shared" si="0"/>
        <v>151606</v>
      </c>
      <c r="I7" s="543">
        <f t="shared" si="0"/>
        <v>134489</v>
      </c>
      <c r="J7" s="543">
        <f t="shared" si="0"/>
        <v>22243</v>
      </c>
      <c r="K7" s="543">
        <f t="shared" si="0"/>
        <v>110734</v>
      </c>
      <c r="L7" s="543">
        <f t="shared" si="0"/>
        <v>112212</v>
      </c>
    </row>
    <row r="8" spans="1:14" x14ac:dyDescent="0.15">
      <c r="A8" s="2092" t="s">
        <v>5</v>
      </c>
      <c r="B8" s="543">
        <f>SUM(C8:L8)</f>
        <v>14724</v>
      </c>
      <c r="C8" s="545">
        <v>4923</v>
      </c>
      <c r="D8" s="545">
        <v>211</v>
      </c>
      <c r="E8" s="545">
        <v>1445</v>
      </c>
      <c r="F8" s="545">
        <v>5080</v>
      </c>
      <c r="G8" s="545">
        <v>1705</v>
      </c>
      <c r="H8" s="545">
        <v>0</v>
      </c>
      <c r="I8" s="545">
        <v>1260</v>
      </c>
      <c r="J8" s="545">
        <v>0</v>
      </c>
      <c r="K8" s="545">
        <v>100</v>
      </c>
      <c r="L8" s="545">
        <v>0</v>
      </c>
    </row>
    <row r="9" spans="1:14" x14ac:dyDescent="0.15">
      <c r="A9" s="2092" t="s">
        <v>6</v>
      </c>
      <c r="B9" s="543">
        <f t="shared" ref="B9:B22" si="1">SUM(C9:L9)</f>
        <v>69750</v>
      </c>
      <c r="C9" s="545">
        <v>30000</v>
      </c>
      <c r="D9" s="545">
        <v>5000</v>
      </c>
      <c r="E9" s="545">
        <v>1510</v>
      </c>
      <c r="F9" s="545">
        <v>2625</v>
      </c>
      <c r="G9" s="545">
        <v>2785</v>
      </c>
      <c r="H9" s="545">
        <v>0</v>
      </c>
      <c r="I9" s="1619">
        <v>26500</v>
      </c>
      <c r="J9" s="545">
        <v>210</v>
      </c>
      <c r="K9" s="545">
        <v>20</v>
      </c>
      <c r="L9" s="545">
        <v>1100</v>
      </c>
    </row>
    <row r="10" spans="1:14" ht="11.25" x14ac:dyDescent="0.15">
      <c r="A10" s="2092" t="s">
        <v>4268</v>
      </c>
      <c r="B10" s="543">
        <f t="shared" si="1"/>
        <v>152876</v>
      </c>
      <c r="C10" s="545">
        <v>69898</v>
      </c>
      <c r="D10" s="545">
        <v>10730</v>
      </c>
      <c r="E10" s="545">
        <v>4619</v>
      </c>
      <c r="F10" s="545">
        <v>36044</v>
      </c>
      <c r="G10" s="545">
        <v>1500</v>
      </c>
      <c r="H10" s="545">
        <v>5650</v>
      </c>
      <c r="I10" s="545">
        <v>2700</v>
      </c>
      <c r="J10" s="545">
        <v>865</v>
      </c>
      <c r="K10" s="545">
        <v>450</v>
      </c>
      <c r="L10" s="545">
        <v>20420</v>
      </c>
    </row>
    <row r="11" spans="1:14" ht="11.25" x14ac:dyDescent="0.15">
      <c r="A11" s="2092" t="s">
        <v>4270</v>
      </c>
      <c r="B11" s="543">
        <f t="shared" si="1"/>
        <v>93707</v>
      </c>
      <c r="C11" s="545">
        <v>46933</v>
      </c>
      <c r="D11" s="545">
        <v>4242</v>
      </c>
      <c r="E11" s="545">
        <v>20442</v>
      </c>
      <c r="F11" s="545">
        <v>7470</v>
      </c>
      <c r="G11" s="545">
        <v>2335</v>
      </c>
      <c r="H11" s="545">
        <v>2260</v>
      </c>
      <c r="I11" s="545">
        <v>5225</v>
      </c>
      <c r="J11" s="545">
        <v>395</v>
      </c>
      <c r="K11" s="545">
        <v>2720</v>
      </c>
      <c r="L11" s="545">
        <v>1685</v>
      </c>
    </row>
    <row r="12" spans="1:14" ht="11.25" x14ac:dyDescent="0.15">
      <c r="A12" s="2092" t="s">
        <v>4269</v>
      </c>
      <c r="B12" s="543">
        <f t="shared" si="1"/>
        <v>121247</v>
      </c>
      <c r="C12" s="545">
        <v>60739</v>
      </c>
      <c r="D12" s="545">
        <v>400</v>
      </c>
      <c r="E12" s="545">
        <v>11760</v>
      </c>
      <c r="F12" s="545">
        <v>25660</v>
      </c>
      <c r="G12" s="545">
        <v>4023</v>
      </c>
      <c r="H12" s="545">
        <v>4000</v>
      </c>
      <c r="I12" s="545">
        <v>4885</v>
      </c>
      <c r="J12" s="545">
        <v>1710</v>
      </c>
      <c r="K12" s="545">
        <v>6100</v>
      </c>
      <c r="L12" s="545">
        <v>1970</v>
      </c>
    </row>
    <row r="13" spans="1:14" ht="11.25" x14ac:dyDescent="0.15">
      <c r="A13" s="2092" t="s">
        <v>4271</v>
      </c>
      <c r="B13" s="543">
        <f t="shared" si="1"/>
        <v>336315</v>
      </c>
      <c r="C13" s="545">
        <v>183484</v>
      </c>
      <c r="D13" s="545">
        <v>28448</v>
      </c>
      <c r="E13" s="545">
        <v>32776</v>
      </c>
      <c r="F13" s="545">
        <v>24812</v>
      </c>
      <c r="G13" s="545">
        <v>15302</v>
      </c>
      <c r="H13" s="545">
        <v>16584</v>
      </c>
      <c r="I13" s="545">
        <v>14321</v>
      </c>
      <c r="J13" s="545">
        <v>2060</v>
      </c>
      <c r="K13" s="545">
        <v>8708</v>
      </c>
      <c r="L13" s="545">
        <v>9820</v>
      </c>
      <c r="M13" s="2093"/>
      <c r="N13" s="2093"/>
    </row>
    <row r="14" spans="1:14" x14ac:dyDescent="0.15">
      <c r="A14" s="2092" t="s">
        <v>11</v>
      </c>
      <c r="B14" s="543">
        <f t="shared" si="1"/>
        <v>595381</v>
      </c>
      <c r="C14" s="545">
        <v>132722</v>
      </c>
      <c r="D14" s="545">
        <v>258509</v>
      </c>
      <c r="E14" s="545">
        <v>10732</v>
      </c>
      <c r="F14" s="545">
        <v>81428</v>
      </c>
      <c r="G14" s="545">
        <v>24295</v>
      </c>
      <c r="H14" s="545">
        <v>27970</v>
      </c>
      <c r="I14" s="545">
        <v>13194</v>
      </c>
      <c r="J14" s="545">
        <v>6281</v>
      </c>
      <c r="K14" s="545">
        <v>18165</v>
      </c>
      <c r="L14" s="545">
        <v>22085</v>
      </c>
      <c r="M14" s="2093"/>
      <c r="N14" s="2093"/>
    </row>
    <row r="15" spans="1:14" x14ac:dyDescent="0.15">
      <c r="A15" s="2092" t="s">
        <v>12</v>
      </c>
      <c r="B15" s="543">
        <f t="shared" si="1"/>
        <v>193985</v>
      </c>
      <c r="C15" s="545">
        <v>109260</v>
      </c>
      <c r="D15" s="545">
        <v>1740</v>
      </c>
      <c r="E15" s="545">
        <v>28009</v>
      </c>
      <c r="F15" s="545">
        <v>14442</v>
      </c>
      <c r="G15" s="545">
        <v>6930</v>
      </c>
      <c r="H15" s="545">
        <v>2295</v>
      </c>
      <c r="I15" s="545">
        <v>7830</v>
      </c>
      <c r="J15" s="545">
        <v>3605</v>
      </c>
      <c r="K15" s="545">
        <v>10264</v>
      </c>
      <c r="L15" s="545">
        <v>9610</v>
      </c>
      <c r="M15" s="2093"/>
      <c r="N15" s="2093"/>
    </row>
    <row r="16" spans="1:14" x14ac:dyDescent="0.15">
      <c r="A16" s="2092" t="s">
        <v>13</v>
      </c>
      <c r="B16" s="543">
        <f t="shared" si="1"/>
        <v>331050</v>
      </c>
      <c r="C16" s="545">
        <v>70348</v>
      </c>
      <c r="D16" s="545">
        <v>28004</v>
      </c>
      <c r="E16" s="545">
        <v>50890</v>
      </c>
      <c r="F16" s="545">
        <v>73138</v>
      </c>
      <c r="G16" s="545">
        <v>29897</v>
      </c>
      <c r="H16" s="545">
        <v>51973</v>
      </c>
      <c r="I16" s="545">
        <v>17195</v>
      </c>
      <c r="J16" s="545">
        <v>1010</v>
      </c>
      <c r="K16" s="545">
        <v>8095</v>
      </c>
      <c r="L16" s="545">
        <v>500</v>
      </c>
      <c r="M16" s="2093"/>
      <c r="N16" s="2093"/>
    </row>
    <row r="17" spans="1:14" x14ac:dyDescent="0.15">
      <c r="A17" s="2092" t="s">
        <v>14</v>
      </c>
      <c r="B17" s="543">
        <f t="shared" si="1"/>
        <v>673564</v>
      </c>
      <c r="C17" s="545">
        <v>454322</v>
      </c>
      <c r="D17" s="545">
        <v>11916</v>
      </c>
      <c r="E17" s="545">
        <v>72716</v>
      </c>
      <c r="F17" s="545">
        <v>35705</v>
      </c>
      <c r="G17" s="545">
        <v>23320</v>
      </c>
      <c r="H17" s="545">
        <v>5120</v>
      </c>
      <c r="I17" s="545">
        <v>19215</v>
      </c>
      <c r="J17" s="545">
        <v>3562</v>
      </c>
      <c r="K17" s="545">
        <v>27828</v>
      </c>
      <c r="L17" s="545">
        <v>19860</v>
      </c>
      <c r="M17" s="2093"/>
      <c r="N17" s="2093"/>
    </row>
    <row r="18" spans="1:14" x14ac:dyDescent="0.15">
      <c r="A18" s="2092" t="s">
        <v>15</v>
      </c>
      <c r="B18" s="543">
        <f t="shared" si="1"/>
        <v>723262</v>
      </c>
      <c r="C18" s="545">
        <v>395262</v>
      </c>
      <c r="D18" s="545">
        <v>25740</v>
      </c>
      <c r="E18" s="545">
        <v>140288</v>
      </c>
      <c r="F18" s="545">
        <v>75803</v>
      </c>
      <c r="G18" s="545">
        <v>21162</v>
      </c>
      <c r="H18" s="545">
        <v>22814</v>
      </c>
      <c r="I18" s="545">
        <v>13893</v>
      </c>
      <c r="J18" s="545">
        <v>1663</v>
      </c>
      <c r="K18" s="545">
        <v>16707</v>
      </c>
      <c r="L18" s="545">
        <v>9930</v>
      </c>
      <c r="M18" s="2093"/>
      <c r="N18" s="2093"/>
    </row>
    <row r="19" spans="1:14" x14ac:dyDescent="0.15">
      <c r="A19" s="2092" t="s">
        <v>16</v>
      </c>
      <c r="B19" s="543">
        <f t="shared" si="1"/>
        <v>54102</v>
      </c>
      <c r="C19" s="545">
        <v>16586</v>
      </c>
      <c r="D19" s="545">
        <v>186</v>
      </c>
      <c r="E19" s="545">
        <v>12198</v>
      </c>
      <c r="F19" s="545">
        <v>11589</v>
      </c>
      <c r="G19" s="545">
        <v>3025</v>
      </c>
      <c r="H19" s="545">
        <v>3890</v>
      </c>
      <c r="I19" s="545">
        <v>6053</v>
      </c>
      <c r="J19" s="545">
        <v>0</v>
      </c>
      <c r="K19" s="545">
        <v>365</v>
      </c>
      <c r="L19" s="545">
        <v>210</v>
      </c>
      <c r="M19" s="2093"/>
      <c r="N19" s="2093"/>
    </row>
    <row r="20" spans="1:14" x14ac:dyDescent="0.15">
      <c r="A20" s="2092" t="s">
        <v>17</v>
      </c>
      <c r="B20" s="543">
        <f t="shared" si="1"/>
        <v>160155</v>
      </c>
      <c r="C20" s="545">
        <v>75386</v>
      </c>
      <c r="D20" s="545">
        <v>13841</v>
      </c>
      <c r="E20" s="545">
        <v>18079</v>
      </c>
      <c r="F20" s="545">
        <v>25497</v>
      </c>
      <c r="G20" s="545">
        <v>3140</v>
      </c>
      <c r="H20" s="545">
        <v>6150</v>
      </c>
      <c r="I20" s="545">
        <v>398</v>
      </c>
      <c r="J20" s="545">
        <v>0</v>
      </c>
      <c r="K20" s="545">
        <v>11012</v>
      </c>
      <c r="L20" s="545">
        <v>6652</v>
      </c>
      <c r="M20" s="2093"/>
      <c r="N20" s="2093"/>
    </row>
    <row r="21" spans="1:14" x14ac:dyDescent="0.15">
      <c r="A21" s="2092" t="s">
        <v>18</v>
      </c>
      <c r="B21" s="543">
        <f t="shared" si="1"/>
        <v>52388</v>
      </c>
      <c r="C21" s="545">
        <v>25020</v>
      </c>
      <c r="D21" s="545">
        <v>2700</v>
      </c>
      <c r="E21" s="545">
        <v>3472</v>
      </c>
      <c r="F21" s="545">
        <v>16934</v>
      </c>
      <c r="G21" s="545">
        <v>1360</v>
      </c>
      <c r="H21" s="545">
        <v>1100</v>
      </c>
      <c r="I21" s="545">
        <v>220</v>
      </c>
      <c r="J21" s="545">
        <v>282</v>
      </c>
      <c r="K21" s="545">
        <v>200</v>
      </c>
      <c r="L21" s="545">
        <v>1100</v>
      </c>
      <c r="M21" s="2093"/>
      <c r="N21" s="2093"/>
    </row>
    <row r="22" spans="1:14" x14ac:dyDescent="0.15">
      <c r="A22" s="2092" t="s">
        <v>19</v>
      </c>
      <c r="B22" s="543">
        <f t="shared" si="1"/>
        <v>64025</v>
      </c>
      <c r="C22" s="545">
        <v>2695</v>
      </c>
      <c r="D22" s="545">
        <v>0</v>
      </c>
      <c r="E22" s="545">
        <v>35660</v>
      </c>
      <c r="F22" s="545">
        <v>14400</v>
      </c>
      <c r="G22" s="545">
        <v>0</v>
      </c>
      <c r="H22" s="545">
        <v>1800</v>
      </c>
      <c r="I22" s="545">
        <v>1600</v>
      </c>
      <c r="J22" s="545">
        <v>600</v>
      </c>
      <c r="K22" s="545">
        <v>0</v>
      </c>
      <c r="L22" s="545">
        <v>7270</v>
      </c>
      <c r="M22" s="2093"/>
      <c r="N22" s="2093"/>
    </row>
    <row r="23" spans="1:14" ht="11.25" customHeight="1" x14ac:dyDescent="0.15">
      <c r="A23" s="2356"/>
      <c r="B23" s="2357"/>
      <c r="C23" s="2357"/>
      <c r="D23" s="2357"/>
      <c r="E23" s="2357"/>
      <c r="F23" s="2357"/>
      <c r="G23" s="2357"/>
      <c r="H23" s="2357"/>
      <c r="I23" s="2357"/>
      <c r="J23" s="2357"/>
      <c r="K23" s="2357"/>
      <c r="L23" s="2357"/>
      <c r="M23" s="2093"/>
      <c r="N23" s="2093"/>
    </row>
    <row r="24" spans="1:14" ht="22.5" customHeight="1" x14ac:dyDescent="0.15">
      <c r="A24" s="2414" t="s">
        <v>3410</v>
      </c>
      <c r="B24" s="2408"/>
      <c r="C24" s="2408"/>
      <c r="D24" s="2408"/>
      <c r="E24" s="2408"/>
      <c r="F24" s="2408"/>
      <c r="G24" s="2408"/>
      <c r="H24" s="2408"/>
      <c r="I24" s="2408"/>
      <c r="J24" s="2408"/>
      <c r="K24" s="2408"/>
      <c r="L24" s="2408"/>
      <c r="M24" s="2093"/>
      <c r="N24" s="2093"/>
    </row>
    <row r="25" spans="1:14" ht="10.5" customHeight="1" x14ac:dyDescent="0.15">
      <c r="A25" s="2699" t="s">
        <v>1489</v>
      </c>
      <c r="B25" s="2699"/>
      <c r="C25" s="2699"/>
      <c r="D25" s="2699"/>
      <c r="E25" s="2699"/>
      <c r="F25" s="2699"/>
      <c r="G25" s="2699"/>
      <c r="H25" s="2699"/>
      <c r="I25" s="2699"/>
      <c r="J25" s="2699"/>
      <c r="K25" s="2699"/>
      <c r="L25" s="2699"/>
      <c r="M25" s="2093"/>
      <c r="N25" s="2093"/>
    </row>
    <row r="26" spans="1:14" ht="10.5" customHeight="1" x14ac:dyDescent="0.15">
      <c r="A26" s="2463" t="s">
        <v>20</v>
      </c>
      <c r="B26" s="2408"/>
      <c r="C26" s="2408"/>
      <c r="D26" s="2408"/>
      <c r="E26" s="2408"/>
      <c r="F26" s="2408"/>
      <c r="G26" s="2408"/>
      <c r="H26" s="2408"/>
      <c r="I26" s="2408"/>
      <c r="J26" s="2408"/>
      <c r="K26" s="2408"/>
      <c r="L26" s="2408"/>
      <c r="M26" s="2093"/>
      <c r="N26" s="2093"/>
    </row>
    <row r="27" spans="1:14" ht="10.5" customHeight="1" x14ac:dyDescent="0.15">
      <c r="A27" s="2463" t="s">
        <v>1483</v>
      </c>
      <c r="B27" s="2408"/>
      <c r="C27" s="2408"/>
      <c r="D27" s="2408"/>
      <c r="E27" s="2408"/>
      <c r="F27" s="2408"/>
      <c r="G27" s="2408"/>
      <c r="H27" s="2408"/>
      <c r="I27" s="2408"/>
      <c r="J27" s="2408"/>
      <c r="K27" s="2408"/>
      <c r="L27" s="2408"/>
      <c r="M27" s="2093"/>
      <c r="N27" s="2093"/>
    </row>
    <row r="28" spans="1:14" x14ac:dyDescent="0.15">
      <c r="A28" s="2093"/>
      <c r="B28" s="2093"/>
      <c r="C28" s="2093"/>
      <c r="D28" s="2093"/>
      <c r="E28" s="2093"/>
      <c r="F28" s="2093"/>
      <c r="G28" s="2093"/>
      <c r="H28" s="2093"/>
      <c r="I28" s="2093"/>
      <c r="J28" s="2093"/>
      <c r="K28" s="2093"/>
      <c r="L28" s="2093"/>
      <c r="M28" s="2093"/>
      <c r="N28" s="2093"/>
    </row>
    <row r="29" spans="1:14" x14ac:dyDescent="0.15">
      <c r="A29" s="2093"/>
      <c r="B29" s="2093"/>
      <c r="C29" s="2093"/>
      <c r="D29" s="2093"/>
      <c r="E29" s="2093"/>
      <c r="F29" s="2093"/>
      <c r="G29" s="2093"/>
      <c r="H29" s="2093"/>
      <c r="I29" s="2093"/>
      <c r="J29" s="2093"/>
      <c r="K29" s="2093"/>
      <c r="L29" s="2093"/>
      <c r="M29" s="2093"/>
      <c r="N29" s="2093"/>
    </row>
    <row r="30" spans="1:14" x14ac:dyDescent="0.15">
      <c r="A30" s="2093"/>
      <c r="B30" s="2093"/>
      <c r="C30" s="2093"/>
      <c r="D30" s="2093"/>
      <c r="E30" s="2093"/>
      <c r="F30" s="2093"/>
      <c r="G30" s="2093"/>
      <c r="H30" s="2093"/>
      <c r="I30" s="2093"/>
      <c r="J30" s="2093"/>
      <c r="K30" s="2093"/>
      <c r="L30" s="2093"/>
      <c r="M30" s="2093"/>
      <c r="N30" s="2093"/>
    </row>
    <row r="31" spans="1:14" x14ac:dyDescent="0.15">
      <c r="A31" s="2093"/>
      <c r="B31" s="2093"/>
      <c r="C31" s="2093"/>
      <c r="D31" s="2093"/>
      <c r="E31" s="2093"/>
      <c r="F31" s="2093"/>
      <c r="G31" s="2093"/>
      <c r="H31" s="2093"/>
      <c r="I31" s="2093"/>
      <c r="J31" s="2093"/>
      <c r="K31" s="2093"/>
      <c r="L31" s="2093"/>
      <c r="M31" s="2093"/>
      <c r="N31" s="2093"/>
    </row>
    <row r="32" spans="1:14" x14ac:dyDescent="0.15">
      <c r="A32" s="2093"/>
      <c r="B32" s="2093"/>
      <c r="C32" s="2093"/>
      <c r="D32" s="2093"/>
      <c r="E32" s="2093"/>
      <c r="F32" s="2093"/>
      <c r="G32" s="2093"/>
      <c r="H32" s="2093"/>
      <c r="I32" s="2093"/>
      <c r="J32" s="2093"/>
      <c r="K32" s="2093"/>
      <c r="L32" s="2093"/>
      <c r="M32" s="2093"/>
      <c r="N32" s="2093"/>
    </row>
  </sheetData>
  <mergeCells count="11">
    <mergeCell ref="A23:L23"/>
    <mergeCell ref="A24:L24"/>
    <mergeCell ref="A25:L25"/>
    <mergeCell ref="A26:L26"/>
    <mergeCell ref="A27:L27"/>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2:O35"/>
  <sheetViews>
    <sheetView workbookViewId="0">
      <selection activeCell="D31" sqref="D31"/>
    </sheetView>
  </sheetViews>
  <sheetFormatPr baseColWidth="10" defaultColWidth="9.140625" defaultRowHeight="10.5" x14ac:dyDescent="0.15"/>
  <cols>
    <col min="1" max="1" width="18.28515625" style="1620" customWidth="1"/>
    <col min="2" max="2" width="12.5703125" style="1620" customWidth="1"/>
    <col min="3" max="3" width="14.85546875" style="1620" customWidth="1"/>
    <col min="4" max="4" width="13" style="1620" customWidth="1"/>
    <col min="5" max="5" width="14" style="1620" customWidth="1"/>
    <col min="6" max="6" width="11.140625" style="1620" customWidth="1"/>
    <col min="7" max="7" width="12.5703125" style="1620" customWidth="1"/>
    <col min="8" max="8" width="13" style="1620" customWidth="1"/>
    <col min="9" max="9" width="11.7109375" style="1620" customWidth="1"/>
    <col min="10" max="10" width="9.85546875" style="1620" customWidth="1"/>
    <col min="11" max="11" width="9.5703125" style="1620" customWidth="1"/>
    <col min="12" max="12" width="11.85546875" style="1620" customWidth="1"/>
    <col min="13" max="13" width="3.42578125" style="1620" customWidth="1"/>
    <col min="14" max="14" width="9.140625" style="1620"/>
    <col min="15" max="15" width="11.140625" style="1620" customWidth="1"/>
    <col min="16" max="16" width="11.28515625" style="1620" bestFit="1" customWidth="1"/>
    <col min="17" max="256" width="9.140625" style="1620"/>
    <col min="257" max="257" width="18.28515625" style="1620" customWidth="1"/>
    <col min="258" max="258" width="12.5703125" style="1620" customWidth="1"/>
    <col min="259" max="259" width="14.85546875" style="1620" customWidth="1"/>
    <col min="260" max="260" width="13" style="1620" customWidth="1"/>
    <col min="261" max="261" width="14" style="1620" customWidth="1"/>
    <col min="262" max="262" width="11.140625" style="1620" customWidth="1"/>
    <col min="263" max="263" width="12.5703125" style="1620" customWidth="1"/>
    <col min="264" max="264" width="13" style="1620" customWidth="1"/>
    <col min="265" max="265" width="11.7109375" style="1620" customWidth="1"/>
    <col min="266" max="266" width="9.85546875" style="1620" customWidth="1"/>
    <col min="267" max="267" width="9.5703125" style="1620" customWidth="1"/>
    <col min="268" max="268" width="11.85546875" style="1620" customWidth="1"/>
    <col min="269" max="269" width="3.42578125" style="1620" customWidth="1"/>
    <col min="270" max="270" width="9.140625" style="1620"/>
    <col min="271" max="271" width="11.140625" style="1620" customWidth="1"/>
    <col min="272" max="272" width="11.28515625" style="1620" bestFit="1" customWidth="1"/>
    <col min="273" max="512" width="9.140625" style="1620"/>
    <col min="513" max="513" width="18.28515625" style="1620" customWidth="1"/>
    <col min="514" max="514" width="12.5703125" style="1620" customWidth="1"/>
    <col min="515" max="515" width="14.85546875" style="1620" customWidth="1"/>
    <col min="516" max="516" width="13" style="1620" customWidth="1"/>
    <col min="517" max="517" width="14" style="1620" customWidth="1"/>
    <col min="518" max="518" width="11.140625" style="1620" customWidth="1"/>
    <col min="519" max="519" width="12.5703125" style="1620" customWidth="1"/>
    <col min="520" max="520" width="13" style="1620" customWidth="1"/>
    <col min="521" max="521" width="11.7109375" style="1620" customWidth="1"/>
    <col min="522" max="522" width="9.85546875" style="1620" customWidth="1"/>
    <col min="523" max="523" width="9.5703125" style="1620" customWidth="1"/>
    <col min="524" max="524" width="11.85546875" style="1620" customWidth="1"/>
    <col min="525" max="525" width="3.42578125" style="1620" customWidth="1"/>
    <col min="526" max="526" width="9.140625" style="1620"/>
    <col min="527" max="527" width="11.140625" style="1620" customWidth="1"/>
    <col min="528" max="528" width="11.28515625" style="1620" bestFit="1" customWidth="1"/>
    <col min="529" max="768" width="9.140625" style="1620"/>
    <col min="769" max="769" width="18.28515625" style="1620" customWidth="1"/>
    <col min="770" max="770" width="12.5703125" style="1620" customWidth="1"/>
    <col min="771" max="771" width="14.85546875" style="1620" customWidth="1"/>
    <col min="772" max="772" width="13" style="1620" customWidth="1"/>
    <col min="773" max="773" width="14" style="1620" customWidth="1"/>
    <col min="774" max="774" width="11.140625" style="1620" customWidth="1"/>
    <col min="775" max="775" width="12.5703125" style="1620" customWidth="1"/>
    <col min="776" max="776" width="13" style="1620" customWidth="1"/>
    <col min="777" max="777" width="11.7109375" style="1620" customWidth="1"/>
    <col min="778" max="778" width="9.85546875" style="1620" customWidth="1"/>
    <col min="779" max="779" width="9.5703125" style="1620" customWidth="1"/>
    <col min="780" max="780" width="11.85546875" style="1620" customWidth="1"/>
    <col min="781" max="781" width="3.42578125" style="1620" customWidth="1"/>
    <col min="782" max="782" width="9.140625" style="1620"/>
    <col min="783" max="783" width="11.140625" style="1620" customWidth="1"/>
    <col min="784" max="784" width="11.28515625" style="1620" bestFit="1" customWidth="1"/>
    <col min="785" max="1024" width="9.140625" style="1620"/>
    <col min="1025" max="1025" width="18.28515625" style="1620" customWidth="1"/>
    <col min="1026" max="1026" width="12.5703125" style="1620" customWidth="1"/>
    <col min="1027" max="1027" width="14.85546875" style="1620" customWidth="1"/>
    <col min="1028" max="1028" width="13" style="1620" customWidth="1"/>
    <col min="1029" max="1029" width="14" style="1620" customWidth="1"/>
    <col min="1030" max="1030" width="11.140625" style="1620" customWidth="1"/>
    <col min="1031" max="1031" width="12.5703125" style="1620" customWidth="1"/>
    <col min="1032" max="1032" width="13" style="1620" customWidth="1"/>
    <col min="1033" max="1033" width="11.7109375" style="1620" customWidth="1"/>
    <col min="1034" max="1034" width="9.85546875" style="1620" customWidth="1"/>
    <col min="1035" max="1035" width="9.5703125" style="1620" customWidth="1"/>
    <col min="1036" max="1036" width="11.85546875" style="1620" customWidth="1"/>
    <col min="1037" max="1037" width="3.42578125" style="1620" customWidth="1"/>
    <col min="1038" max="1038" width="9.140625" style="1620"/>
    <col min="1039" max="1039" width="11.140625" style="1620" customWidth="1"/>
    <col min="1040" max="1040" width="11.28515625" style="1620" bestFit="1" customWidth="1"/>
    <col min="1041" max="1280" width="9.140625" style="1620"/>
    <col min="1281" max="1281" width="18.28515625" style="1620" customWidth="1"/>
    <col min="1282" max="1282" width="12.5703125" style="1620" customWidth="1"/>
    <col min="1283" max="1283" width="14.85546875" style="1620" customWidth="1"/>
    <col min="1284" max="1284" width="13" style="1620" customWidth="1"/>
    <col min="1285" max="1285" width="14" style="1620" customWidth="1"/>
    <col min="1286" max="1286" width="11.140625" style="1620" customWidth="1"/>
    <col min="1287" max="1287" width="12.5703125" style="1620" customWidth="1"/>
    <col min="1288" max="1288" width="13" style="1620" customWidth="1"/>
    <col min="1289" max="1289" width="11.7109375" style="1620" customWidth="1"/>
    <col min="1290" max="1290" width="9.85546875" style="1620" customWidth="1"/>
    <col min="1291" max="1291" width="9.5703125" style="1620" customWidth="1"/>
    <col min="1292" max="1292" width="11.85546875" style="1620" customWidth="1"/>
    <col min="1293" max="1293" width="3.42578125" style="1620" customWidth="1"/>
    <col min="1294" max="1294" width="9.140625" style="1620"/>
    <col min="1295" max="1295" width="11.140625" style="1620" customWidth="1"/>
    <col min="1296" max="1296" width="11.28515625" style="1620" bestFit="1" customWidth="1"/>
    <col min="1297" max="1536" width="9.140625" style="1620"/>
    <col min="1537" max="1537" width="18.28515625" style="1620" customWidth="1"/>
    <col min="1538" max="1538" width="12.5703125" style="1620" customWidth="1"/>
    <col min="1539" max="1539" width="14.85546875" style="1620" customWidth="1"/>
    <col min="1540" max="1540" width="13" style="1620" customWidth="1"/>
    <col min="1541" max="1541" width="14" style="1620" customWidth="1"/>
    <col min="1542" max="1542" width="11.140625" style="1620" customWidth="1"/>
    <col min="1543" max="1543" width="12.5703125" style="1620" customWidth="1"/>
    <col min="1544" max="1544" width="13" style="1620" customWidth="1"/>
    <col min="1545" max="1545" width="11.7109375" style="1620" customWidth="1"/>
    <col min="1546" max="1546" width="9.85546875" style="1620" customWidth="1"/>
    <col min="1547" max="1547" width="9.5703125" style="1620" customWidth="1"/>
    <col min="1548" max="1548" width="11.85546875" style="1620" customWidth="1"/>
    <col min="1549" max="1549" width="3.42578125" style="1620" customWidth="1"/>
    <col min="1550" max="1550" width="9.140625" style="1620"/>
    <col min="1551" max="1551" width="11.140625" style="1620" customWidth="1"/>
    <col min="1552" max="1552" width="11.28515625" style="1620" bestFit="1" customWidth="1"/>
    <col min="1553" max="1792" width="9.140625" style="1620"/>
    <col min="1793" max="1793" width="18.28515625" style="1620" customWidth="1"/>
    <col min="1794" max="1794" width="12.5703125" style="1620" customWidth="1"/>
    <col min="1795" max="1795" width="14.85546875" style="1620" customWidth="1"/>
    <col min="1796" max="1796" width="13" style="1620" customWidth="1"/>
    <col min="1797" max="1797" width="14" style="1620" customWidth="1"/>
    <col min="1798" max="1798" width="11.140625" style="1620" customWidth="1"/>
    <col min="1799" max="1799" width="12.5703125" style="1620" customWidth="1"/>
    <col min="1800" max="1800" width="13" style="1620" customWidth="1"/>
    <col min="1801" max="1801" width="11.7109375" style="1620" customWidth="1"/>
    <col min="1802" max="1802" width="9.85546875" style="1620" customWidth="1"/>
    <col min="1803" max="1803" width="9.5703125" style="1620" customWidth="1"/>
    <col min="1804" max="1804" width="11.85546875" style="1620" customWidth="1"/>
    <col min="1805" max="1805" width="3.42578125" style="1620" customWidth="1"/>
    <col min="1806" max="1806" width="9.140625" style="1620"/>
    <col min="1807" max="1807" width="11.140625" style="1620" customWidth="1"/>
    <col min="1808" max="1808" width="11.28515625" style="1620" bestFit="1" customWidth="1"/>
    <col min="1809" max="2048" width="9.140625" style="1620"/>
    <col min="2049" max="2049" width="18.28515625" style="1620" customWidth="1"/>
    <col min="2050" max="2050" width="12.5703125" style="1620" customWidth="1"/>
    <col min="2051" max="2051" width="14.85546875" style="1620" customWidth="1"/>
    <col min="2052" max="2052" width="13" style="1620" customWidth="1"/>
    <col min="2053" max="2053" width="14" style="1620" customWidth="1"/>
    <col min="2054" max="2054" width="11.140625" style="1620" customWidth="1"/>
    <col min="2055" max="2055" width="12.5703125" style="1620" customWidth="1"/>
    <col min="2056" max="2056" width="13" style="1620" customWidth="1"/>
    <col min="2057" max="2057" width="11.7109375" style="1620" customWidth="1"/>
    <col min="2058" max="2058" width="9.85546875" style="1620" customWidth="1"/>
    <col min="2059" max="2059" width="9.5703125" style="1620" customWidth="1"/>
    <col min="2060" max="2060" width="11.85546875" style="1620" customWidth="1"/>
    <col min="2061" max="2061" width="3.42578125" style="1620" customWidth="1"/>
    <col min="2062" max="2062" width="9.140625" style="1620"/>
    <col min="2063" max="2063" width="11.140625" style="1620" customWidth="1"/>
    <col min="2064" max="2064" width="11.28515625" style="1620" bestFit="1" customWidth="1"/>
    <col min="2065" max="2304" width="9.140625" style="1620"/>
    <col min="2305" max="2305" width="18.28515625" style="1620" customWidth="1"/>
    <col min="2306" max="2306" width="12.5703125" style="1620" customWidth="1"/>
    <col min="2307" max="2307" width="14.85546875" style="1620" customWidth="1"/>
    <col min="2308" max="2308" width="13" style="1620" customWidth="1"/>
    <col min="2309" max="2309" width="14" style="1620" customWidth="1"/>
    <col min="2310" max="2310" width="11.140625" style="1620" customWidth="1"/>
    <col min="2311" max="2311" width="12.5703125" style="1620" customWidth="1"/>
    <col min="2312" max="2312" width="13" style="1620" customWidth="1"/>
    <col min="2313" max="2313" width="11.7109375" style="1620" customWidth="1"/>
    <col min="2314" max="2314" width="9.85546875" style="1620" customWidth="1"/>
    <col min="2315" max="2315" width="9.5703125" style="1620" customWidth="1"/>
    <col min="2316" max="2316" width="11.85546875" style="1620" customWidth="1"/>
    <col min="2317" max="2317" width="3.42578125" style="1620" customWidth="1"/>
    <col min="2318" max="2318" width="9.140625" style="1620"/>
    <col min="2319" max="2319" width="11.140625" style="1620" customWidth="1"/>
    <col min="2320" max="2320" width="11.28515625" style="1620" bestFit="1" customWidth="1"/>
    <col min="2321" max="2560" width="9.140625" style="1620"/>
    <col min="2561" max="2561" width="18.28515625" style="1620" customWidth="1"/>
    <col min="2562" max="2562" width="12.5703125" style="1620" customWidth="1"/>
    <col min="2563" max="2563" width="14.85546875" style="1620" customWidth="1"/>
    <col min="2564" max="2564" width="13" style="1620" customWidth="1"/>
    <col min="2565" max="2565" width="14" style="1620" customWidth="1"/>
    <col min="2566" max="2566" width="11.140625" style="1620" customWidth="1"/>
    <col min="2567" max="2567" width="12.5703125" style="1620" customWidth="1"/>
    <col min="2568" max="2568" width="13" style="1620" customWidth="1"/>
    <col min="2569" max="2569" width="11.7109375" style="1620" customWidth="1"/>
    <col min="2570" max="2570" width="9.85546875" style="1620" customWidth="1"/>
    <col min="2571" max="2571" width="9.5703125" style="1620" customWidth="1"/>
    <col min="2572" max="2572" width="11.85546875" style="1620" customWidth="1"/>
    <col min="2573" max="2573" width="3.42578125" style="1620" customWidth="1"/>
    <col min="2574" max="2574" width="9.140625" style="1620"/>
    <col min="2575" max="2575" width="11.140625" style="1620" customWidth="1"/>
    <col min="2576" max="2576" width="11.28515625" style="1620" bestFit="1" customWidth="1"/>
    <col min="2577" max="2816" width="9.140625" style="1620"/>
    <col min="2817" max="2817" width="18.28515625" style="1620" customWidth="1"/>
    <col min="2818" max="2818" width="12.5703125" style="1620" customWidth="1"/>
    <col min="2819" max="2819" width="14.85546875" style="1620" customWidth="1"/>
    <col min="2820" max="2820" width="13" style="1620" customWidth="1"/>
    <col min="2821" max="2821" width="14" style="1620" customWidth="1"/>
    <col min="2822" max="2822" width="11.140625" style="1620" customWidth="1"/>
    <col min="2823" max="2823" width="12.5703125" style="1620" customWidth="1"/>
    <col min="2824" max="2824" width="13" style="1620" customWidth="1"/>
    <col min="2825" max="2825" width="11.7109375" style="1620" customWidth="1"/>
    <col min="2826" max="2826" width="9.85546875" style="1620" customWidth="1"/>
    <col min="2827" max="2827" width="9.5703125" style="1620" customWidth="1"/>
    <col min="2828" max="2828" width="11.85546875" style="1620" customWidth="1"/>
    <col min="2829" max="2829" width="3.42578125" style="1620" customWidth="1"/>
    <col min="2830" max="2830" width="9.140625" style="1620"/>
    <col min="2831" max="2831" width="11.140625" style="1620" customWidth="1"/>
    <col min="2832" max="2832" width="11.28515625" style="1620" bestFit="1" customWidth="1"/>
    <col min="2833" max="3072" width="9.140625" style="1620"/>
    <col min="3073" max="3073" width="18.28515625" style="1620" customWidth="1"/>
    <col min="3074" max="3074" width="12.5703125" style="1620" customWidth="1"/>
    <col min="3075" max="3075" width="14.85546875" style="1620" customWidth="1"/>
    <col min="3076" max="3076" width="13" style="1620" customWidth="1"/>
    <col min="3077" max="3077" width="14" style="1620" customWidth="1"/>
    <col min="3078" max="3078" width="11.140625" style="1620" customWidth="1"/>
    <col min="3079" max="3079" width="12.5703125" style="1620" customWidth="1"/>
    <col min="3080" max="3080" width="13" style="1620" customWidth="1"/>
    <col min="3081" max="3081" width="11.7109375" style="1620" customWidth="1"/>
    <col min="3082" max="3082" width="9.85546875" style="1620" customWidth="1"/>
    <col min="3083" max="3083" width="9.5703125" style="1620" customWidth="1"/>
    <col min="3084" max="3084" width="11.85546875" style="1620" customWidth="1"/>
    <col min="3085" max="3085" width="3.42578125" style="1620" customWidth="1"/>
    <col min="3086" max="3086" width="9.140625" style="1620"/>
    <col min="3087" max="3087" width="11.140625" style="1620" customWidth="1"/>
    <col min="3088" max="3088" width="11.28515625" style="1620" bestFit="1" customWidth="1"/>
    <col min="3089" max="3328" width="9.140625" style="1620"/>
    <col min="3329" max="3329" width="18.28515625" style="1620" customWidth="1"/>
    <col min="3330" max="3330" width="12.5703125" style="1620" customWidth="1"/>
    <col min="3331" max="3331" width="14.85546875" style="1620" customWidth="1"/>
    <col min="3332" max="3332" width="13" style="1620" customWidth="1"/>
    <col min="3333" max="3333" width="14" style="1620" customWidth="1"/>
    <col min="3334" max="3334" width="11.140625" style="1620" customWidth="1"/>
    <col min="3335" max="3335" width="12.5703125" style="1620" customWidth="1"/>
    <col min="3336" max="3336" width="13" style="1620" customWidth="1"/>
    <col min="3337" max="3337" width="11.7109375" style="1620" customWidth="1"/>
    <col min="3338" max="3338" width="9.85546875" style="1620" customWidth="1"/>
    <col min="3339" max="3339" width="9.5703125" style="1620" customWidth="1"/>
    <col min="3340" max="3340" width="11.85546875" style="1620" customWidth="1"/>
    <col min="3341" max="3341" width="3.42578125" style="1620" customWidth="1"/>
    <col min="3342" max="3342" width="9.140625" style="1620"/>
    <col min="3343" max="3343" width="11.140625" style="1620" customWidth="1"/>
    <col min="3344" max="3344" width="11.28515625" style="1620" bestFit="1" customWidth="1"/>
    <col min="3345" max="3584" width="9.140625" style="1620"/>
    <col min="3585" max="3585" width="18.28515625" style="1620" customWidth="1"/>
    <col min="3586" max="3586" width="12.5703125" style="1620" customWidth="1"/>
    <col min="3587" max="3587" width="14.85546875" style="1620" customWidth="1"/>
    <col min="3588" max="3588" width="13" style="1620" customWidth="1"/>
    <col min="3589" max="3589" width="14" style="1620" customWidth="1"/>
    <col min="3590" max="3590" width="11.140625" style="1620" customWidth="1"/>
    <col min="3591" max="3591" width="12.5703125" style="1620" customWidth="1"/>
    <col min="3592" max="3592" width="13" style="1620" customWidth="1"/>
    <col min="3593" max="3593" width="11.7109375" style="1620" customWidth="1"/>
    <col min="3594" max="3594" width="9.85546875" style="1620" customWidth="1"/>
    <col min="3595" max="3595" width="9.5703125" style="1620" customWidth="1"/>
    <col min="3596" max="3596" width="11.85546875" style="1620" customWidth="1"/>
    <col min="3597" max="3597" width="3.42578125" style="1620" customWidth="1"/>
    <col min="3598" max="3598" width="9.140625" style="1620"/>
    <col min="3599" max="3599" width="11.140625" style="1620" customWidth="1"/>
    <col min="3600" max="3600" width="11.28515625" style="1620" bestFit="1" customWidth="1"/>
    <col min="3601" max="3840" width="9.140625" style="1620"/>
    <col min="3841" max="3841" width="18.28515625" style="1620" customWidth="1"/>
    <col min="3842" max="3842" width="12.5703125" style="1620" customWidth="1"/>
    <col min="3843" max="3843" width="14.85546875" style="1620" customWidth="1"/>
    <col min="3844" max="3844" width="13" style="1620" customWidth="1"/>
    <col min="3845" max="3845" width="14" style="1620" customWidth="1"/>
    <col min="3846" max="3846" width="11.140625" style="1620" customWidth="1"/>
    <col min="3847" max="3847" width="12.5703125" style="1620" customWidth="1"/>
    <col min="3848" max="3848" width="13" style="1620" customWidth="1"/>
    <col min="3849" max="3849" width="11.7109375" style="1620" customWidth="1"/>
    <col min="3850" max="3850" width="9.85546875" style="1620" customWidth="1"/>
    <col min="3851" max="3851" width="9.5703125" style="1620" customWidth="1"/>
    <col min="3852" max="3852" width="11.85546875" style="1620" customWidth="1"/>
    <col min="3853" max="3853" width="3.42578125" style="1620" customWidth="1"/>
    <col min="3854" max="3854" width="9.140625" style="1620"/>
    <col min="3855" max="3855" width="11.140625" style="1620" customWidth="1"/>
    <col min="3856" max="3856" width="11.28515625" style="1620" bestFit="1" customWidth="1"/>
    <col min="3857" max="4096" width="9.140625" style="1620"/>
    <col min="4097" max="4097" width="18.28515625" style="1620" customWidth="1"/>
    <col min="4098" max="4098" width="12.5703125" style="1620" customWidth="1"/>
    <col min="4099" max="4099" width="14.85546875" style="1620" customWidth="1"/>
    <col min="4100" max="4100" width="13" style="1620" customWidth="1"/>
    <col min="4101" max="4101" width="14" style="1620" customWidth="1"/>
    <col min="4102" max="4102" width="11.140625" style="1620" customWidth="1"/>
    <col min="4103" max="4103" width="12.5703125" style="1620" customWidth="1"/>
    <col min="4104" max="4104" width="13" style="1620" customWidth="1"/>
    <col min="4105" max="4105" width="11.7109375" style="1620" customWidth="1"/>
    <col min="4106" max="4106" width="9.85546875" style="1620" customWidth="1"/>
    <col min="4107" max="4107" width="9.5703125" style="1620" customWidth="1"/>
    <col min="4108" max="4108" width="11.85546875" style="1620" customWidth="1"/>
    <col min="4109" max="4109" width="3.42578125" style="1620" customWidth="1"/>
    <col min="4110" max="4110" width="9.140625" style="1620"/>
    <col min="4111" max="4111" width="11.140625" style="1620" customWidth="1"/>
    <col min="4112" max="4112" width="11.28515625" style="1620" bestFit="1" customWidth="1"/>
    <col min="4113" max="4352" width="9.140625" style="1620"/>
    <col min="4353" max="4353" width="18.28515625" style="1620" customWidth="1"/>
    <col min="4354" max="4354" width="12.5703125" style="1620" customWidth="1"/>
    <col min="4355" max="4355" width="14.85546875" style="1620" customWidth="1"/>
    <col min="4356" max="4356" width="13" style="1620" customWidth="1"/>
    <col min="4357" max="4357" width="14" style="1620" customWidth="1"/>
    <col min="4358" max="4358" width="11.140625" style="1620" customWidth="1"/>
    <col min="4359" max="4359" width="12.5703125" style="1620" customWidth="1"/>
    <col min="4360" max="4360" width="13" style="1620" customWidth="1"/>
    <col min="4361" max="4361" width="11.7109375" style="1620" customWidth="1"/>
    <col min="4362" max="4362" width="9.85546875" style="1620" customWidth="1"/>
    <col min="4363" max="4363" width="9.5703125" style="1620" customWidth="1"/>
    <col min="4364" max="4364" width="11.85546875" style="1620" customWidth="1"/>
    <col min="4365" max="4365" width="3.42578125" style="1620" customWidth="1"/>
    <col min="4366" max="4366" width="9.140625" style="1620"/>
    <col min="4367" max="4367" width="11.140625" style="1620" customWidth="1"/>
    <col min="4368" max="4368" width="11.28515625" style="1620" bestFit="1" customWidth="1"/>
    <col min="4369" max="4608" width="9.140625" style="1620"/>
    <col min="4609" max="4609" width="18.28515625" style="1620" customWidth="1"/>
    <col min="4610" max="4610" width="12.5703125" style="1620" customWidth="1"/>
    <col min="4611" max="4611" width="14.85546875" style="1620" customWidth="1"/>
    <col min="4612" max="4612" width="13" style="1620" customWidth="1"/>
    <col min="4613" max="4613" width="14" style="1620" customWidth="1"/>
    <col min="4614" max="4614" width="11.140625" style="1620" customWidth="1"/>
    <col min="4615" max="4615" width="12.5703125" style="1620" customWidth="1"/>
    <col min="4616" max="4616" width="13" style="1620" customWidth="1"/>
    <col min="4617" max="4617" width="11.7109375" style="1620" customWidth="1"/>
    <col min="4618" max="4618" width="9.85546875" style="1620" customWidth="1"/>
    <col min="4619" max="4619" width="9.5703125" style="1620" customWidth="1"/>
    <col min="4620" max="4620" width="11.85546875" style="1620" customWidth="1"/>
    <col min="4621" max="4621" width="3.42578125" style="1620" customWidth="1"/>
    <col min="4622" max="4622" width="9.140625" style="1620"/>
    <col min="4623" max="4623" width="11.140625" style="1620" customWidth="1"/>
    <col min="4624" max="4624" width="11.28515625" style="1620" bestFit="1" customWidth="1"/>
    <col min="4625" max="4864" width="9.140625" style="1620"/>
    <col min="4865" max="4865" width="18.28515625" style="1620" customWidth="1"/>
    <col min="4866" max="4866" width="12.5703125" style="1620" customWidth="1"/>
    <col min="4867" max="4867" width="14.85546875" style="1620" customWidth="1"/>
    <col min="4868" max="4868" width="13" style="1620" customWidth="1"/>
    <col min="4869" max="4869" width="14" style="1620" customWidth="1"/>
    <col min="4870" max="4870" width="11.140625" style="1620" customWidth="1"/>
    <col min="4871" max="4871" width="12.5703125" style="1620" customWidth="1"/>
    <col min="4872" max="4872" width="13" style="1620" customWidth="1"/>
    <col min="4873" max="4873" width="11.7109375" style="1620" customWidth="1"/>
    <col min="4874" max="4874" width="9.85546875" style="1620" customWidth="1"/>
    <col min="4875" max="4875" width="9.5703125" style="1620" customWidth="1"/>
    <col min="4876" max="4876" width="11.85546875" style="1620" customWidth="1"/>
    <col min="4877" max="4877" width="3.42578125" style="1620" customWidth="1"/>
    <col min="4878" max="4878" width="9.140625" style="1620"/>
    <col min="4879" max="4879" width="11.140625" style="1620" customWidth="1"/>
    <col min="4880" max="4880" width="11.28515625" style="1620" bestFit="1" customWidth="1"/>
    <col min="4881" max="5120" width="9.140625" style="1620"/>
    <col min="5121" max="5121" width="18.28515625" style="1620" customWidth="1"/>
    <col min="5122" max="5122" width="12.5703125" style="1620" customWidth="1"/>
    <col min="5123" max="5123" width="14.85546875" style="1620" customWidth="1"/>
    <col min="5124" max="5124" width="13" style="1620" customWidth="1"/>
    <col min="5125" max="5125" width="14" style="1620" customWidth="1"/>
    <col min="5126" max="5126" width="11.140625" style="1620" customWidth="1"/>
    <col min="5127" max="5127" width="12.5703125" style="1620" customWidth="1"/>
    <col min="5128" max="5128" width="13" style="1620" customWidth="1"/>
    <col min="5129" max="5129" width="11.7109375" style="1620" customWidth="1"/>
    <col min="5130" max="5130" width="9.85546875" style="1620" customWidth="1"/>
    <col min="5131" max="5131" width="9.5703125" style="1620" customWidth="1"/>
    <col min="5132" max="5132" width="11.85546875" style="1620" customWidth="1"/>
    <col min="5133" max="5133" width="3.42578125" style="1620" customWidth="1"/>
    <col min="5134" max="5134" width="9.140625" style="1620"/>
    <col min="5135" max="5135" width="11.140625" style="1620" customWidth="1"/>
    <col min="5136" max="5136" width="11.28515625" style="1620" bestFit="1" customWidth="1"/>
    <col min="5137" max="5376" width="9.140625" style="1620"/>
    <col min="5377" max="5377" width="18.28515625" style="1620" customWidth="1"/>
    <col min="5378" max="5378" width="12.5703125" style="1620" customWidth="1"/>
    <col min="5379" max="5379" width="14.85546875" style="1620" customWidth="1"/>
    <col min="5380" max="5380" width="13" style="1620" customWidth="1"/>
    <col min="5381" max="5381" width="14" style="1620" customWidth="1"/>
    <col min="5382" max="5382" width="11.140625" style="1620" customWidth="1"/>
    <col min="5383" max="5383" width="12.5703125" style="1620" customWidth="1"/>
    <col min="5384" max="5384" width="13" style="1620" customWidth="1"/>
    <col min="5385" max="5385" width="11.7109375" style="1620" customWidth="1"/>
    <col min="5386" max="5386" width="9.85546875" style="1620" customWidth="1"/>
    <col min="5387" max="5387" width="9.5703125" style="1620" customWidth="1"/>
    <col min="5388" max="5388" width="11.85546875" style="1620" customWidth="1"/>
    <col min="5389" max="5389" width="3.42578125" style="1620" customWidth="1"/>
    <col min="5390" max="5390" width="9.140625" style="1620"/>
    <col min="5391" max="5391" width="11.140625" style="1620" customWidth="1"/>
    <col min="5392" max="5392" width="11.28515625" style="1620" bestFit="1" customWidth="1"/>
    <col min="5393" max="5632" width="9.140625" style="1620"/>
    <col min="5633" max="5633" width="18.28515625" style="1620" customWidth="1"/>
    <col min="5634" max="5634" width="12.5703125" style="1620" customWidth="1"/>
    <col min="5635" max="5635" width="14.85546875" style="1620" customWidth="1"/>
    <col min="5636" max="5636" width="13" style="1620" customWidth="1"/>
    <col min="5637" max="5637" width="14" style="1620" customWidth="1"/>
    <col min="5638" max="5638" width="11.140625" style="1620" customWidth="1"/>
    <col min="5639" max="5639" width="12.5703125" style="1620" customWidth="1"/>
    <col min="5640" max="5640" width="13" style="1620" customWidth="1"/>
    <col min="5641" max="5641" width="11.7109375" style="1620" customWidth="1"/>
    <col min="5642" max="5642" width="9.85546875" style="1620" customWidth="1"/>
    <col min="5643" max="5643" width="9.5703125" style="1620" customWidth="1"/>
    <col min="5644" max="5644" width="11.85546875" style="1620" customWidth="1"/>
    <col min="5645" max="5645" width="3.42578125" style="1620" customWidth="1"/>
    <col min="5646" max="5646" width="9.140625" style="1620"/>
    <col min="5647" max="5647" width="11.140625" style="1620" customWidth="1"/>
    <col min="5648" max="5648" width="11.28515625" style="1620" bestFit="1" customWidth="1"/>
    <col min="5649" max="5888" width="9.140625" style="1620"/>
    <col min="5889" max="5889" width="18.28515625" style="1620" customWidth="1"/>
    <col min="5890" max="5890" width="12.5703125" style="1620" customWidth="1"/>
    <col min="5891" max="5891" width="14.85546875" style="1620" customWidth="1"/>
    <col min="5892" max="5892" width="13" style="1620" customWidth="1"/>
    <col min="5893" max="5893" width="14" style="1620" customWidth="1"/>
    <col min="5894" max="5894" width="11.140625" style="1620" customWidth="1"/>
    <col min="5895" max="5895" width="12.5703125" style="1620" customWidth="1"/>
    <col min="5896" max="5896" width="13" style="1620" customWidth="1"/>
    <col min="5897" max="5897" width="11.7109375" style="1620" customWidth="1"/>
    <col min="5898" max="5898" width="9.85546875" style="1620" customWidth="1"/>
    <col min="5899" max="5899" width="9.5703125" style="1620" customWidth="1"/>
    <col min="5900" max="5900" width="11.85546875" style="1620" customWidth="1"/>
    <col min="5901" max="5901" width="3.42578125" style="1620" customWidth="1"/>
    <col min="5902" max="5902" width="9.140625" style="1620"/>
    <col min="5903" max="5903" width="11.140625" style="1620" customWidth="1"/>
    <col min="5904" max="5904" width="11.28515625" style="1620" bestFit="1" customWidth="1"/>
    <col min="5905" max="6144" width="9.140625" style="1620"/>
    <col min="6145" max="6145" width="18.28515625" style="1620" customWidth="1"/>
    <col min="6146" max="6146" width="12.5703125" style="1620" customWidth="1"/>
    <col min="6147" max="6147" width="14.85546875" style="1620" customWidth="1"/>
    <col min="6148" max="6148" width="13" style="1620" customWidth="1"/>
    <col min="6149" max="6149" width="14" style="1620" customWidth="1"/>
    <col min="6150" max="6150" width="11.140625" style="1620" customWidth="1"/>
    <col min="6151" max="6151" width="12.5703125" style="1620" customWidth="1"/>
    <col min="6152" max="6152" width="13" style="1620" customWidth="1"/>
    <col min="6153" max="6153" width="11.7109375" style="1620" customWidth="1"/>
    <col min="6154" max="6154" width="9.85546875" style="1620" customWidth="1"/>
    <col min="6155" max="6155" width="9.5703125" style="1620" customWidth="1"/>
    <col min="6156" max="6156" width="11.85546875" style="1620" customWidth="1"/>
    <col min="6157" max="6157" width="3.42578125" style="1620" customWidth="1"/>
    <col min="6158" max="6158" width="9.140625" style="1620"/>
    <col min="6159" max="6159" width="11.140625" style="1620" customWidth="1"/>
    <col min="6160" max="6160" width="11.28515625" style="1620" bestFit="1" customWidth="1"/>
    <col min="6161" max="6400" width="9.140625" style="1620"/>
    <col min="6401" max="6401" width="18.28515625" style="1620" customWidth="1"/>
    <col min="6402" max="6402" width="12.5703125" style="1620" customWidth="1"/>
    <col min="6403" max="6403" width="14.85546875" style="1620" customWidth="1"/>
    <col min="6404" max="6404" width="13" style="1620" customWidth="1"/>
    <col min="6405" max="6405" width="14" style="1620" customWidth="1"/>
    <col min="6406" max="6406" width="11.140625" style="1620" customWidth="1"/>
    <col min="6407" max="6407" width="12.5703125" style="1620" customWidth="1"/>
    <col min="6408" max="6408" width="13" style="1620" customWidth="1"/>
    <col min="6409" max="6409" width="11.7109375" style="1620" customWidth="1"/>
    <col min="6410" max="6410" width="9.85546875" style="1620" customWidth="1"/>
    <col min="6411" max="6411" width="9.5703125" style="1620" customWidth="1"/>
    <col min="6412" max="6412" width="11.85546875" style="1620" customWidth="1"/>
    <col min="6413" max="6413" width="3.42578125" style="1620" customWidth="1"/>
    <col min="6414" max="6414" width="9.140625" style="1620"/>
    <col min="6415" max="6415" width="11.140625" style="1620" customWidth="1"/>
    <col min="6416" max="6416" width="11.28515625" style="1620" bestFit="1" customWidth="1"/>
    <col min="6417" max="6656" width="9.140625" style="1620"/>
    <col min="6657" max="6657" width="18.28515625" style="1620" customWidth="1"/>
    <col min="6658" max="6658" width="12.5703125" style="1620" customWidth="1"/>
    <col min="6659" max="6659" width="14.85546875" style="1620" customWidth="1"/>
    <col min="6660" max="6660" width="13" style="1620" customWidth="1"/>
    <col min="6661" max="6661" width="14" style="1620" customWidth="1"/>
    <col min="6662" max="6662" width="11.140625" style="1620" customWidth="1"/>
    <col min="6663" max="6663" width="12.5703125" style="1620" customWidth="1"/>
    <col min="6664" max="6664" width="13" style="1620" customWidth="1"/>
    <col min="6665" max="6665" width="11.7109375" style="1620" customWidth="1"/>
    <col min="6666" max="6666" width="9.85546875" style="1620" customWidth="1"/>
    <col min="6667" max="6667" width="9.5703125" style="1620" customWidth="1"/>
    <col min="6668" max="6668" width="11.85546875" style="1620" customWidth="1"/>
    <col min="6669" max="6669" width="3.42578125" style="1620" customWidth="1"/>
    <col min="6670" max="6670" width="9.140625" style="1620"/>
    <col min="6671" max="6671" width="11.140625" style="1620" customWidth="1"/>
    <col min="6672" max="6672" width="11.28515625" style="1620" bestFit="1" customWidth="1"/>
    <col min="6673" max="6912" width="9.140625" style="1620"/>
    <col min="6913" max="6913" width="18.28515625" style="1620" customWidth="1"/>
    <col min="6914" max="6914" width="12.5703125" style="1620" customWidth="1"/>
    <col min="6915" max="6915" width="14.85546875" style="1620" customWidth="1"/>
    <col min="6916" max="6916" width="13" style="1620" customWidth="1"/>
    <col min="6917" max="6917" width="14" style="1620" customWidth="1"/>
    <col min="6918" max="6918" width="11.140625" style="1620" customWidth="1"/>
    <col min="6919" max="6919" width="12.5703125" style="1620" customWidth="1"/>
    <col min="6920" max="6920" width="13" style="1620" customWidth="1"/>
    <col min="6921" max="6921" width="11.7109375" style="1620" customWidth="1"/>
    <col min="6922" max="6922" width="9.85546875" style="1620" customWidth="1"/>
    <col min="6923" max="6923" width="9.5703125" style="1620" customWidth="1"/>
    <col min="6924" max="6924" width="11.85546875" style="1620" customWidth="1"/>
    <col min="6925" max="6925" width="3.42578125" style="1620" customWidth="1"/>
    <col min="6926" max="6926" width="9.140625" style="1620"/>
    <col min="6927" max="6927" width="11.140625" style="1620" customWidth="1"/>
    <col min="6928" max="6928" width="11.28515625" style="1620" bestFit="1" customWidth="1"/>
    <col min="6929" max="7168" width="9.140625" style="1620"/>
    <col min="7169" max="7169" width="18.28515625" style="1620" customWidth="1"/>
    <col min="7170" max="7170" width="12.5703125" style="1620" customWidth="1"/>
    <col min="7171" max="7171" width="14.85546875" style="1620" customWidth="1"/>
    <col min="7172" max="7172" width="13" style="1620" customWidth="1"/>
    <col min="7173" max="7173" width="14" style="1620" customWidth="1"/>
    <col min="7174" max="7174" width="11.140625" style="1620" customWidth="1"/>
    <col min="7175" max="7175" width="12.5703125" style="1620" customWidth="1"/>
    <col min="7176" max="7176" width="13" style="1620" customWidth="1"/>
    <col min="7177" max="7177" width="11.7109375" style="1620" customWidth="1"/>
    <col min="7178" max="7178" width="9.85546875" style="1620" customWidth="1"/>
    <col min="7179" max="7179" width="9.5703125" style="1620" customWidth="1"/>
    <col min="7180" max="7180" width="11.85546875" style="1620" customWidth="1"/>
    <col min="7181" max="7181" width="3.42578125" style="1620" customWidth="1"/>
    <col min="7182" max="7182" width="9.140625" style="1620"/>
    <col min="7183" max="7183" width="11.140625" style="1620" customWidth="1"/>
    <col min="7184" max="7184" width="11.28515625" style="1620" bestFit="1" customWidth="1"/>
    <col min="7185" max="7424" width="9.140625" style="1620"/>
    <col min="7425" max="7425" width="18.28515625" style="1620" customWidth="1"/>
    <col min="7426" max="7426" width="12.5703125" style="1620" customWidth="1"/>
    <col min="7427" max="7427" width="14.85546875" style="1620" customWidth="1"/>
    <col min="7428" max="7428" width="13" style="1620" customWidth="1"/>
    <col min="7429" max="7429" width="14" style="1620" customWidth="1"/>
    <col min="7430" max="7430" width="11.140625" style="1620" customWidth="1"/>
    <col min="7431" max="7431" width="12.5703125" style="1620" customWidth="1"/>
    <col min="7432" max="7432" width="13" style="1620" customWidth="1"/>
    <col min="7433" max="7433" width="11.7109375" style="1620" customWidth="1"/>
    <col min="7434" max="7434" width="9.85546875" style="1620" customWidth="1"/>
    <col min="7435" max="7435" width="9.5703125" style="1620" customWidth="1"/>
    <col min="7436" max="7436" width="11.85546875" style="1620" customWidth="1"/>
    <col min="7437" max="7437" width="3.42578125" style="1620" customWidth="1"/>
    <col min="7438" max="7438" width="9.140625" style="1620"/>
    <col min="7439" max="7439" width="11.140625" style="1620" customWidth="1"/>
    <col min="7440" max="7440" width="11.28515625" style="1620" bestFit="1" customWidth="1"/>
    <col min="7441" max="7680" width="9.140625" style="1620"/>
    <col min="7681" max="7681" width="18.28515625" style="1620" customWidth="1"/>
    <col min="7682" max="7682" width="12.5703125" style="1620" customWidth="1"/>
    <col min="7683" max="7683" width="14.85546875" style="1620" customWidth="1"/>
    <col min="7684" max="7684" width="13" style="1620" customWidth="1"/>
    <col min="7685" max="7685" width="14" style="1620" customWidth="1"/>
    <col min="7686" max="7686" width="11.140625" style="1620" customWidth="1"/>
    <col min="7687" max="7687" width="12.5703125" style="1620" customWidth="1"/>
    <col min="7688" max="7688" width="13" style="1620" customWidth="1"/>
    <col min="7689" max="7689" width="11.7109375" style="1620" customWidth="1"/>
    <col min="7690" max="7690" width="9.85546875" style="1620" customWidth="1"/>
    <col min="7691" max="7691" width="9.5703125" style="1620" customWidth="1"/>
    <col min="7692" max="7692" width="11.85546875" style="1620" customWidth="1"/>
    <col min="7693" max="7693" width="3.42578125" style="1620" customWidth="1"/>
    <col min="7694" max="7694" width="9.140625" style="1620"/>
    <col min="7695" max="7695" width="11.140625" style="1620" customWidth="1"/>
    <col min="7696" max="7696" width="11.28515625" style="1620" bestFit="1" customWidth="1"/>
    <col min="7697" max="7936" width="9.140625" style="1620"/>
    <col min="7937" max="7937" width="18.28515625" style="1620" customWidth="1"/>
    <col min="7938" max="7938" width="12.5703125" style="1620" customWidth="1"/>
    <col min="7939" max="7939" width="14.85546875" style="1620" customWidth="1"/>
    <col min="7940" max="7940" width="13" style="1620" customWidth="1"/>
    <col min="7941" max="7941" width="14" style="1620" customWidth="1"/>
    <col min="7942" max="7942" width="11.140625" style="1620" customWidth="1"/>
    <col min="7943" max="7943" width="12.5703125" style="1620" customWidth="1"/>
    <col min="7944" max="7944" width="13" style="1620" customWidth="1"/>
    <col min="7945" max="7945" width="11.7109375" style="1620" customWidth="1"/>
    <col min="7946" max="7946" width="9.85546875" style="1620" customWidth="1"/>
    <col min="7947" max="7947" width="9.5703125" style="1620" customWidth="1"/>
    <col min="7948" max="7948" width="11.85546875" style="1620" customWidth="1"/>
    <col min="7949" max="7949" width="3.42578125" style="1620" customWidth="1"/>
    <col min="7950" max="7950" width="9.140625" style="1620"/>
    <col min="7951" max="7951" width="11.140625" style="1620" customWidth="1"/>
    <col min="7952" max="7952" width="11.28515625" style="1620" bestFit="1" customWidth="1"/>
    <col min="7953" max="8192" width="9.140625" style="1620"/>
    <col min="8193" max="8193" width="18.28515625" style="1620" customWidth="1"/>
    <col min="8194" max="8194" width="12.5703125" style="1620" customWidth="1"/>
    <col min="8195" max="8195" width="14.85546875" style="1620" customWidth="1"/>
    <col min="8196" max="8196" width="13" style="1620" customWidth="1"/>
    <col min="8197" max="8197" width="14" style="1620" customWidth="1"/>
    <col min="8198" max="8198" width="11.140625" style="1620" customWidth="1"/>
    <col min="8199" max="8199" width="12.5703125" style="1620" customWidth="1"/>
    <col min="8200" max="8200" width="13" style="1620" customWidth="1"/>
    <col min="8201" max="8201" width="11.7109375" style="1620" customWidth="1"/>
    <col min="8202" max="8202" width="9.85546875" style="1620" customWidth="1"/>
    <col min="8203" max="8203" width="9.5703125" style="1620" customWidth="1"/>
    <col min="8204" max="8204" width="11.85546875" style="1620" customWidth="1"/>
    <col min="8205" max="8205" width="3.42578125" style="1620" customWidth="1"/>
    <col min="8206" max="8206" width="9.140625" style="1620"/>
    <col min="8207" max="8207" width="11.140625" style="1620" customWidth="1"/>
    <col min="8208" max="8208" width="11.28515625" style="1620" bestFit="1" customWidth="1"/>
    <col min="8209" max="8448" width="9.140625" style="1620"/>
    <col min="8449" max="8449" width="18.28515625" style="1620" customWidth="1"/>
    <col min="8450" max="8450" width="12.5703125" style="1620" customWidth="1"/>
    <col min="8451" max="8451" width="14.85546875" style="1620" customWidth="1"/>
    <col min="8452" max="8452" width="13" style="1620" customWidth="1"/>
    <col min="8453" max="8453" width="14" style="1620" customWidth="1"/>
    <col min="8454" max="8454" width="11.140625" style="1620" customWidth="1"/>
    <col min="8455" max="8455" width="12.5703125" style="1620" customWidth="1"/>
    <col min="8456" max="8456" width="13" style="1620" customWidth="1"/>
    <col min="8457" max="8457" width="11.7109375" style="1620" customWidth="1"/>
    <col min="8458" max="8458" width="9.85546875" style="1620" customWidth="1"/>
    <col min="8459" max="8459" width="9.5703125" style="1620" customWidth="1"/>
    <col min="8460" max="8460" width="11.85546875" style="1620" customWidth="1"/>
    <col min="8461" max="8461" width="3.42578125" style="1620" customWidth="1"/>
    <col min="8462" max="8462" width="9.140625" style="1620"/>
    <col min="8463" max="8463" width="11.140625" style="1620" customWidth="1"/>
    <col min="8464" max="8464" width="11.28515625" style="1620" bestFit="1" customWidth="1"/>
    <col min="8465" max="8704" width="9.140625" style="1620"/>
    <col min="8705" max="8705" width="18.28515625" style="1620" customWidth="1"/>
    <col min="8706" max="8706" width="12.5703125" style="1620" customWidth="1"/>
    <col min="8707" max="8707" width="14.85546875" style="1620" customWidth="1"/>
    <col min="8708" max="8708" width="13" style="1620" customWidth="1"/>
    <col min="8709" max="8709" width="14" style="1620" customWidth="1"/>
    <col min="8710" max="8710" width="11.140625" style="1620" customWidth="1"/>
    <col min="8711" max="8711" width="12.5703125" style="1620" customWidth="1"/>
    <col min="8712" max="8712" width="13" style="1620" customWidth="1"/>
    <col min="8713" max="8713" width="11.7109375" style="1620" customWidth="1"/>
    <col min="8714" max="8714" width="9.85546875" style="1620" customWidth="1"/>
    <col min="8715" max="8715" width="9.5703125" style="1620" customWidth="1"/>
    <col min="8716" max="8716" width="11.85546875" style="1620" customWidth="1"/>
    <col min="8717" max="8717" width="3.42578125" style="1620" customWidth="1"/>
    <col min="8718" max="8718" width="9.140625" style="1620"/>
    <col min="8719" max="8719" width="11.140625" style="1620" customWidth="1"/>
    <col min="8720" max="8720" width="11.28515625" style="1620" bestFit="1" customWidth="1"/>
    <col min="8721" max="8960" width="9.140625" style="1620"/>
    <col min="8961" max="8961" width="18.28515625" style="1620" customWidth="1"/>
    <col min="8962" max="8962" width="12.5703125" style="1620" customWidth="1"/>
    <col min="8963" max="8963" width="14.85546875" style="1620" customWidth="1"/>
    <col min="8964" max="8964" width="13" style="1620" customWidth="1"/>
    <col min="8965" max="8965" width="14" style="1620" customWidth="1"/>
    <col min="8966" max="8966" width="11.140625" style="1620" customWidth="1"/>
    <col min="8967" max="8967" width="12.5703125" style="1620" customWidth="1"/>
    <col min="8968" max="8968" width="13" style="1620" customWidth="1"/>
    <col min="8969" max="8969" width="11.7109375" style="1620" customWidth="1"/>
    <col min="8970" max="8970" width="9.85546875" style="1620" customWidth="1"/>
    <col min="8971" max="8971" width="9.5703125" style="1620" customWidth="1"/>
    <col min="8972" max="8972" width="11.85546875" style="1620" customWidth="1"/>
    <col min="8973" max="8973" width="3.42578125" style="1620" customWidth="1"/>
    <col min="8974" max="8974" width="9.140625" style="1620"/>
    <col min="8975" max="8975" width="11.140625" style="1620" customWidth="1"/>
    <col min="8976" max="8976" width="11.28515625" style="1620" bestFit="1" customWidth="1"/>
    <col min="8977" max="9216" width="9.140625" style="1620"/>
    <col min="9217" max="9217" width="18.28515625" style="1620" customWidth="1"/>
    <col min="9218" max="9218" width="12.5703125" style="1620" customWidth="1"/>
    <col min="9219" max="9219" width="14.85546875" style="1620" customWidth="1"/>
    <col min="9220" max="9220" width="13" style="1620" customWidth="1"/>
    <col min="9221" max="9221" width="14" style="1620" customWidth="1"/>
    <col min="9222" max="9222" width="11.140625" style="1620" customWidth="1"/>
    <col min="9223" max="9223" width="12.5703125" style="1620" customWidth="1"/>
    <col min="9224" max="9224" width="13" style="1620" customWidth="1"/>
    <col min="9225" max="9225" width="11.7109375" style="1620" customWidth="1"/>
    <col min="9226" max="9226" width="9.85546875" style="1620" customWidth="1"/>
    <col min="9227" max="9227" width="9.5703125" style="1620" customWidth="1"/>
    <col min="9228" max="9228" width="11.85546875" style="1620" customWidth="1"/>
    <col min="9229" max="9229" width="3.42578125" style="1620" customWidth="1"/>
    <col min="9230" max="9230" width="9.140625" style="1620"/>
    <col min="9231" max="9231" width="11.140625" style="1620" customWidth="1"/>
    <col min="9232" max="9232" width="11.28515625" style="1620" bestFit="1" customWidth="1"/>
    <col min="9233" max="9472" width="9.140625" style="1620"/>
    <col min="9473" max="9473" width="18.28515625" style="1620" customWidth="1"/>
    <col min="9474" max="9474" width="12.5703125" style="1620" customWidth="1"/>
    <col min="9475" max="9475" width="14.85546875" style="1620" customWidth="1"/>
    <col min="9476" max="9476" width="13" style="1620" customWidth="1"/>
    <col min="9477" max="9477" width="14" style="1620" customWidth="1"/>
    <col min="9478" max="9478" width="11.140625" style="1620" customWidth="1"/>
    <col min="9479" max="9479" width="12.5703125" style="1620" customWidth="1"/>
    <col min="9480" max="9480" width="13" style="1620" customWidth="1"/>
    <col min="9481" max="9481" width="11.7109375" style="1620" customWidth="1"/>
    <col min="9482" max="9482" width="9.85546875" style="1620" customWidth="1"/>
    <col min="9483" max="9483" width="9.5703125" style="1620" customWidth="1"/>
    <col min="9484" max="9484" width="11.85546875" style="1620" customWidth="1"/>
    <col min="9485" max="9485" width="3.42578125" style="1620" customWidth="1"/>
    <col min="9486" max="9486" width="9.140625" style="1620"/>
    <col min="9487" max="9487" width="11.140625" style="1620" customWidth="1"/>
    <col min="9488" max="9488" width="11.28515625" style="1620" bestFit="1" customWidth="1"/>
    <col min="9489" max="9728" width="9.140625" style="1620"/>
    <col min="9729" max="9729" width="18.28515625" style="1620" customWidth="1"/>
    <col min="9730" max="9730" width="12.5703125" style="1620" customWidth="1"/>
    <col min="9731" max="9731" width="14.85546875" style="1620" customWidth="1"/>
    <col min="9732" max="9732" width="13" style="1620" customWidth="1"/>
    <col min="9733" max="9733" width="14" style="1620" customWidth="1"/>
    <col min="9734" max="9734" width="11.140625" style="1620" customWidth="1"/>
    <col min="9735" max="9735" width="12.5703125" style="1620" customWidth="1"/>
    <col min="9736" max="9736" width="13" style="1620" customWidth="1"/>
    <col min="9737" max="9737" width="11.7109375" style="1620" customWidth="1"/>
    <col min="9738" max="9738" width="9.85546875" style="1620" customWidth="1"/>
    <col min="9739" max="9739" width="9.5703125" style="1620" customWidth="1"/>
    <col min="9740" max="9740" width="11.85546875" style="1620" customWidth="1"/>
    <col min="9741" max="9741" width="3.42578125" style="1620" customWidth="1"/>
    <col min="9742" max="9742" width="9.140625" style="1620"/>
    <col min="9743" max="9743" width="11.140625" style="1620" customWidth="1"/>
    <col min="9744" max="9744" width="11.28515625" style="1620" bestFit="1" customWidth="1"/>
    <col min="9745" max="9984" width="9.140625" style="1620"/>
    <col min="9985" max="9985" width="18.28515625" style="1620" customWidth="1"/>
    <col min="9986" max="9986" width="12.5703125" style="1620" customWidth="1"/>
    <col min="9987" max="9987" width="14.85546875" style="1620" customWidth="1"/>
    <col min="9988" max="9988" width="13" style="1620" customWidth="1"/>
    <col min="9989" max="9989" width="14" style="1620" customWidth="1"/>
    <col min="9990" max="9990" width="11.140625" style="1620" customWidth="1"/>
    <col min="9991" max="9991" width="12.5703125" style="1620" customWidth="1"/>
    <col min="9992" max="9992" width="13" style="1620" customWidth="1"/>
    <col min="9993" max="9993" width="11.7109375" style="1620" customWidth="1"/>
    <col min="9994" max="9994" width="9.85546875" style="1620" customWidth="1"/>
    <col min="9995" max="9995" width="9.5703125" style="1620" customWidth="1"/>
    <col min="9996" max="9996" width="11.85546875" style="1620" customWidth="1"/>
    <col min="9997" max="9997" width="3.42578125" style="1620" customWidth="1"/>
    <col min="9998" max="9998" width="9.140625" style="1620"/>
    <col min="9999" max="9999" width="11.140625" style="1620" customWidth="1"/>
    <col min="10000" max="10000" width="11.28515625" style="1620" bestFit="1" customWidth="1"/>
    <col min="10001" max="10240" width="9.140625" style="1620"/>
    <col min="10241" max="10241" width="18.28515625" style="1620" customWidth="1"/>
    <col min="10242" max="10242" width="12.5703125" style="1620" customWidth="1"/>
    <col min="10243" max="10243" width="14.85546875" style="1620" customWidth="1"/>
    <col min="10244" max="10244" width="13" style="1620" customWidth="1"/>
    <col min="10245" max="10245" width="14" style="1620" customWidth="1"/>
    <col min="10246" max="10246" width="11.140625" style="1620" customWidth="1"/>
    <col min="10247" max="10247" width="12.5703125" style="1620" customWidth="1"/>
    <col min="10248" max="10248" width="13" style="1620" customWidth="1"/>
    <col min="10249" max="10249" width="11.7109375" style="1620" customWidth="1"/>
    <col min="10250" max="10250" width="9.85546875" style="1620" customWidth="1"/>
    <col min="10251" max="10251" width="9.5703125" style="1620" customWidth="1"/>
    <col min="10252" max="10252" width="11.85546875" style="1620" customWidth="1"/>
    <col min="10253" max="10253" width="3.42578125" style="1620" customWidth="1"/>
    <col min="10254" max="10254" width="9.140625" style="1620"/>
    <col min="10255" max="10255" width="11.140625" style="1620" customWidth="1"/>
    <col min="10256" max="10256" width="11.28515625" style="1620" bestFit="1" customWidth="1"/>
    <col min="10257" max="10496" width="9.140625" style="1620"/>
    <col min="10497" max="10497" width="18.28515625" style="1620" customWidth="1"/>
    <col min="10498" max="10498" width="12.5703125" style="1620" customWidth="1"/>
    <col min="10499" max="10499" width="14.85546875" style="1620" customWidth="1"/>
    <col min="10500" max="10500" width="13" style="1620" customWidth="1"/>
    <col min="10501" max="10501" width="14" style="1620" customWidth="1"/>
    <col min="10502" max="10502" width="11.140625" style="1620" customWidth="1"/>
    <col min="10503" max="10503" width="12.5703125" style="1620" customWidth="1"/>
    <col min="10504" max="10504" width="13" style="1620" customWidth="1"/>
    <col min="10505" max="10505" width="11.7109375" style="1620" customWidth="1"/>
    <col min="10506" max="10506" width="9.85546875" style="1620" customWidth="1"/>
    <col min="10507" max="10507" width="9.5703125" style="1620" customWidth="1"/>
    <col min="10508" max="10508" width="11.85546875" style="1620" customWidth="1"/>
    <col min="10509" max="10509" width="3.42578125" style="1620" customWidth="1"/>
    <col min="10510" max="10510" width="9.140625" style="1620"/>
    <col min="10511" max="10511" width="11.140625" style="1620" customWidth="1"/>
    <col min="10512" max="10512" width="11.28515625" style="1620" bestFit="1" customWidth="1"/>
    <col min="10513" max="10752" width="9.140625" style="1620"/>
    <col min="10753" max="10753" width="18.28515625" style="1620" customWidth="1"/>
    <col min="10754" max="10754" width="12.5703125" style="1620" customWidth="1"/>
    <col min="10755" max="10755" width="14.85546875" style="1620" customWidth="1"/>
    <col min="10756" max="10756" width="13" style="1620" customWidth="1"/>
    <col min="10757" max="10757" width="14" style="1620" customWidth="1"/>
    <col min="10758" max="10758" width="11.140625" style="1620" customWidth="1"/>
    <col min="10759" max="10759" width="12.5703125" style="1620" customWidth="1"/>
    <col min="10760" max="10760" width="13" style="1620" customWidth="1"/>
    <col min="10761" max="10761" width="11.7109375" style="1620" customWidth="1"/>
    <col min="10762" max="10762" width="9.85546875" style="1620" customWidth="1"/>
    <col min="10763" max="10763" width="9.5703125" style="1620" customWidth="1"/>
    <col min="10764" max="10764" width="11.85546875" style="1620" customWidth="1"/>
    <col min="10765" max="10765" width="3.42578125" style="1620" customWidth="1"/>
    <col min="10766" max="10766" width="9.140625" style="1620"/>
    <col min="10767" max="10767" width="11.140625" style="1620" customWidth="1"/>
    <col min="10768" max="10768" width="11.28515625" style="1620" bestFit="1" customWidth="1"/>
    <col min="10769" max="11008" width="9.140625" style="1620"/>
    <col min="11009" max="11009" width="18.28515625" style="1620" customWidth="1"/>
    <col min="11010" max="11010" width="12.5703125" style="1620" customWidth="1"/>
    <col min="11011" max="11011" width="14.85546875" style="1620" customWidth="1"/>
    <col min="11012" max="11012" width="13" style="1620" customWidth="1"/>
    <col min="11013" max="11013" width="14" style="1620" customWidth="1"/>
    <col min="11014" max="11014" width="11.140625" style="1620" customWidth="1"/>
    <col min="11015" max="11015" width="12.5703125" style="1620" customWidth="1"/>
    <col min="11016" max="11016" width="13" style="1620" customWidth="1"/>
    <col min="11017" max="11017" width="11.7109375" style="1620" customWidth="1"/>
    <col min="11018" max="11018" width="9.85546875" style="1620" customWidth="1"/>
    <col min="11019" max="11019" width="9.5703125" style="1620" customWidth="1"/>
    <col min="11020" max="11020" width="11.85546875" style="1620" customWidth="1"/>
    <col min="11021" max="11021" width="3.42578125" style="1620" customWidth="1"/>
    <col min="11022" max="11022" width="9.140625" style="1620"/>
    <col min="11023" max="11023" width="11.140625" style="1620" customWidth="1"/>
    <col min="11024" max="11024" width="11.28515625" style="1620" bestFit="1" customWidth="1"/>
    <col min="11025" max="11264" width="9.140625" style="1620"/>
    <col min="11265" max="11265" width="18.28515625" style="1620" customWidth="1"/>
    <col min="11266" max="11266" width="12.5703125" style="1620" customWidth="1"/>
    <col min="11267" max="11267" width="14.85546875" style="1620" customWidth="1"/>
    <col min="11268" max="11268" width="13" style="1620" customWidth="1"/>
    <col min="11269" max="11269" width="14" style="1620" customWidth="1"/>
    <col min="11270" max="11270" width="11.140625" style="1620" customWidth="1"/>
    <col min="11271" max="11271" width="12.5703125" style="1620" customWidth="1"/>
    <col min="11272" max="11272" width="13" style="1620" customWidth="1"/>
    <col min="11273" max="11273" width="11.7109375" style="1620" customWidth="1"/>
    <col min="11274" max="11274" width="9.85546875" style="1620" customWidth="1"/>
    <col min="11275" max="11275" width="9.5703125" style="1620" customWidth="1"/>
    <col min="11276" max="11276" width="11.85546875" style="1620" customWidth="1"/>
    <col min="11277" max="11277" width="3.42578125" style="1620" customWidth="1"/>
    <col min="11278" max="11278" width="9.140625" style="1620"/>
    <col min="11279" max="11279" width="11.140625" style="1620" customWidth="1"/>
    <col min="11280" max="11280" width="11.28515625" style="1620" bestFit="1" customWidth="1"/>
    <col min="11281" max="11520" width="9.140625" style="1620"/>
    <col min="11521" max="11521" width="18.28515625" style="1620" customWidth="1"/>
    <col min="11522" max="11522" width="12.5703125" style="1620" customWidth="1"/>
    <col min="11523" max="11523" width="14.85546875" style="1620" customWidth="1"/>
    <col min="11524" max="11524" width="13" style="1620" customWidth="1"/>
    <col min="11525" max="11525" width="14" style="1620" customWidth="1"/>
    <col min="11526" max="11526" width="11.140625" style="1620" customWidth="1"/>
    <col min="11527" max="11527" width="12.5703125" style="1620" customWidth="1"/>
    <col min="11528" max="11528" width="13" style="1620" customWidth="1"/>
    <col min="11529" max="11529" width="11.7109375" style="1620" customWidth="1"/>
    <col min="11530" max="11530" width="9.85546875" style="1620" customWidth="1"/>
    <col min="11531" max="11531" width="9.5703125" style="1620" customWidth="1"/>
    <col min="11532" max="11532" width="11.85546875" style="1620" customWidth="1"/>
    <col min="11533" max="11533" width="3.42578125" style="1620" customWidth="1"/>
    <col min="11534" max="11534" width="9.140625" style="1620"/>
    <col min="11535" max="11535" width="11.140625" style="1620" customWidth="1"/>
    <col min="11536" max="11536" width="11.28515625" style="1620" bestFit="1" customWidth="1"/>
    <col min="11537" max="11776" width="9.140625" style="1620"/>
    <col min="11777" max="11777" width="18.28515625" style="1620" customWidth="1"/>
    <col min="11778" max="11778" width="12.5703125" style="1620" customWidth="1"/>
    <col min="11779" max="11779" width="14.85546875" style="1620" customWidth="1"/>
    <col min="11780" max="11780" width="13" style="1620" customWidth="1"/>
    <col min="11781" max="11781" width="14" style="1620" customWidth="1"/>
    <col min="11782" max="11782" width="11.140625" style="1620" customWidth="1"/>
    <col min="11783" max="11783" width="12.5703125" style="1620" customWidth="1"/>
    <col min="11784" max="11784" width="13" style="1620" customWidth="1"/>
    <col min="11785" max="11785" width="11.7109375" style="1620" customWidth="1"/>
    <col min="11786" max="11786" width="9.85546875" style="1620" customWidth="1"/>
    <col min="11787" max="11787" width="9.5703125" style="1620" customWidth="1"/>
    <col min="11788" max="11788" width="11.85546875" style="1620" customWidth="1"/>
    <col min="11789" max="11789" width="3.42578125" style="1620" customWidth="1"/>
    <col min="11790" max="11790" width="9.140625" style="1620"/>
    <col min="11791" max="11791" width="11.140625" style="1620" customWidth="1"/>
    <col min="11792" max="11792" width="11.28515625" style="1620" bestFit="1" customWidth="1"/>
    <col min="11793" max="12032" width="9.140625" style="1620"/>
    <col min="12033" max="12033" width="18.28515625" style="1620" customWidth="1"/>
    <col min="12034" max="12034" width="12.5703125" style="1620" customWidth="1"/>
    <col min="12035" max="12035" width="14.85546875" style="1620" customWidth="1"/>
    <col min="12036" max="12036" width="13" style="1620" customWidth="1"/>
    <col min="12037" max="12037" width="14" style="1620" customWidth="1"/>
    <col min="12038" max="12038" width="11.140625" style="1620" customWidth="1"/>
    <col min="12039" max="12039" width="12.5703125" style="1620" customWidth="1"/>
    <col min="12040" max="12040" width="13" style="1620" customWidth="1"/>
    <col min="12041" max="12041" width="11.7109375" style="1620" customWidth="1"/>
    <col min="12042" max="12042" width="9.85546875" style="1620" customWidth="1"/>
    <col min="12043" max="12043" width="9.5703125" style="1620" customWidth="1"/>
    <col min="12044" max="12044" width="11.85546875" style="1620" customWidth="1"/>
    <col min="12045" max="12045" width="3.42578125" style="1620" customWidth="1"/>
    <col min="12046" max="12046" width="9.140625" style="1620"/>
    <col min="12047" max="12047" width="11.140625" style="1620" customWidth="1"/>
    <col min="12048" max="12048" width="11.28515625" style="1620" bestFit="1" customWidth="1"/>
    <col min="12049" max="12288" width="9.140625" style="1620"/>
    <col min="12289" max="12289" width="18.28515625" style="1620" customWidth="1"/>
    <col min="12290" max="12290" width="12.5703125" style="1620" customWidth="1"/>
    <col min="12291" max="12291" width="14.85546875" style="1620" customWidth="1"/>
    <col min="12292" max="12292" width="13" style="1620" customWidth="1"/>
    <col min="12293" max="12293" width="14" style="1620" customWidth="1"/>
    <col min="12294" max="12294" width="11.140625" style="1620" customWidth="1"/>
    <col min="12295" max="12295" width="12.5703125" style="1620" customWidth="1"/>
    <col min="12296" max="12296" width="13" style="1620" customWidth="1"/>
    <col min="12297" max="12297" width="11.7109375" style="1620" customWidth="1"/>
    <col min="12298" max="12298" width="9.85546875" style="1620" customWidth="1"/>
    <col min="12299" max="12299" width="9.5703125" style="1620" customWidth="1"/>
    <col min="12300" max="12300" width="11.85546875" style="1620" customWidth="1"/>
    <col min="12301" max="12301" width="3.42578125" style="1620" customWidth="1"/>
    <col min="12302" max="12302" width="9.140625" style="1620"/>
    <col min="12303" max="12303" width="11.140625" style="1620" customWidth="1"/>
    <col min="12304" max="12304" width="11.28515625" style="1620" bestFit="1" customWidth="1"/>
    <col min="12305" max="12544" width="9.140625" style="1620"/>
    <col min="12545" max="12545" width="18.28515625" style="1620" customWidth="1"/>
    <col min="12546" max="12546" width="12.5703125" style="1620" customWidth="1"/>
    <col min="12547" max="12547" width="14.85546875" style="1620" customWidth="1"/>
    <col min="12548" max="12548" width="13" style="1620" customWidth="1"/>
    <col min="12549" max="12549" width="14" style="1620" customWidth="1"/>
    <col min="12550" max="12550" width="11.140625" style="1620" customWidth="1"/>
    <col min="12551" max="12551" width="12.5703125" style="1620" customWidth="1"/>
    <col min="12552" max="12552" width="13" style="1620" customWidth="1"/>
    <col min="12553" max="12553" width="11.7109375" style="1620" customWidth="1"/>
    <col min="12554" max="12554" width="9.85546875" style="1620" customWidth="1"/>
    <col min="12555" max="12555" width="9.5703125" style="1620" customWidth="1"/>
    <col min="12556" max="12556" width="11.85546875" style="1620" customWidth="1"/>
    <col min="12557" max="12557" width="3.42578125" style="1620" customWidth="1"/>
    <col min="12558" max="12558" width="9.140625" style="1620"/>
    <col min="12559" max="12559" width="11.140625" style="1620" customWidth="1"/>
    <col min="12560" max="12560" width="11.28515625" style="1620" bestFit="1" customWidth="1"/>
    <col min="12561" max="12800" width="9.140625" style="1620"/>
    <col min="12801" max="12801" width="18.28515625" style="1620" customWidth="1"/>
    <col min="12802" max="12802" width="12.5703125" style="1620" customWidth="1"/>
    <col min="12803" max="12803" width="14.85546875" style="1620" customWidth="1"/>
    <col min="12804" max="12804" width="13" style="1620" customWidth="1"/>
    <col min="12805" max="12805" width="14" style="1620" customWidth="1"/>
    <col min="12806" max="12806" width="11.140625" style="1620" customWidth="1"/>
    <col min="12807" max="12807" width="12.5703125" style="1620" customWidth="1"/>
    <col min="12808" max="12808" width="13" style="1620" customWidth="1"/>
    <col min="12809" max="12809" width="11.7109375" style="1620" customWidth="1"/>
    <col min="12810" max="12810" width="9.85546875" style="1620" customWidth="1"/>
    <col min="12811" max="12811" width="9.5703125" style="1620" customWidth="1"/>
    <col min="12812" max="12812" width="11.85546875" style="1620" customWidth="1"/>
    <col min="12813" max="12813" width="3.42578125" style="1620" customWidth="1"/>
    <col min="12814" max="12814" width="9.140625" style="1620"/>
    <col min="12815" max="12815" width="11.140625" style="1620" customWidth="1"/>
    <col min="12816" max="12816" width="11.28515625" style="1620" bestFit="1" customWidth="1"/>
    <col min="12817" max="13056" width="9.140625" style="1620"/>
    <col min="13057" max="13057" width="18.28515625" style="1620" customWidth="1"/>
    <col min="13058" max="13058" width="12.5703125" style="1620" customWidth="1"/>
    <col min="13059" max="13059" width="14.85546875" style="1620" customWidth="1"/>
    <col min="13060" max="13060" width="13" style="1620" customWidth="1"/>
    <col min="13061" max="13061" width="14" style="1620" customWidth="1"/>
    <col min="13062" max="13062" width="11.140625" style="1620" customWidth="1"/>
    <col min="13063" max="13063" width="12.5703125" style="1620" customWidth="1"/>
    <col min="13064" max="13064" width="13" style="1620" customWidth="1"/>
    <col min="13065" max="13065" width="11.7109375" style="1620" customWidth="1"/>
    <col min="13066" max="13066" width="9.85546875" style="1620" customWidth="1"/>
    <col min="13067" max="13067" width="9.5703125" style="1620" customWidth="1"/>
    <col min="13068" max="13068" width="11.85546875" style="1620" customWidth="1"/>
    <col min="13069" max="13069" width="3.42578125" style="1620" customWidth="1"/>
    <col min="13070" max="13070" width="9.140625" style="1620"/>
    <col min="13071" max="13071" width="11.140625" style="1620" customWidth="1"/>
    <col min="13072" max="13072" width="11.28515625" style="1620" bestFit="1" customWidth="1"/>
    <col min="13073" max="13312" width="9.140625" style="1620"/>
    <col min="13313" max="13313" width="18.28515625" style="1620" customWidth="1"/>
    <col min="13314" max="13314" width="12.5703125" style="1620" customWidth="1"/>
    <col min="13315" max="13315" width="14.85546875" style="1620" customWidth="1"/>
    <col min="13316" max="13316" width="13" style="1620" customWidth="1"/>
    <col min="13317" max="13317" width="14" style="1620" customWidth="1"/>
    <col min="13318" max="13318" width="11.140625" style="1620" customWidth="1"/>
    <col min="13319" max="13319" width="12.5703125" style="1620" customWidth="1"/>
    <col min="13320" max="13320" width="13" style="1620" customWidth="1"/>
    <col min="13321" max="13321" width="11.7109375" style="1620" customWidth="1"/>
    <col min="13322" max="13322" width="9.85546875" style="1620" customWidth="1"/>
    <col min="13323" max="13323" width="9.5703125" style="1620" customWidth="1"/>
    <col min="13324" max="13324" width="11.85546875" style="1620" customWidth="1"/>
    <col min="13325" max="13325" width="3.42578125" style="1620" customWidth="1"/>
    <col min="13326" max="13326" width="9.140625" style="1620"/>
    <col min="13327" max="13327" width="11.140625" style="1620" customWidth="1"/>
    <col min="13328" max="13328" width="11.28515625" style="1620" bestFit="1" customWidth="1"/>
    <col min="13329" max="13568" width="9.140625" style="1620"/>
    <col min="13569" max="13569" width="18.28515625" style="1620" customWidth="1"/>
    <col min="13570" max="13570" width="12.5703125" style="1620" customWidth="1"/>
    <col min="13571" max="13571" width="14.85546875" style="1620" customWidth="1"/>
    <col min="13572" max="13572" width="13" style="1620" customWidth="1"/>
    <col min="13573" max="13573" width="14" style="1620" customWidth="1"/>
    <col min="13574" max="13574" width="11.140625" style="1620" customWidth="1"/>
    <col min="13575" max="13575" width="12.5703125" style="1620" customWidth="1"/>
    <col min="13576" max="13576" width="13" style="1620" customWidth="1"/>
    <col min="13577" max="13577" width="11.7109375" style="1620" customWidth="1"/>
    <col min="13578" max="13578" width="9.85546875" style="1620" customWidth="1"/>
    <col min="13579" max="13579" width="9.5703125" style="1620" customWidth="1"/>
    <col min="13580" max="13580" width="11.85546875" style="1620" customWidth="1"/>
    <col min="13581" max="13581" width="3.42578125" style="1620" customWidth="1"/>
    <col min="13582" max="13582" width="9.140625" style="1620"/>
    <col min="13583" max="13583" width="11.140625" style="1620" customWidth="1"/>
    <col min="13584" max="13584" width="11.28515625" style="1620" bestFit="1" customWidth="1"/>
    <col min="13585" max="13824" width="9.140625" style="1620"/>
    <col min="13825" max="13825" width="18.28515625" style="1620" customWidth="1"/>
    <col min="13826" max="13826" width="12.5703125" style="1620" customWidth="1"/>
    <col min="13827" max="13827" width="14.85546875" style="1620" customWidth="1"/>
    <col min="13828" max="13828" width="13" style="1620" customWidth="1"/>
    <col min="13829" max="13829" width="14" style="1620" customWidth="1"/>
    <col min="13830" max="13830" width="11.140625" style="1620" customWidth="1"/>
    <col min="13831" max="13831" width="12.5703125" style="1620" customWidth="1"/>
    <col min="13832" max="13832" width="13" style="1620" customWidth="1"/>
    <col min="13833" max="13833" width="11.7109375" style="1620" customWidth="1"/>
    <col min="13834" max="13834" width="9.85546875" style="1620" customWidth="1"/>
    <col min="13835" max="13835" width="9.5703125" style="1620" customWidth="1"/>
    <col min="13836" max="13836" width="11.85546875" style="1620" customWidth="1"/>
    <col min="13837" max="13837" width="3.42578125" style="1620" customWidth="1"/>
    <col min="13838" max="13838" width="9.140625" style="1620"/>
    <col min="13839" max="13839" width="11.140625" style="1620" customWidth="1"/>
    <col min="13840" max="13840" width="11.28515625" style="1620" bestFit="1" customWidth="1"/>
    <col min="13841" max="14080" width="9.140625" style="1620"/>
    <col min="14081" max="14081" width="18.28515625" style="1620" customWidth="1"/>
    <col min="14082" max="14082" width="12.5703125" style="1620" customWidth="1"/>
    <col min="14083" max="14083" width="14.85546875" style="1620" customWidth="1"/>
    <col min="14084" max="14084" width="13" style="1620" customWidth="1"/>
    <col min="14085" max="14085" width="14" style="1620" customWidth="1"/>
    <col min="14086" max="14086" width="11.140625" style="1620" customWidth="1"/>
    <col min="14087" max="14087" width="12.5703125" style="1620" customWidth="1"/>
    <col min="14088" max="14088" width="13" style="1620" customWidth="1"/>
    <col min="14089" max="14089" width="11.7109375" style="1620" customWidth="1"/>
    <col min="14090" max="14090" width="9.85546875" style="1620" customWidth="1"/>
    <col min="14091" max="14091" width="9.5703125" style="1620" customWidth="1"/>
    <col min="14092" max="14092" width="11.85546875" style="1620" customWidth="1"/>
    <col min="14093" max="14093" width="3.42578125" style="1620" customWidth="1"/>
    <col min="14094" max="14094" width="9.140625" style="1620"/>
    <col min="14095" max="14095" width="11.140625" style="1620" customWidth="1"/>
    <col min="14096" max="14096" width="11.28515625" style="1620" bestFit="1" customWidth="1"/>
    <col min="14097" max="14336" width="9.140625" style="1620"/>
    <col min="14337" max="14337" width="18.28515625" style="1620" customWidth="1"/>
    <col min="14338" max="14338" width="12.5703125" style="1620" customWidth="1"/>
    <col min="14339" max="14339" width="14.85546875" style="1620" customWidth="1"/>
    <col min="14340" max="14340" width="13" style="1620" customWidth="1"/>
    <col min="14341" max="14341" width="14" style="1620" customWidth="1"/>
    <col min="14342" max="14342" width="11.140625" style="1620" customWidth="1"/>
    <col min="14343" max="14343" width="12.5703125" style="1620" customWidth="1"/>
    <col min="14344" max="14344" width="13" style="1620" customWidth="1"/>
    <col min="14345" max="14345" width="11.7109375" style="1620" customWidth="1"/>
    <col min="14346" max="14346" width="9.85546875" style="1620" customWidth="1"/>
    <col min="14347" max="14347" width="9.5703125" style="1620" customWidth="1"/>
    <col min="14348" max="14348" width="11.85546875" style="1620" customWidth="1"/>
    <col min="14349" max="14349" width="3.42578125" style="1620" customWidth="1"/>
    <col min="14350" max="14350" width="9.140625" style="1620"/>
    <col min="14351" max="14351" width="11.140625" style="1620" customWidth="1"/>
    <col min="14352" max="14352" width="11.28515625" style="1620" bestFit="1" customWidth="1"/>
    <col min="14353" max="14592" width="9.140625" style="1620"/>
    <col min="14593" max="14593" width="18.28515625" style="1620" customWidth="1"/>
    <col min="14594" max="14594" width="12.5703125" style="1620" customWidth="1"/>
    <col min="14595" max="14595" width="14.85546875" style="1620" customWidth="1"/>
    <col min="14596" max="14596" width="13" style="1620" customWidth="1"/>
    <col min="14597" max="14597" width="14" style="1620" customWidth="1"/>
    <col min="14598" max="14598" width="11.140625" style="1620" customWidth="1"/>
    <col min="14599" max="14599" width="12.5703125" style="1620" customWidth="1"/>
    <col min="14600" max="14600" width="13" style="1620" customWidth="1"/>
    <col min="14601" max="14601" width="11.7109375" style="1620" customWidth="1"/>
    <col min="14602" max="14602" width="9.85546875" style="1620" customWidth="1"/>
    <col min="14603" max="14603" width="9.5703125" style="1620" customWidth="1"/>
    <col min="14604" max="14604" width="11.85546875" style="1620" customWidth="1"/>
    <col min="14605" max="14605" width="3.42578125" style="1620" customWidth="1"/>
    <col min="14606" max="14606" width="9.140625" style="1620"/>
    <col min="14607" max="14607" width="11.140625" style="1620" customWidth="1"/>
    <col min="14608" max="14608" width="11.28515625" style="1620" bestFit="1" customWidth="1"/>
    <col min="14609" max="14848" width="9.140625" style="1620"/>
    <col min="14849" max="14849" width="18.28515625" style="1620" customWidth="1"/>
    <col min="14850" max="14850" width="12.5703125" style="1620" customWidth="1"/>
    <col min="14851" max="14851" width="14.85546875" style="1620" customWidth="1"/>
    <col min="14852" max="14852" width="13" style="1620" customWidth="1"/>
    <col min="14853" max="14853" width="14" style="1620" customWidth="1"/>
    <col min="14854" max="14854" width="11.140625" style="1620" customWidth="1"/>
    <col min="14855" max="14855" width="12.5703125" style="1620" customWidth="1"/>
    <col min="14856" max="14856" width="13" style="1620" customWidth="1"/>
    <col min="14857" max="14857" width="11.7109375" style="1620" customWidth="1"/>
    <col min="14858" max="14858" width="9.85546875" style="1620" customWidth="1"/>
    <col min="14859" max="14859" width="9.5703125" style="1620" customWidth="1"/>
    <col min="14860" max="14860" width="11.85546875" style="1620" customWidth="1"/>
    <col min="14861" max="14861" width="3.42578125" style="1620" customWidth="1"/>
    <col min="14862" max="14862" width="9.140625" style="1620"/>
    <col min="14863" max="14863" width="11.140625" style="1620" customWidth="1"/>
    <col min="14864" max="14864" width="11.28515625" style="1620" bestFit="1" customWidth="1"/>
    <col min="14865" max="15104" width="9.140625" style="1620"/>
    <col min="15105" max="15105" width="18.28515625" style="1620" customWidth="1"/>
    <col min="15106" max="15106" width="12.5703125" style="1620" customWidth="1"/>
    <col min="15107" max="15107" width="14.85546875" style="1620" customWidth="1"/>
    <col min="15108" max="15108" width="13" style="1620" customWidth="1"/>
    <col min="15109" max="15109" width="14" style="1620" customWidth="1"/>
    <col min="15110" max="15110" width="11.140625" style="1620" customWidth="1"/>
    <col min="15111" max="15111" width="12.5703125" style="1620" customWidth="1"/>
    <col min="15112" max="15112" width="13" style="1620" customWidth="1"/>
    <col min="15113" max="15113" width="11.7109375" style="1620" customWidth="1"/>
    <col min="15114" max="15114" width="9.85546875" style="1620" customWidth="1"/>
    <col min="15115" max="15115" width="9.5703125" style="1620" customWidth="1"/>
    <col min="15116" max="15116" width="11.85546875" style="1620" customWidth="1"/>
    <col min="15117" max="15117" width="3.42578125" style="1620" customWidth="1"/>
    <col min="15118" max="15118" width="9.140625" style="1620"/>
    <col min="15119" max="15119" width="11.140625" style="1620" customWidth="1"/>
    <col min="15120" max="15120" width="11.28515625" style="1620" bestFit="1" customWidth="1"/>
    <col min="15121" max="15360" width="9.140625" style="1620"/>
    <col min="15361" max="15361" width="18.28515625" style="1620" customWidth="1"/>
    <col min="15362" max="15362" width="12.5703125" style="1620" customWidth="1"/>
    <col min="15363" max="15363" width="14.85546875" style="1620" customWidth="1"/>
    <col min="15364" max="15364" width="13" style="1620" customWidth="1"/>
    <col min="15365" max="15365" width="14" style="1620" customWidth="1"/>
    <col min="15366" max="15366" width="11.140625" style="1620" customWidth="1"/>
    <col min="15367" max="15367" width="12.5703125" style="1620" customWidth="1"/>
    <col min="15368" max="15368" width="13" style="1620" customWidth="1"/>
    <col min="15369" max="15369" width="11.7109375" style="1620" customWidth="1"/>
    <col min="15370" max="15370" width="9.85546875" style="1620" customWidth="1"/>
    <col min="15371" max="15371" width="9.5703125" style="1620" customWidth="1"/>
    <col min="15372" max="15372" width="11.85546875" style="1620" customWidth="1"/>
    <col min="15373" max="15373" width="3.42578125" style="1620" customWidth="1"/>
    <col min="15374" max="15374" width="9.140625" style="1620"/>
    <col min="15375" max="15375" width="11.140625" style="1620" customWidth="1"/>
    <col min="15376" max="15376" width="11.28515625" style="1620" bestFit="1" customWidth="1"/>
    <col min="15377" max="15616" width="9.140625" style="1620"/>
    <col min="15617" max="15617" width="18.28515625" style="1620" customWidth="1"/>
    <col min="15618" max="15618" width="12.5703125" style="1620" customWidth="1"/>
    <col min="15619" max="15619" width="14.85546875" style="1620" customWidth="1"/>
    <col min="15620" max="15620" width="13" style="1620" customWidth="1"/>
    <col min="15621" max="15621" width="14" style="1620" customWidth="1"/>
    <col min="15622" max="15622" width="11.140625" style="1620" customWidth="1"/>
    <col min="15623" max="15623" width="12.5703125" style="1620" customWidth="1"/>
    <col min="15624" max="15624" width="13" style="1620" customWidth="1"/>
    <col min="15625" max="15625" width="11.7109375" style="1620" customWidth="1"/>
    <col min="15626" max="15626" width="9.85546875" style="1620" customWidth="1"/>
    <col min="15627" max="15627" width="9.5703125" style="1620" customWidth="1"/>
    <col min="15628" max="15628" width="11.85546875" style="1620" customWidth="1"/>
    <col min="15629" max="15629" width="3.42578125" style="1620" customWidth="1"/>
    <col min="15630" max="15630" width="9.140625" style="1620"/>
    <col min="15631" max="15631" width="11.140625" style="1620" customWidth="1"/>
    <col min="15632" max="15632" width="11.28515625" style="1620" bestFit="1" customWidth="1"/>
    <col min="15633" max="15872" width="9.140625" style="1620"/>
    <col min="15873" max="15873" width="18.28515625" style="1620" customWidth="1"/>
    <col min="15874" max="15874" width="12.5703125" style="1620" customWidth="1"/>
    <col min="15875" max="15875" width="14.85546875" style="1620" customWidth="1"/>
    <col min="15876" max="15876" width="13" style="1620" customWidth="1"/>
    <col min="15877" max="15877" width="14" style="1620" customWidth="1"/>
    <col min="15878" max="15878" width="11.140625" style="1620" customWidth="1"/>
    <col min="15879" max="15879" width="12.5703125" style="1620" customWidth="1"/>
    <col min="15880" max="15880" width="13" style="1620" customWidth="1"/>
    <col min="15881" max="15881" width="11.7109375" style="1620" customWidth="1"/>
    <col min="15882" max="15882" width="9.85546875" style="1620" customWidth="1"/>
    <col min="15883" max="15883" width="9.5703125" style="1620" customWidth="1"/>
    <col min="15884" max="15884" width="11.85546875" style="1620" customWidth="1"/>
    <col min="15885" max="15885" width="3.42578125" style="1620" customWidth="1"/>
    <col min="15886" max="15886" width="9.140625" style="1620"/>
    <col min="15887" max="15887" width="11.140625" style="1620" customWidth="1"/>
    <col min="15888" max="15888" width="11.28515625" style="1620" bestFit="1" customWidth="1"/>
    <col min="15889" max="16128" width="9.140625" style="1620"/>
    <col min="16129" max="16129" width="18.28515625" style="1620" customWidth="1"/>
    <col min="16130" max="16130" width="12.5703125" style="1620" customWidth="1"/>
    <col min="16131" max="16131" width="14.85546875" style="1620" customWidth="1"/>
    <col min="16132" max="16132" width="13" style="1620" customWidth="1"/>
    <col min="16133" max="16133" width="14" style="1620" customWidth="1"/>
    <col min="16134" max="16134" width="11.140625" style="1620" customWidth="1"/>
    <col min="16135" max="16135" width="12.5703125" style="1620" customWidth="1"/>
    <col min="16136" max="16136" width="13" style="1620" customWidth="1"/>
    <col min="16137" max="16137" width="11.7109375" style="1620" customWidth="1"/>
    <col min="16138" max="16138" width="9.85546875" style="1620" customWidth="1"/>
    <col min="16139" max="16139" width="9.5703125" style="1620" customWidth="1"/>
    <col min="16140" max="16140" width="11.85546875" style="1620" customWidth="1"/>
    <col min="16141" max="16141" width="3.42578125" style="1620" customWidth="1"/>
    <col min="16142" max="16142" width="9.140625" style="1620"/>
    <col min="16143" max="16143" width="11.140625" style="1620" customWidth="1"/>
    <col min="16144" max="16144" width="11.28515625" style="1620" bestFit="1" customWidth="1"/>
    <col min="16145" max="16384" width="9.140625" style="1620"/>
  </cols>
  <sheetData>
    <row r="2" spans="1:15" ht="22.5" customHeight="1" x14ac:dyDescent="0.15">
      <c r="A2" s="3407" t="s">
        <v>3411</v>
      </c>
      <c r="B2" s="3408"/>
      <c r="C2" s="3408"/>
      <c r="D2" s="3408"/>
      <c r="E2" s="3408"/>
      <c r="F2" s="3408"/>
      <c r="G2" s="3408"/>
      <c r="H2" s="3408"/>
      <c r="I2" s="3408"/>
      <c r="J2" s="3408"/>
      <c r="K2" s="3408"/>
      <c r="L2" s="3408"/>
    </row>
    <row r="3" spans="1:15" ht="10.5" customHeight="1" x14ac:dyDescent="0.15">
      <c r="A3" s="3409"/>
      <c r="B3" s="3410"/>
      <c r="C3" s="3410"/>
      <c r="D3" s="3410"/>
      <c r="E3" s="3410"/>
      <c r="F3" s="3410"/>
      <c r="G3" s="3410"/>
      <c r="H3" s="3410"/>
      <c r="I3" s="3410"/>
      <c r="J3" s="3410"/>
      <c r="K3" s="3410"/>
      <c r="L3" s="3410"/>
    </row>
    <row r="4" spans="1:15" x14ac:dyDescent="0.15">
      <c r="A4" s="3411" t="s">
        <v>1</v>
      </c>
      <c r="B4" s="3414" t="s">
        <v>1498</v>
      </c>
      <c r="C4" s="3415"/>
      <c r="D4" s="3415"/>
      <c r="E4" s="3415"/>
      <c r="F4" s="3415"/>
      <c r="G4" s="3415"/>
      <c r="H4" s="3415"/>
      <c r="I4" s="3415"/>
      <c r="J4" s="3415"/>
      <c r="K4" s="3415"/>
      <c r="L4" s="3416"/>
    </row>
    <row r="5" spans="1:15" x14ac:dyDescent="0.15">
      <c r="A5" s="3412"/>
      <c r="B5" s="3411" t="s">
        <v>141</v>
      </c>
      <c r="C5" s="3417" t="s">
        <v>1474</v>
      </c>
      <c r="D5" s="3418"/>
      <c r="E5" s="3418"/>
      <c r="F5" s="3418"/>
      <c r="G5" s="3418"/>
      <c r="H5" s="3418"/>
      <c r="I5" s="3418"/>
      <c r="J5" s="3418"/>
      <c r="K5" s="3418"/>
      <c r="L5" s="3419"/>
    </row>
    <row r="6" spans="1:15" ht="38.25" customHeight="1" x14ac:dyDescent="0.15">
      <c r="A6" s="3413"/>
      <c r="B6" s="3413"/>
      <c r="C6" s="1621" t="s">
        <v>3384</v>
      </c>
      <c r="D6" s="1622" t="s">
        <v>3385</v>
      </c>
      <c r="E6" s="1622" t="s">
        <v>3386</v>
      </c>
      <c r="F6" s="1622" t="s">
        <v>3387</v>
      </c>
      <c r="G6" s="1622" t="s">
        <v>3388</v>
      </c>
      <c r="H6" s="1622" t="s">
        <v>3397</v>
      </c>
      <c r="I6" s="1622" t="s">
        <v>3390</v>
      </c>
      <c r="J6" s="1622" t="s">
        <v>3391</v>
      </c>
      <c r="K6" s="1622" t="s">
        <v>3412</v>
      </c>
      <c r="L6" s="1622" t="s">
        <v>3399</v>
      </c>
      <c r="O6" s="1623"/>
    </row>
    <row r="7" spans="1:15" x14ac:dyDescent="0.15">
      <c r="A7" s="1624" t="s">
        <v>141</v>
      </c>
      <c r="B7" s="709">
        <f>SUM(C7:L7)</f>
        <v>7879020</v>
      </c>
      <c r="C7" s="709">
        <f>SUM(C8:C22)</f>
        <v>2562420</v>
      </c>
      <c r="D7" s="709">
        <f t="shared" ref="D7:L7" si="0">SUM(D8:D22)</f>
        <v>3363351</v>
      </c>
      <c r="E7" s="709">
        <f t="shared" si="0"/>
        <v>533006</v>
      </c>
      <c r="F7" s="709">
        <f t="shared" si="0"/>
        <v>598162</v>
      </c>
      <c r="G7" s="709">
        <f t="shared" si="0"/>
        <v>149502</v>
      </c>
      <c r="H7" s="709">
        <f t="shared" si="0"/>
        <v>197831</v>
      </c>
      <c r="I7" s="709">
        <f t="shared" si="0"/>
        <v>173618</v>
      </c>
      <c r="J7" s="709">
        <f t="shared" si="0"/>
        <v>22893</v>
      </c>
      <c r="K7" s="709">
        <f t="shared" si="0"/>
        <v>126745</v>
      </c>
      <c r="L7" s="709">
        <f t="shared" si="0"/>
        <v>151492</v>
      </c>
    </row>
    <row r="8" spans="1:15" x14ac:dyDescent="0.15">
      <c r="A8" s="1625" t="s">
        <v>5</v>
      </c>
      <c r="B8" s="709">
        <f>SUM(C8:L8)</f>
        <v>158719</v>
      </c>
      <c r="C8" s="711">
        <v>53138</v>
      </c>
      <c r="D8" s="711">
        <v>95991</v>
      </c>
      <c r="E8" s="711">
        <v>1445</v>
      </c>
      <c r="F8" s="711">
        <v>5080</v>
      </c>
      <c r="G8" s="711">
        <v>1705</v>
      </c>
      <c r="H8" s="711">
        <v>0</v>
      </c>
      <c r="I8" s="711">
        <v>1260</v>
      </c>
      <c r="J8" s="711">
        <v>0</v>
      </c>
      <c r="K8" s="711">
        <v>100</v>
      </c>
      <c r="L8" s="711">
        <v>0</v>
      </c>
    </row>
    <row r="9" spans="1:15" x14ac:dyDescent="0.15">
      <c r="A9" s="1625" t="s">
        <v>6</v>
      </c>
      <c r="B9" s="709">
        <f t="shared" ref="B9:B22" si="1">SUM(C9:L9)</f>
        <v>114900</v>
      </c>
      <c r="C9" s="711">
        <v>32150</v>
      </c>
      <c r="D9" s="711">
        <v>48000</v>
      </c>
      <c r="E9" s="711">
        <v>1510</v>
      </c>
      <c r="F9" s="711">
        <v>2625</v>
      </c>
      <c r="G9" s="711">
        <v>2785</v>
      </c>
      <c r="H9" s="711">
        <v>0</v>
      </c>
      <c r="I9" s="711">
        <v>26500</v>
      </c>
      <c r="J9" s="711">
        <v>210</v>
      </c>
      <c r="K9" s="711">
        <v>20</v>
      </c>
      <c r="L9" s="711">
        <v>1100</v>
      </c>
      <c r="M9" s="1484"/>
      <c r="N9" s="1484"/>
      <c r="O9" s="1484"/>
    </row>
    <row r="10" spans="1:15" ht="11.25" x14ac:dyDescent="0.15">
      <c r="A10" s="1625" t="s">
        <v>4272</v>
      </c>
      <c r="B10" s="709">
        <f t="shared" si="1"/>
        <v>229707</v>
      </c>
      <c r="C10" s="711">
        <v>74362</v>
      </c>
      <c r="D10" s="711">
        <v>76330</v>
      </c>
      <c r="E10" s="711">
        <v>8074</v>
      </c>
      <c r="F10" s="711">
        <v>39056</v>
      </c>
      <c r="G10" s="711">
        <v>1500</v>
      </c>
      <c r="H10" s="711">
        <v>5650</v>
      </c>
      <c r="I10" s="711">
        <v>2700</v>
      </c>
      <c r="J10" s="711">
        <v>865</v>
      </c>
      <c r="K10" s="711">
        <v>750</v>
      </c>
      <c r="L10" s="711">
        <v>20420</v>
      </c>
      <c r="M10" s="1484"/>
      <c r="N10" s="1484"/>
      <c r="O10" s="1484"/>
    </row>
    <row r="11" spans="1:15" ht="11.25" x14ac:dyDescent="0.15">
      <c r="A11" s="1625" t="s">
        <v>4273</v>
      </c>
      <c r="B11" s="709">
        <f t="shared" si="1"/>
        <v>131535</v>
      </c>
      <c r="C11" s="711">
        <v>59433</v>
      </c>
      <c r="D11" s="711">
        <v>29280</v>
      </c>
      <c r="E11" s="711">
        <v>20642</v>
      </c>
      <c r="F11" s="711">
        <v>7560</v>
      </c>
      <c r="G11" s="711">
        <v>2335</v>
      </c>
      <c r="H11" s="711">
        <v>2260</v>
      </c>
      <c r="I11" s="711">
        <v>5225</v>
      </c>
      <c r="J11" s="711">
        <v>395</v>
      </c>
      <c r="K11" s="711">
        <v>2720</v>
      </c>
      <c r="L11" s="711">
        <v>1685</v>
      </c>
      <c r="M11" s="1484"/>
      <c r="N11" s="1484"/>
      <c r="O11" s="1484"/>
    </row>
    <row r="12" spans="1:15" ht="11.25" x14ac:dyDescent="0.15">
      <c r="A12" s="1625" t="s">
        <v>4274</v>
      </c>
      <c r="B12" s="709">
        <f t="shared" si="1"/>
        <v>348077</v>
      </c>
      <c r="C12" s="711">
        <v>72999</v>
      </c>
      <c r="D12" s="711">
        <v>204572</v>
      </c>
      <c r="E12" s="711">
        <v>12440</v>
      </c>
      <c r="F12" s="711">
        <v>34456</v>
      </c>
      <c r="G12" s="711">
        <v>4023</v>
      </c>
      <c r="H12" s="711">
        <v>4400</v>
      </c>
      <c r="I12" s="711">
        <v>5007</v>
      </c>
      <c r="J12" s="711">
        <v>1710</v>
      </c>
      <c r="K12" s="711">
        <v>6500</v>
      </c>
      <c r="L12" s="711">
        <v>1970</v>
      </c>
      <c r="M12" s="1484"/>
      <c r="N12" s="1484"/>
      <c r="O12" s="1484"/>
    </row>
    <row r="13" spans="1:15" ht="11.25" x14ac:dyDescent="0.15">
      <c r="A13" s="1625" t="s">
        <v>4275</v>
      </c>
      <c r="B13" s="709">
        <f t="shared" si="1"/>
        <v>913698</v>
      </c>
      <c r="C13" s="711">
        <v>281382</v>
      </c>
      <c r="D13" s="711">
        <v>499579</v>
      </c>
      <c r="E13" s="711">
        <v>33574</v>
      </c>
      <c r="F13" s="711">
        <v>25937</v>
      </c>
      <c r="G13" s="711">
        <v>15772</v>
      </c>
      <c r="H13" s="711">
        <v>16584</v>
      </c>
      <c r="I13" s="711">
        <v>14878</v>
      </c>
      <c r="J13" s="711">
        <v>2060</v>
      </c>
      <c r="K13" s="711">
        <v>9108</v>
      </c>
      <c r="L13" s="711">
        <v>14824</v>
      </c>
      <c r="M13" s="1484"/>
      <c r="N13" s="1484"/>
      <c r="O13" s="1484"/>
    </row>
    <row r="14" spans="1:15" x14ac:dyDescent="0.15">
      <c r="A14" s="1625" t="s">
        <v>11</v>
      </c>
      <c r="B14" s="709">
        <f t="shared" si="1"/>
        <v>2147320</v>
      </c>
      <c r="C14" s="711">
        <v>221910</v>
      </c>
      <c r="D14" s="711">
        <v>1609599</v>
      </c>
      <c r="E14" s="711">
        <v>19178</v>
      </c>
      <c r="F14" s="711">
        <v>92831</v>
      </c>
      <c r="G14" s="711">
        <v>26888</v>
      </c>
      <c r="H14" s="711">
        <v>68971</v>
      </c>
      <c r="I14" s="711">
        <v>49194</v>
      </c>
      <c r="J14" s="711">
        <v>6381</v>
      </c>
      <c r="K14" s="711">
        <v>22465</v>
      </c>
      <c r="L14" s="711">
        <v>29903</v>
      </c>
      <c r="M14" s="1484"/>
      <c r="N14" s="1484"/>
      <c r="O14" s="1484"/>
    </row>
    <row r="15" spans="1:15" x14ac:dyDescent="0.15">
      <c r="A15" s="1625" t="s">
        <v>12</v>
      </c>
      <c r="B15" s="709">
        <f t="shared" si="1"/>
        <v>529966</v>
      </c>
      <c r="C15" s="711">
        <v>230731</v>
      </c>
      <c r="D15" s="711">
        <v>180800</v>
      </c>
      <c r="E15" s="711">
        <v>37249</v>
      </c>
      <c r="F15" s="711">
        <v>25672</v>
      </c>
      <c r="G15" s="711">
        <v>12140</v>
      </c>
      <c r="H15" s="711">
        <v>2615</v>
      </c>
      <c r="I15" s="711">
        <v>9100</v>
      </c>
      <c r="J15" s="711">
        <v>3605</v>
      </c>
      <c r="K15" s="711">
        <v>13664</v>
      </c>
      <c r="L15" s="711">
        <v>14390</v>
      </c>
      <c r="M15" s="1484"/>
      <c r="N15" s="1484"/>
      <c r="O15" s="1484"/>
    </row>
    <row r="16" spans="1:15" x14ac:dyDescent="0.15">
      <c r="A16" s="1625" t="s">
        <v>13</v>
      </c>
      <c r="B16" s="709">
        <f t="shared" si="1"/>
        <v>532676</v>
      </c>
      <c r="C16" s="711">
        <v>150711</v>
      </c>
      <c r="D16" s="711">
        <v>122947</v>
      </c>
      <c r="E16" s="711">
        <v>54340</v>
      </c>
      <c r="F16" s="711">
        <v>87688</v>
      </c>
      <c r="G16" s="711">
        <v>29947</v>
      </c>
      <c r="H16" s="711">
        <v>55513</v>
      </c>
      <c r="I16" s="711">
        <v>17275</v>
      </c>
      <c r="J16" s="711">
        <v>1010</v>
      </c>
      <c r="K16" s="711">
        <v>11745</v>
      </c>
      <c r="L16" s="711">
        <v>1500</v>
      </c>
      <c r="M16" s="1484"/>
      <c r="N16" s="1484"/>
      <c r="O16" s="1484"/>
    </row>
    <row r="17" spans="1:15" x14ac:dyDescent="0.15">
      <c r="A17" s="1625" t="s">
        <v>14</v>
      </c>
      <c r="B17" s="709">
        <f t="shared" si="1"/>
        <v>1065785</v>
      </c>
      <c r="C17" s="711">
        <v>617810</v>
      </c>
      <c r="D17" s="711">
        <v>226489</v>
      </c>
      <c r="E17" s="711">
        <v>80796</v>
      </c>
      <c r="F17" s="711">
        <v>40205</v>
      </c>
      <c r="G17" s="711">
        <v>23320</v>
      </c>
      <c r="H17" s="711">
        <v>5120</v>
      </c>
      <c r="I17" s="711">
        <v>19215</v>
      </c>
      <c r="J17" s="711">
        <v>3562</v>
      </c>
      <c r="K17" s="711">
        <v>28528</v>
      </c>
      <c r="L17" s="711">
        <v>20740</v>
      </c>
      <c r="M17" s="1484"/>
      <c r="N17" s="1484"/>
      <c r="O17" s="1484"/>
    </row>
    <row r="18" spans="1:15" x14ac:dyDescent="0.15">
      <c r="A18" s="1625" t="s">
        <v>15</v>
      </c>
      <c r="B18" s="709">
        <f t="shared" si="1"/>
        <v>1027438</v>
      </c>
      <c r="C18" s="711">
        <v>494420</v>
      </c>
      <c r="D18" s="711">
        <v>197143</v>
      </c>
      <c r="E18" s="711">
        <v>157083</v>
      </c>
      <c r="F18" s="711">
        <v>88723</v>
      </c>
      <c r="G18" s="711">
        <v>21162</v>
      </c>
      <c r="H18" s="711">
        <v>22914</v>
      </c>
      <c r="I18" s="711">
        <v>14993</v>
      </c>
      <c r="J18" s="711">
        <v>2213</v>
      </c>
      <c r="K18" s="711">
        <v>17207</v>
      </c>
      <c r="L18" s="711">
        <v>11580</v>
      </c>
      <c r="M18" s="1484"/>
      <c r="N18" s="1484"/>
      <c r="O18" s="1484"/>
    </row>
    <row r="19" spans="1:15" x14ac:dyDescent="0.15">
      <c r="A19" s="1625" t="s">
        <v>16</v>
      </c>
      <c r="B19" s="709">
        <f t="shared" si="1"/>
        <v>134255</v>
      </c>
      <c r="C19" s="711">
        <v>48618</v>
      </c>
      <c r="D19" s="711">
        <v>8236</v>
      </c>
      <c r="E19" s="711">
        <v>26948</v>
      </c>
      <c r="F19" s="711">
        <v>35425</v>
      </c>
      <c r="G19" s="711">
        <v>3025</v>
      </c>
      <c r="H19" s="711">
        <v>3890</v>
      </c>
      <c r="I19" s="711">
        <v>6053</v>
      </c>
      <c r="J19" s="711">
        <v>0</v>
      </c>
      <c r="K19" s="711">
        <v>1100</v>
      </c>
      <c r="L19" s="711">
        <v>960</v>
      </c>
      <c r="M19" s="1484"/>
      <c r="N19" s="1484"/>
      <c r="O19" s="1484"/>
    </row>
    <row r="20" spans="1:15" x14ac:dyDescent="0.15">
      <c r="A20" s="1625" t="s">
        <v>17</v>
      </c>
      <c r="B20" s="709">
        <f t="shared" si="1"/>
        <v>401821</v>
      </c>
      <c r="C20" s="711">
        <v>187791</v>
      </c>
      <c r="D20" s="711">
        <v>61685</v>
      </c>
      <c r="E20" s="711">
        <v>28025</v>
      </c>
      <c r="F20" s="711">
        <v>79620</v>
      </c>
      <c r="G20" s="711">
        <v>3540</v>
      </c>
      <c r="H20" s="711">
        <v>6150</v>
      </c>
      <c r="I20" s="711">
        <v>398</v>
      </c>
      <c r="J20" s="711">
        <v>0</v>
      </c>
      <c r="K20" s="711">
        <v>12062</v>
      </c>
      <c r="L20" s="711">
        <v>22550</v>
      </c>
      <c r="M20" s="1484"/>
      <c r="N20" s="1484"/>
      <c r="O20" s="1484"/>
    </row>
    <row r="21" spans="1:15" x14ac:dyDescent="0.15">
      <c r="A21" s="1625" t="s">
        <v>18</v>
      </c>
      <c r="B21" s="709">
        <f t="shared" si="1"/>
        <v>63968</v>
      </c>
      <c r="C21" s="711">
        <v>25020</v>
      </c>
      <c r="D21" s="711">
        <v>2700</v>
      </c>
      <c r="E21" s="711">
        <v>12112</v>
      </c>
      <c r="F21" s="711">
        <v>16934</v>
      </c>
      <c r="G21" s="711">
        <v>1360</v>
      </c>
      <c r="H21" s="711">
        <v>1964</v>
      </c>
      <c r="I21" s="711">
        <v>220</v>
      </c>
      <c r="J21" s="711">
        <v>282</v>
      </c>
      <c r="K21" s="711">
        <v>776</v>
      </c>
      <c r="L21" s="711">
        <v>2600</v>
      </c>
      <c r="M21" s="1484"/>
      <c r="N21" s="1484"/>
      <c r="O21" s="1484"/>
    </row>
    <row r="22" spans="1:15" x14ac:dyDescent="0.15">
      <c r="A22" s="1625" t="s">
        <v>19</v>
      </c>
      <c r="B22" s="709">
        <f t="shared" si="1"/>
        <v>79155</v>
      </c>
      <c r="C22" s="711">
        <v>11945</v>
      </c>
      <c r="D22" s="711">
        <v>0</v>
      </c>
      <c r="E22" s="711">
        <v>39590</v>
      </c>
      <c r="F22" s="711">
        <v>16350</v>
      </c>
      <c r="G22" s="711">
        <v>0</v>
      </c>
      <c r="H22" s="711">
        <v>1800</v>
      </c>
      <c r="I22" s="711">
        <v>1600</v>
      </c>
      <c r="J22" s="711">
        <v>600</v>
      </c>
      <c r="K22" s="711">
        <v>0</v>
      </c>
      <c r="L22" s="711">
        <v>7270</v>
      </c>
      <c r="M22" s="1484"/>
      <c r="N22" s="1484"/>
      <c r="O22" s="1484"/>
    </row>
    <row r="23" spans="1:15" ht="12" customHeight="1" x14ac:dyDescent="0.15">
      <c r="A23" s="3420"/>
      <c r="B23" s="3421"/>
      <c r="C23" s="3421"/>
      <c r="D23" s="3421"/>
      <c r="E23" s="3421"/>
      <c r="F23" s="3421"/>
      <c r="G23" s="3421"/>
      <c r="H23" s="3421"/>
      <c r="I23" s="3421"/>
      <c r="J23" s="3421"/>
      <c r="K23" s="3421"/>
      <c r="L23" s="3421"/>
      <c r="M23" s="1484"/>
      <c r="N23" s="1484"/>
      <c r="O23" s="1484"/>
    </row>
    <row r="24" spans="1:15" ht="22.5" customHeight="1" x14ac:dyDescent="0.15">
      <c r="A24" s="3422" t="s">
        <v>3413</v>
      </c>
      <c r="B24" s="3423"/>
      <c r="C24" s="3423"/>
      <c r="D24" s="3423"/>
      <c r="E24" s="3423"/>
      <c r="F24" s="3423"/>
      <c r="G24" s="3423"/>
      <c r="H24" s="3423"/>
      <c r="I24" s="3423"/>
      <c r="J24" s="3423"/>
      <c r="K24" s="3423"/>
      <c r="L24" s="3423"/>
      <c r="M24" s="1484"/>
      <c r="N24" s="1484"/>
      <c r="O24" s="1484"/>
    </row>
    <row r="25" spans="1:15" x14ac:dyDescent="0.15">
      <c r="A25" s="3424" t="s">
        <v>1752</v>
      </c>
      <c r="B25" s="3424"/>
      <c r="C25" s="3424"/>
      <c r="D25" s="3424"/>
      <c r="E25" s="3424"/>
      <c r="F25" s="3424"/>
      <c r="G25" s="3424"/>
      <c r="H25" s="3424"/>
      <c r="I25" s="3424"/>
      <c r="J25" s="3424"/>
      <c r="K25" s="3424"/>
      <c r="L25" s="3424"/>
      <c r="M25" s="1484"/>
      <c r="N25" s="1484"/>
      <c r="O25" s="1484"/>
    </row>
    <row r="26" spans="1:15" x14ac:dyDescent="0.15">
      <c r="A26" s="3425" t="s">
        <v>20</v>
      </c>
      <c r="B26" s="3423"/>
      <c r="C26" s="3423"/>
      <c r="D26" s="3423"/>
      <c r="E26" s="3423"/>
      <c r="F26" s="3423"/>
      <c r="G26" s="3423"/>
      <c r="H26" s="3423"/>
      <c r="I26" s="3423"/>
      <c r="J26" s="3423"/>
      <c r="K26" s="3423"/>
      <c r="L26" s="3423"/>
      <c r="M26" s="1484"/>
      <c r="N26" s="1484"/>
      <c r="O26" s="1484"/>
    </row>
    <row r="27" spans="1:15" x14ac:dyDescent="0.15">
      <c r="A27" s="3425" t="s">
        <v>1483</v>
      </c>
      <c r="B27" s="3423"/>
      <c r="C27" s="3423"/>
      <c r="D27" s="3423"/>
      <c r="E27" s="3423"/>
      <c r="F27" s="3423"/>
      <c r="G27" s="3423"/>
      <c r="H27" s="3423"/>
      <c r="I27" s="3423"/>
      <c r="J27" s="3423"/>
      <c r="K27" s="3423"/>
      <c r="L27" s="3423"/>
      <c r="M27" s="1484"/>
      <c r="N27" s="1484"/>
      <c r="O27" s="1484"/>
    </row>
    <row r="28" spans="1:15" x14ac:dyDescent="0.15">
      <c r="A28" s="1484"/>
      <c r="B28" s="1484"/>
      <c r="C28" s="1484"/>
      <c r="D28" s="1484"/>
      <c r="E28" s="1484"/>
      <c r="F28" s="1484"/>
      <c r="G28" s="1484"/>
      <c r="H28" s="1484"/>
      <c r="I28" s="1484"/>
      <c r="J28" s="1484"/>
      <c r="K28" s="1484"/>
      <c r="L28" s="1484"/>
      <c r="M28" s="1484"/>
      <c r="N28" s="1484"/>
      <c r="O28" s="1484"/>
    </row>
    <row r="29" spans="1:15" x14ac:dyDescent="0.15">
      <c r="A29" s="1484"/>
      <c r="B29" s="1484"/>
      <c r="C29" s="1484"/>
      <c r="D29" s="1484"/>
      <c r="E29" s="1484"/>
      <c r="F29" s="1484"/>
      <c r="G29" s="1484"/>
      <c r="H29" s="1484"/>
      <c r="I29" s="1484"/>
      <c r="J29" s="1484"/>
      <c r="K29" s="1484"/>
      <c r="L29" s="1484"/>
      <c r="M29" s="1484"/>
      <c r="N29" s="1484"/>
      <c r="O29" s="1484"/>
    </row>
    <row r="30" spans="1:15" x14ac:dyDescent="0.15">
      <c r="A30" s="1484"/>
      <c r="B30" s="1484"/>
      <c r="C30" s="1484"/>
      <c r="D30" s="1484"/>
      <c r="E30" s="1484"/>
      <c r="F30" s="1484"/>
      <c r="G30" s="1484"/>
      <c r="H30" s="1484"/>
      <c r="I30" s="1484"/>
      <c r="J30" s="1484"/>
      <c r="K30" s="1484"/>
      <c r="L30" s="1484"/>
      <c r="M30" s="1484"/>
      <c r="N30" s="1484"/>
      <c r="O30" s="1484"/>
    </row>
    <row r="31" spans="1:15" x14ac:dyDescent="0.15">
      <c r="A31" s="1484"/>
      <c r="B31" s="1484"/>
      <c r="C31" s="1484"/>
      <c r="D31" s="1484"/>
      <c r="E31" s="1484"/>
      <c r="F31" s="1484"/>
      <c r="G31" s="1484"/>
      <c r="H31" s="1484"/>
      <c r="I31" s="1484"/>
      <c r="J31" s="1484"/>
      <c r="K31" s="1484"/>
      <c r="L31" s="1484"/>
      <c r="M31" s="1484"/>
      <c r="N31" s="1484"/>
      <c r="O31" s="1484"/>
    </row>
    <row r="35" spans="2:12" x14ac:dyDescent="0.15">
      <c r="B35" s="1626"/>
      <c r="C35" s="1626"/>
      <c r="D35" s="1626"/>
      <c r="E35" s="1626"/>
      <c r="F35" s="1626"/>
      <c r="G35" s="1626"/>
      <c r="H35" s="1626"/>
      <c r="I35" s="1626"/>
      <c r="J35" s="1626"/>
      <c r="K35" s="1626"/>
      <c r="L35" s="1626"/>
    </row>
  </sheetData>
  <mergeCells count="11">
    <mergeCell ref="A23:L23"/>
    <mergeCell ref="A24:L24"/>
    <mergeCell ref="A25:L25"/>
    <mergeCell ref="A26:L26"/>
    <mergeCell ref="A27:L27"/>
    <mergeCell ref="A2:L2"/>
    <mergeCell ref="A3:L3"/>
    <mergeCell ref="A4:A6"/>
    <mergeCell ref="B4:L4"/>
    <mergeCell ref="B5:B6"/>
    <mergeCell ref="C5:L5"/>
  </mergeCell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N26"/>
  <sheetViews>
    <sheetView workbookViewId="0">
      <selection activeCell="C23" sqref="C23"/>
    </sheetView>
  </sheetViews>
  <sheetFormatPr baseColWidth="10" defaultColWidth="9.140625" defaultRowHeight="10.5" x14ac:dyDescent="0.15"/>
  <cols>
    <col min="1" max="1" width="10.140625" style="97" customWidth="1"/>
    <col min="2" max="2" width="12.85546875" style="97" customWidth="1"/>
    <col min="3" max="3" width="13.7109375" style="97" customWidth="1"/>
    <col min="4" max="4" width="13.5703125" style="97" customWidth="1"/>
    <col min="5" max="5" width="13.28515625" style="97" customWidth="1"/>
    <col min="6" max="6" width="11.85546875" style="97" customWidth="1"/>
    <col min="7" max="7" width="11.7109375" style="97" customWidth="1"/>
    <col min="8" max="8" width="12.28515625" style="97" customWidth="1"/>
    <col min="9" max="9" width="12.140625" style="97" customWidth="1"/>
    <col min="10" max="10" width="10.28515625" style="97" customWidth="1"/>
    <col min="11" max="11" width="12.5703125" style="97" customWidth="1"/>
    <col min="12" max="12" width="11.85546875" style="97" customWidth="1"/>
    <col min="13" max="13" width="3.42578125" style="97" customWidth="1"/>
    <col min="14" max="256" width="9.140625" style="97"/>
    <col min="257" max="257" width="10.140625" style="97" customWidth="1"/>
    <col min="258" max="258" width="12.85546875" style="97" customWidth="1"/>
    <col min="259" max="259" width="13.7109375" style="97" customWidth="1"/>
    <col min="260" max="260" width="13.5703125" style="97" customWidth="1"/>
    <col min="261" max="261" width="13.28515625" style="97" customWidth="1"/>
    <col min="262" max="262" width="11.85546875" style="97" customWidth="1"/>
    <col min="263" max="263" width="11.7109375" style="97" customWidth="1"/>
    <col min="264" max="264" width="12.28515625" style="97" customWidth="1"/>
    <col min="265" max="265" width="12.140625" style="97" customWidth="1"/>
    <col min="266" max="266" width="10.28515625" style="97" customWidth="1"/>
    <col min="267" max="267" width="12.5703125" style="97" customWidth="1"/>
    <col min="268" max="268" width="11.85546875" style="97" customWidth="1"/>
    <col min="269" max="269" width="3.42578125" style="97" customWidth="1"/>
    <col min="270" max="512" width="9.140625" style="97"/>
    <col min="513" max="513" width="10.140625" style="97" customWidth="1"/>
    <col min="514" max="514" width="12.85546875" style="97" customWidth="1"/>
    <col min="515" max="515" width="13.7109375" style="97" customWidth="1"/>
    <col min="516" max="516" width="13.5703125" style="97" customWidth="1"/>
    <col min="517" max="517" width="13.28515625" style="97" customWidth="1"/>
    <col min="518" max="518" width="11.85546875" style="97" customWidth="1"/>
    <col min="519" max="519" width="11.7109375" style="97" customWidth="1"/>
    <col min="520" max="520" width="12.28515625" style="97" customWidth="1"/>
    <col min="521" max="521" width="12.140625" style="97" customWidth="1"/>
    <col min="522" max="522" width="10.28515625" style="97" customWidth="1"/>
    <col min="523" max="523" width="12.5703125" style="97" customWidth="1"/>
    <col min="524" max="524" width="11.85546875" style="97" customWidth="1"/>
    <col min="525" max="525" width="3.42578125" style="97" customWidth="1"/>
    <col min="526" max="768" width="9.140625" style="97"/>
    <col min="769" max="769" width="10.140625" style="97" customWidth="1"/>
    <col min="770" max="770" width="12.85546875" style="97" customWidth="1"/>
    <col min="771" max="771" width="13.7109375" style="97" customWidth="1"/>
    <col min="772" max="772" width="13.5703125" style="97" customWidth="1"/>
    <col min="773" max="773" width="13.28515625" style="97" customWidth="1"/>
    <col min="774" max="774" width="11.85546875" style="97" customWidth="1"/>
    <col min="775" max="775" width="11.7109375" style="97" customWidth="1"/>
    <col min="776" max="776" width="12.28515625" style="97" customWidth="1"/>
    <col min="777" max="777" width="12.140625" style="97" customWidth="1"/>
    <col min="778" max="778" width="10.28515625" style="97" customWidth="1"/>
    <col min="779" max="779" width="12.5703125" style="97" customWidth="1"/>
    <col min="780" max="780" width="11.85546875" style="97" customWidth="1"/>
    <col min="781" max="781" width="3.42578125" style="97" customWidth="1"/>
    <col min="782" max="1024" width="9.140625" style="97"/>
    <col min="1025" max="1025" width="10.140625" style="97" customWidth="1"/>
    <col min="1026" max="1026" width="12.85546875" style="97" customWidth="1"/>
    <col min="1027" max="1027" width="13.7109375" style="97" customWidth="1"/>
    <col min="1028" max="1028" width="13.5703125" style="97" customWidth="1"/>
    <col min="1029" max="1029" width="13.28515625" style="97" customWidth="1"/>
    <col min="1030" max="1030" width="11.85546875" style="97" customWidth="1"/>
    <col min="1031" max="1031" width="11.7109375" style="97" customWidth="1"/>
    <col min="1032" max="1032" width="12.28515625" style="97" customWidth="1"/>
    <col min="1033" max="1033" width="12.140625" style="97" customWidth="1"/>
    <col min="1034" max="1034" width="10.28515625" style="97" customWidth="1"/>
    <col min="1035" max="1035" width="12.5703125" style="97" customWidth="1"/>
    <col min="1036" max="1036" width="11.85546875" style="97" customWidth="1"/>
    <col min="1037" max="1037" width="3.42578125" style="97" customWidth="1"/>
    <col min="1038" max="1280" width="9.140625" style="97"/>
    <col min="1281" max="1281" width="10.140625" style="97" customWidth="1"/>
    <col min="1282" max="1282" width="12.85546875" style="97" customWidth="1"/>
    <col min="1283" max="1283" width="13.7109375" style="97" customWidth="1"/>
    <col min="1284" max="1284" width="13.5703125" style="97" customWidth="1"/>
    <col min="1285" max="1285" width="13.28515625" style="97" customWidth="1"/>
    <col min="1286" max="1286" width="11.85546875" style="97" customWidth="1"/>
    <col min="1287" max="1287" width="11.7109375" style="97" customWidth="1"/>
    <col min="1288" max="1288" width="12.28515625" style="97" customWidth="1"/>
    <col min="1289" max="1289" width="12.140625" style="97" customWidth="1"/>
    <col min="1290" max="1290" width="10.28515625" style="97" customWidth="1"/>
    <col min="1291" max="1291" width="12.5703125" style="97" customWidth="1"/>
    <col min="1292" max="1292" width="11.85546875" style="97" customWidth="1"/>
    <col min="1293" max="1293" width="3.42578125" style="97" customWidth="1"/>
    <col min="1294" max="1536" width="9.140625" style="97"/>
    <col min="1537" max="1537" width="10.140625" style="97" customWidth="1"/>
    <col min="1538" max="1538" width="12.85546875" style="97" customWidth="1"/>
    <col min="1539" max="1539" width="13.7109375" style="97" customWidth="1"/>
    <col min="1540" max="1540" width="13.5703125" style="97" customWidth="1"/>
    <col min="1541" max="1541" width="13.28515625" style="97" customWidth="1"/>
    <col min="1542" max="1542" width="11.85546875" style="97" customWidth="1"/>
    <col min="1543" max="1543" width="11.7109375" style="97" customWidth="1"/>
    <col min="1544" max="1544" width="12.28515625" style="97" customWidth="1"/>
    <col min="1545" max="1545" width="12.140625" style="97" customWidth="1"/>
    <col min="1546" max="1546" width="10.28515625" style="97" customWidth="1"/>
    <col min="1547" max="1547" width="12.5703125" style="97" customWidth="1"/>
    <col min="1548" max="1548" width="11.85546875" style="97" customWidth="1"/>
    <col min="1549" max="1549" width="3.42578125" style="97" customWidth="1"/>
    <col min="1550" max="1792" width="9.140625" style="97"/>
    <col min="1793" max="1793" width="10.140625" style="97" customWidth="1"/>
    <col min="1794" max="1794" width="12.85546875" style="97" customWidth="1"/>
    <col min="1795" max="1795" width="13.7109375" style="97" customWidth="1"/>
    <col min="1796" max="1796" width="13.5703125" style="97" customWidth="1"/>
    <col min="1797" max="1797" width="13.28515625" style="97" customWidth="1"/>
    <col min="1798" max="1798" width="11.85546875" style="97" customWidth="1"/>
    <col min="1799" max="1799" width="11.7109375" style="97" customWidth="1"/>
    <col min="1800" max="1800" width="12.28515625" style="97" customWidth="1"/>
    <col min="1801" max="1801" width="12.140625" style="97" customWidth="1"/>
    <col min="1802" max="1802" width="10.28515625" style="97" customWidth="1"/>
    <col min="1803" max="1803" width="12.5703125" style="97" customWidth="1"/>
    <col min="1804" max="1804" width="11.85546875" style="97" customWidth="1"/>
    <col min="1805" max="1805" width="3.42578125" style="97" customWidth="1"/>
    <col min="1806" max="2048" width="9.140625" style="97"/>
    <col min="2049" max="2049" width="10.140625" style="97" customWidth="1"/>
    <col min="2050" max="2050" width="12.85546875" style="97" customWidth="1"/>
    <col min="2051" max="2051" width="13.7109375" style="97" customWidth="1"/>
    <col min="2052" max="2052" width="13.5703125" style="97" customWidth="1"/>
    <col min="2053" max="2053" width="13.28515625" style="97" customWidth="1"/>
    <col min="2054" max="2054" width="11.85546875" style="97" customWidth="1"/>
    <col min="2055" max="2055" width="11.7109375" style="97" customWidth="1"/>
    <col min="2056" max="2056" width="12.28515625" style="97" customWidth="1"/>
    <col min="2057" max="2057" width="12.140625" style="97" customWidth="1"/>
    <col min="2058" max="2058" width="10.28515625" style="97" customWidth="1"/>
    <col min="2059" max="2059" width="12.5703125" style="97" customWidth="1"/>
    <col min="2060" max="2060" width="11.85546875" style="97" customWidth="1"/>
    <col min="2061" max="2061" width="3.42578125" style="97" customWidth="1"/>
    <col min="2062" max="2304" width="9.140625" style="97"/>
    <col min="2305" max="2305" width="10.140625" style="97" customWidth="1"/>
    <col min="2306" max="2306" width="12.85546875" style="97" customWidth="1"/>
    <col min="2307" max="2307" width="13.7109375" style="97" customWidth="1"/>
    <col min="2308" max="2308" width="13.5703125" style="97" customWidth="1"/>
    <col min="2309" max="2309" width="13.28515625" style="97" customWidth="1"/>
    <col min="2310" max="2310" width="11.85546875" style="97" customWidth="1"/>
    <col min="2311" max="2311" width="11.7109375" style="97" customWidth="1"/>
    <col min="2312" max="2312" width="12.28515625" style="97" customWidth="1"/>
    <col min="2313" max="2313" width="12.140625" style="97" customWidth="1"/>
    <col min="2314" max="2314" width="10.28515625" style="97" customWidth="1"/>
    <col min="2315" max="2315" width="12.5703125" style="97" customWidth="1"/>
    <col min="2316" max="2316" width="11.85546875" style="97" customWidth="1"/>
    <col min="2317" max="2317" width="3.42578125" style="97" customWidth="1"/>
    <col min="2318" max="2560" width="9.140625" style="97"/>
    <col min="2561" max="2561" width="10.140625" style="97" customWidth="1"/>
    <col min="2562" max="2562" width="12.85546875" style="97" customWidth="1"/>
    <col min="2563" max="2563" width="13.7109375" style="97" customWidth="1"/>
    <col min="2564" max="2564" width="13.5703125" style="97" customWidth="1"/>
    <col min="2565" max="2565" width="13.28515625" style="97" customWidth="1"/>
    <col min="2566" max="2566" width="11.85546875" style="97" customWidth="1"/>
    <col min="2567" max="2567" width="11.7109375" style="97" customWidth="1"/>
    <col min="2568" max="2568" width="12.28515625" style="97" customWidth="1"/>
    <col min="2569" max="2569" width="12.140625" style="97" customWidth="1"/>
    <col min="2570" max="2570" width="10.28515625" style="97" customWidth="1"/>
    <col min="2571" max="2571" width="12.5703125" style="97" customWidth="1"/>
    <col min="2572" max="2572" width="11.85546875" style="97" customWidth="1"/>
    <col min="2573" max="2573" width="3.42578125" style="97" customWidth="1"/>
    <col min="2574" max="2816" width="9.140625" style="97"/>
    <col min="2817" max="2817" width="10.140625" style="97" customWidth="1"/>
    <col min="2818" max="2818" width="12.85546875" style="97" customWidth="1"/>
    <col min="2819" max="2819" width="13.7109375" style="97" customWidth="1"/>
    <col min="2820" max="2820" width="13.5703125" style="97" customWidth="1"/>
    <col min="2821" max="2821" width="13.28515625" style="97" customWidth="1"/>
    <col min="2822" max="2822" width="11.85546875" style="97" customWidth="1"/>
    <col min="2823" max="2823" width="11.7109375" style="97" customWidth="1"/>
    <col min="2824" max="2824" width="12.28515625" style="97" customWidth="1"/>
    <col min="2825" max="2825" width="12.140625" style="97" customWidth="1"/>
    <col min="2826" max="2826" width="10.28515625" style="97" customWidth="1"/>
    <col min="2827" max="2827" width="12.5703125" style="97" customWidth="1"/>
    <col min="2828" max="2828" width="11.85546875" style="97" customWidth="1"/>
    <col min="2829" max="2829" width="3.42578125" style="97" customWidth="1"/>
    <col min="2830" max="3072" width="9.140625" style="97"/>
    <col min="3073" max="3073" width="10.140625" style="97" customWidth="1"/>
    <col min="3074" max="3074" width="12.85546875" style="97" customWidth="1"/>
    <col min="3075" max="3075" width="13.7109375" style="97" customWidth="1"/>
    <col min="3076" max="3076" width="13.5703125" style="97" customWidth="1"/>
    <col min="3077" max="3077" width="13.28515625" style="97" customWidth="1"/>
    <col min="3078" max="3078" width="11.85546875" style="97" customWidth="1"/>
    <col min="3079" max="3079" width="11.7109375" style="97" customWidth="1"/>
    <col min="3080" max="3080" width="12.28515625" style="97" customWidth="1"/>
    <col min="3081" max="3081" width="12.140625" style="97" customWidth="1"/>
    <col min="3082" max="3082" width="10.28515625" style="97" customWidth="1"/>
    <col min="3083" max="3083" width="12.5703125" style="97" customWidth="1"/>
    <col min="3084" max="3084" width="11.85546875" style="97" customWidth="1"/>
    <col min="3085" max="3085" width="3.42578125" style="97" customWidth="1"/>
    <col min="3086" max="3328" width="9.140625" style="97"/>
    <col min="3329" max="3329" width="10.140625" style="97" customWidth="1"/>
    <col min="3330" max="3330" width="12.85546875" style="97" customWidth="1"/>
    <col min="3331" max="3331" width="13.7109375" style="97" customWidth="1"/>
    <col min="3332" max="3332" width="13.5703125" style="97" customWidth="1"/>
    <col min="3333" max="3333" width="13.28515625" style="97" customWidth="1"/>
    <col min="3334" max="3334" width="11.85546875" style="97" customWidth="1"/>
    <col min="3335" max="3335" width="11.7109375" style="97" customWidth="1"/>
    <col min="3336" max="3336" width="12.28515625" style="97" customWidth="1"/>
    <col min="3337" max="3337" width="12.140625" style="97" customWidth="1"/>
    <col min="3338" max="3338" width="10.28515625" style="97" customWidth="1"/>
    <col min="3339" max="3339" width="12.5703125" style="97" customWidth="1"/>
    <col min="3340" max="3340" width="11.85546875" style="97" customWidth="1"/>
    <col min="3341" max="3341" width="3.42578125" style="97" customWidth="1"/>
    <col min="3342" max="3584" width="9.140625" style="97"/>
    <col min="3585" max="3585" width="10.140625" style="97" customWidth="1"/>
    <col min="3586" max="3586" width="12.85546875" style="97" customWidth="1"/>
    <col min="3587" max="3587" width="13.7109375" style="97" customWidth="1"/>
    <col min="3588" max="3588" width="13.5703125" style="97" customWidth="1"/>
    <col min="3589" max="3589" width="13.28515625" style="97" customWidth="1"/>
    <col min="3590" max="3590" width="11.85546875" style="97" customWidth="1"/>
    <col min="3591" max="3591" width="11.7109375" style="97" customWidth="1"/>
    <col min="3592" max="3592" width="12.28515625" style="97" customWidth="1"/>
    <col min="3593" max="3593" width="12.140625" style="97" customWidth="1"/>
    <col min="3594" max="3594" width="10.28515625" style="97" customWidth="1"/>
    <col min="3595" max="3595" width="12.5703125" style="97" customWidth="1"/>
    <col min="3596" max="3596" width="11.85546875" style="97" customWidth="1"/>
    <col min="3597" max="3597" width="3.42578125" style="97" customWidth="1"/>
    <col min="3598" max="3840" width="9.140625" style="97"/>
    <col min="3841" max="3841" width="10.140625" style="97" customWidth="1"/>
    <col min="3842" max="3842" width="12.85546875" style="97" customWidth="1"/>
    <col min="3843" max="3843" width="13.7109375" style="97" customWidth="1"/>
    <col min="3844" max="3844" width="13.5703125" style="97" customWidth="1"/>
    <col min="3845" max="3845" width="13.28515625" style="97" customWidth="1"/>
    <col min="3846" max="3846" width="11.85546875" style="97" customWidth="1"/>
    <col min="3847" max="3847" width="11.7109375" style="97" customWidth="1"/>
    <col min="3848" max="3848" width="12.28515625" style="97" customWidth="1"/>
    <col min="3849" max="3849" width="12.140625" style="97" customWidth="1"/>
    <col min="3850" max="3850" width="10.28515625" style="97" customWidth="1"/>
    <col min="3851" max="3851" width="12.5703125" style="97" customWidth="1"/>
    <col min="3852" max="3852" width="11.85546875" style="97" customWidth="1"/>
    <col min="3853" max="3853" width="3.42578125" style="97" customWidth="1"/>
    <col min="3854" max="4096" width="9.140625" style="97"/>
    <col min="4097" max="4097" width="10.140625" style="97" customWidth="1"/>
    <col min="4098" max="4098" width="12.85546875" style="97" customWidth="1"/>
    <col min="4099" max="4099" width="13.7109375" style="97" customWidth="1"/>
    <col min="4100" max="4100" width="13.5703125" style="97" customWidth="1"/>
    <col min="4101" max="4101" width="13.28515625" style="97" customWidth="1"/>
    <col min="4102" max="4102" width="11.85546875" style="97" customWidth="1"/>
    <col min="4103" max="4103" width="11.7109375" style="97" customWidth="1"/>
    <col min="4104" max="4104" width="12.28515625" style="97" customWidth="1"/>
    <col min="4105" max="4105" width="12.140625" style="97" customWidth="1"/>
    <col min="4106" max="4106" width="10.28515625" style="97" customWidth="1"/>
    <col min="4107" max="4107" width="12.5703125" style="97" customWidth="1"/>
    <col min="4108" max="4108" width="11.85546875" style="97" customWidth="1"/>
    <col min="4109" max="4109" width="3.42578125" style="97" customWidth="1"/>
    <col min="4110" max="4352" width="9.140625" style="97"/>
    <col min="4353" max="4353" width="10.140625" style="97" customWidth="1"/>
    <col min="4354" max="4354" width="12.85546875" style="97" customWidth="1"/>
    <col min="4355" max="4355" width="13.7109375" style="97" customWidth="1"/>
    <col min="4356" max="4356" width="13.5703125" style="97" customWidth="1"/>
    <col min="4357" max="4357" width="13.28515625" style="97" customWidth="1"/>
    <col min="4358" max="4358" width="11.85546875" style="97" customWidth="1"/>
    <col min="4359" max="4359" width="11.7109375" style="97" customWidth="1"/>
    <col min="4360" max="4360" width="12.28515625" style="97" customWidth="1"/>
    <col min="4361" max="4361" width="12.140625" style="97" customWidth="1"/>
    <col min="4362" max="4362" width="10.28515625" style="97" customWidth="1"/>
    <col min="4363" max="4363" width="12.5703125" style="97" customWidth="1"/>
    <col min="4364" max="4364" width="11.85546875" style="97" customWidth="1"/>
    <col min="4365" max="4365" width="3.42578125" style="97" customWidth="1"/>
    <col min="4366" max="4608" width="9.140625" style="97"/>
    <col min="4609" max="4609" width="10.140625" style="97" customWidth="1"/>
    <col min="4610" max="4610" width="12.85546875" style="97" customWidth="1"/>
    <col min="4611" max="4611" width="13.7109375" style="97" customWidth="1"/>
    <col min="4612" max="4612" width="13.5703125" style="97" customWidth="1"/>
    <col min="4613" max="4613" width="13.28515625" style="97" customWidth="1"/>
    <col min="4614" max="4614" width="11.85546875" style="97" customWidth="1"/>
    <col min="4615" max="4615" width="11.7109375" style="97" customWidth="1"/>
    <col min="4616" max="4616" width="12.28515625" style="97" customWidth="1"/>
    <col min="4617" max="4617" width="12.140625" style="97" customWidth="1"/>
    <col min="4618" max="4618" width="10.28515625" style="97" customWidth="1"/>
    <col min="4619" max="4619" width="12.5703125" style="97" customWidth="1"/>
    <col min="4620" max="4620" width="11.85546875" style="97" customWidth="1"/>
    <col min="4621" max="4621" width="3.42578125" style="97" customWidth="1"/>
    <col min="4622" max="4864" width="9.140625" style="97"/>
    <col min="4865" max="4865" width="10.140625" style="97" customWidth="1"/>
    <col min="4866" max="4866" width="12.85546875" style="97" customWidth="1"/>
    <col min="4867" max="4867" width="13.7109375" style="97" customWidth="1"/>
    <col min="4868" max="4868" width="13.5703125" style="97" customWidth="1"/>
    <col min="4869" max="4869" width="13.28515625" style="97" customWidth="1"/>
    <col min="4870" max="4870" width="11.85546875" style="97" customWidth="1"/>
    <col min="4871" max="4871" width="11.7109375" style="97" customWidth="1"/>
    <col min="4872" max="4872" width="12.28515625" style="97" customWidth="1"/>
    <col min="4873" max="4873" width="12.140625" style="97" customWidth="1"/>
    <col min="4874" max="4874" width="10.28515625" style="97" customWidth="1"/>
    <col min="4875" max="4875" width="12.5703125" style="97" customWidth="1"/>
    <col min="4876" max="4876" width="11.85546875" style="97" customWidth="1"/>
    <col min="4877" max="4877" width="3.42578125" style="97" customWidth="1"/>
    <col min="4878" max="5120" width="9.140625" style="97"/>
    <col min="5121" max="5121" width="10.140625" style="97" customWidth="1"/>
    <col min="5122" max="5122" width="12.85546875" style="97" customWidth="1"/>
    <col min="5123" max="5123" width="13.7109375" style="97" customWidth="1"/>
    <col min="5124" max="5124" width="13.5703125" style="97" customWidth="1"/>
    <col min="5125" max="5125" width="13.28515625" style="97" customWidth="1"/>
    <col min="5126" max="5126" width="11.85546875" style="97" customWidth="1"/>
    <col min="5127" max="5127" width="11.7109375" style="97" customWidth="1"/>
    <col min="5128" max="5128" width="12.28515625" style="97" customWidth="1"/>
    <col min="5129" max="5129" width="12.140625" style="97" customWidth="1"/>
    <col min="5130" max="5130" width="10.28515625" style="97" customWidth="1"/>
    <col min="5131" max="5131" width="12.5703125" style="97" customWidth="1"/>
    <col min="5132" max="5132" width="11.85546875" style="97" customWidth="1"/>
    <col min="5133" max="5133" width="3.42578125" style="97" customWidth="1"/>
    <col min="5134" max="5376" width="9.140625" style="97"/>
    <col min="5377" max="5377" width="10.140625" style="97" customWidth="1"/>
    <col min="5378" max="5378" width="12.85546875" style="97" customWidth="1"/>
    <col min="5379" max="5379" width="13.7109375" style="97" customWidth="1"/>
    <col min="5380" max="5380" width="13.5703125" style="97" customWidth="1"/>
    <col min="5381" max="5381" width="13.28515625" style="97" customWidth="1"/>
    <col min="5382" max="5382" width="11.85546875" style="97" customWidth="1"/>
    <col min="5383" max="5383" width="11.7109375" style="97" customWidth="1"/>
    <col min="5384" max="5384" width="12.28515625" style="97" customWidth="1"/>
    <col min="5385" max="5385" width="12.140625" style="97" customWidth="1"/>
    <col min="5386" max="5386" width="10.28515625" style="97" customWidth="1"/>
    <col min="5387" max="5387" width="12.5703125" style="97" customWidth="1"/>
    <col min="5388" max="5388" width="11.85546875" style="97" customWidth="1"/>
    <col min="5389" max="5389" width="3.42578125" style="97" customWidth="1"/>
    <col min="5390" max="5632" width="9.140625" style="97"/>
    <col min="5633" max="5633" width="10.140625" style="97" customWidth="1"/>
    <col min="5634" max="5634" width="12.85546875" style="97" customWidth="1"/>
    <col min="5635" max="5635" width="13.7109375" style="97" customWidth="1"/>
    <col min="5636" max="5636" width="13.5703125" style="97" customWidth="1"/>
    <col min="5637" max="5637" width="13.28515625" style="97" customWidth="1"/>
    <col min="5638" max="5638" width="11.85546875" style="97" customWidth="1"/>
    <col min="5639" max="5639" width="11.7109375" style="97" customWidth="1"/>
    <col min="5640" max="5640" width="12.28515625" style="97" customWidth="1"/>
    <col min="5641" max="5641" width="12.140625" style="97" customWidth="1"/>
    <col min="5642" max="5642" width="10.28515625" style="97" customWidth="1"/>
    <col min="5643" max="5643" width="12.5703125" style="97" customWidth="1"/>
    <col min="5644" max="5644" width="11.85546875" style="97" customWidth="1"/>
    <col min="5645" max="5645" width="3.42578125" style="97" customWidth="1"/>
    <col min="5646" max="5888" width="9.140625" style="97"/>
    <col min="5889" max="5889" width="10.140625" style="97" customWidth="1"/>
    <col min="5890" max="5890" width="12.85546875" style="97" customWidth="1"/>
    <col min="5891" max="5891" width="13.7109375" style="97" customWidth="1"/>
    <col min="5892" max="5892" width="13.5703125" style="97" customWidth="1"/>
    <col min="5893" max="5893" width="13.28515625" style="97" customWidth="1"/>
    <col min="5894" max="5894" width="11.85546875" style="97" customWidth="1"/>
    <col min="5895" max="5895" width="11.7109375" style="97" customWidth="1"/>
    <col min="5896" max="5896" width="12.28515625" style="97" customWidth="1"/>
    <col min="5897" max="5897" width="12.140625" style="97" customWidth="1"/>
    <col min="5898" max="5898" width="10.28515625" style="97" customWidth="1"/>
    <col min="5899" max="5899" width="12.5703125" style="97" customWidth="1"/>
    <col min="5900" max="5900" width="11.85546875" style="97" customWidth="1"/>
    <col min="5901" max="5901" width="3.42578125" style="97" customWidth="1"/>
    <col min="5902" max="6144" width="9.140625" style="97"/>
    <col min="6145" max="6145" width="10.140625" style="97" customWidth="1"/>
    <col min="6146" max="6146" width="12.85546875" style="97" customWidth="1"/>
    <col min="6147" max="6147" width="13.7109375" style="97" customWidth="1"/>
    <col min="6148" max="6148" width="13.5703125" style="97" customWidth="1"/>
    <col min="6149" max="6149" width="13.28515625" style="97" customWidth="1"/>
    <col min="6150" max="6150" width="11.85546875" style="97" customWidth="1"/>
    <col min="6151" max="6151" width="11.7109375" style="97" customWidth="1"/>
    <col min="6152" max="6152" width="12.28515625" style="97" customWidth="1"/>
    <col min="6153" max="6153" width="12.140625" style="97" customWidth="1"/>
    <col min="6154" max="6154" width="10.28515625" style="97" customWidth="1"/>
    <col min="6155" max="6155" width="12.5703125" style="97" customWidth="1"/>
    <col min="6156" max="6156" width="11.85546875" style="97" customWidth="1"/>
    <col min="6157" max="6157" width="3.42578125" style="97" customWidth="1"/>
    <col min="6158" max="6400" width="9.140625" style="97"/>
    <col min="6401" max="6401" width="10.140625" style="97" customWidth="1"/>
    <col min="6402" max="6402" width="12.85546875" style="97" customWidth="1"/>
    <col min="6403" max="6403" width="13.7109375" style="97" customWidth="1"/>
    <col min="6404" max="6404" width="13.5703125" style="97" customWidth="1"/>
    <col min="6405" max="6405" width="13.28515625" style="97" customWidth="1"/>
    <col min="6406" max="6406" width="11.85546875" style="97" customWidth="1"/>
    <col min="6407" max="6407" width="11.7109375" style="97" customWidth="1"/>
    <col min="6408" max="6408" width="12.28515625" style="97" customWidth="1"/>
    <col min="6409" max="6409" width="12.140625" style="97" customWidth="1"/>
    <col min="6410" max="6410" width="10.28515625" style="97" customWidth="1"/>
    <col min="6411" max="6411" width="12.5703125" style="97" customWidth="1"/>
    <col min="6412" max="6412" width="11.85546875" style="97" customWidth="1"/>
    <col min="6413" max="6413" width="3.42578125" style="97" customWidth="1"/>
    <col min="6414" max="6656" width="9.140625" style="97"/>
    <col min="6657" max="6657" width="10.140625" style="97" customWidth="1"/>
    <col min="6658" max="6658" width="12.85546875" style="97" customWidth="1"/>
    <col min="6659" max="6659" width="13.7109375" style="97" customWidth="1"/>
    <col min="6660" max="6660" width="13.5703125" style="97" customWidth="1"/>
    <col min="6661" max="6661" width="13.28515625" style="97" customWidth="1"/>
    <col min="6662" max="6662" width="11.85546875" style="97" customWidth="1"/>
    <col min="6663" max="6663" width="11.7109375" style="97" customWidth="1"/>
    <col min="6664" max="6664" width="12.28515625" style="97" customWidth="1"/>
    <col min="6665" max="6665" width="12.140625" style="97" customWidth="1"/>
    <col min="6666" max="6666" width="10.28515625" style="97" customWidth="1"/>
    <col min="6667" max="6667" width="12.5703125" style="97" customWidth="1"/>
    <col min="6668" max="6668" width="11.85546875" style="97" customWidth="1"/>
    <col min="6669" max="6669" width="3.42578125" style="97" customWidth="1"/>
    <col min="6670" max="6912" width="9.140625" style="97"/>
    <col min="6913" max="6913" width="10.140625" style="97" customWidth="1"/>
    <col min="6914" max="6914" width="12.85546875" style="97" customWidth="1"/>
    <col min="6915" max="6915" width="13.7109375" style="97" customWidth="1"/>
    <col min="6916" max="6916" width="13.5703125" style="97" customWidth="1"/>
    <col min="6917" max="6917" width="13.28515625" style="97" customWidth="1"/>
    <col min="6918" max="6918" width="11.85546875" style="97" customWidth="1"/>
    <col min="6919" max="6919" width="11.7109375" style="97" customWidth="1"/>
    <col min="6920" max="6920" width="12.28515625" style="97" customWidth="1"/>
    <col min="6921" max="6921" width="12.140625" style="97" customWidth="1"/>
    <col min="6922" max="6922" width="10.28515625" style="97" customWidth="1"/>
    <col min="6923" max="6923" width="12.5703125" style="97" customWidth="1"/>
    <col min="6924" max="6924" width="11.85546875" style="97" customWidth="1"/>
    <col min="6925" max="6925" width="3.42578125" style="97" customWidth="1"/>
    <col min="6926" max="7168" width="9.140625" style="97"/>
    <col min="7169" max="7169" width="10.140625" style="97" customWidth="1"/>
    <col min="7170" max="7170" width="12.85546875" style="97" customWidth="1"/>
    <col min="7171" max="7171" width="13.7109375" style="97" customWidth="1"/>
    <col min="7172" max="7172" width="13.5703125" style="97" customWidth="1"/>
    <col min="7173" max="7173" width="13.28515625" style="97" customWidth="1"/>
    <col min="7174" max="7174" width="11.85546875" style="97" customWidth="1"/>
    <col min="7175" max="7175" width="11.7109375" style="97" customWidth="1"/>
    <col min="7176" max="7176" width="12.28515625" style="97" customWidth="1"/>
    <col min="7177" max="7177" width="12.140625" style="97" customWidth="1"/>
    <col min="7178" max="7178" width="10.28515625" style="97" customWidth="1"/>
    <col min="7179" max="7179" width="12.5703125" style="97" customWidth="1"/>
    <col min="7180" max="7180" width="11.85546875" style="97" customWidth="1"/>
    <col min="7181" max="7181" width="3.42578125" style="97" customWidth="1"/>
    <col min="7182" max="7424" width="9.140625" style="97"/>
    <col min="7425" max="7425" width="10.140625" style="97" customWidth="1"/>
    <col min="7426" max="7426" width="12.85546875" style="97" customWidth="1"/>
    <col min="7427" max="7427" width="13.7109375" style="97" customWidth="1"/>
    <col min="7428" max="7428" width="13.5703125" style="97" customWidth="1"/>
    <col min="7429" max="7429" width="13.28515625" style="97" customWidth="1"/>
    <col min="7430" max="7430" width="11.85546875" style="97" customWidth="1"/>
    <col min="7431" max="7431" width="11.7109375" style="97" customWidth="1"/>
    <col min="7432" max="7432" width="12.28515625" style="97" customWidth="1"/>
    <col min="7433" max="7433" width="12.140625" style="97" customWidth="1"/>
    <col min="7434" max="7434" width="10.28515625" style="97" customWidth="1"/>
    <col min="7435" max="7435" width="12.5703125" style="97" customWidth="1"/>
    <col min="7436" max="7436" width="11.85546875" style="97" customWidth="1"/>
    <col min="7437" max="7437" width="3.42578125" style="97" customWidth="1"/>
    <col min="7438" max="7680" width="9.140625" style="97"/>
    <col min="7681" max="7681" width="10.140625" style="97" customWidth="1"/>
    <col min="7682" max="7682" width="12.85546875" style="97" customWidth="1"/>
    <col min="7683" max="7683" width="13.7109375" style="97" customWidth="1"/>
    <col min="7684" max="7684" width="13.5703125" style="97" customWidth="1"/>
    <col min="7685" max="7685" width="13.28515625" style="97" customWidth="1"/>
    <col min="7686" max="7686" width="11.85546875" style="97" customWidth="1"/>
    <col min="7687" max="7687" width="11.7109375" style="97" customWidth="1"/>
    <col min="7688" max="7688" width="12.28515625" style="97" customWidth="1"/>
    <col min="7689" max="7689" width="12.140625" style="97" customWidth="1"/>
    <col min="7690" max="7690" width="10.28515625" style="97" customWidth="1"/>
    <col min="7691" max="7691" width="12.5703125" style="97" customWidth="1"/>
    <col min="7692" max="7692" width="11.85546875" style="97" customWidth="1"/>
    <col min="7693" max="7693" width="3.42578125" style="97" customWidth="1"/>
    <col min="7694" max="7936" width="9.140625" style="97"/>
    <col min="7937" max="7937" width="10.140625" style="97" customWidth="1"/>
    <col min="7938" max="7938" width="12.85546875" style="97" customWidth="1"/>
    <col min="7939" max="7939" width="13.7109375" style="97" customWidth="1"/>
    <col min="7940" max="7940" width="13.5703125" style="97" customWidth="1"/>
    <col min="7941" max="7941" width="13.28515625" style="97" customWidth="1"/>
    <col min="7942" max="7942" width="11.85546875" style="97" customWidth="1"/>
    <col min="7943" max="7943" width="11.7109375" style="97" customWidth="1"/>
    <col min="7944" max="7944" width="12.28515625" style="97" customWidth="1"/>
    <col min="7945" max="7945" width="12.140625" style="97" customWidth="1"/>
    <col min="7946" max="7946" width="10.28515625" style="97" customWidth="1"/>
    <col min="7947" max="7947" width="12.5703125" style="97" customWidth="1"/>
    <col min="7948" max="7948" width="11.85546875" style="97" customWidth="1"/>
    <col min="7949" max="7949" width="3.42578125" style="97" customWidth="1"/>
    <col min="7950" max="8192" width="9.140625" style="97"/>
    <col min="8193" max="8193" width="10.140625" style="97" customWidth="1"/>
    <col min="8194" max="8194" width="12.85546875" style="97" customWidth="1"/>
    <col min="8195" max="8195" width="13.7109375" style="97" customWidth="1"/>
    <col min="8196" max="8196" width="13.5703125" style="97" customWidth="1"/>
    <col min="8197" max="8197" width="13.28515625" style="97" customWidth="1"/>
    <col min="8198" max="8198" width="11.85546875" style="97" customWidth="1"/>
    <col min="8199" max="8199" width="11.7109375" style="97" customWidth="1"/>
    <col min="8200" max="8200" width="12.28515625" style="97" customWidth="1"/>
    <col min="8201" max="8201" width="12.140625" style="97" customWidth="1"/>
    <col min="8202" max="8202" width="10.28515625" style="97" customWidth="1"/>
    <col min="8203" max="8203" width="12.5703125" style="97" customWidth="1"/>
    <col min="8204" max="8204" width="11.85546875" style="97" customWidth="1"/>
    <col min="8205" max="8205" width="3.42578125" style="97" customWidth="1"/>
    <col min="8206" max="8448" width="9.140625" style="97"/>
    <col min="8449" max="8449" width="10.140625" style="97" customWidth="1"/>
    <col min="8450" max="8450" width="12.85546875" style="97" customWidth="1"/>
    <col min="8451" max="8451" width="13.7109375" style="97" customWidth="1"/>
    <col min="8452" max="8452" width="13.5703125" style="97" customWidth="1"/>
    <col min="8453" max="8453" width="13.28515625" style="97" customWidth="1"/>
    <col min="8454" max="8454" width="11.85546875" style="97" customWidth="1"/>
    <col min="8455" max="8455" width="11.7109375" style="97" customWidth="1"/>
    <col min="8456" max="8456" width="12.28515625" style="97" customWidth="1"/>
    <col min="8457" max="8457" width="12.140625" style="97" customWidth="1"/>
    <col min="8458" max="8458" width="10.28515625" style="97" customWidth="1"/>
    <col min="8459" max="8459" width="12.5703125" style="97" customWidth="1"/>
    <col min="8460" max="8460" width="11.85546875" style="97" customWidth="1"/>
    <col min="8461" max="8461" width="3.42578125" style="97" customWidth="1"/>
    <col min="8462" max="8704" width="9.140625" style="97"/>
    <col min="8705" max="8705" width="10.140625" style="97" customWidth="1"/>
    <col min="8706" max="8706" width="12.85546875" style="97" customWidth="1"/>
    <col min="8707" max="8707" width="13.7109375" style="97" customWidth="1"/>
    <col min="8708" max="8708" width="13.5703125" style="97" customWidth="1"/>
    <col min="8709" max="8709" width="13.28515625" style="97" customWidth="1"/>
    <col min="8710" max="8710" width="11.85546875" style="97" customWidth="1"/>
    <col min="8711" max="8711" width="11.7109375" style="97" customWidth="1"/>
    <col min="8712" max="8712" width="12.28515625" style="97" customWidth="1"/>
    <col min="8713" max="8713" width="12.140625" style="97" customWidth="1"/>
    <col min="8714" max="8714" width="10.28515625" style="97" customWidth="1"/>
    <col min="8715" max="8715" width="12.5703125" style="97" customWidth="1"/>
    <col min="8716" max="8716" width="11.85546875" style="97" customWidth="1"/>
    <col min="8717" max="8717" width="3.42578125" style="97" customWidth="1"/>
    <col min="8718" max="8960" width="9.140625" style="97"/>
    <col min="8961" max="8961" width="10.140625" style="97" customWidth="1"/>
    <col min="8962" max="8962" width="12.85546875" style="97" customWidth="1"/>
    <col min="8963" max="8963" width="13.7109375" style="97" customWidth="1"/>
    <col min="8964" max="8964" width="13.5703125" style="97" customWidth="1"/>
    <col min="8965" max="8965" width="13.28515625" style="97" customWidth="1"/>
    <col min="8966" max="8966" width="11.85546875" style="97" customWidth="1"/>
    <col min="8967" max="8967" width="11.7109375" style="97" customWidth="1"/>
    <col min="8968" max="8968" width="12.28515625" style="97" customWidth="1"/>
    <col min="8969" max="8969" width="12.140625" style="97" customWidth="1"/>
    <col min="8970" max="8970" width="10.28515625" style="97" customWidth="1"/>
    <col min="8971" max="8971" width="12.5703125" style="97" customWidth="1"/>
    <col min="8972" max="8972" width="11.85546875" style="97" customWidth="1"/>
    <col min="8973" max="8973" width="3.42578125" style="97" customWidth="1"/>
    <col min="8974" max="9216" width="9.140625" style="97"/>
    <col min="9217" max="9217" width="10.140625" style="97" customWidth="1"/>
    <col min="9218" max="9218" width="12.85546875" style="97" customWidth="1"/>
    <col min="9219" max="9219" width="13.7109375" style="97" customWidth="1"/>
    <col min="9220" max="9220" width="13.5703125" style="97" customWidth="1"/>
    <col min="9221" max="9221" width="13.28515625" style="97" customWidth="1"/>
    <col min="9222" max="9222" width="11.85546875" style="97" customWidth="1"/>
    <col min="9223" max="9223" width="11.7109375" style="97" customWidth="1"/>
    <col min="9224" max="9224" width="12.28515625" style="97" customWidth="1"/>
    <col min="9225" max="9225" width="12.140625" style="97" customWidth="1"/>
    <col min="9226" max="9226" width="10.28515625" style="97" customWidth="1"/>
    <col min="9227" max="9227" width="12.5703125" style="97" customWidth="1"/>
    <col min="9228" max="9228" width="11.85546875" style="97" customWidth="1"/>
    <col min="9229" max="9229" width="3.42578125" style="97" customWidth="1"/>
    <col min="9230" max="9472" width="9.140625" style="97"/>
    <col min="9473" max="9473" width="10.140625" style="97" customWidth="1"/>
    <col min="9474" max="9474" width="12.85546875" style="97" customWidth="1"/>
    <col min="9475" max="9475" width="13.7109375" style="97" customWidth="1"/>
    <col min="9476" max="9476" width="13.5703125" style="97" customWidth="1"/>
    <col min="9477" max="9477" width="13.28515625" style="97" customWidth="1"/>
    <col min="9478" max="9478" width="11.85546875" style="97" customWidth="1"/>
    <col min="9479" max="9479" width="11.7109375" style="97" customWidth="1"/>
    <col min="9480" max="9480" width="12.28515625" style="97" customWidth="1"/>
    <col min="9481" max="9481" width="12.140625" style="97" customWidth="1"/>
    <col min="9482" max="9482" width="10.28515625" style="97" customWidth="1"/>
    <col min="9483" max="9483" width="12.5703125" style="97" customWidth="1"/>
    <col min="9484" max="9484" width="11.85546875" style="97" customWidth="1"/>
    <col min="9485" max="9485" width="3.42578125" style="97" customWidth="1"/>
    <col min="9486" max="9728" width="9.140625" style="97"/>
    <col min="9729" max="9729" width="10.140625" style="97" customWidth="1"/>
    <col min="9730" max="9730" width="12.85546875" style="97" customWidth="1"/>
    <col min="9731" max="9731" width="13.7109375" style="97" customWidth="1"/>
    <col min="9732" max="9732" width="13.5703125" style="97" customWidth="1"/>
    <col min="9733" max="9733" width="13.28515625" style="97" customWidth="1"/>
    <col min="9734" max="9734" width="11.85546875" style="97" customWidth="1"/>
    <col min="9735" max="9735" width="11.7109375" style="97" customWidth="1"/>
    <col min="9736" max="9736" width="12.28515625" style="97" customWidth="1"/>
    <col min="9737" max="9737" width="12.140625" style="97" customWidth="1"/>
    <col min="9738" max="9738" width="10.28515625" style="97" customWidth="1"/>
    <col min="9739" max="9739" width="12.5703125" style="97" customWidth="1"/>
    <col min="9740" max="9740" width="11.85546875" style="97" customWidth="1"/>
    <col min="9741" max="9741" width="3.42578125" style="97" customWidth="1"/>
    <col min="9742" max="9984" width="9.140625" style="97"/>
    <col min="9985" max="9985" width="10.140625" style="97" customWidth="1"/>
    <col min="9986" max="9986" width="12.85546875" style="97" customWidth="1"/>
    <col min="9987" max="9987" width="13.7109375" style="97" customWidth="1"/>
    <col min="9988" max="9988" width="13.5703125" style="97" customWidth="1"/>
    <col min="9989" max="9989" width="13.28515625" style="97" customWidth="1"/>
    <col min="9990" max="9990" width="11.85546875" style="97" customWidth="1"/>
    <col min="9991" max="9991" width="11.7109375" style="97" customWidth="1"/>
    <col min="9992" max="9992" width="12.28515625" style="97" customWidth="1"/>
    <col min="9993" max="9993" width="12.140625" style="97" customWidth="1"/>
    <col min="9994" max="9994" width="10.28515625" style="97" customWidth="1"/>
    <col min="9995" max="9995" width="12.5703125" style="97" customWidth="1"/>
    <col min="9996" max="9996" width="11.85546875" style="97" customWidth="1"/>
    <col min="9997" max="9997" width="3.42578125" style="97" customWidth="1"/>
    <col min="9998" max="10240" width="9.140625" style="97"/>
    <col min="10241" max="10241" width="10.140625" style="97" customWidth="1"/>
    <col min="10242" max="10242" width="12.85546875" style="97" customWidth="1"/>
    <col min="10243" max="10243" width="13.7109375" style="97" customWidth="1"/>
    <col min="10244" max="10244" width="13.5703125" style="97" customWidth="1"/>
    <col min="10245" max="10245" width="13.28515625" style="97" customWidth="1"/>
    <col min="10246" max="10246" width="11.85546875" style="97" customWidth="1"/>
    <col min="10247" max="10247" width="11.7109375" style="97" customWidth="1"/>
    <col min="10248" max="10248" width="12.28515625" style="97" customWidth="1"/>
    <col min="10249" max="10249" width="12.140625" style="97" customWidth="1"/>
    <col min="10250" max="10250" width="10.28515625" style="97" customWidth="1"/>
    <col min="10251" max="10251" width="12.5703125" style="97" customWidth="1"/>
    <col min="10252" max="10252" width="11.85546875" style="97" customWidth="1"/>
    <col min="10253" max="10253" width="3.42578125" style="97" customWidth="1"/>
    <col min="10254" max="10496" width="9.140625" style="97"/>
    <col min="10497" max="10497" width="10.140625" style="97" customWidth="1"/>
    <col min="10498" max="10498" width="12.85546875" style="97" customWidth="1"/>
    <col min="10499" max="10499" width="13.7109375" style="97" customWidth="1"/>
    <col min="10500" max="10500" width="13.5703125" style="97" customWidth="1"/>
    <col min="10501" max="10501" width="13.28515625" style="97" customWidth="1"/>
    <col min="10502" max="10502" width="11.85546875" style="97" customWidth="1"/>
    <col min="10503" max="10503" width="11.7109375" style="97" customWidth="1"/>
    <col min="10504" max="10504" width="12.28515625" style="97" customWidth="1"/>
    <col min="10505" max="10505" width="12.140625" style="97" customWidth="1"/>
    <col min="10506" max="10506" width="10.28515625" style="97" customWidth="1"/>
    <col min="10507" max="10507" width="12.5703125" style="97" customWidth="1"/>
    <col min="10508" max="10508" width="11.85546875" style="97" customWidth="1"/>
    <col min="10509" max="10509" width="3.42578125" style="97" customWidth="1"/>
    <col min="10510" max="10752" width="9.140625" style="97"/>
    <col min="10753" max="10753" width="10.140625" style="97" customWidth="1"/>
    <col min="10754" max="10754" width="12.85546875" style="97" customWidth="1"/>
    <col min="10755" max="10755" width="13.7109375" style="97" customWidth="1"/>
    <col min="10756" max="10756" width="13.5703125" style="97" customWidth="1"/>
    <col min="10757" max="10757" width="13.28515625" style="97" customWidth="1"/>
    <col min="10758" max="10758" width="11.85546875" style="97" customWidth="1"/>
    <col min="10759" max="10759" width="11.7109375" style="97" customWidth="1"/>
    <col min="10760" max="10760" width="12.28515625" style="97" customWidth="1"/>
    <col min="10761" max="10761" width="12.140625" style="97" customWidth="1"/>
    <col min="10762" max="10762" width="10.28515625" style="97" customWidth="1"/>
    <col min="10763" max="10763" width="12.5703125" style="97" customWidth="1"/>
    <col min="10764" max="10764" width="11.85546875" style="97" customWidth="1"/>
    <col min="10765" max="10765" width="3.42578125" style="97" customWidth="1"/>
    <col min="10766" max="11008" width="9.140625" style="97"/>
    <col min="11009" max="11009" width="10.140625" style="97" customWidth="1"/>
    <col min="11010" max="11010" width="12.85546875" style="97" customWidth="1"/>
    <col min="11011" max="11011" width="13.7109375" style="97" customWidth="1"/>
    <col min="11012" max="11012" width="13.5703125" style="97" customWidth="1"/>
    <col min="11013" max="11013" width="13.28515625" style="97" customWidth="1"/>
    <col min="11014" max="11014" width="11.85546875" style="97" customWidth="1"/>
    <col min="11015" max="11015" width="11.7109375" style="97" customWidth="1"/>
    <col min="11016" max="11016" width="12.28515625" style="97" customWidth="1"/>
    <col min="11017" max="11017" width="12.140625" style="97" customWidth="1"/>
    <col min="11018" max="11018" width="10.28515625" style="97" customWidth="1"/>
    <col min="11019" max="11019" width="12.5703125" style="97" customWidth="1"/>
    <col min="11020" max="11020" width="11.85546875" style="97" customWidth="1"/>
    <col min="11021" max="11021" width="3.42578125" style="97" customWidth="1"/>
    <col min="11022" max="11264" width="9.140625" style="97"/>
    <col min="11265" max="11265" width="10.140625" style="97" customWidth="1"/>
    <col min="11266" max="11266" width="12.85546875" style="97" customWidth="1"/>
    <col min="11267" max="11267" width="13.7109375" style="97" customWidth="1"/>
    <col min="11268" max="11268" width="13.5703125" style="97" customWidth="1"/>
    <col min="11269" max="11269" width="13.28515625" style="97" customWidth="1"/>
    <col min="11270" max="11270" width="11.85546875" style="97" customWidth="1"/>
    <col min="11271" max="11271" width="11.7109375" style="97" customWidth="1"/>
    <col min="11272" max="11272" width="12.28515625" style="97" customWidth="1"/>
    <col min="11273" max="11273" width="12.140625" style="97" customWidth="1"/>
    <col min="11274" max="11274" width="10.28515625" style="97" customWidth="1"/>
    <col min="11275" max="11275" width="12.5703125" style="97" customWidth="1"/>
    <col min="11276" max="11276" width="11.85546875" style="97" customWidth="1"/>
    <col min="11277" max="11277" width="3.42578125" style="97" customWidth="1"/>
    <col min="11278" max="11520" width="9.140625" style="97"/>
    <col min="11521" max="11521" width="10.140625" style="97" customWidth="1"/>
    <col min="11522" max="11522" width="12.85546875" style="97" customWidth="1"/>
    <col min="11523" max="11523" width="13.7109375" style="97" customWidth="1"/>
    <col min="11524" max="11524" width="13.5703125" style="97" customWidth="1"/>
    <col min="11525" max="11525" width="13.28515625" style="97" customWidth="1"/>
    <col min="11526" max="11526" width="11.85546875" style="97" customWidth="1"/>
    <col min="11527" max="11527" width="11.7109375" style="97" customWidth="1"/>
    <col min="11528" max="11528" width="12.28515625" style="97" customWidth="1"/>
    <col min="11529" max="11529" width="12.140625" style="97" customWidth="1"/>
    <col min="11530" max="11530" width="10.28515625" style="97" customWidth="1"/>
    <col min="11531" max="11531" width="12.5703125" style="97" customWidth="1"/>
    <col min="11532" max="11532" width="11.85546875" style="97" customWidth="1"/>
    <col min="11533" max="11533" width="3.42578125" style="97" customWidth="1"/>
    <col min="11534" max="11776" width="9.140625" style="97"/>
    <col min="11777" max="11777" width="10.140625" style="97" customWidth="1"/>
    <col min="11778" max="11778" width="12.85546875" style="97" customWidth="1"/>
    <col min="11779" max="11779" width="13.7109375" style="97" customWidth="1"/>
    <col min="11780" max="11780" width="13.5703125" style="97" customWidth="1"/>
    <col min="11781" max="11781" width="13.28515625" style="97" customWidth="1"/>
    <col min="11782" max="11782" width="11.85546875" style="97" customWidth="1"/>
    <col min="11783" max="11783" width="11.7109375" style="97" customWidth="1"/>
    <col min="11784" max="11784" width="12.28515625" style="97" customWidth="1"/>
    <col min="11785" max="11785" width="12.140625" style="97" customWidth="1"/>
    <col min="11786" max="11786" width="10.28515625" style="97" customWidth="1"/>
    <col min="11787" max="11787" width="12.5703125" style="97" customWidth="1"/>
    <col min="11788" max="11788" width="11.85546875" style="97" customWidth="1"/>
    <col min="11789" max="11789" width="3.42578125" style="97" customWidth="1"/>
    <col min="11790" max="12032" width="9.140625" style="97"/>
    <col min="12033" max="12033" width="10.140625" style="97" customWidth="1"/>
    <col min="12034" max="12034" width="12.85546875" style="97" customWidth="1"/>
    <col min="12035" max="12035" width="13.7109375" style="97" customWidth="1"/>
    <col min="12036" max="12036" width="13.5703125" style="97" customWidth="1"/>
    <col min="12037" max="12037" width="13.28515625" style="97" customWidth="1"/>
    <col min="12038" max="12038" width="11.85546875" style="97" customWidth="1"/>
    <col min="12039" max="12039" width="11.7109375" style="97" customWidth="1"/>
    <col min="12040" max="12040" width="12.28515625" style="97" customWidth="1"/>
    <col min="12041" max="12041" width="12.140625" style="97" customWidth="1"/>
    <col min="12042" max="12042" width="10.28515625" style="97" customWidth="1"/>
    <col min="12043" max="12043" width="12.5703125" style="97" customWidth="1"/>
    <col min="12044" max="12044" width="11.85546875" style="97" customWidth="1"/>
    <col min="12045" max="12045" width="3.42578125" style="97" customWidth="1"/>
    <col min="12046" max="12288" width="9.140625" style="97"/>
    <col min="12289" max="12289" width="10.140625" style="97" customWidth="1"/>
    <col min="12290" max="12290" width="12.85546875" style="97" customWidth="1"/>
    <col min="12291" max="12291" width="13.7109375" style="97" customWidth="1"/>
    <col min="12292" max="12292" width="13.5703125" style="97" customWidth="1"/>
    <col min="12293" max="12293" width="13.28515625" style="97" customWidth="1"/>
    <col min="12294" max="12294" width="11.85546875" style="97" customWidth="1"/>
    <col min="12295" max="12295" width="11.7109375" style="97" customWidth="1"/>
    <col min="12296" max="12296" width="12.28515625" style="97" customWidth="1"/>
    <col min="12297" max="12297" width="12.140625" style="97" customWidth="1"/>
    <col min="12298" max="12298" width="10.28515625" style="97" customWidth="1"/>
    <col min="12299" max="12299" width="12.5703125" style="97" customWidth="1"/>
    <col min="12300" max="12300" width="11.85546875" style="97" customWidth="1"/>
    <col min="12301" max="12301" width="3.42578125" style="97" customWidth="1"/>
    <col min="12302" max="12544" width="9.140625" style="97"/>
    <col min="12545" max="12545" width="10.140625" style="97" customWidth="1"/>
    <col min="12546" max="12546" width="12.85546875" style="97" customWidth="1"/>
    <col min="12547" max="12547" width="13.7109375" style="97" customWidth="1"/>
    <col min="12548" max="12548" width="13.5703125" style="97" customWidth="1"/>
    <col min="12549" max="12549" width="13.28515625" style="97" customWidth="1"/>
    <col min="12550" max="12550" width="11.85546875" style="97" customWidth="1"/>
    <col min="12551" max="12551" width="11.7109375" style="97" customWidth="1"/>
    <col min="12552" max="12552" width="12.28515625" style="97" customWidth="1"/>
    <col min="12553" max="12553" width="12.140625" style="97" customWidth="1"/>
    <col min="12554" max="12554" width="10.28515625" style="97" customWidth="1"/>
    <col min="12555" max="12555" width="12.5703125" style="97" customWidth="1"/>
    <col min="12556" max="12556" width="11.85546875" style="97" customWidth="1"/>
    <col min="12557" max="12557" width="3.42578125" style="97" customWidth="1"/>
    <col min="12558" max="12800" width="9.140625" style="97"/>
    <col min="12801" max="12801" width="10.140625" style="97" customWidth="1"/>
    <col min="12802" max="12802" width="12.85546875" style="97" customWidth="1"/>
    <col min="12803" max="12803" width="13.7109375" style="97" customWidth="1"/>
    <col min="12804" max="12804" width="13.5703125" style="97" customWidth="1"/>
    <col min="12805" max="12805" width="13.28515625" style="97" customWidth="1"/>
    <col min="12806" max="12806" width="11.85546875" style="97" customWidth="1"/>
    <col min="12807" max="12807" width="11.7109375" style="97" customWidth="1"/>
    <col min="12808" max="12808" width="12.28515625" style="97" customWidth="1"/>
    <col min="12809" max="12809" width="12.140625" style="97" customWidth="1"/>
    <col min="12810" max="12810" width="10.28515625" style="97" customWidth="1"/>
    <col min="12811" max="12811" width="12.5703125" style="97" customWidth="1"/>
    <col min="12812" max="12812" width="11.85546875" style="97" customWidth="1"/>
    <col min="12813" max="12813" width="3.42578125" style="97" customWidth="1"/>
    <col min="12814" max="13056" width="9.140625" style="97"/>
    <col min="13057" max="13057" width="10.140625" style="97" customWidth="1"/>
    <col min="13058" max="13058" width="12.85546875" style="97" customWidth="1"/>
    <col min="13059" max="13059" width="13.7109375" style="97" customWidth="1"/>
    <col min="13060" max="13060" width="13.5703125" style="97" customWidth="1"/>
    <col min="13061" max="13061" width="13.28515625" style="97" customWidth="1"/>
    <col min="13062" max="13062" width="11.85546875" style="97" customWidth="1"/>
    <col min="13063" max="13063" width="11.7109375" style="97" customWidth="1"/>
    <col min="13064" max="13064" width="12.28515625" style="97" customWidth="1"/>
    <col min="13065" max="13065" width="12.140625" style="97" customWidth="1"/>
    <col min="13066" max="13066" width="10.28515625" style="97" customWidth="1"/>
    <col min="13067" max="13067" width="12.5703125" style="97" customWidth="1"/>
    <col min="13068" max="13068" width="11.85546875" style="97" customWidth="1"/>
    <col min="13069" max="13069" width="3.42578125" style="97" customWidth="1"/>
    <col min="13070" max="13312" width="9.140625" style="97"/>
    <col min="13313" max="13313" width="10.140625" style="97" customWidth="1"/>
    <col min="13314" max="13314" width="12.85546875" style="97" customWidth="1"/>
    <col min="13315" max="13315" width="13.7109375" style="97" customWidth="1"/>
    <col min="13316" max="13316" width="13.5703125" style="97" customWidth="1"/>
    <col min="13317" max="13317" width="13.28515625" style="97" customWidth="1"/>
    <col min="13318" max="13318" width="11.85546875" style="97" customWidth="1"/>
    <col min="13319" max="13319" width="11.7109375" style="97" customWidth="1"/>
    <col min="13320" max="13320" width="12.28515625" style="97" customWidth="1"/>
    <col min="13321" max="13321" width="12.140625" style="97" customWidth="1"/>
    <col min="13322" max="13322" width="10.28515625" style="97" customWidth="1"/>
    <col min="13323" max="13323" width="12.5703125" style="97" customWidth="1"/>
    <col min="13324" max="13324" width="11.85546875" style="97" customWidth="1"/>
    <col min="13325" max="13325" width="3.42578125" style="97" customWidth="1"/>
    <col min="13326" max="13568" width="9.140625" style="97"/>
    <col min="13569" max="13569" width="10.140625" style="97" customWidth="1"/>
    <col min="13570" max="13570" width="12.85546875" style="97" customWidth="1"/>
    <col min="13571" max="13571" width="13.7109375" style="97" customWidth="1"/>
    <col min="13572" max="13572" width="13.5703125" style="97" customWidth="1"/>
    <col min="13573" max="13573" width="13.28515625" style="97" customWidth="1"/>
    <col min="13574" max="13574" width="11.85546875" style="97" customWidth="1"/>
    <col min="13575" max="13575" width="11.7109375" style="97" customWidth="1"/>
    <col min="13576" max="13576" width="12.28515625" style="97" customWidth="1"/>
    <col min="13577" max="13577" width="12.140625" style="97" customWidth="1"/>
    <col min="13578" max="13578" width="10.28515625" style="97" customWidth="1"/>
    <col min="13579" max="13579" width="12.5703125" style="97" customWidth="1"/>
    <col min="13580" max="13580" width="11.85546875" style="97" customWidth="1"/>
    <col min="13581" max="13581" width="3.42578125" style="97" customWidth="1"/>
    <col min="13582" max="13824" width="9.140625" style="97"/>
    <col min="13825" max="13825" width="10.140625" style="97" customWidth="1"/>
    <col min="13826" max="13826" width="12.85546875" style="97" customWidth="1"/>
    <col min="13827" max="13827" width="13.7109375" style="97" customWidth="1"/>
    <col min="13828" max="13828" width="13.5703125" style="97" customWidth="1"/>
    <col min="13829" max="13829" width="13.28515625" style="97" customWidth="1"/>
    <col min="13830" max="13830" width="11.85546875" style="97" customWidth="1"/>
    <col min="13831" max="13831" width="11.7109375" style="97" customWidth="1"/>
    <col min="13832" max="13832" width="12.28515625" style="97" customWidth="1"/>
    <col min="13833" max="13833" width="12.140625" style="97" customWidth="1"/>
    <col min="13834" max="13834" width="10.28515625" style="97" customWidth="1"/>
    <col min="13835" max="13835" width="12.5703125" style="97" customWidth="1"/>
    <col min="13836" max="13836" width="11.85546875" style="97" customWidth="1"/>
    <col min="13837" max="13837" width="3.42578125" style="97" customWidth="1"/>
    <col min="13838" max="14080" width="9.140625" style="97"/>
    <col min="14081" max="14081" width="10.140625" style="97" customWidth="1"/>
    <col min="14082" max="14082" width="12.85546875" style="97" customWidth="1"/>
    <col min="14083" max="14083" width="13.7109375" style="97" customWidth="1"/>
    <col min="14084" max="14084" width="13.5703125" style="97" customWidth="1"/>
    <col min="14085" max="14085" width="13.28515625" style="97" customWidth="1"/>
    <col min="14086" max="14086" width="11.85546875" style="97" customWidth="1"/>
    <col min="14087" max="14087" width="11.7109375" style="97" customWidth="1"/>
    <col min="14088" max="14088" width="12.28515625" style="97" customWidth="1"/>
    <col min="14089" max="14089" width="12.140625" style="97" customWidth="1"/>
    <col min="14090" max="14090" width="10.28515625" style="97" customWidth="1"/>
    <col min="14091" max="14091" width="12.5703125" style="97" customWidth="1"/>
    <col min="14092" max="14092" width="11.85546875" style="97" customWidth="1"/>
    <col min="14093" max="14093" width="3.42578125" style="97" customWidth="1"/>
    <col min="14094" max="14336" width="9.140625" style="97"/>
    <col min="14337" max="14337" width="10.140625" style="97" customWidth="1"/>
    <col min="14338" max="14338" width="12.85546875" style="97" customWidth="1"/>
    <col min="14339" max="14339" width="13.7109375" style="97" customWidth="1"/>
    <col min="14340" max="14340" width="13.5703125" style="97" customWidth="1"/>
    <col min="14341" max="14341" width="13.28515625" style="97" customWidth="1"/>
    <col min="14342" max="14342" width="11.85546875" style="97" customWidth="1"/>
    <col min="14343" max="14343" width="11.7109375" style="97" customWidth="1"/>
    <col min="14344" max="14344" width="12.28515625" style="97" customWidth="1"/>
    <col min="14345" max="14345" width="12.140625" style="97" customWidth="1"/>
    <col min="14346" max="14346" width="10.28515625" style="97" customWidth="1"/>
    <col min="14347" max="14347" width="12.5703125" style="97" customWidth="1"/>
    <col min="14348" max="14348" width="11.85546875" style="97" customWidth="1"/>
    <col min="14349" max="14349" width="3.42578125" style="97" customWidth="1"/>
    <col min="14350" max="14592" width="9.140625" style="97"/>
    <col min="14593" max="14593" width="10.140625" style="97" customWidth="1"/>
    <col min="14594" max="14594" width="12.85546875" style="97" customWidth="1"/>
    <col min="14595" max="14595" width="13.7109375" style="97" customWidth="1"/>
    <col min="14596" max="14596" width="13.5703125" style="97" customWidth="1"/>
    <col min="14597" max="14597" width="13.28515625" style="97" customWidth="1"/>
    <col min="14598" max="14598" width="11.85546875" style="97" customWidth="1"/>
    <col min="14599" max="14599" width="11.7109375" style="97" customWidth="1"/>
    <col min="14600" max="14600" width="12.28515625" style="97" customWidth="1"/>
    <col min="14601" max="14601" width="12.140625" style="97" customWidth="1"/>
    <col min="14602" max="14602" width="10.28515625" style="97" customWidth="1"/>
    <col min="14603" max="14603" width="12.5703125" style="97" customWidth="1"/>
    <col min="14604" max="14604" width="11.85546875" style="97" customWidth="1"/>
    <col min="14605" max="14605" width="3.42578125" style="97" customWidth="1"/>
    <col min="14606" max="14848" width="9.140625" style="97"/>
    <col min="14849" max="14849" width="10.140625" style="97" customWidth="1"/>
    <col min="14850" max="14850" width="12.85546875" style="97" customWidth="1"/>
    <col min="14851" max="14851" width="13.7109375" style="97" customWidth="1"/>
    <col min="14852" max="14852" width="13.5703125" style="97" customWidth="1"/>
    <col min="14853" max="14853" width="13.28515625" style="97" customWidth="1"/>
    <col min="14854" max="14854" width="11.85546875" style="97" customWidth="1"/>
    <col min="14855" max="14855" width="11.7109375" style="97" customWidth="1"/>
    <col min="14856" max="14856" width="12.28515625" style="97" customWidth="1"/>
    <col min="14857" max="14857" width="12.140625" style="97" customWidth="1"/>
    <col min="14858" max="14858" width="10.28515625" style="97" customWidth="1"/>
    <col min="14859" max="14859" width="12.5703125" style="97" customWidth="1"/>
    <col min="14860" max="14860" width="11.85546875" style="97" customWidth="1"/>
    <col min="14861" max="14861" width="3.42578125" style="97" customWidth="1"/>
    <col min="14862" max="15104" width="9.140625" style="97"/>
    <col min="15105" max="15105" width="10.140625" style="97" customWidth="1"/>
    <col min="15106" max="15106" width="12.85546875" style="97" customWidth="1"/>
    <col min="15107" max="15107" width="13.7109375" style="97" customWidth="1"/>
    <col min="15108" max="15108" width="13.5703125" style="97" customWidth="1"/>
    <col min="15109" max="15109" width="13.28515625" style="97" customWidth="1"/>
    <col min="15110" max="15110" width="11.85546875" style="97" customWidth="1"/>
    <col min="15111" max="15111" width="11.7109375" style="97" customWidth="1"/>
    <col min="15112" max="15112" width="12.28515625" style="97" customWidth="1"/>
    <col min="15113" max="15113" width="12.140625" style="97" customWidth="1"/>
    <col min="15114" max="15114" width="10.28515625" style="97" customWidth="1"/>
    <col min="15115" max="15115" width="12.5703125" style="97" customWidth="1"/>
    <col min="15116" max="15116" width="11.85546875" style="97" customWidth="1"/>
    <col min="15117" max="15117" width="3.42578125" style="97" customWidth="1"/>
    <col min="15118" max="15360" width="9.140625" style="97"/>
    <col min="15361" max="15361" width="10.140625" style="97" customWidth="1"/>
    <col min="15362" max="15362" width="12.85546875" style="97" customWidth="1"/>
    <col min="15363" max="15363" width="13.7109375" style="97" customWidth="1"/>
    <col min="15364" max="15364" width="13.5703125" style="97" customWidth="1"/>
    <col min="15365" max="15365" width="13.28515625" style="97" customWidth="1"/>
    <col min="15366" max="15366" width="11.85546875" style="97" customWidth="1"/>
    <col min="15367" max="15367" width="11.7109375" style="97" customWidth="1"/>
    <col min="15368" max="15368" width="12.28515625" style="97" customWidth="1"/>
    <col min="15369" max="15369" width="12.140625" style="97" customWidth="1"/>
    <col min="15370" max="15370" width="10.28515625" style="97" customWidth="1"/>
    <col min="15371" max="15371" width="12.5703125" style="97" customWidth="1"/>
    <col min="15372" max="15372" width="11.85546875" style="97" customWidth="1"/>
    <col min="15373" max="15373" width="3.42578125" style="97" customWidth="1"/>
    <col min="15374" max="15616" width="9.140625" style="97"/>
    <col min="15617" max="15617" width="10.140625" style="97" customWidth="1"/>
    <col min="15618" max="15618" width="12.85546875" style="97" customWidth="1"/>
    <col min="15619" max="15619" width="13.7109375" style="97" customWidth="1"/>
    <col min="15620" max="15620" width="13.5703125" style="97" customWidth="1"/>
    <col min="15621" max="15621" width="13.28515625" style="97" customWidth="1"/>
    <col min="15622" max="15622" width="11.85546875" style="97" customWidth="1"/>
    <col min="15623" max="15623" width="11.7109375" style="97" customWidth="1"/>
    <col min="15624" max="15624" width="12.28515625" style="97" customWidth="1"/>
    <col min="15625" max="15625" width="12.140625" style="97" customWidth="1"/>
    <col min="15626" max="15626" width="10.28515625" style="97" customWidth="1"/>
    <col min="15627" max="15627" width="12.5703125" style="97" customWidth="1"/>
    <col min="15628" max="15628" width="11.85546875" style="97" customWidth="1"/>
    <col min="15629" max="15629" width="3.42578125" style="97" customWidth="1"/>
    <col min="15630" max="15872" width="9.140625" style="97"/>
    <col min="15873" max="15873" width="10.140625" style="97" customWidth="1"/>
    <col min="15874" max="15874" width="12.85546875" style="97" customWidth="1"/>
    <col min="15875" max="15875" width="13.7109375" style="97" customWidth="1"/>
    <col min="15876" max="15876" width="13.5703125" style="97" customWidth="1"/>
    <col min="15877" max="15877" width="13.28515625" style="97" customWidth="1"/>
    <col min="15878" max="15878" width="11.85546875" style="97" customWidth="1"/>
    <col min="15879" max="15879" width="11.7109375" style="97" customWidth="1"/>
    <col min="15880" max="15880" width="12.28515625" style="97" customWidth="1"/>
    <col min="15881" max="15881" width="12.140625" style="97" customWidth="1"/>
    <col min="15882" max="15882" width="10.28515625" style="97" customWidth="1"/>
    <col min="15883" max="15883" width="12.5703125" style="97" customWidth="1"/>
    <col min="15884" max="15884" width="11.85546875" style="97" customWidth="1"/>
    <col min="15885" max="15885" width="3.42578125" style="97" customWidth="1"/>
    <col min="15886" max="16128" width="9.140625" style="97"/>
    <col min="16129" max="16129" width="10.140625" style="97" customWidth="1"/>
    <col min="16130" max="16130" width="12.85546875" style="97" customWidth="1"/>
    <col min="16131" max="16131" width="13.7109375" style="97" customWidth="1"/>
    <col min="16132" max="16132" width="13.5703125" style="97" customWidth="1"/>
    <col min="16133" max="16133" width="13.28515625" style="97" customWidth="1"/>
    <col min="16134" max="16134" width="11.85546875" style="97" customWidth="1"/>
    <col min="16135" max="16135" width="11.7109375" style="97" customWidth="1"/>
    <col min="16136" max="16136" width="12.28515625" style="97" customWidth="1"/>
    <col min="16137" max="16137" width="12.140625" style="97" customWidth="1"/>
    <col min="16138" max="16138" width="10.28515625" style="97" customWidth="1"/>
    <col min="16139" max="16139" width="12.5703125" style="97" customWidth="1"/>
    <col min="16140" max="16140" width="11.85546875" style="97" customWidth="1"/>
    <col min="16141" max="16141" width="3.42578125" style="97" customWidth="1"/>
    <col min="16142" max="16384" width="9.140625" style="97"/>
  </cols>
  <sheetData>
    <row r="2" spans="1:14" x14ac:dyDescent="0.15">
      <c r="A2" s="2358" t="s">
        <v>3414</v>
      </c>
      <c r="B2" s="2348"/>
      <c r="C2" s="2348"/>
      <c r="D2" s="2348"/>
      <c r="E2" s="2348"/>
      <c r="F2" s="2348"/>
      <c r="G2" s="2348"/>
      <c r="H2" s="2348"/>
      <c r="I2" s="2348"/>
      <c r="J2" s="2348"/>
      <c r="K2" s="2348"/>
      <c r="L2" s="2348"/>
    </row>
    <row r="3" spans="1:14" ht="11.25" customHeight="1" x14ac:dyDescent="0.15">
      <c r="A3" s="2347"/>
      <c r="B3" s="2348"/>
      <c r="C3" s="2348"/>
      <c r="D3" s="2348"/>
      <c r="E3" s="2348"/>
      <c r="F3" s="2348"/>
      <c r="G3" s="2348"/>
      <c r="H3" s="2348"/>
      <c r="I3" s="2348"/>
      <c r="J3" s="2348"/>
      <c r="K3" s="2348"/>
      <c r="L3" s="2348"/>
    </row>
    <row r="4" spans="1:14" x14ac:dyDescent="0.15">
      <c r="A4" s="3393" t="s">
        <v>1442</v>
      </c>
      <c r="B4" s="3394" t="s">
        <v>3401</v>
      </c>
      <c r="C4" s="3403"/>
      <c r="D4" s="3403"/>
      <c r="E4" s="3403"/>
      <c r="F4" s="3403"/>
      <c r="G4" s="3403"/>
      <c r="H4" s="3403"/>
      <c r="I4" s="3403"/>
      <c r="J4" s="3403"/>
      <c r="K4" s="3403"/>
      <c r="L4" s="3404"/>
    </row>
    <row r="5" spans="1:14" x14ac:dyDescent="0.15">
      <c r="A5" s="2460"/>
      <c r="B5" s="3393" t="s">
        <v>141</v>
      </c>
      <c r="C5" s="2361" t="s">
        <v>1474</v>
      </c>
      <c r="D5" s="3405"/>
      <c r="E5" s="3405"/>
      <c r="F5" s="3405"/>
      <c r="G5" s="3405"/>
      <c r="H5" s="3405"/>
      <c r="I5" s="3405"/>
      <c r="J5" s="3405"/>
      <c r="K5" s="3405"/>
      <c r="L5" s="3406"/>
    </row>
    <row r="6" spans="1:14" ht="31.5" x14ac:dyDescent="0.15">
      <c r="A6" s="2360"/>
      <c r="B6" s="2360"/>
      <c r="C6" s="697" t="s">
        <v>3384</v>
      </c>
      <c r="D6" s="1615" t="s">
        <v>3385</v>
      </c>
      <c r="E6" s="1615" t="s">
        <v>3386</v>
      </c>
      <c r="F6" s="1615" t="s">
        <v>3387</v>
      </c>
      <c r="G6" s="1615" t="s">
        <v>3388</v>
      </c>
      <c r="H6" s="1615" t="s">
        <v>3389</v>
      </c>
      <c r="I6" s="1615" t="s">
        <v>3390</v>
      </c>
      <c r="J6" s="1615" t="s">
        <v>3391</v>
      </c>
      <c r="K6" s="1615" t="s">
        <v>3415</v>
      </c>
      <c r="L6" s="1615" t="s">
        <v>3393</v>
      </c>
    </row>
    <row r="7" spans="1:14" x14ac:dyDescent="0.15">
      <c r="A7" s="172">
        <v>2011</v>
      </c>
      <c r="B7" s="551">
        <f>SUM(C7:L7)</f>
        <v>4648127</v>
      </c>
      <c r="C7" s="552">
        <v>1038576</v>
      </c>
      <c r="D7" s="552">
        <v>3133793</v>
      </c>
      <c r="E7" s="552">
        <v>128077</v>
      </c>
      <c r="F7" s="552">
        <v>176398</v>
      </c>
      <c r="G7" s="552">
        <v>9241</v>
      </c>
      <c r="H7" s="552">
        <v>21107</v>
      </c>
      <c r="I7" s="552">
        <v>73081</v>
      </c>
      <c r="J7" s="552">
        <v>10672</v>
      </c>
      <c r="K7" s="1269">
        <v>0</v>
      </c>
      <c r="L7" s="552">
        <v>57182</v>
      </c>
    </row>
    <row r="8" spans="1:14" x14ac:dyDescent="0.15">
      <c r="A8" s="172">
        <v>2012</v>
      </c>
      <c r="B8" s="551">
        <f>SUM(C8:L8)</f>
        <v>5182538</v>
      </c>
      <c r="C8" s="552">
        <v>1197929</v>
      </c>
      <c r="D8" s="552">
        <v>3516200</v>
      </c>
      <c r="E8" s="552">
        <v>124798</v>
      </c>
      <c r="F8" s="552">
        <v>168922</v>
      </c>
      <c r="G8" s="552">
        <v>12749</v>
      </c>
      <c r="H8" s="552">
        <v>25933</v>
      </c>
      <c r="I8" s="552">
        <v>92322</v>
      </c>
      <c r="J8" s="552">
        <v>3140</v>
      </c>
      <c r="K8" s="1269">
        <v>0</v>
      </c>
      <c r="L8" s="552">
        <v>40545</v>
      </c>
    </row>
    <row r="9" spans="1:14" x14ac:dyDescent="0.15">
      <c r="A9" s="172">
        <v>2013</v>
      </c>
      <c r="B9" s="551">
        <f>SUM(C9:L9)</f>
        <v>4672677</v>
      </c>
      <c r="C9" s="552">
        <v>1548509</v>
      </c>
      <c r="D9" s="552">
        <v>2513284</v>
      </c>
      <c r="E9" s="552">
        <v>204374</v>
      </c>
      <c r="F9" s="552">
        <v>228583</v>
      </c>
      <c r="G9" s="552">
        <v>9632</v>
      </c>
      <c r="H9" s="552">
        <v>7771</v>
      </c>
      <c r="I9" s="552">
        <v>50710</v>
      </c>
      <c r="J9" s="552">
        <v>6739</v>
      </c>
      <c r="K9" s="1269">
        <v>0</v>
      </c>
      <c r="L9" s="552">
        <v>103075</v>
      </c>
    </row>
    <row r="10" spans="1:14" x14ac:dyDescent="0.15">
      <c r="A10" s="2098">
        <v>2014</v>
      </c>
      <c r="B10" s="551">
        <f>SUM(C10:L10)</f>
        <v>3846667</v>
      </c>
      <c r="C10" s="552">
        <v>773214</v>
      </c>
      <c r="D10" s="552">
        <v>2383402</v>
      </c>
      <c r="E10" s="552">
        <v>104475</v>
      </c>
      <c r="F10" s="552">
        <v>193946</v>
      </c>
      <c r="G10" s="552">
        <v>34401</v>
      </c>
      <c r="H10" s="552">
        <v>58400</v>
      </c>
      <c r="I10" s="552">
        <v>217200</v>
      </c>
      <c r="J10" s="552">
        <v>8229</v>
      </c>
      <c r="K10" s="552">
        <v>12160</v>
      </c>
      <c r="L10" s="552">
        <v>61240</v>
      </c>
      <c r="M10" s="2093"/>
      <c r="N10" s="2093"/>
    </row>
    <row r="11" spans="1:14" ht="11.25" x14ac:dyDescent="0.15">
      <c r="A11" s="2098" t="s">
        <v>3416</v>
      </c>
      <c r="B11" s="551">
        <f>SUM(C11:L11)</f>
        <v>4242489</v>
      </c>
      <c r="C11" s="713">
        <v>884842</v>
      </c>
      <c r="D11" s="713">
        <v>2971684</v>
      </c>
      <c r="E11" s="713">
        <v>88410</v>
      </c>
      <c r="F11" s="713">
        <v>147535</v>
      </c>
      <c r="G11" s="713">
        <v>8723</v>
      </c>
      <c r="H11" s="713">
        <v>46225</v>
      </c>
      <c r="I11" s="713">
        <v>39129</v>
      </c>
      <c r="J11" s="1627">
        <v>650</v>
      </c>
      <c r="K11" s="713">
        <v>16011</v>
      </c>
      <c r="L11" s="713">
        <v>39280</v>
      </c>
      <c r="M11" s="2093"/>
      <c r="N11" s="2093"/>
    </row>
    <row r="12" spans="1:14" ht="11.25" customHeight="1" x14ac:dyDescent="0.15">
      <c r="A12" s="2356"/>
      <c r="B12" s="2357"/>
      <c r="C12" s="2357"/>
      <c r="D12" s="2357"/>
      <c r="E12" s="2357"/>
      <c r="F12" s="2357"/>
      <c r="G12" s="2357"/>
      <c r="H12" s="2357"/>
      <c r="I12" s="2357"/>
      <c r="J12" s="2357"/>
      <c r="K12" s="2357"/>
      <c r="L12" s="2357"/>
      <c r="M12" s="2093"/>
      <c r="N12" s="2093"/>
    </row>
    <row r="13" spans="1:14" ht="22.5" customHeight="1" x14ac:dyDescent="0.15">
      <c r="A13" s="2697" t="s">
        <v>3394</v>
      </c>
      <c r="B13" s="2373"/>
      <c r="C13" s="2373"/>
      <c r="D13" s="2373"/>
      <c r="E13" s="2373"/>
      <c r="F13" s="2373"/>
      <c r="G13" s="2373"/>
      <c r="H13" s="2373"/>
      <c r="I13" s="2373"/>
      <c r="J13" s="2373"/>
      <c r="K13" s="2373"/>
      <c r="L13" s="2373"/>
      <c r="M13" s="2093"/>
      <c r="N13" s="2093"/>
    </row>
    <row r="14" spans="1:14" x14ac:dyDescent="0.15">
      <c r="A14" s="3426" t="s">
        <v>3417</v>
      </c>
      <c r="B14" s="3426"/>
      <c r="C14" s="3426"/>
      <c r="D14" s="3426"/>
      <c r="E14" s="3426"/>
      <c r="F14" s="3426"/>
      <c r="G14" s="3426"/>
      <c r="H14" s="3426"/>
      <c r="I14" s="3426"/>
      <c r="J14" s="3426"/>
      <c r="K14" s="3426"/>
      <c r="L14" s="3426"/>
      <c r="M14" s="2093"/>
      <c r="N14" s="2093"/>
    </row>
    <row r="15" spans="1:14" s="1628" customFormat="1" ht="23.25" customHeight="1" x14ac:dyDescent="0.25">
      <c r="A15" s="3427" t="s">
        <v>3418</v>
      </c>
      <c r="B15" s="3427"/>
      <c r="C15" s="3427"/>
      <c r="D15" s="3427"/>
      <c r="E15" s="3427"/>
      <c r="F15" s="3427"/>
      <c r="G15" s="3427"/>
      <c r="H15" s="3427"/>
      <c r="I15" s="3427"/>
      <c r="J15" s="3427"/>
      <c r="K15" s="3427"/>
      <c r="L15" s="3427"/>
      <c r="M15" s="2243"/>
      <c r="N15" s="2243"/>
    </row>
    <row r="16" spans="1:14" x14ac:dyDescent="0.15">
      <c r="A16" s="2356" t="s">
        <v>1483</v>
      </c>
      <c r="B16" s="2373"/>
      <c r="C16" s="2373"/>
      <c r="D16" s="2373"/>
      <c r="E16" s="2373"/>
      <c r="F16" s="2373"/>
      <c r="G16" s="2373"/>
      <c r="H16" s="2373"/>
      <c r="I16" s="2373"/>
      <c r="J16" s="2373"/>
      <c r="K16" s="2373"/>
      <c r="L16" s="2373"/>
      <c r="M16" s="2093"/>
      <c r="N16" s="2093"/>
    </row>
    <row r="17" spans="1:14" x14ac:dyDescent="0.15">
      <c r="A17" s="2093"/>
      <c r="B17" s="2093"/>
      <c r="C17" s="2093"/>
      <c r="D17" s="2093"/>
      <c r="E17" s="2093"/>
      <c r="F17" s="2093"/>
      <c r="G17" s="2093"/>
      <c r="H17" s="2093"/>
      <c r="I17" s="2093"/>
      <c r="J17" s="2093"/>
      <c r="K17" s="2093"/>
      <c r="L17" s="2093"/>
      <c r="M17" s="2093"/>
      <c r="N17" s="2093"/>
    </row>
    <row r="18" spans="1:14" x14ac:dyDescent="0.15">
      <c r="A18" s="2093"/>
      <c r="B18" s="2093"/>
      <c r="C18" s="2093"/>
      <c r="D18" s="2093"/>
      <c r="E18" s="2093"/>
      <c r="F18" s="2093"/>
      <c r="G18" s="2093"/>
      <c r="H18" s="2093"/>
      <c r="I18" s="2093"/>
      <c r="J18" s="2093"/>
      <c r="K18" s="2093"/>
      <c r="L18" s="2093"/>
      <c r="M18" s="2093"/>
      <c r="N18" s="2093"/>
    </row>
    <row r="19" spans="1:14" x14ac:dyDescent="0.15">
      <c r="A19" s="2093"/>
      <c r="B19" s="2093"/>
      <c r="C19" s="2093"/>
      <c r="D19" s="2093"/>
      <c r="E19" s="2093"/>
      <c r="F19" s="2093"/>
      <c r="G19" s="2093"/>
      <c r="H19" s="2093"/>
      <c r="I19" s="2093"/>
      <c r="J19" s="2093"/>
      <c r="K19" s="2093"/>
      <c r="L19" s="2093"/>
      <c r="M19" s="2093"/>
      <c r="N19" s="2093"/>
    </row>
    <row r="20" spans="1:14" x14ac:dyDescent="0.15">
      <c r="A20" s="2093"/>
      <c r="B20" s="2093"/>
      <c r="C20" s="2093"/>
      <c r="D20" s="2093"/>
      <c r="E20" s="2093"/>
      <c r="F20" s="2093"/>
      <c r="G20" s="2093"/>
      <c r="H20" s="2093"/>
      <c r="I20" s="2093"/>
      <c r="J20" s="2093"/>
      <c r="K20" s="2093"/>
      <c r="L20" s="2093"/>
      <c r="M20" s="2093"/>
      <c r="N20" s="2093"/>
    </row>
    <row r="21" spans="1:14" x14ac:dyDescent="0.15">
      <c r="A21" s="2093"/>
      <c r="B21" s="2093"/>
      <c r="C21" s="2093"/>
      <c r="D21" s="2093"/>
      <c r="E21" s="2093"/>
      <c r="F21" s="2093"/>
      <c r="G21" s="2093"/>
      <c r="H21" s="2093"/>
      <c r="I21" s="2093"/>
      <c r="J21" s="2093"/>
      <c r="K21" s="2093"/>
      <c r="L21" s="2093"/>
      <c r="M21" s="2093"/>
      <c r="N21" s="2093"/>
    </row>
    <row r="22" spans="1:14" x14ac:dyDescent="0.15">
      <c r="A22" s="2093"/>
      <c r="B22" s="2093"/>
      <c r="C22" s="2093"/>
      <c r="D22" s="2093"/>
      <c r="E22" s="2093"/>
      <c r="F22" s="2093"/>
      <c r="G22" s="2093"/>
      <c r="H22" s="2093"/>
      <c r="I22" s="2093"/>
      <c r="J22" s="2093"/>
      <c r="K22" s="2093"/>
      <c r="L22" s="2093"/>
      <c r="M22" s="2093"/>
      <c r="N22" s="2093"/>
    </row>
    <row r="23" spans="1:14" x14ac:dyDescent="0.15">
      <c r="A23" s="2093"/>
      <c r="B23" s="2093"/>
      <c r="C23" s="2093"/>
      <c r="D23" s="2093"/>
      <c r="E23" s="2093"/>
      <c r="F23" s="2093"/>
      <c r="G23" s="2093"/>
      <c r="H23" s="2093"/>
      <c r="I23" s="2093"/>
      <c r="J23" s="2093"/>
      <c r="K23" s="2093"/>
      <c r="L23" s="2093"/>
      <c r="M23" s="2093"/>
      <c r="N23" s="2093"/>
    </row>
    <row r="24" spans="1:14" x14ac:dyDescent="0.15">
      <c r="A24" s="2093"/>
      <c r="B24" s="2093"/>
      <c r="C24" s="2093"/>
      <c r="D24" s="2093"/>
      <c r="E24" s="2093"/>
      <c r="F24" s="2093"/>
      <c r="G24" s="2093"/>
      <c r="H24" s="2093"/>
      <c r="I24" s="2093"/>
      <c r="J24" s="2093"/>
      <c r="K24" s="2093"/>
      <c r="L24" s="2093"/>
      <c r="M24" s="2093"/>
      <c r="N24" s="2093"/>
    </row>
    <row r="25" spans="1:14" x14ac:dyDescent="0.15">
      <c r="A25" s="2093"/>
      <c r="B25" s="2093"/>
      <c r="C25" s="2093"/>
      <c r="D25" s="2093"/>
      <c r="E25" s="2093"/>
      <c r="F25" s="2093"/>
      <c r="G25" s="2093"/>
      <c r="H25" s="2093"/>
      <c r="I25" s="2093"/>
      <c r="J25" s="2093"/>
      <c r="K25" s="2093"/>
      <c r="L25" s="2093"/>
      <c r="M25" s="2093"/>
      <c r="N25" s="2093"/>
    </row>
    <row r="26" spans="1:14" x14ac:dyDescent="0.15">
      <c r="A26" s="2093"/>
      <c r="B26" s="2093"/>
      <c r="C26" s="2093"/>
      <c r="D26" s="2093"/>
      <c r="E26" s="2093"/>
      <c r="F26" s="2093"/>
      <c r="G26" s="2093"/>
      <c r="H26" s="2093"/>
      <c r="I26" s="2093"/>
      <c r="J26" s="2093"/>
      <c r="K26" s="2093"/>
      <c r="L26" s="2093"/>
      <c r="M26" s="2093"/>
      <c r="N26" s="2093"/>
    </row>
  </sheetData>
  <mergeCells count="11">
    <mergeCell ref="A12:L12"/>
    <mergeCell ref="A13:L13"/>
    <mergeCell ref="A14:L14"/>
    <mergeCell ref="A15:L15"/>
    <mergeCell ref="A16:L1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2:D44"/>
  <sheetViews>
    <sheetView workbookViewId="0">
      <selection activeCell="A28" sqref="A28"/>
    </sheetView>
  </sheetViews>
  <sheetFormatPr baseColWidth="10" defaultColWidth="9.140625" defaultRowHeight="10.5" x14ac:dyDescent="0.15"/>
  <cols>
    <col min="1" max="1" width="57.7109375" style="99" customWidth="1"/>
    <col min="2" max="2" width="12.140625" style="99" customWidth="1"/>
    <col min="3" max="3" width="12.28515625" style="99" customWidth="1"/>
    <col min="4" max="16384" width="9.140625" style="99"/>
  </cols>
  <sheetData>
    <row r="2" spans="1:4" ht="31.5" customHeight="1" x14ac:dyDescent="0.15">
      <c r="A2" s="2416" t="s">
        <v>4340</v>
      </c>
      <c r="B2" s="2416"/>
      <c r="C2" s="2416"/>
    </row>
    <row r="3" spans="1:4" ht="10.5" customHeight="1" x14ac:dyDescent="0.15">
      <c r="A3" s="2388"/>
      <c r="B3" s="2417"/>
      <c r="C3" s="134"/>
    </row>
    <row r="4" spans="1:4" ht="12.75" customHeight="1" x14ac:dyDescent="0.15">
      <c r="A4" s="2418" t="s">
        <v>331</v>
      </c>
      <c r="B4" s="2420" t="s">
        <v>2</v>
      </c>
      <c r="C4" s="2421"/>
    </row>
    <row r="5" spans="1:4" ht="15" customHeight="1" x14ac:dyDescent="0.15">
      <c r="A5" s="2419"/>
      <c r="B5" s="135" t="s">
        <v>332</v>
      </c>
      <c r="C5" s="135" t="s">
        <v>3</v>
      </c>
    </row>
    <row r="6" spans="1:4" x14ac:dyDescent="0.15">
      <c r="A6" s="136" t="s">
        <v>141</v>
      </c>
      <c r="B6" s="137">
        <f>SUM(B7,B10,B13,B16)</f>
        <v>160</v>
      </c>
      <c r="C6" s="137">
        <f>SUM(C7,C10,C13,C16)</f>
        <v>119</v>
      </c>
      <c r="D6" s="138"/>
    </row>
    <row r="7" spans="1:4" ht="21" x14ac:dyDescent="0.15">
      <c r="A7" s="136" t="s">
        <v>333</v>
      </c>
      <c r="B7" s="139">
        <f>SUM(B8:B9)</f>
        <v>31</v>
      </c>
      <c r="C7" s="139">
        <f>SUM(C8:C9)</f>
        <v>14</v>
      </c>
    </row>
    <row r="8" spans="1:4" x14ac:dyDescent="0.15">
      <c r="A8" s="140" t="s">
        <v>334</v>
      </c>
      <c r="B8" s="141">
        <v>4</v>
      </c>
      <c r="C8" s="141">
        <v>1</v>
      </c>
    </row>
    <row r="9" spans="1:4" x14ac:dyDescent="0.15">
      <c r="A9" s="140" t="s">
        <v>335</v>
      </c>
      <c r="B9" s="141">
        <v>27</v>
      </c>
      <c r="C9" s="141">
        <v>13</v>
      </c>
    </row>
    <row r="10" spans="1:4" x14ac:dyDescent="0.15">
      <c r="A10" s="136" t="s">
        <v>336</v>
      </c>
      <c r="B10" s="139">
        <f>SUM(B11:B12)</f>
        <v>45</v>
      </c>
      <c r="C10" s="139">
        <f>SUM(C11:C12)</f>
        <v>40</v>
      </c>
    </row>
    <row r="11" spans="1:4" x14ac:dyDescent="0.15">
      <c r="A11" s="140" t="s">
        <v>334</v>
      </c>
      <c r="B11" s="141">
        <v>4</v>
      </c>
      <c r="C11" s="141">
        <v>4</v>
      </c>
    </row>
    <row r="12" spans="1:4" x14ac:dyDescent="0.15">
      <c r="A12" s="140" t="s">
        <v>335</v>
      </c>
      <c r="B12" s="141">
        <v>41</v>
      </c>
      <c r="C12" s="141">
        <v>36</v>
      </c>
    </row>
    <row r="13" spans="1:4" x14ac:dyDescent="0.15">
      <c r="A13" s="136" t="s">
        <v>337</v>
      </c>
      <c r="B13" s="139">
        <f>SUM(B14:B15)</f>
        <v>51</v>
      </c>
      <c r="C13" s="139">
        <f>SUM(C14:C15)</f>
        <v>33</v>
      </c>
    </row>
    <row r="14" spans="1:4" x14ac:dyDescent="0.15">
      <c r="A14" s="140" t="s">
        <v>334</v>
      </c>
      <c r="B14" s="141">
        <v>7</v>
      </c>
      <c r="C14" s="141">
        <v>9</v>
      </c>
    </row>
    <row r="15" spans="1:4" x14ac:dyDescent="0.15">
      <c r="A15" s="140" t="s">
        <v>335</v>
      </c>
      <c r="B15" s="141">
        <v>44</v>
      </c>
      <c r="C15" s="141">
        <v>24</v>
      </c>
    </row>
    <row r="16" spans="1:4" x14ac:dyDescent="0.15">
      <c r="A16" s="136" t="s">
        <v>338</v>
      </c>
      <c r="B16" s="139">
        <f>SUM(B17:B18)</f>
        <v>33</v>
      </c>
      <c r="C16" s="139">
        <f>SUM(C17:C18)</f>
        <v>32</v>
      </c>
    </row>
    <row r="17" spans="1:3" ht="12.75" customHeight="1" x14ac:dyDescent="0.15">
      <c r="A17" s="140" t="s">
        <v>334</v>
      </c>
      <c r="B17" s="141">
        <v>4</v>
      </c>
      <c r="C17" s="141">
        <v>6</v>
      </c>
    </row>
    <row r="18" spans="1:3" x14ac:dyDescent="0.15">
      <c r="A18" s="142" t="s">
        <v>335</v>
      </c>
      <c r="B18" s="141">
        <v>29</v>
      </c>
      <c r="C18" s="141">
        <v>26</v>
      </c>
    </row>
    <row r="19" spans="1:3" ht="11.25" customHeight="1" x14ac:dyDescent="0.15">
      <c r="A19" s="143"/>
      <c r="B19" s="143"/>
      <c r="C19" s="143"/>
    </row>
    <row r="20" spans="1:3" ht="11.25" customHeight="1" x14ac:dyDescent="0.15">
      <c r="A20" s="143" t="s">
        <v>339</v>
      </c>
      <c r="B20" s="143"/>
      <c r="C20" s="143"/>
    </row>
    <row r="21" spans="1:3" ht="22.5" customHeight="1" x14ac:dyDescent="0.15">
      <c r="A21" s="2415" t="s">
        <v>340</v>
      </c>
      <c r="B21" s="2386"/>
      <c r="C21" s="2386"/>
    </row>
    <row r="24" spans="1:3" x14ac:dyDescent="0.15">
      <c r="B24" s="144"/>
      <c r="C24" s="144"/>
    </row>
    <row r="38" spans="1:1" ht="12.75" customHeight="1" x14ac:dyDescent="0.15"/>
    <row r="39" spans="1:1" ht="12.75" customHeight="1" x14ac:dyDescent="0.15"/>
    <row r="44" spans="1:1" x14ac:dyDescent="0.15">
      <c r="A44" s="145"/>
    </row>
  </sheetData>
  <mergeCells count="5">
    <mergeCell ref="A21:C21"/>
    <mergeCell ref="A2:C2"/>
    <mergeCell ref="A3:B3"/>
    <mergeCell ref="A4:A5"/>
    <mergeCell ref="B4:C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2:L26"/>
  <sheetViews>
    <sheetView zoomScaleNormal="100" workbookViewId="0">
      <selection activeCell="C19" sqref="C19"/>
    </sheetView>
  </sheetViews>
  <sheetFormatPr baseColWidth="10" defaultColWidth="9.140625" defaultRowHeight="12.75" x14ac:dyDescent="0.2"/>
  <cols>
    <col min="1" max="1" width="12.140625" style="111" customWidth="1"/>
    <col min="2" max="2" width="12.85546875" style="111" customWidth="1"/>
    <col min="3" max="3" width="13.7109375" style="111" customWidth="1"/>
    <col min="4" max="4" width="13.5703125" style="111" customWidth="1"/>
    <col min="5" max="5" width="13.28515625" style="111" customWidth="1"/>
    <col min="6" max="6" width="11.85546875" style="111" customWidth="1"/>
    <col min="7" max="7" width="11.7109375" style="111" customWidth="1"/>
    <col min="8" max="8" width="12.28515625" style="111" customWidth="1"/>
    <col min="9" max="9" width="12.140625" style="111" customWidth="1"/>
    <col min="10" max="10" width="10.28515625" style="111" customWidth="1"/>
    <col min="11" max="11" width="12.5703125" style="111" customWidth="1"/>
    <col min="12" max="12" width="11.85546875" style="111" customWidth="1"/>
    <col min="13" max="13" width="3.42578125" style="111" customWidth="1"/>
    <col min="14" max="256" width="9.140625" style="111"/>
    <col min="257" max="257" width="12.140625" style="111" customWidth="1"/>
    <col min="258" max="258" width="12.85546875" style="111" customWidth="1"/>
    <col min="259" max="259" width="13.7109375" style="111" customWidth="1"/>
    <col min="260" max="260" width="13.5703125" style="111" customWidth="1"/>
    <col min="261" max="261" width="13.28515625" style="111" customWidth="1"/>
    <col min="262" max="262" width="11.85546875" style="111" customWidth="1"/>
    <col min="263" max="263" width="11.7109375" style="111" customWidth="1"/>
    <col min="264" max="264" width="12.28515625" style="111" customWidth="1"/>
    <col min="265" max="265" width="12.140625" style="111" customWidth="1"/>
    <col min="266" max="266" width="10.28515625" style="111" customWidth="1"/>
    <col min="267" max="267" width="12.5703125" style="111" customWidth="1"/>
    <col min="268" max="268" width="11.85546875" style="111" customWidth="1"/>
    <col min="269" max="269" width="3.42578125" style="111" customWidth="1"/>
    <col min="270" max="512" width="9.140625" style="111"/>
    <col min="513" max="513" width="12.140625" style="111" customWidth="1"/>
    <col min="514" max="514" width="12.85546875" style="111" customWidth="1"/>
    <col min="515" max="515" width="13.7109375" style="111" customWidth="1"/>
    <col min="516" max="516" width="13.5703125" style="111" customWidth="1"/>
    <col min="517" max="517" width="13.28515625" style="111" customWidth="1"/>
    <col min="518" max="518" width="11.85546875" style="111" customWidth="1"/>
    <col min="519" max="519" width="11.7109375" style="111" customWidth="1"/>
    <col min="520" max="520" width="12.28515625" style="111" customWidth="1"/>
    <col min="521" max="521" width="12.140625" style="111" customWidth="1"/>
    <col min="522" max="522" width="10.28515625" style="111" customWidth="1"/>
    <col min="523" max="523" width="12.5703125" style="111" customWidth="1"/>
    <col min="524" max="524" width="11.85546875" style="111" customWidth="1"/>
    <col min="525" max="525" width="3.42578125" style="111" customWidth="1"/>
    <col min="526" max="768" width="9.140625" style="111"/>
    <col min="769" max="769" width="12.140625" style="111" customWidth="1"/>
    <col min="770" max="770" width="12.85546875" style="111" customWidth="1"/>
    <col min="771" max="771" width="13.7109375" style="111" customWidth="1"/>
    <col min="772" max="772" width="13.5703125" style="111" customWidth="1"/>
    <col min="773" max="773" width="13.28515625" style="111" customWidth="1"/>
    <col min="774" max="774" width="11.85546875" style="111" customWidth="1"/>
    <col min="775" max="775" width="11.7109375" style="111" customWidth="1"/>
    <col min="776" max="776" width="12.28515625" style="111" customWidth="1"/>
    <col min="777" max="777" width="12.140625" style="111" customWidth="1"/>
    <col min="778" max="778" width="10.28515625" style="111" customWidth="1"/>
    <col min="779" max="779" width="12.5703125" style="111" customWidth="1"/>
    <col min="780" max="780" width="11.85546875" style="111" customWidth="1"/>
    <col min="781" max="781" width="3.42578125" style="111" customWidth="1"/>
    <col min="782" max="1024" width="9.140625" style="111"/>
    <col min="1025" max="1025" width="12.140625" style="111" customWidth="1"/>
    <col min="1026" max="1026" width="12.85546875" style="111" customWidth="1"/>
    <col min="1027" max="1027" width="13.7109375" style="111" customWidth="1"/>
    <col min="1028" max="1028" width="13.5703125" style="111" customWidth="1"/>
    <col min="1029" max="1029" width="13.28515625" style="111" customWidth="1"/>
    <col min="1030" max="1030" width="11.85546875" style="111" customWidth="1"/>
    <col min="1031" max="1031" width="11.7109375" style="111" customWidth="1"/>
    <col min="1032" max="1032" width="12.28515625" style="111" customWidth="1"/>
    <col min="1033" max="1033" width="12.140625" style="111" customWidth="1"/>
    <col min="1034" max="1034" width="10.28515625" style="111" customWidth="1"/>
    <col min="1035" max="1035" width="12.5703125" style="111" customWidth="1"/>
    <col min="1036" max="1036" width="11.85546875" style="111" customWidth="1"/>
    <col min="1037" max="1037" width="3.42578125" style="111" customWidth="1"/>
    <col min="1038" max="1280" width="9.140625" style="111"/>
    <col min="1281" max="1281" width="12.140625" style="111" customWidth="1"/>
    <col min="1282" max="1282" width="12.85546875" style="111" customWidth="1"/>
    <col min="1283" max="1283" width="13.7109375" style="111" customWidth="1"/>
    <col min="1284" max="1284" width="13.5703125" style="111" customWidth="1"/>
    <col min="1285" max="1285" width="13.28515625" style="111" customWidth="1"/>
    <col min="1286" max="1286" width="11.85546875" style="111" customWidth="1"/>
    <col min="1287" max="1287" width="11.7109375" style="111" customWidth="1"/>
    <col min="1288" max="1288" width="12.28515625" style="111" customWidth="1"/>
    <col min="1289" max="1289" width="12.140625" style="111" customWidth="1"/>
    <col min="1290" max="1290" width="10.28515625" style="111" customWidth="1"/>
    <col min="1291" max="1291" width="12.5703125" style="111" customWidth="1"/>
    <col min="1292" max="1292" width="11.85546875" style="111" customWidth="1"/>
    <col min="1293" max="1293" width="3.42578125" style="111" customWidth="1"/>
    <col min="1294" max="1536" width="9.140625" style="111"/>
    <col min="1537" max="1537" width="12.140625" style="111" customWidth="1"/>
    <col min="1538" max="1538" width="12.85546875" style="111" customWidth="1"/>
    <col min="1539" max="1539" width="13.7109375" style="111" customWidth="1"/>
    <col min="1540" max="1540" width="13.5703125" style="111" customWidth="1"/>
    <col min="1541" max="1541" width="13.28515625" style="111" customWidth="1"/>
    <col min="1542" max="1542" width="11.85546875" style="111" customWidth="1"/>
    <col min="1543" max="1543" width="11.7109375" style="111" customWidth="1"/>
    <col min="1544" max="1544" width="12.28515625" style="111" customWidth="1"/>
    <col min="1545" max="1545" width="12.140625" style="111" customWidth="1"/>
    <col min="1546" max="1546" width="10.28515625" style="111" customWidth="1"/>
    <col min="1547" max="1547" width="12.5703125" style="111" customWidth="1"/>
    <col min="1548" max="1548" width="11.85546875" style="111" customWidth="1"/>
    <col min="1549" max="1549" width="3.42578125" style="111" customWidth="1"/>
    <col min="1550" max="1792" width="9.140625" style="111"/>
    <col min="1793" max="1793" width="12.140625" style="111" customWidth="1"/>
    <col min="1794" max="1794" width="12.85546875" style="111" customWidth="1"/>
    <col min="1795" max="1795" width="13.7109375" style="111" customWidth="1"/>
    <col min="1796" max="1796" width="13.5703125" style="111" customWidth="1"/>
    <col min="1797" max="1797" width="13.28515625" style="111" customWidth="1"/>
    <col min="1798" max="1798" width="11.85546875" style="111" customWidth="1"/>
    <col min="1799" max="1799" width="11.7109375" style="111" customWidth="1"/>
    <col min="1800" max="1800" width="12.28515625" style="111" customWidth="1"/>
    <col min="1801" max="1801" width="12.140625" style="111" customWidth="1"/>
    <col min="1802" max="1802" width="10.28515625" style="111" customWidth="1"/>
    <col min="1803" max="1803" width="12.5703125" style="111" customWidth="1"/>
    <col min="1804" max="1804" width="11.85546875" style="111" customWidth="1"/>
    <col min="1805" max="1805" width="3.42578125" style="111" customWidth="1"/>
    <col min="1806" max="2048" width="9.140625" style="111"/>
    <col min="2049" max="2049" width="12.140625" style="111" customWidth="1"/>
    <col min="2050" max="2050" width="12.85546875" style="111" customWidth="1"/>
    <col min="2051" max="2051" width="13.7109375" style="111" customWidth="1"/>
    <col min="2052" max="2052" width="13.5703125" style="111" customWidth="1"/>
    <col min="2053" max="2053" width="13.28515625" style="111" customWidth="1"/>
    <col min="2054" max="2054" width="11.85546875" style="111" customWidth="1"/>
    <col min="2055" max="2055" width="11.7109375" style="111" customWidth="1"/>
    <col min="2056" max="2056" width="12.28515625" style="111" customWidth="1"/>
    <col min="2057" max="2057" width="12.140625" style="111" customWidth="1"/>
    <col min="2058" max="2058" width="10.28515625" style="111" customWidth="1"/>
    <col min="2059" max="2059" width="12.5703125" style="111" customWidth="1"/>
    <col min="2060" max="2060" width="11.85546875" style="111" customWidth="1"/>
    <col min="2061" max="2061" width="3.42578125" style="111" customWidth="1"/>
    <col min="2062" max="2304" width="9.140625" style="111"/>
    <col min="2305" max="2305" width="12.140625" style="111" customWidth="1"/>
    <col min="2306" max="2306" width="12.85546875" style="111" customWidth="1"/>
    <col min="2307" max="2307" width="13.7109375" style="111" customWidth="1"/>
    <col min="2308" max="2308" width="13.5703125" style="111" customWidth="1"/>
    <col min="2309" max="2309" width="13.28515625" style="111" customWidth="1"/>
    <col min="2310" max="2310" width="11.85546875" style="111" customWidth="1"/>
    <col min="2311" max="2311" width="11.7109375" style="111" customWidth="1"/>
    <col min="2312" max="2312" width="12.28515625" style="111" customWidth="1"/>
    <col min="2313" max="2313" width="12.140625" style="111" customWidth="1"/>
    <col min="2314" max="2314" width="10.28515625" style="111" customWidth="1"/>
    <col min="2315" max="2315" width="12.5703125" style="111" customWidth="1"/>
    <col min="2316" max="2316" width="11.85546875" style="111" customWidth="1"/>
    <col min="2317" max="2317" width="3.42578125" style="111" customWidth="1"/>
    <col min="2318" max="2560" width="9.140625" style="111"/>
    <col min="2561" max="2561" width="12.140625" style="111" customWidth="1"/>
    <col min="2562" max="2562" width="12.85546875" style="111" customWidth="1"/>
    <col min="2563" max="2563" width="13.7109375" style="111" customWidth="1"/>
    <col min="2564" max="2564" width="13.5703125" style="111" customWidth="1"/>
    <col min="2565" max="2565" width="13.28515625" style="111" customWidth="1"/>
    <col min="2566" max="2566" width="11.85546875" style="111" customWidth="1"/>
    <col min="2567" max="2567" width="11.7109375" style="111" customWidth="1"/>
    <col min="2568" max="2568" width="12.28515625" style="111" customWidth="1"/>
    <col min="2569" max="2569" width="12.140625" style="111" customWidth="1"/>
    <col min="2570" max="2570" width="10.28515625" style="111" customWidth="1"/>
    <col min="2571" max="2571" width="12.5703125" style="111" customWidth="1"/>
    <col min="2572" max="2572" width="11.85546875" style="111" customWidth="1"/>
    <col min="2573" max="2573" width="3.42578125" style="111" customWidth="1"/>
    <col min="2574" max="2816" width="9.140625" style="111"/>
    <col min="2817" max="2817" width="12.140625" style="111" customWidth="1"/>
    <col min="2818" max="2818" width="12.85546875" style="111" customWidth="1"/>
    <col min="2819" max="2819" width="13.7109375" style="111" customWidth="1"/>
    <col min="2820" max="2820" width="13.5703125" style="111" customWidth="1"/>
    <col min="2821" max="2821" width="13.28515625" style="111" customWidth="1"/>
    <col min="2822" max="2822" width="11.85546875" style="111" customWidth="1"/>
    <col min="2823" max="2823" width="11.7109375" style="111" customWidth="1"/>
    <col min="2824" max="2824" width="12.28515625" style="111" customWidth="1"/>
    <col min="2825" max="2825" width="12.140625" style="111" customWidth="1"/>
    <col min="2826" max="2826" width="10.28515625" style="111" customWidth="1"/>
    <col min="2827" max="2827" width="12.5703125" style="111" customWidth="1"/>
    <col min="2828" max="2828" width="11.85546875" style="111" customWidth="1"/>
    <col min="2829" max="2829" width="3.42578125" style="111" customWidth="1"/>
    <col min="2830" max="3072" width="9.140625" style="111"/>
    <col min="3073" max="3073" width="12.140625" style="111" customWidth="1"/>
    <col min="3074" max="3074" width="12.85546875" style="111" customWidth="1"/>
    <col min="3075" max="3075" width="13.7109375" style="111" customWidth="1"/>
    <col min="3076" max="3076" width="13.5703125" style="111" customWidth="1"/>
    <col min="3077" max="3077" width="13.28515625" style="111" customWidth="1"/>
    <col min="3078" max="3078" width="11.85546875" style="111" customWidth="1"/>
    <col min="3079" max="3079" width="11.7109375" style="111" customWidth="1"/>
    <col min="3080" max="3080" width="12.28515625" style="111" customWidth="1"/>
    <col min="3081" max="3081" width="12.140625" style="111" customWidth="1"/>
    <col min="3082" max="3082" width="10.28515625" style="111" customWidth="1"/>
    <col min="3083" max="3083" width="12.5703125" style="111" customWidth="1"/>
    <col min="3084" max="3084" width="11.85546875" style="111" customWidth="1"/>
    <col min="3085" max="3085" width="3.42578125" style="111" customWidth="1"/>
    <col min="3086" max="3328" width="9.140625" style="111"/>
    <col min="3329" max="3329" width="12.140625" style="111" customWidth="1"/>
    <col min="3330" max="3330" width="12.85546875" style="111" customWidth="1"/>
    <col min="3331" max="3331" width="13.7109375" style="111" customWidth="1"/>
    <col min="3332" max="3332" width="13.5703125" style="111" customWidth="1"/>
    <col min="3333" max="3333" width="13.28515625" style="111" customWidth="1"/>
    <col min="3334" max="3334" width="11.85546875" style="111" customWidth="1"/>
    <col min="3335" max="3335" width="11.7109375" style="111" customWidth="1"/>
    <col min="3336" max="3336" width="12.28515625" style="111" customWidth="1"/>
    <col min="3337" max="3337" width="12.140625" style="111" customWidth="1"/>
    <col min="3338" max="3338" width="10.28515625" style="111" customWidth="1"/>
    <col min="3339" max="3339" width="12.5703125" style="111" customWidth="1"/>
    <col min="3340" max="3340" width="11.85546875" style="111" customWidth="1"/>
    <col min="3341" max="3341" width="3.42578125" style="111" customWidth="1"/>
    <col min="3342" max="3584" width="9.140625" style="111"/>
    <col min="3585" max="3585" width="12.140625" style="111" customWidth="1"/>
    <col min="3586" max="3586" width="12.85546875" style="111" customWidth="1"/>
    <col min="3587" max="3587" width="13.7109375" style="111" customWidth="1"/>
    <col min="3588" max="3588" width="13.5703125" style="111" customWidth="1"/>
    <col min="3589" max="3589" width="13.28515625" style="111" customWidth="1"/>
    <col min="3590" max="3590" width="11.85546875" style="111" customWidth="1"/>
    <col min="3591" max="3591" width="11.7109375" style="111" customWidth="1"/>
    <col min="3592" max="3592" width="12.28515625" style="111" customWidth="1"/>
    <col min="3593" max="3593" width="12.140625" style="111" customWidth="1"/>
    <col min="3594" max="3594" width="10.28515625" style="111" customWidth="1"/>
    <col min="3595" max="3595" width="12.5703125" style="111" customWidth="1"/>
    <col min="3596" max="3596" width="11.85546875" style="111" customWidth="1"/>
    <col min="3597" max="3597" width="3.42578125" style="111" customWidth="1"/>
    <col min="3598" max="3840" width="9.140625" style="111"/>
    <col min="3841" max="3841" width="12.140625" style="111" customWidth="1"/>
    <col min="3842" max="3842" width="12.85546875" style="111" customWidth="1"/>
    <col min="3843" max="3843" width="13.7109375" style="111" customWidth="1"/>
    <col min="3844" max="3844" width="13.5703125" style="111" customWidth="1"/>
    <col min="3845" max="3845" width="13.28515625" style="111" customWidth="1"/>
    <col min="3846" max="3846" width="11.85546875" style="111" customWidth="1"/>
    <col min="3847" max="3847" width="11.7109375" style="111" customWidth="1"/>
    <col min="3848" max="3848" width="12.28515625" style="111" customWidth="1"/>
    <col min="3849" max="3849" width="12.140625" style="111" customWidth="1"/>
    <col min="3850" max="3850" width="10.28515625" style="111" customWidth="1"/>
    <col min="3851" max="3851" width="12.5703125" style="111" customWidth="1"/>
    <col min="3852" max="3852" width="11.85546875" style="111" customWidth="1"/>
    <col min="3853" max="3853" width="3.42578125" style="111" customWidth="1"/>
    <col min="3854" max="4096" width="9.140625" style="111"/>
    <col min="4097" max="4097" width="12.140625" style="111" customWidth="1"/>
    <col min="4098" max="4098" width="12.85546875" style="111" customWidth="1"/>
    <col min="4099" max="4099" width="13.7109375" style="111" customWidth="1"/>
    <col min="4100" max="4100" width="13.5703125" style="111" customWidth="1"/>
    <col min="4101" max="4101" width="13.28515625" style="111" customWidth="1"/>
    <col min="4102" max="4102" width="11.85546875" style="111" customWidth="1"/>
    <col min="4103" max="4103" width="11.7109375" style="111" customWidth="1"/>
    <col min="4104" max="4104" width="12.28515625" style="111" customWidth="1"/>
    <col min="4105" max="4105" width="12.140625" style="111" customWidth="1"/>
    <col min="4106" max="4106" width="10.28515625" style="111" customWidth="1"/>
    <col min="4107" max="4107" width="12.5703125" style="111" customWidth="1"/>
    <col min="4108" max="4108" width="11.85546875" style="111" customWidth="1"/>
    <col min="4109" max="4109" width="3.42578125" style="111" customWidth="1"/>
    <col min="4110" max="4352" width="9.140625" style="111"/>
    <col min="4353" max="4353" width="12.140625" style="111" customWidth="1"/>
    <col min="4354" max="4354" width="12.85546875" style="111" customWidth="1"/>
    <col min="4355" max="4355" width="13.7109375" style="111" customWidth="1"/>
    <col min="4356" max="4356" width="13.5703125" style="111" customWidth="1"/>
    <col min="4357" max="4357" width="13.28515625" style="111" customWidth="1"/>
    <col min="4358" max="4358" width="11.85546875" style="111" customWidth="1"/>
    <col min="4359" max="4359" width="11.7109375" style="111" customWidth="1"/>
    <col min="4360" max="4360" width="12.28515625" style="111" customWidth="1"/>
    <col min="4361" max="4361" width="12.140625" style="111" customWidth="1"/>
    <col min="4362" max="4362" width="10.28515625" style="111" customWidth="1"/>
    <col min="4363" max="4363" width="12.5703125" style="111" customWidth="1"/>
    <col min="4364" max="4364" width="11.85546875" style="111" customWidth="1"/>
    <col min="4365" max="4365" width="3.42578125" style="111" customWidth="1"/>
    <col min="4366" max="4608" width="9.140625" style="111"/>
    <col min="4609" max="4609" width="12.140625" style="111" customWidth="1"/>
    <col min="4610" max="4610" width="12.85546875" style="111" customWidth="1"/>
    <col min="4611" max="4611" width="13.7109375" style="111" customWidth="1"/>
    <col min="4612" max="4612" width="13.5703125" style="111" customWidth="1"/>
    <col min="4613" max="4613" width="13.28515625" style="111" customWidth="1"/>
    <col min="4614" max="4614" width="11.85546875" style="111" customWidth="1"/>
    <col min="4615" max="4615" width="11.7109375" style="111" customWidth="1"/>
    <col min="4616" max="4616" width="12.28515625" style="111" customWidth="1"/>
    <col min="4617" max="4617" width="12.140625" style="111" customWidth="1"/>
    <col min="4618" max="4618" width="10.28515625" style="111" customWidth="1"/>
    <col min="4619" max="4619" width="12.5703125" style="111" customWidth="1"/>
    <col min="4620" max="4620" width="11.85546875" style="111" customWidth="1"/>
    <col min="4621" max="4621" width="3.42578125" style="111" customWidth="1"/>
    <col min="4622" max="4864" width="9.140625" style="111"/>
    <col min="4865" max="4865" width="12.140625" style="111" customWidth="1"/>
    <col min="4866" max="4866" width="12.85546875" style="111" customWidth="1"/>
    <col min="4867" max="4867" width="13.7109375" style="111" customWidth="1"/>
    <col min="4868" max="4868" width="13.5703125" style="111" customWidth="1"/>
    <col min="4869" max="4869" width="13.28515625" style="111" customWidth="1"/>
    <col min="4870" max="4870" width="11.85546875" style="111" customWidth="1"/>
    <col min="4871" max="4871" width="11.7109375" style="111" customWidth="1"/>
    <col min="4872" max="4872" width="12.28515625" style="111" customWidth="1"/>
    <col min="4873" max="4873" width="12.140625" style="111" customWidth="1"/>
    <col min="4874" max="4874" width="10.28515625" style="111" customWidth="1"/>
    <col min="4875" max="4875" width="12.5703125" style="111" customWidth="1"/>
    <col min="4876" max="4876" width="11.85546875" style="111" customWidth="1"/>
    <col min="4877" max="4877" width="3.42578125" style="111" customWidth="1"/>
    <col min="4878" max="5120" width="9.140625" style="111"/>
    <col min="5121" max="5121" width="12.140625" style="111" customWidth="1"/>
    <col min="5122" max="5122" width="12.85546875" style="111" customWidth="1"/>
    <col min="5123" max="5123" width="13.7109375" style="111" customWidth="1"/>
    <col min="5124" max="5124" width="13.5703125" style="111" customWidth="1"/>
    <col min="5125" max="5125" width="13.28515625" style="111" customWidth="1"/>
    <col min="5126" max="5126" width="11.85546875" style="111" customWidth="1"/>
    <col min="5127" max="5127" width="11.7109375" style="111" customWidth="1"/>
    <col min="5128" max="5128" width="12.28515625" style="111" customWidth="1"/>
    <col min="5129" max="5129" width="12.140625" style="111" customWidth="1"/>
    <col min="5130" max="5130" width="10.28515625" style="111" customWidth="1"/>
    <col min="5131" max="5131" width="12.5703125" style="111" customWidth="1"/>
    <col min="5132" max="5132" width="11.85546875" style="111" customWidth="1"/>
    <col min="5133" max="5133" width="3.42578125" style="111" customWidth="1"/>
    <col min="5134" max="5376" width="9.140625" style="111"/>
    <col min="5377" max="5377" width="12.140625" style="111" customWidth="1"/>
    <col min="5378" max="5378" width="12.85546875" style="111" customWidth="1"/>
    <col min="5379" max="5379" width="13.7109375" style="111" customWidth="1"/>
    <col min="5380" max="5380" width="13.5703125" style="111" customWidth="1"/>
    <col min="5381" max="5381" width="13.28515625" style="111" customWidth="1"/>
    <col min="5382" max="5382" width="11.85546875" style="111" customWidth="1"/>
    <col min="5383" max="5383" width="11.7109375" style="111" customWidth="1"/>
    <col min="5384" max="5384" width="12.28515625" style="111" customWidth="1"/>
    <col min="5385" max="5385" width="12.140625" style="111" customWidth="1"/>
    <col min="5386" max="5386" width="10.28515625" style="111" customWidth="1"/>
    <col min="5387" max="5387" width="12.5703125" style="111" customWidth="1"/>
    <col min="5388" max="5388" width="11.85546875" style="111" customWidth="1"/>
    <col min="5389" max="5389" width="3.42578125" style="111" customWidth="1"/>
    <col min="5390" max="5632" width="9.140625" style="111"/>
    <col min="5633" max="5633" width="12.140625" style="111" customWidth="1"/>
    <col min="5634" max="5634" width="12.85546875" style="111" customWidth="1"/>
    <col min="5635" max="5635" width="13.7109375" style="111" customWidth="1"/>
    <col min="5636" max="5636" width="13.5703125" style="111" customWidth="1"/>
    <col min="5637" max="5637" width="13.28515625" style="111" customWidth="1"/>
    <col min="5638" max="5638" width="11.85546875" style="111" customWidth="1"/>
    <col min="5639" max="5639" width="11.7109375" style="111" customWidth="1"/>
    <col min="5640" max="5640" width="12.28515625" style="111" customWidth="1"/>
    <col min="5641" max="5641" width="12.140625" style="111" customWidth="1"/>
    <col min="5642" max="5642" width="10.28515625" style="111" customWidth="1"/>
    <col min="5643" max="5643" width="12.5703125" style="111" customWidth="1"/>
    <col min="5644" max="5644" width="11.85546875" style="111" customWidth="1"/>
    <col min="5645" max="5645" width="3.42578125" style="111" customWidth="1"/>
    <col min="5646" max="5888" width="9.140625" style="111"/>
    <col min="5889" max="5889" width="12.140625" style="111" customWidth="1"/>
    <col min="5890" max="5890" width="12.85546875" style="111" customWidth="1"/>
    <col min="5891" max="5891" width="13.7109375" style="111" customWidth="1"/>
    <col min="5892" max="5892" width="13.5703125" style="111" customWidth="1"/>
    <col min="5893" max="5893" width="13.28515625" style="111" customWidth="1"/>
    <col min="5894" max="5894" width="11.85546875" style="111" customWidth="1"/>
    <col min="5895" max="5895" width="11.7109375" style="111" customWidth="1"/>
    <col min="5896" max="5896" width="12.28515625" style="111" customWidth="1"/>
    <col min="5897" max="5897" width="12.140625" style="111" customWidth="1"/>
    <col min="5898" max="5898" width="10.28515625" style="111" customWidth="1"/>
    <col min="5899" max="5899" width="12.5703125" style="111" customWidth="1"/>
    <col min="5900" max="5900" width="11.85546875" style="111" customWidth="1"/>
    <col min="5901" max="5901" width="3.42578125" style="111" customWidth="1"/>
    <col min="5902" max="6144" width="9.140625" style="111"/>
    <col min="6145" max="6145" width="12.140625" style="111" customWidth="1"/>
    <col min="6146" max="6146" width="12.85546875" style="111" customWidth="1"/>
    <col min="6147" max="6147" width="13.7109375" style="111" customWidth="1"/>
    <col min="6148" max="6148" width="13.5703125" style="111" customWidth="1"/>
    <col min="6149" max="6149" width="13.28515625" style="111" customWidth="1"/>
    <col min="6150" max="6150" width="11.85546875" style="111" customWidth="1"/>
    <col min="6151" max="6151" width="11.7109375" style="111" customWidth="1"/>
    <col min="6152" max="6152" width="12.28515625" style="111" customWidth="1"/>
    <col min="6153" max="6153" width="12.140625" style="111" customWidth="1"/>
    <col min="6154" max="6154" width="10.28515625" style="111" customWidth="1"/>
    <col min="6155" max="6155" width="12.5703125" style="111" customWidth="1"/>
    <col min="6156" max="6156" width="11.85546875" style="111" customWidth="1"/>
    <col min="6157" max="6157" width="3.42578125" style="111" customWidth="1"/>
    <col min="6158" max="6400" width="9.140625" style="111"/>
    <col min="6401" max="6401" width="12.140625" style="111" customWidth="1"/>
    <col min="6402" max="6402" width="12.85546875" style="111" customWidth="1"/>
    <col min="6403" max="6403" width="13.7109375" style="111" customWidth="1"/>
    <col min="6404" max="6404" width="13.5703125" style="111" customWidth="1"/>
    <col min="6405" max="6405" width="13.28515625" style="111" customWidth="1"/>
    <col min="6406" max="6406" width="11.85546875" style="111" customWidth="1"/>
    <col min="6407" max="6407" width="11.7109375" style="111" customWidth="1"/>
    <col min="6408" max="6408" width="12.28515625" style="111" customWidth="1"/>
    <col min="6409" max="6409" width="12.140625" style="111" customWidth="1"/>
    <col min="6410" max="6410" width="10.28515625" style="111" customWidth="1"/>
    <col min="6411" max="6411" width="12.5703125" style="111" customWidth="1"/>
    <col min="6412" max="6412" width="11.85546875" style="111" customWidth="1"/>
    <col min="6413" max="6413" width="3.42578125" style="111" customWidth="1"/>
    <col min="6414" max="6656" width="9.140625" style="111"/>
    <col min="6657" max="6657" width="12.140625" style="111" customWidth="1"/>
    <col min="6658" max="6658" width="12.85546875" style="111" customWidth="1"/>
    <col min="6659" max="6659" width="13.7109375" style="111" customWidth="1"/>
    <col min="6660" max="6660" width="13.5703125" style="111" customWidth="1"/>
    <col min="6661" max="6661" width="13.28515625" style="111" customWidth="1"/>
    <col min="6662" max="6662" width="11.85546875" style="111" customWidth="1"/>
    <col min="6663" max="6663" width="11.7109375" style="111" customWidth="1"/>
    <col min="6664" max="6664" width="12.28515625" style="111" customWidth="1"/>
    <col min="6665" max="6665" width="12.140625" style="111" customWidth="1"/>
    <col min="6666" max="6666" width="10.28515625" style="111" customWidth="1"/>
    <col min="6667" max="6667" width="12.5703125" style="111" customWidth="1"/>
    <col min="6668" max="6668" width="11.85546875" style="111" customWidth="1"/>
    <col min="6669" max="6669" width="3.42578125" style="111" customWidth="1"/>
    <col min="6670" max="6912" width="9.140625" style="111"/>
    <col min="6913" max="6913" width="12.140625" style="111" customWidth="1"/>
    <col min="6914" max="6914" width="12.85546875" style="111" customWidth="1"/>
    <col min="6915" max="6915" width="13.7109375" style="111" customWidth="1"/>
    <col min="6916" max="6916" width="13.5703125" style="111" customWidth="1"/>
    <col min="6917" max="6917" width="13.28515625" style="111" customWidth="1"/>
    <col min="6918" max="6918" width="11.85546875" style="111" customWidth="1"/>
    <col min="6919" max="6919" width="11.7109375" style="111" customWidth="1"/>
    <col min="6920" max="6920" width="12.28515625" style="111" customWidth="1"/>
    <col min="6921" max="6921" width="12.140625" style="111" customWidth="1"/>
    <col min="6922" max="6922" width="10.28515625" style="111" customWidth="1"/>
    <col min="6923" max="6923" width="12.5703125" style="111" customWidth="1"/>
    <col min="6924" max="6924" width="11.85546875" style="111" customWidth="1"/>
    <col min="6925" max="6925" width="3.42578125" style="111" customWidth="1"/>
    <col min="6926" max="7168" width="9.140625" style="111"/>
    <col min="7169" max="7169" width="12.140625" style="111" customWidth="1"/>
    <col min="7170" max="7170" width="12.85546875" style="111" customWidth="1"/>
    <col min="7171" max="7171" width="13.7109375" style="111" customWidth="1"/>
    <col min="7172" max="7172" width="13.5703125" style="111" customWidth="1"/>
    <col min="7173" max="7173" width="13.28515625" style="111" customWidth="1"/>
    <col min="7174" max="7174" width="11.85546875" style="111" customWidth="1"/>
    <col min="7175" max="7175" width="11.7109375" style="111" customWidth="1"/>
    <col min="7176" max="7176" width="12.28515625" style="111" customWidth="1"/>
    <col min="7177" max="7177" width="12.140625" style="111" customWidth="1"/>
    <col min="7178" max="7178" width="10.28515625" style="111" customWidth="1"/>
    <col min="7179" max="7179" width="12.5703125" style="111" customWidth="1"/>
    <col min="7180" max="7180" width="11.85546875" style="111" customWidth="1"/>
    <col min="7181" max="7181" width="3.42578125" style="111" customWidth="1"/>
    <col min="7182" max="7424" width="9.140625" style="111"/>
    <col min="7425" max="7425" width="12.140625" style="111" customWidth="1"/>
    <col min="7426" max="7426" width="12.85546875" style="111" customWidth="1"/>
    <col min="7427" max="7427" width="13.7109375" style="111" customWidth="1"/>
    <col min="7428" max="7428" width="13.5703125" style="111" customWidth="1"/>
    <col min="7429" max="7429" width="13.28515625" style="111" customWidth="1"/>
    <col min="7430" max="7430" width="11.85546875" style="111" customWidth="1"/>
    <col min="7431" max="7431" width="11.7109375" style="111" customWidth="1"/>
    <col min="7432" max="7432" width="12.28515625" style="111" customWidth="1"/>
    <col min="7433" max="7433" width="12.140625" style="111" customWidth="1"/>
    <col min="7434" max="7434" width="10.28515625" style="111" customWidth="1"/>
    <col min="7435" max="7435" width="12.5703125" style="111" customWidth="1"/>
    <col min="7436" max="7436" width="11.85546875" style="111" customWidth="1"/>
    <col min="7437" max="7437" width="3.42578125" style="111" customWidth="1"/>
    <col min="7438" max="7680" width="9.140625" style="111"/>
    <col min="7681" max="7681" width="12.140625" style="111" customWidth="1"/>
    <col min="7682" max="7682" width="12.85546875" style="111" customWidth="1"/>
    <col min="7683" max="7683" width="13.7109375" style="111" customWidth="1"/>
    <col min="7684" max="7684" width="13.5703125" style="111" customWidth="1"/>
    <col min="7685" max="7685" width="13.28515625" style="111" customWidth="1"/>
    <col min="7686" max="7686" width="11.85546875" style="111" customWidth="1"/>
    <col min="7687" max="7687" width="11.7109375" style="111" customWidth="1"/>
    <col min="7688" max="7688" width="12.28515625" style="111" customWidth="1"/>
    <col min="7689" max="7689" width="12.140625" style="111" customWidth="1"/>
    <col min="7690" max="7690" width="10.28515625" style="111" customWidth="1"/>
    <col min="7691" max="7691" width="12.5703125" style="111" customWidth="1"/>
    <col min="7692" max="7692" width="11.85546875" style="111" customWidth="1"/>
    <col min="7693" max="7693" width="3.42578125" style="111" customWidth="1"/>
    <col min="7694" max="7936" width="9.140625" style="111"/>
    <col min="7937" max="7937" width="12.140625" style="111" customWidth="1"/>
    <col min="7938" max="7938" width="12.85546875" style="111" customWidth="1"/>
    <col min="7939" max="7939" width="13.7109375" style="111" customWidth="1"/>
    <col min="7940" max="7940" width="13.5703125" style="111" customWidth="1"/>
    <col min="7941" max="7941" width="13.28515625" style="111" customWidth="1"/>
    <col min="7942" max="7942" width="11.85546875" style="111" customWidth="1"/>
    <col min="7943" max="7943" width="11.7109375" style="111" customWidth="1"/>
    <col min="7944" max="7944" width="12.28515625" style="111" customWidth="1"/>
    <col min="7945" max="7945" width="12.140625" style="111" customWidth="1"/>
    <col min="7946" max="7946" width="10.28515625" style="111" customWidth="1"/>
    <col min="7947" max="7947" width="12.5703125" style="111" customWidth="1"/>
    <col min="7948" max="7948" width="11.85546875" style="111" customWidth="1"/>
    <col min="7949" max="7949" width="3.42578125" style="111" customWidth="1"/>
    <col min="7950" max="8192" width="9.140625" style="111"/>
    <col min="8193" max="8193" width="12.140625" style="111" customWidth="1"/>
    <col min="8194" max="8194" width="12.85546875" style="111" customWidth="1"/>
    <col min="8195" max="8195" width="13.7109375" style="111" customWidth="1"/>
    <col min="8196" max="8196" width="13.5703125" style="111" customWidth="1"/>
    <col min="8197" max="8197" width="13.28515625" style="111" customWidth="1"/>
    <col min="8198" max="8198" width="11.85546875" style="111" customWidth="1"/>
    <col min="8199" max="8199" width="11.7109375" style="111" customWidth="1"/>
    <col min="8200" max="8200" width="12.28515625" style="111" customWidth="1"/>
    <col min="8201" max="8201" width="12.140625" style="111" customWidth="1"/>
    <col min="8202" max="8202" width="10.28515625" style="111" customWidth="1"/>
    <col min="8203" max="8203" width="12.5703125" style="111" customWidth="1"/>
    <col min="8204" max="8204" width="11.85546875" style="111" customWidth="1"/>
    <col min="8205" max="8205" width="3.42578125" style="111" customWidth="1"/>
    <col min="8206" max="8448" width="9.140625" style="111"/>
    <col min="8449" max="8449" width="12.140625" style="111" customWidth="1"/>
    <col min="8450" max="8450" width="12.85546875" style="111" customWidth="1"/>
    <col min="8451" max="8451" width="13.7109375" style="111" customWidth="1"/>
    <col min="8452" max="8452" width="13.5703125" style="111" customWidth="1"/>
    <col min="8453" max="8453" width="13.28515625" style="111" customWidth="1"/>
    <col min="8454" max="8454" width="11.85546875" style="111" customWidth="1"/>
    <col min="8455" max="8455" width="11.7109375" style="111" customWidth="1"/>
    <col min="8456" max="8456" width="12.28515625" style="111" customWidth="1"/>
    <col min="8457" max="8457" width="12.140625" style="111" customWidth="1"/>
    <col min="8458" max="8458" width="10.28515625" style="111" customWidth="1"/>
    <col min="8459" max="8459" width="12.5703125" style="111" customWidth="1"/>
    <col min="8460" max="8460" width="11.85546875" style="111" customWidth="1"/>
    <col min="8461" max="8461" width="3.42578125" style="111" customWidth="1"/>
    <col min="8462" max="8704" width="9.140625" style="111"/>
    <col min="8705" max="8705" width="12.140625" style="111" customWidth="1"/>
    <col min="8706" max="8706" width="12.85546875" style="111" customWidth="1"/>
    <col min="8707" max="8707" width="13.7109375" style="111" customWidth="1"/>
    <col min="8708" max="8708" width="13.5703125" style="111" customWidth="1"/>
    <col min="8709" max="8709" width="13.28515625" style="111" customWidth="1"/>
    <col min="8710" max="8710" width="11.85546875" style="111" customWidth="1"/>
    <col min="8711" max="8711" width="11.7109375" style="111" customWidth="1"/>
    <col min="8712" max="8712" width="12.28515625" style="111" customWidth="1"/>
    <col min="8713" max="8713" width="12.140625" style="111" customWidth="1"/>
    <col min="8714" max="8714" width="10.28515625" style="111" customWidth="1"/>
    <col min="8715" max="8715" width="12.5703125" style="111" customWidth="1"/>
    <col min="8716" max="8716" width="11.85546875" style="111" customWidth="1"/>
    <col min="8717" max="8717" width="3.42578125" style="111" customWidth="1"/>
    <col min="8718" max="8960" width="9.140625" style="111"/>
    <col min="8961" max="8961" width="12.140625" style="111" customWidth="1"/>
    <col min="8962" max="8962" width="12.85546875" style="111" customWidth="1"/>
    <col min="8963" max="8963" width="13.7109375" style="111" customWidth="1"/>
    <col min="8964" max="8964" width="13.5703125" style="111" customWidth="1"/>
    <col min="8965" max="8965" width="13.28515625" style="111" customWidth="1"/>
    <col min="8966" max="8966" width="11.85546875" style="111" customWidth="1"/>
    <col min="8967" max="8967" width="11.7109375" style="111" customWidth="1"/>
    <col min="8968" max="8968" width="12.28515625" style="111" customWidth="1"/>
    <col min="8969" max="8969" width="12.140625" style="111" customWidth="1"/>
    <col min="8970" max="8970" width="10.28515625" style="111" customWidth="1"/>
    <col min="8971" max="8971" width="12.5703125" style="111" customWidth="1"/>
    <col min="8972" max="8972" width="11.85546875" style="111" customWidth="1"/>
    <col min="8973" max="8973" width="3.42578125" style="111" customWidth="1"/>
    <col min="8974" max="9216" width="9.140625" style="111"/>
    <col min="9217" max="9217" width="12.140625" style="111" customWidth="1"/>
    <col min="9218" max="9218" width="12.85546875" style="111" customWidth="1"/>
    <col min="9219" max="9219" width="13.7109375" style="111" customWidth="1"/>
    <col min="9220" max="9220" width="13.5703125" style="111" customWidth="1"/>
    <col min="9221" max="9221" width="13.28515625" style="111" customWidth="1"/>
    <col min="9222" max="9222" width="11.85546875" style="111" customWidth="1"/>
    <col min="9223" max="9223" width="11.7109375" style="111" customWidth="1"/>
    <col min="9224" max="9224" width="12.28515625" style="111" customWidth="1"/>
    <col min="9225" max="9225" width="12.140625" style="111" customWidth="1"/>
    <col min="9226" max="9226" width="10.28515625" style="111" customWidth="1"/>
    <col min="9227" max="9227" width="12.5703125" style="111" customWidth="1"/>
    <col min="9228" max="9228" width="11.85546875" style="111" customWidth="1"/>
    <col min="9229" max="9229" width="3.42578125" style="111" customWidth="1"/>
    <col min="9230" max="9472" width="9.140625" style="111"/>
    <col min="9473" max="9473" width="12.140625" style="111" customWidth="1"/>
    <col min="9474" max="9474" width="12.85546875" style="111" customWidth="1"/>
    <col min="9475" max="9475" width="13.7109375" style="111" customWidth="1"/>
    <col min="9476" max="9476" width="13.5703125" style="111" customWidth="1"/>
    <col min="9477" max="9477" width="13.28515625" style="111" customWidth="1"/>
    <col min="9478" max="9478" width="11.85546875" style="111" customWidth="1"/>
    <col min="9479" max="9479" width="11.7109375" style="111" customWidth="1"/>
    <col min="9480" max="9480" width="12.28515625" style="111" customWidth="1"/>
    <col min="9481" max="9481" width="12.140625" style="111" customWidth="1"/>
    <col min="9482" max="9482" width="10.28515625" style="111" customWidth="1"/>
    <col min="9483" max="9483" width="12.5703125" style="111" customWidth="1"/>
    <col min="9484" max="9484" width="11.85546875" style="111" customWidth="1"/>
    <col min="9485" max="9485" width="3.42578125" style="111" customWidth="1"/>
    <col min="9486" max="9728" width="9.140625" style="111"/>
    <col min="9729" max="9729" width="12.140625" style="111" customWidth="1"/>
    <col min="9730" max="9730" width="12.85546875" style="111" customWidth="1"/>
    <col min="9731" max="9731" width="13.7109375" style="111" customWidth="1"/>
    <col min="9732" max="9732" width="13.5703125" style="111" customWidth="1"/>
    <col min="9733" max="9733" width="13.28515625" style="111" customWidth="1"/>
    <col min="9734" max="9734" width="11.85546875" style="111" customWidth="1"/>
    <col min="9735" max="9735" width="11.7109375" style="111" customWidth="1"/>
    <col min="9736" max="9736" width="12.28515625" style="111" customWidth="1"/>
    <col min="9737" max="9737" width="12.140625" style="111" customWidth="1"/>
    <col min="9738" max="9738" width="10.28515625" style="111" customWidth="1"/>
    <col min="9739" max="9739" width="12.5703125" style="111" customWidth="1"/>
    <col min="9740" max="9740" width="11.85546875" style="111" customWidth="1"/>
    <col min="9741" max="9741" width="3.42578125" style="111" customWidth="1"/>
    <col min="9742" max="9984" width="9.140625" style="111"/>
    <col min="9985" max="9985" width="12.140625" style="111" customWidth="1"/>
    <col min="9986" max="9986" width="12.85546875" style="111" customWidth="1"/>
    <col min="9987" max="9987" width="13.7109375" style="111" customWidth="1"/>
    <col min="9988" max="9988" width="13.5703125" style="111" customWidth="1"/>
    <col min="9989" max="9989" width="13.28515625" style="111" customWidth="1"/>
    <col min="9990" max="9990" width="11.85546875" style="111" customWidth="1"/>
    <col min="9991" max="9991" width="11.7109375" style="111" customWidth="1"/>
    <col min="9992" max="9992" width="12.28515625" style="111" customWidth="1"/>
    <col min="9993" max="9993" width="12.140625" style="111" customWidth="1"/>
    <col min="9994" max="9994" width="10.28515625" style="111" customWidth="1"/>
    <col min="9995" max="9995" width="12.5703125" style="111" customWidth="1"/>
    <col min="9996" max="9996" width="11.85546875" style="111" customWidth="1"/>
    <col min="9997" max="9997" width="3.42578125" style="111" customWidth="1"/>
    <col min="9998" max="10240" width="9.140625" style="111"/>
    <col min="10241" max="10241" width="12.140625" style="111" customWidth="1"/>
    <col min="10242" max="10242" width="12.85546875" style="111" customWidth="1"/>
    <col min="10243" max="10243" width="13.7109375" style="111" customWidth="1"/>
    <col min="10244" max="10244" width="13.5703125" style="111" customWidth="1"/>
    <col min="10245" max="10245" width="13.28515625" style="111" customWidth="1"/>
    <col min="10246" max="10246" width="11.85546875" style="111" customWidth="1"/>
    <col min="10247" max="10247" width="11.7109375" style="111" customWidth="1"/>
    <col min="10248" max="10248" width="12.28515625" style="111" customWidth="1"/>
    <col min="10249" max="10249" width="12.140625" style="111" customWidth="1"/>
    <col min="10250" max="10250" width="10.28515625" style="111" customWidth="1"/>
    <col min="10251" max="10251" width="12.5703125" style="111" customWidth="1"/>
    <col min="10252" max="10252" width="11.85546875" style="111" customWidth="1"/>
    <col min="10253" max="10253" width="3.42578125" style="111" customWidth="1"/>
    <col min="10254" max="10496" width="9.140625" style="111"/>
    <col min="10497" max="10497" width="12.140625" style="111" customWidth="1"/>
    <col min="10498" max="10498" width="12.85546875" style="111" customWidth="1"/>
    <col min="10499" max="10499" width="13.7109375" style="111" customWidth="1"/>
    <col min="10500" max="10500" width="13.5703125" style="111" customWidth="1"/>
    <col min="10501" max="10501" width="13.28515625" style="111" customWidth="1"/>
    <col min="10502" max="10502" width="11.85546875" style="111" customWidth="1"/>
    <col min="10503" max="10503" width="11.7109375" style="111" customWidth="1"/>
    <col min="10504" max="10504" width="12.28515625" style="111" customWidth="1"/>
    <col min="10505" max="10505" width="12.140625" style="111" customWidth="1"/>
    <col min="10506" max="10506" width="10.28515625" style="111" customWidth="1"/>
    <col min="10507" max="10507" width="12.5703125" style="111" customWidth="1"/>
    <col min="10508" max="10508" width="11.85546875" style="111" customWidth="1"/>
    <col min="10509" max="10509" width="3.42578125" style="111" customWidth="1"/>
    <col min="10510" max="10752" width="9.140625" style="111"/>
    <col min="10753" max="10753" width="12.140625" style="111" customWidth="1"/>
    <col min="10754" max="10754" width="12.85546875" style="111" customWidth="1"/>
    <col min="10755" max="10755" width="13.7109375" style="111" customWidth="1"/>
    <col min="10756" max="10756" width="13.5703125" style="111" customWidth="1"/>
    <col min="10757" max="10757" width="13.28515625" style="111" customWidth="1"/>
    <col min="10758" max="10758" width="11.85546875" style="111" customWidth="1"/>
    <col min="10759" max="10759" width="11.7109375" style="111" customWidth="1"/>
    <col min="10760" max="10760" width="12.28515625" style="111" customWidth="1"/>
    <col min="10761" max="10761" width="12.140625" style="111" customWidth="1"/>
    <col min="10762" max="10762" width="10.28515625" style="111" customWidth="1"/>
    <col min="10763" max="10763" width="12.5703125" style="111" customWidth="1"/>
    <col min="10764" max="10764" width="11.85546875" style="111" customWidth="1"/>
    <col min="10765" max="10765" width="3.42578125" style="111" customWidth="1"/>
    <col min="10766" max="11008" width="9.140625" style="111"/>
    <col min="11009" max="11009" width="12.140625" style="111" customWidth="1"/>
    <col min="11010" max="11010" width="12.85546875" style="111" customWidth="1"/>
    <col min="11011" max="11011" width="13.7109375" style="111" customWidth="1"/>
    <col min="11012" max="11012" width="13.5703125" style="111" customWidth="1"/>
    <col min="11013" max="11013" width="13.28515625" style="111" customWidth="1"/>
    <col min="11014" max="11014" width="11.85546875" style="111" customWidth="1"/>
    <col min="11015" max="11015" width="11.7109375" style="111" customWidth="1"/>
    <col min="11016" max="11016" width="12.28515625" style="111" customWidth="1"/>
    <col min="11017" max="11017" width="12.140625" style="111" customWidth="1"/>
    <col min="11018" max="11018" width="10.28515625" style="111" customWidth="1"/>
    <col min="11019" max="11019" width="12.5703125" style="111" customWidth="1"/>
    <col min="11020" max="11020" width="11.85546875" style="111" customWidth="1"/>
    <col min="11021" max="11021" width="3.42578125" style="111" customWidth="1"/>
    <col min="11022" max="11264" width="9.140625" style="111"/>
    <col min="11265" max="11265" width="12.140625" style="111" customWidth="1"/>
    <col min="11266" max="11266" width="12.85546875" style="111" customWidth="1"/>
    <col min="11267" max="11267" width="13.7109375" style="111" customWidth="1"/>
    <col min="11268" max="11268" width="13.5703125" style="111" customWidth="1"/>
    <col min="11269" max="11269" width="13.28515625" style="111" customWidth="1"/>
    <col min="11270" max="11270" width="11.85546875" style="111" customWidth="1"/>
    <col min="11271" max="11271" width="11.7109375" style="111" customWidth="1"/>
    <col min="11272" max="11272" width="12.28515625" style="111" customWidth="1"/>
    <col min="11273" max="11273" width="12.140625" style="111" customWidth="1"/>
    <col min="11274" max="11274" width="10.28515625" style="111" customWidth="1"/>
    <col min="11275" max="11275" width="12.5703125" style="111" customWidth="1"/>
    <col min="11276" max="11276" width="11.85546875" style="111" customWidth="1"/>
    <col min="11277" max="11277" width="3.42578125" style="111" customWidth="1"/>
    <col min="11278" max="11520" width="9.140625" style="111"/>
    <col min="11521" max="11521" width="12.140625" style="111" customWidth="1"/>
    <col min="11522" max="11522" width="12.85546875" style="111" customWidth="1"/>
    <col min="11523" max="11523" width="13.7109375" style="111" customWidth="1"/>
    <col min="11524" max="11524" width="13.5703125" style="111" customWidth="1"/>
    <col min="11525" max="11525" width="13.28515625" style="111" customWidth="1"/>
    <col min="11526" max="11526" width="11.85546875" style="111" customWidth="1"/>
    <col min="11527" max="11527" width="11.7109375" style="111" customWidth="1"/>
    <col min="11528" max="11528" width="12.28515625" style="111" customWidth="1"/>
    <col min="11529" max="11529" width="12.140625" style="111" customWidth="1"/>
    <col min="11530" max="11530" width="10.28515625" style="111" customWidth="1"/>
    <col min="11531" max="11531" width="12.5703125" style="111" customWidth="1"/>
    <col min="11532" max="11532" width="11.85546875" style="111" customWidth="1"/>
    <col min="11533" max="11533" width="3.42578125" style="111" customWidth="1"/>
    <col min="11534" max="11776" width="9.140625" style="111"/>
    <col min="11777" max="11777" width="12.140625" style="111" customWidth="1"/>
    <col min="11778" max="11778" width="12.85546875" style="111" customWidth="1"/>
    <col min="11779" max="11779" width="13.7109375" style="111" customWidth="1"/>
    <col min="11780" max="11780" width="13.5703125" style="111" customWidth="1"/>
    <col min="11781" max="11781" width="13.28515625" style="111" customWidth="1"/>
    <col min="11782" max="11782" width="11.85546875" style="111" customWidth="1"/>
    <col min="11783" max="11783" width="11.7109375" style="111" customWidth="1"/>
    <col min="11784" max="11784" width="12.28515625" style="111" customWidth="1"/>
    <col min="11785" max="11785" width="12.140625" style="111" customWidth="1"/>
    <col min="11786" max="11786" width="10.28515625" style="111" customWidth="1"/>
    <col min="11787" max="11787" width="12.5703125" style="111" customWidth="1"/>
    <col min="11788" max="11788" width="11.85546875" style="111" customWidth="1"/>
    <col min="11789" max="11789" width="3.42578125" style="111" customWidth="1"/>
    <col min="11790" max="12032" width="9.140625" style="111"/>
    <col min="12033" max="12033" width="12.140625" style="111" customWidth="1"/>
    <col min="12034" max="12034" width="12.85546875" style="111" customWidth="1"/>
    <col min="12035" max="12035" width="13.7109375" style="111" customWidth="1"/>
    <col min="12036" max="12036" width="13.5703125" style="111" customWidth="1"/>
    <col min="12037" max="12037" width="13.28515625" style="111" customWidth="1"/>
    <col min="12038" max="12038" width="11.85546875" style="111" customWidth="1"/>
    <col min="12039" max="12039" width="11.7109375" style="111" customWidth="1"/>
    <col min="12040" max="12040" width="12.28515625" style="111" customWidth="1"/>
    <col min="12041" max="12041" width="12.140625" style="111" customWidth="1"/>
    <col min="12042" max="12042" width="10.28515625" style="111" customWidth="1"/>
    <col min="12043" max="12043" width="12.5703125" style="111" customWidth="1"/>
    <col min="12044" max="12044" width="11.85546875" style="111" customWidth="1"/>
    <col min="12045" max="12045" width="3.42578125" style="111" customWidth="1"/>
    <col min="12046" max="12288" width="9.140625" style="111"/>
    <col min="12289" max="12289" width="12.140625" style="111" customWidth="1"/>
    <col min="12290" max="12290" width="12.85546875" style="111" customWidth="1"/>
    <col min="12291" max="12291" width="13.7109375" style="111" customWidth="1"/>
    <col min="12292" max="12292" width="13.5703125" style="111" customWidth="1"/>
    <col min="12293" max="12293" width="13.28515625" style="111" customWidth="1"/>
    <col min="12294" max="12294" width="11.85546875" style="111" customWidth="1"/>
    <col min="12295" max="12295" width="11.7109375" style="111" customWidth="1"/>
    <col min="12296" max="12296" width="12.28515625" style="111" customWidth="1"/>
    <col min="12297" max="12297" width="12.140625" style="111" customWidth="1"/>
    <col min="12298" max="12298" width="10.28515625" style="111" customWidth="1"/>
    <col min="12299" max="12299" width="12.5703125" style="111" customWidth="1"/>
    <col min="12300" max="12300" width="11.85546875" style="111" customWidth="1"/>
    <col min="12301" max="12301" width="3.42578125" style="111" customWidth="1"/>
    <col min="12302" max="12544" width="9.140625" style="111"/>
    <col min="12545" max="12545" width="12.140625" style="111" customWidth="1"/>
    <col min="12546" max="12546" width="12.85546875" style="111" customWidth="1"/>
    <col min="12547" max="12547" width="13.7109375" style="111" customWidth="1"/>
    <col min="12548" max="12548" width="13.5703125" style="111" customWidth="1"/>
    <col min="12549" max="12549" width="13.28515625" style="111" customWidth="1"/>
    <col min="12550" max="12550" width="11.85546875" style="111" customWidth="1"/>
    <col min="12551" max="12551" width="11.7109375" style="111" customWidth="1"/>
    <col min="12552" max="12552" width="12.28515625" style="111" customWidth="1"/>
    <col min="12553" max="12553" width="12.140625" style="111" customWidth="1"/>
    <col min="12554" max="12554" width="10.28515625" style="111" customWidth="1"/>
    <col min="12555" max="12555" width="12.5703125" style="111" customWidth="1"/>
    <col min="12556" max="12556" width="11.85546875" style="111" customWidth="1"/>
    <col min="12557" max="12557" width="3.42578125" style="111" customWidth="1"/>
    <col min="12558" max="12800" width="9.140625" style="111"/>
    <col min="12801" max="12801" width="12.140625" style="111" customWidth="1"/>
    <col min="12802" max="12802" width="12.85546875" style="111" customWidth="1"/>
    <col min="12803" max="12803" width="13.7109375" style="111" customWidth="1"/>
    <col min="12804" max="12804" width="13.5703125" style="111" customWidth="1"/>
    <col min="12805" max="12805" width="13.28515625" style="111" customWidth="1"/>
    <col min="12806" max="12806" width="11.85546875" style="111" customWidth="1"/>
    <col min="12807" max="12807" width="11.7109375" style="111" customWidth="1"/>
    <col min="12808" max="12808" width="12.28515625" style="111" customWidth="1"/>
    <col min="12809" max="12809" width="12.140625" style="111" customWidth="1"/>
    <col min="12810" max="12810" width="10.28515625" style="111" customWidth="1"/>
    <col min="12811" max="12811" width="12.5703125" style="111" customWidth="1"/>
    <col min="12812" max="12812" width="11.85546875" style="111" customWidth="1"/>
    <col min="12813" max="12813" width="3.42578125" style="111" customWidth="1"/>
    <col min="12814" max="13056" width="9.140625" style="111"/>
    <col min="13057" max="13057" width="12.140625" style="111" customWidth="1"/>
    <col min="13058" max="13058" width="12.85546875" style="111" customWidth="1"/>
    <col min="13059" max="13059" width="13.7109375" style="111" customWidth="1"/>
    <col min="13060" max="13060" width="13.5703125" style="111" customWidth="1"/>
    <col min="13061" max="13061" width="13.28515625" style="111" customWidth="1"/>
    <col min="13062" max="13062" width="11.85546875" style="111" customWidth="1"/>
    <col min="13063" max="13063" width="11.7109375" style="111" customWidth="1"/>
    <col min="13064" max="13064" width="12.28515625" style="111" customWidth="1"/>
    <col min="13065" max="13065" width="12.140625" style="111" customWidth="1"/>
    <col min="13066" max="13066" width="10.28515625" style="111" customWidth="1"/>
    <col min="13067" max="13067" width="12.5703125" style="111" customWidth="1"/>
    <col min="13068" max="13068" width="11.85546875" style="111" customWidth="1"/>
    <col min="13069" max="13069" width="3.42578125" style="111" customWidth="1"/>
    <col min="13070" max="13312" width="9.140625" style="111"/>
    <col min="13313" max="13313" width="12.140625" style="111" customWidth="1"/>
    <col min="13314" max="13314" width="12.85546875" style="111" customWidth="1"/>
    <col min="13315" max="13315" width="13.7109375" style="111" customWidth="1"/>
    <col min="13316" max="13316" width="13.5703125" style="111" customWidth="1"/>
    <col min="13317" max="13317" width="13.28515625" style="111" customWidth="1"/>
    <col min="13318" max="13318" width="11.85546875" style="111" customWidth="1"/>
    <col min="13319" max="13319" width="11.7109375" style="111" customWidth="1"/>
    <col min="13320" max="13320" width="12.28515625" style="111" customWidth="1"/>
    <col min="13321" max="13321" width="12.140625" style="111" customWidth="1"/>
    <col min="13322" max="13322" width="10.28515625" style="111" customWidth="1"/>
    <col min="13323" max="13323" width="12.5703125" style="111" customWidth="1"/>
    <col min="13324" max="13324" width="11.85546875" style="111" customWidth="1"/>
    <col min="13325" max="13325" width="3.42578125" style="111" customWidth="1"/>
    <col min="13326" max="13568" width="9.140625" style="111"/>
    <col min="13569" max="13569" width="12.140625" style="111" customWidth="1"/>
    <col min="13570" max="13570" width="12.85546875" style="111" customWidth="1"/>
    <col min="13571" max="13571" width="13.7109375" style="111" customWidth="1"/>
    <col min="13572" max="13572" width="13.5703125" style="111" customWidth="1"/>
    <col min="13573" max="13573" width="13.28515625" style="111" customWidth="1"/>
    <col min="13574" max="13574" width="11.85546875" style="111" customWidth="1"/>
    <col min="13575" max="13575" width="11.7109375" style="111" customWidth="1"/>
    <col min="13576" max="13576" width="12.28515625" style="111" customWidth="1"/>
    <col min="13577" max="13577" width="12.140625" style="111" customWidth="1"/>
    <col min="13578" max="13578" width="10.28515625" style="111" customWidth="1"/>
    <col min="13579" max="13579" width="12.5703125" style="111" customWidth="1"/>
    <col min="13580" max="13580" width="11.85546875" style="111" customWidth="1"/>
    <col min="13581" max="13581" width="3.42578125" style="111" customWidth="1"/>
    <col min="13582" max="13824" width="9.140625" style="111"/>
    <col min="13825" max="13825" width="12.140625" style="111" customWidth="1"/>
    <col min="13826" max="13826" width="12.85546875" style="111" customWidth="1"/>
    <col min="13827" max="13827" width="13.7109375" style="111" customWidth="1"/>
    <col min="13828" max="13828" width="13.5703125" style="111" customWidth="1"/>
    <col min="13829" max="13829" width="13.28515625" style="111" customWidth="1"/>
    <col min="13830" max="13830" width="11.85546875" style="111" customWidth="1"/>
    <col min="13831" max="13831" width="11.7109375" style="111" customWidth="1"/>
    <col min="13832" max="13832" width="12.28515625" style="111" customWidth="1"/>
    <col min="13833" max="13833" width="12.140625" style="111" customWidth="1"/>
    <col min="13834" max="13834" width="10.28515625" style="111" customWidth="1"/>
    <col min="13835" max="13835" width="12.5703125" style="111" customWidth="1"/>
    <col min="13836" max="13836" width="11.85546875" style="111" customWidth="1"/>
    <col min="13837" max="13837" width="3.42578125" style="111" customWidth="1"/>
    <col min="13838" max="14080" width="9.140625" style="111"/>
    <col min="14081" max="14081" width="12.140625" style="111" customWidth="1"/>
    <col min="14082" max="14082" width="12.85546875" style="111" customWidth="1"/>
    <col min="14083" max="14083" width="13.7109375" style="111" customWidth="1"/>
    <col min="14084" max="14084" width="13.5703125" style="111" customWidth="1"/>
    <col min="14085" max="14085" width="13.28515625" style="111" customWidth="1"/>
    <col min="14086" max="14086" width="11.85546875" style="111" customWidth="1"/>
    <col min="14087" max="14087" width="11.7109375" style="111" customWidth="1"/>
    <col min="14088" max="14088" width="12.28515625" style="111" customWidth="1"/>
    <col min="14089" max="14089" width="12.140625" style="111" customWidth="1"/>
    <col min="14090" max="14090" width="10.28515625" style="111" customWidth="1"/>
    <col min="14091" max="14091" width="12.5703125" style="111" customWidth="1"/>
    <col min="14092" max="14092" width="11.85546875" style="111" customWidth="1"/>
    <col min="14093" max="14093" width="3.42578125" style="111" customWidth="1"/>
    <col min="14094" max="14336" width="9.140625" style="111"/>
    <col min="14337" max="14337" width="12.140625" style="111" customWidth="1"/>
    <col min="14338" max="14338" width="12.85546875" style="111" customWidth="1"/>
    <col min="14339" max="14339" width="13.7109375" style="111" customWidth="1"/>
    <col min="14340" max="14340" width="13.5703125" style="111" customWidth="1"/>
    <col min="14341" max="14341" width="13.28515625" style="111" customWidth="1"/>
    <col min="14342" max="14342" width="11.85546875" style="111" customWidth="1"/>
    <col min="14343" max="14343" width="11.7109375" style="111" customWidth="1"/>
    <col min="14344" max="14344" width="12.28515625" style="111" customWidth="1"/>
    <col min="14345" max="14345" width="12.140625" style="111" customWidth="1"/>
    <col min="14346" max="14346" width="10.28515625" style="111" customWidth="1"/>
    <col min="14347" max="14347" width="12.5703125" style="111" customWidth="1"/>
    <col min="14348" max="14348" width="11.85546875" style="111" customWidth="1"/>
    <col min="14349" max="14349" width="3.42578125" style="111" customWidth="1"/>
    <col min="14350" max="14592" width="9.140625" style="111"/>
    <col min="14593" max="14593" width="12.140625" style="111" customWidth="1"/>
    <col min="14594" max="14594" width="12.85546875" style="111" customWidth="1"/>
    <col min="14595" max="14595" width="13.7109375" style="111" customWidth="1"/>
    <col min="14596" max="14596" width="13.5703125" style="111" customWidth="1"/>
    <col min="14597" max="14597" width="13.28515625" style="111" customWidth="1"/>
    <col min="14598" max="14598" width="11.85546875" style="111" customWidth="1"/>
    <col min="14599" max="14599" width="11.7109375" style="111" customWidth="1"/>
    <col min="14600" max="14600" width="12.28515625" style="111" customWidth="1"/>
    <col min="14601" max="14601" width="12.140625" style="111" customWidth="1"/>
    <col min="14602" max="14602" width="10.28515625" style="111" customWidth="1"/>
    <col min="14603" max="14603" width="12.5703125" style="111" customWidth="1"/>
    <col min="14604" max="14604" width="11.85546875" style="111" customWidth="1"/>
    <col min="14605" max="14605" width="3.42578125" style="111" customWidth="1"/>
    <col min="14606" max="14848" width="9.140625" style="111"/>
    <col min="14849" max="14849" width="12.140625" style="111" customWidth="1"/>
    <col min="14850" max="14850" width="12.85546875" style="111" customWidth="1"/>
    <col min="14851" max="14851" width="13.7109375" style="111" customWidth="1"/>
    <col min="14852" max="14852" width="13.5703125" style="111" customWidth="1"/>
    <col min="14853" max="14853" width="13.28515625" style="111" customWidth="1"/>
    <col min="14854" max="14854" width="11.85546875" style="111" customWidth="1"/>
    <col min="14855" max="14855" width="11.7109375" style="111" customWidth="1"/>
    <col min="14856" max="14856" width="12.28515625" style="111" customWidth="1"/>
    <col min="14857" max="14857" width="12.140625" style="111" customWidth="1"/>
    <col min="14858" max="14858" width="10.28515625" style="111" customWidth="1"/>
    <col min="14859" max="14859" width="12.5703125" style="111" customWidth="1"/>
    <col min="14860" max="14860" width="11.85546875" style="111" customWidth="1"/>
    <col min="14861" max="14861" width="3.42578125" style="111" customWidth="1"/>
    <col min="14862" max="15104" width="9.140625" style="111"/>
    <col min="15105" max="15105" width="12.140625" style="111" customWidth="1"/>
    <col min="15106" max="15106" width="12.85546875" style="111" customWidth="1"/>
    <col min="15107" max="15107" width="13.7109375" style="111" customWidth="1"/>
    <col min="15108" max="15108" width="13.5703125" style="111" customWidth="1"/>
    <col min="15109" max="15109" width="13.28515625" style="111" customWidth="1"/>
    <col min="15110" max="15110" width="11.85546875" style="111" customWidth="1"/>
    <col min="15111" max="15111" width="11.7109375" style="111" customWidth="1"/>
    <col min="15112" max="15112" width="12.28515625" style="111" customWidth="1"/>
    <col min="15113" max="15113" width="12.140625" style="111" customWidth="1"/>
    <col min="15114" max="15114" width="10.28515625" style="111" customWidth="1"/>
    <col min="15115" max="15115" width="12.5703125" style="111" customWidth="1"/>
    <col min="15116" max="15116" width="11.85546875" style="111" customWidth="1"/>
    <col min="15117" max="15117" width="3.42578125" style="111" customWidth="1"/>
    <col min="15118" max="15360" width="9.140625" style="111"/>
    <col min="15361" max="15361" width="12.140625" style="111" customWidth="1"/>
    <col min="15362" max="15362" width="12.85546875" style="111" customWidth="1"/>
    <col min="15363" max="15363" width="13.7109375" style="111" customWidth="1"/>
    <col min="15364" max="15364" width="13.5703125" style="111" customWidth="1"/>
    <col min="15365" max="15365" width="13.28515625" style="111" customWidth="1"/>
    <col min="15366" max="15366" width="11.85546875" style="111" customWidth="1"/>
    <col min="15367" max="15367" width="11.7109375" style="111" customWidth="1"/>
    <col min="15368" max="15368" width="12.28515625" style="111" customWidth="1"/>
    <col min="15369" max="15369" width="12.140625" style="111" customWidth="1"/>
    <col min="15370" max="15370" width="10.28515625" style="111" customWidth="1"/>
    <col min="15371" max="15371" width="12.5703125" style="111" customWidth="1"/>
    <col min="15372" max="15372" width="11.85546875" style="111" customWidth="1"/>
    <col min="15373" max="15373" width="3.42578125" style="111" customWidth="1"/>
    <col min="15374" max="15616" width="9.140625" style="111"/>
    <col min="15617" max="15617" width="12.140625" style="111" customWidth="1"/>
    <col min="15618" max="15618" width="12.85546875" style="111" customWidth="1"/>
    <col min="15619" max="15619" width="13.7109375" style="111" customWidth="1"/>
    <col min="15620" max="15620" width="13.5703125" style="111" customWidth="1"/>
    <col min="15621" max="15621" width="13.28515625" style="111" customWidth="1"/>
    <col min="15622" max="15622" width="11.85546875" style="111" customWidth="1"/>
    <col min="15623" max="15623" width="11.7109375" style="111" customWidth="1"/>
    <col min="15624" max="15624" width="12.28515625" style="111" customWidth="1"/>
    <col min="15625" max="15625" width="12.140625" style="111" customWidth="1"/>
    <col min="15626" max="15626" width="10.28515625" style="111" customWidth="1"/>
    <col min="15627" max="15627" width="12.5703125" style="111" customWidth="1"/>
    <col min="15628" max="15628" width="11.85546875" style="111" customWidth="1"/>
    <col min="15629" max="15629" width="3.42578125" style="111" customWidth="1"/>
    <col min="15630" max="15872" width="9.140625" style="111"/>
    <col min="15873" max="15873" width="12.140625" style="111" customWidth="1"/>
    <col min="15874" max="15874" width="12.85546875" style="111" customWidth="1"/>
    <col min="15875" max="15875" width="13.7109375" style="111" customWidth="1"/>
    <col min="15876" max="15876" width="13.5703125" style="111" customWidth="1"/>
    <col min="15877" max="15877" width="13.28515625" style="111" customWidth="1"/>
    <col min="15878" max="15878" width="11.85546875" style="111" customWidth="1"/>
    <col min="15879" max="15879" width="11.7109375" style="111" customWidth="1"/>
    <col min="15880" max="15880" width="12.28515625" style="111" customWidth="1"/>
    <col min="15881" max="15881" width="12.140625" style="111" customWidth="1"/>
    <col min="15882" max="15882" width="10.28515625" style="111" customWidth="1"/>
    <col min="15883" max="15883" width="12.5703125" style="111" customWidth="1"/>
    <col min="15884" max="15884" width="11.85546875" style="111" customWidth="1"/>
    <col min="15885" max="15885" width="3.42578125" style="111" customWidth="1"/>
    <col min="15886" max="16128" width="9.140625" style="111"/>
    <col min="16129" max="16129" width="12.140625" style="111" customWidth="1"/>
    <col min="16130" max="16130" width="12.85546875" style="111" customWidth="1"/>
    <col min="16131" max="16131" width="13.7109375" style="111" customWidth="1"/>
    <col min="16132" max="16132" width="13.5703125" style="111" customWidth="1"/>
    <col min="16133" max="16133" width="13.28515625" style="111" customWidth="1"/>
    <col min="16134" max="16134" width="11.85546875" style="111" customWidth="1"/>
    <col min="16135" max="16135" width="11.7109375" style="111" customWidth="1"/>
    <col min="16136" max="16136" width="12.28515625" style="111" customWidth="1"/>
    <col min="16137" max="16137" width="12.140625" style="111" customWidth="1"/>
    <col min="16138" max="16138" width="10.28515625" style="111" customWidth="1"/>
    <col min="16139" max="16139" width="12.5703125" style="111" customWidth="1"/>
    <col min="16140" max="16140" width="11.85546875" style="111" customWidth="1"/>
    <col min="16141" max="16141" width="3.42578125" style="111" customWidth="1"/>
    <col min="16142" max="16384" width="9.140625" style="111"/>
  </cols>
  <sheetData>
    <row r="2" spans="1:12" x14ac:dyDescent="0.2">
      <c r="A2" s="2688" t="s">
        <v>3419</v>
      </c>
      <c r="B2" s="2689"/>
      <c r="C2" s="2689"/>
      <c r="D2" s="2689"/>
      <c r="E2" s="2689"/>
      <c r="F2" s="2689"/>
      <c r="G2" s="2689"/>
      <c r="H2" s="2689"/>
      <c r="I2" s="2689"/>
      <c r="J2" s="2689"/>
      <c r="K2" s="2689"/>
      <c r="L2" s="2689"/>
    </row>
    <row r="3" spans="1:12" ht="11.25" customHeight="1" x14ac:dyDescent="0.2">
      <c r="A3" s="2347"/>
      <c r="B3" s="2667"/>
      <c r="C3" s="2667"/>
      <c r="D3" s="2667"/>
      <c r="E3" s="2667"/>
      <c r="F3" s="2667"/>
      <c r="G3" s="2667"/>
      <c r="H3" s="2667"/>
      <c r="I3" s="2667"/>
      <c r="J3" s="2667"/>
      <c r="K3" s="2667"/>
      <c r="L3" s="2667"/>
    </row>
    <row r="4" spans="1:12" x14ac:dyDescent="0.2">
      <c r="A4" s="3393" t="s">
        <v>1442</v>
      </c>
      <c r="B4" s="3394" t="s">
        <v>174</v>
      </c>
      <c r="C4" s="3395"/>
      <c r="D4" s="3395"/>
      <c r="E4" s="3395"/>
      <c r="F4" s="3395"/>
      <c r="G4" s="3395"/>
      <c r="H4" s="3395"/>
      <c r="I4" s="3395"/>
      <c r="J4" s="3395"/>
      <c r="K4" s="3395"/>
      <c r="L4" s="3396"/>
    </row>
    <row r="5" spans="1:12" x14ac:dyDescent="0.2">
      <c r="A5" s="2460"/>
      <c r="B5" s="3393" t="s">
        <v>141</v>
      </c>
      <c r="C5" s="2361" t="s">
        <v>1474</v>
      </c>
      <c r="D5" s="3397"/>
      <c r="E5" s="3397"/>
      <c r="F5" s="3397"/>
      <c r="G5" s="3397"/>
      <c r="H5" s="3397"/>
      <c r="I5" s="3397"/>
      <c r="J5" s="3397"/>
      <c r="K5" s="3397"/>
      <c r="L5" s="3398"/>
    </row>
    <row r="6" spans="1:12" ht="32.25" x14ac:dyDescent="0.2">
      <c r="A6" s="2360"/>
      <c r="B6" s="2360"/>
      <c r="C6" s="697" t="s">
        <v>3384</v>
      </c>
      <c r="D6" s="1615" t="s">
        <v>3385</v>
      </c>
      <c r="E6" s="1615" t="s">
        <v>3386</v>
      </c>
      <c r="F6" s="1615" t="s">
        <v>3387</v>
      </c>
      <c r="G6" s="1615" t="s">
        <v>3388</v>
      </c>
      <c r="H6" s="1615" t="s">
        <v>3389</v>
      </c>
      <c r="I6" s="1615" t="s">
        <v>3390</v>
      </c>
      <c r="J6" s="1615" t="s">
        <v>3391</v>
      </c>
      <c r="K6" s="1615" t="s">
        <v>3420</v>
      </c>
      <c r="L6" s="1615" t="s">
        <v>3393</v>
      </c>
    </row>
    <row r="7" spans="1:12" x14ac:dyDescent="0.2">
      <c r="A7" s="172">
        <v>2011</v>
      </c>
      <c r="B7" s="551">
        <f>SUM(C7:L7)</f>
        <v>4256877</v>
      </c>
      <c r="C7" s="552">
        <v>1784922</v>
      </c>
      <c r="D7" s="552">
        <v>618879</v>
      </c>
      <c r="E7" s="552">
        <v>580081</v>
      </c>
      <c r="F7" s="552">
        <v>488988</v>
      </c>
      <c r="G7" s="552">
        <v>152275</v>
      </c>
      <c r="H7" s="552">
        <v>206880</v>
      </c>
      <c r="I7" s="552">
        <v>214372</v>
      </c>
      <c r="J7" s="552">
        <v>31962</v>
      </c>
      <c r="K7" s="1269">
        <v>0</v>
      </c>
      <c r="L7" s="552">
        <v>178518</v>
      </c>
    </row>
    <row r="8" spans="1:12" x14ac:dyDescent="0.2">
      <c r="A8" s="2098">
        <v>2012</v>
      </c>
      <c r="B8" s="551">
        <f>SUM(C8:L8)</f>
        <v>4946853</v>
      </c>
      <c r="C8" s="552">
        <v>2185142</v>
      </c>
      <c r="D8" s="552">
        <v>594251</v>
      </c>
      <c r="E8" s="552">
        <v>721933</v>
      </c>
      <c r="F8" s="552">
        <v>607668</v>
      </c>
      <c r="G8" s="552">
        <v>224722</v>
      </c>
      <c r="H8" s="552">
        <v>193040</v>
      </c>
      <c r="I8" s="552">
        <v>145007</v>
      </c>
      <c r="J8" s="552">
        <v>33980</v>
      </c>
      <c r="K8" s="1269">
        <v>0</v>
      </c>
      <c r="L8" s="552">
        <v>241110</v>
      </c>
    </row>
    <row r="9" spans="1:12" x14ac:dyDescent="0.2">
      <c r="A9" s="2098">
        <v>2013</v>
      </c>
      <c r="B9" s="551">
        <f>SUM(C9:L9)</f>
        <v>4241356</v>
      </c>
      <c r="C9" s="1629">
        <v>1894542</v>
      </c>
      <c r="D9" s="1629">
        <v>527085</v>
      </c>
      <c r="E9" s="1629">
        <v>581356</v>
      </c>
      <c r="F9" s="1629">
        <v>426869</v>
      </c>
      <c r="G9" s="1629">
        <v>158089</v>
      </c>
      <c r="H9" s="1629">
        <v>121369</v>
      </c>
      <c r="I9" s="1629">
        <v>181425</v>
      </c>
      <c r="J9" s="1629">
        <v>56019</v>
      </c>
      <c r="K9" s="1269">
        <v>0</v>
      </c>
      <c r="L9" s="552">
        <v>294602</v>
      </c>
    </row>
    <row r="10" spans="1:12" x14ac:dyDescent="0.2">
      <c r="A10" s="2098">
        <v>2014</v>
      </c>
      <c r="B10" s="551">
        <f>SUM(C10:L10)</f>
        <v>4121480</v>
      </c>
      <c r="C10" s="552">
        <v>1988712</v>
      </c>
      <c r="D10" s="552">
        <v>380925</v>
      </c>
      <c r="E10" s="552">
        <v>543387</v>
      </c>
      <c r="F10" s="552">
        <v>443403</v>
      </c>
      <c r="G10" s="552">
        <v>134203</v>
      </c>
      <c r="H10" s="552">
        <v>136636</v>
      </c>
      <c r="I10" s="552">
        <v>202141</v>
      </c>
      <c r="J10" s="552">
        <v>26743</v>
      </c>
      <c r="K10" s="552">
        <v>105114</v>
      </c>
      <c r="L10" s="552">
        <v>160216</v>
      </c>
    </row>
    <row r="11" spans="1:12" x14ac:dyDescent="0.2">
      <c r="A11" s="2098">
        <v>2015</v>
      </c>
      <c r="B11" s="551">
        <f>SUM(C11:L11)</f>
        <v>3636531</v>
      </c>
      <c r="C11" s="1627">
        <v>1677578</v>
      </c>
      <c r="D11" s="1627">
        <v>391667</v>
      </c>
      <c r="E11" s="1627">
        <v>444596</v>
      </c>
      <c r="F11" s="713">
        <v>450627</v>
      </c>
      <c r="G11" s="1627">
        <v>140779</v>
      </c>
      <c r="H11" s="1627">
        <v>151606</v>
      </c>
      <c r="I11" s="1627">
        <v>134489</v>
      </c>
      <c r="J11" s="1627">
        <v>22243</v>
      </c>
      <c r="K11" s="1627">
        <v>110734</v>
      </c>
      <c r="L11" s="1627">
        <v>112212</v>
      </c>
    </row>
    <row r="12" spans="1:12" ht="11.25" customHeight="1" x14ac:dyDescent="0.2">
      <c r="A12" s="2356"/>
      <c r="B12" s="2672"/>
      <c r="C12" s="2672"/>
      <c r="D12" s="2672"/>
      <c r="E12" s="2672"/>
      <c r="F12" s="2672"/>
      <c r="G12" s="2672"/>
      <c r="H12" s="2672"/>
      <c r="I12" s="2672"/>
      <c r="J12" s="2672"/>
      <c r="K12" s="2672"/>
      <c r="L12" s="2672"/>
    </row>
    <row r="13" spans="1:12" ht="22.5" customHeight="1" x14ac:dyDescent="0.2">
      <c r="A13" s="2414" t="s">
        <v>3421</v>
      </c>
      <c r="B13" s="2687"/>
      <c r="C13" s="2687"/>
      <c r="D13" s="2687"/>
      <c r="E13" s="2687"/>
      <c r="F13" s="2687"/>
      <c r="G13" s="2687"/>
      <c r="H13" s="2687"/>
      <c r="I13" s="2687"/>
      <c r="J13" s="2687"/>
      <c r="K13" s="2687"/>
      <c r="L13" s="2687"/>
    </row>
    <row r="14" spans="1:12" x14ac:dyDescent="0.2">
      <c r="A14" s="3392" t="s">
        <v>3422</v>
      </c>
      <c r="B14" s="3392"/>
      <c r="C14" s="3392"/>
      <c r="D14" s="3392"/>
      <c r="E14" s="3392"/>
      <c r="F14" s="3392"/>
      <c r="G14" s="3392"/>
      <c r="H14" s="3392"/>
      <c r="I14" s="3392"/>
      <c r="J14" s="3392"/>
      <c r="K14" s="3392"/>
      <c r="L14" s="3392"/>
    </row>
    <row r="15" spans="1:12" x14ac:dyDescent="0.2">
      <c r="A15" s="2463" t="s">
        <v>1483</v>
      </c>
      <c r="B15" s="2687"/>
      <c r="C15" s="2687"/>
      <c r="D15" s="2687"/>
      <c r="E15" s="2687"/>
      <c r="F15" s="2687"/>
      <c r="G15" s="2687"/>
      <c r="H15" s="2687"/>
      <c r="I15" s="2687"/>
      <c r="J15" s="2687"/>
      <c r="K15" s="2687"/>
      <c r="L15" s="2687"/>
    </row>
    <row r="16" spans="1:12" x14ac:dyDescent="0.2">
      <c r="A16" s="2108"/>
      <c r="B16" s="2108"/>
      <c r="C16" s="2108"/>
      <c r="D16" s="2108"/>
      <c r="E16" s="2108"/>
      <c r="F16" s="2108"/>
      <c r="G16" s="2108"/>
      <c r="H16" s="2108"/>
      <c r="I16" s="2108"/>
      <c r="J16" s="2108"/>
      <c r="K16" s="2108"/>
      <c r="L16" s="2108"/>
    </row>
    <row r="17" spans="1:12" x14ac:dyDescent="0.2">
      <c r="A17" s="2108"/>
      <c r="B17" s="2108"/>
      <c r="C17" s="2108"/>
      <c r="D17" s="2108"/>
      <c r="E17" s="2108"/>
      <c r="F17" s="2108"/>
      <c r="G17" s="2108"/>
      <c r="H17" s="2108"/>
      <c r="I17" s="2108"/>
      <c r="J17" s="2108"/>
      <c r="K17" s="2108"/>
      <c r="L17" s="2108"/>
    </row>
    <row r="18" spans="1:12" x14ac:dyDescent="0.2">
      <c r="A18" s="2108"/>
      <c r="B18" s="2108"/>
      <c r="C18" s="2108"/>
      <c r="D18" s="2108"/>
      <c r="E18" s="2108"/>
      <c r="F18" s="2108"/>
      <c r="G18" s="2108"/>
      <c r="H18" s="2108"/>
      <c r="I18" s="2108"/>
      <c r="J18" s="2108"/>
      <c r="K18" s="2108"/>
      <c r="L18" s="2108"/>
    </row>
    <row r="19" spans="1:12" x14ac:dyDescent="0.2">
      <c r="A19" s="2108"/>
      <c r="B19" s="2108"/>
      <c r="C19" s="2108"/>
      <c r="D19" s="2108"/>
      <c r="E19" s="2108"/>
      <c r="F19" s="2108"/>
      <c r="G19" s="2108"/>
      <c r="H19" s="2108"/>
      <c r="I19" s="2108"/>
      <c r="J19" s="2108"/>
      <c r="K19" s="2108"/>
      <c r="L19" s="2108"/>
    </row>
    <row r="20" spans="1:12" x14ac:dyDescent="0.2">
      <c r="A20" s="2108"/>
      <c r="B20" s="2108"/>
      <c r="C20" s="2108"/>
      <c r="D20" s="2108"/>
      <c r="E20" s="2108"/>
      <c r="F20" s="2108"/>
      <c r="G20" s="2108"/>
      <c r="H20" s="2108"/>
      <c r="I20" s="2108"/>
      <c r="J20" s="2108"/>
      <c r="K20" s="2108"/>
      <c r="L20" s="2108"/>
    </row>
    <row r="21" spans="1:12" x14ac:dyDescent="0.2">
      <c r="A21" s="2108"/>
      <c r="B21" s="2108"/>
      <c r="C21" s="2108"/>
      <c r="D21" s="2108"/>
      <c r="E21" s="2108"/>
      <c r="F21" s="2108"/>
      <c r="G21" s="2108"/>
      <c r="H21" s="2108"/>
      <c r="I21" s="2108"/>
      <c r="J21" s="2108"/>
      <c r="K21" s="2108"/>
      <c r="L21" s="2108"/>
    </row>
    <row r="22" spans="1:12" x14ac:dyDescent="0.2">
      <c r="A22" s="2108"/>
      <c r="B22" s="2108"/>
      <c r="C22" s="2108"/>
      <c r="D22" s="2108"/>
      <c r="E22" s="2108"/>
      <c r="F22" s="2108"/>
      <c r="G22" s="2108"/>
      <c r="H22" s="2108"/>
      <c r="I22" s="2108"/>
      <c r="J22" s="2108"/>
      <c r="K22" s="2108"/>
      <c r="L22" s="2108"/>
    </row>
    <row r="23" spans="1:12" x14ac:dyDescent="0.2">
      <c r="A23" s="2108"/>
      <c r="B23" s="2108"/>
      <c r="C23" s="2108"/>
      <c r="D23" s="2108"/>
      <c r="E23" s="2108"/>
      <c r="F23" s="2108"/>
      <c r="G23" s="2108"/>
      <c r="H23" s="2108"/>
      <c r="I23" s="2108"/>
      <c r="J23" s="2108"/>
      <c r="K23" s="2108"/>
      <c r="L23" s="2108"/>
    </row>
    <row r="24" spans="1:12" x14ac:dyDescent="0.2">
      <c r="A24" s="2108"/>
      <c r="B24" s="2108"/>
      <c r="C24" s="2108"/>
      <c r="D24" s="2108"/>
      <c r="E24" s="2108"/>
      <c r="F24" s="2108"/>
      <c r="G24" s="2108"/>
      <c r="H24" s="2108"/>
      <c r="I24" s="2108"/>
      <c r="J24" s="2108"/>
      <c r="K24" s="2108"/>
      <c r="L24" s="2108"/>
    </row>
    <row r="25" spans="1:12" x14ac:dyDescent="0.2">
      <c r="A25" s="2108"/>
      <c r="B25" s="2108"/>
      <c r="C25" s="2108"/>
      <c r="D25" s="2108"/>
      <c r="E25" s="2108"/>
      <c r="F25" s="2108"/>
      <c r="G25" s="2108"/>
      <c r="H25" s="2108"/>
      <c r="I25" s="2108"/>
      <c r="J25" s="2108"/>
      <c r="K25" s="2108"/>
      <c r="L25" s="2108"/>
    </row>
    <row r="26" spans="1:12" x14ac:dyDescent="0.2">
      <c r="A26" s="2108"/>
      <c r="B26" s="2108"/>
      <c r="C26" s="2108"/>
      <c r="D26" s="2108"/>
      <c r="E26" s="2108"/>
      <c r="F26" s="2108"/>
      <c r="G26" s="2108"/>
      <c r="H26" s="2108"/>
      <c r="I26" s="2108"/>
      <c r="J26" s="2108"/>
      <c r="K26" s="2108"/>
      <c r="L26" s="2108"/>
    </row>
  </sheetData>
  <mergeCells count="10">
    <mergeCell ref="A12:L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AB31"/>
  <sheetViews>
    <sheetView workbookViewId="0">
      <selection activeCell="B17" sqref="B17"/>
    </sheetView>
  </sheetViews>
  <sheetFormatPr baseColWidth="10" defaultColWidth="9.140625" defaultRowHeight="10.5" x14ac:dyDescent="0.15"/>
  <cols>
    <col min="1" max="1" width="7" style="1620" customWidth="1"/>
    <col min="2" max="2" width="12.85546875" style="1620" customWidth="1"/>
    <col min="3" max="3" width="13.7109375" style="1620" customWidth="1"/>
    <col min="4" max="4" width="13.5703125" style="1620" customWidth="1"/>
    <col min="5" max="5" width="13.28515625" style="1620" customWidth="1"/>
    <col min="6" max="6" width="11.85546875" style="1620" customWidth="1"/>
    <col min="7" max="7" width="11.7109375" style="1620" customWidth="1"/>
    <col min="8" max="8" width="12.28515625" style="1620" customWidth="1"/>
    <col min="9" max="9" width="12.140625" style="1620" customWidth="1"/>
    <col min="10" max="10" width="10.28515625" style="1620" customWidth="1"/>
    <col min="11" max="11" width="12.5703125" style="1620" customWidth="1"/>
    <col min="12" max="12" width="11.85546875" style="1620" customWidth="1"/>
    <col min="13" max="13" width="3.42578125" style="1620" customWidth="1"/>
    <col min="14" max="14" width="7.7109375" style="1620" customWidth="1"/>
    <col min="15" max="15" width="11.85546875" style="1620" bestFit="1" customWidth="1"/>
    <col min="16" max="16" width="11.85546875" style="1620" customWidth="1"/>
    <col min="17" max="256" width="9.140625" style="1620"/>
    <col min="257" max="257" width="7" style="1620" customWidth="1"/>
    <col min="258" max="258" width="12.85546875" style="1620" customWidth="1"/>
    <col min="259" max="259" width="13.7109375" style="1620" customWidth="1"/>
    <col min="260" max="260" width="13.5703125" style="1620" customWidth="1"/>
    <col min="261" max="261" width="13.28515625" style="1620" customWidth="1"/>
    <col min="262" max="262" width="11.85546875" style="1620" customWidth="1"/>
    <col min="263" max="263" width="11.7109375" style="1620" customWidth="1"/>
    <col min="264" max="264" width="12.28515625" style="1620" customWidth="1"/>
    <col min="265" max="265" width="12.140625" style="1620" customWidth="1"/>
    <col min="266" max="266" width="10.28515625" style="1620" customWidth="1"/>
    <col min="267" max="267" width="12.5703125" style="1620" customWidth="1"/>
    <col min="268" max="268" width="11.85546875" style="1620" customWidth="1"/>
    <col min="269" max="269" width="3.42578125" style="1620" customWidth="1"/>
    <col min="270" max="270" width="7.7109375" style="1620" customWidth="1"/>
    <col min="271" max="271" width="11.85546875" style="1620" bestFit="1" customWidth="1"/>
    <col min="272" max="272" width="11.85546875" style="1620" customWidth="1"/>
    <col min="273" max="512" width="9.140625" style="1620"/>
    <col min="513" max="513" width="7" style="1620" customWidth="1"/>
    <col min="514" max="514" width="12.85546875" style="1620" customWidth="1"/>
    <col min="515" max="515" width="13.7109375" style="1620" customWidth="1"/>
    <col min="516" max="516" width="13.5703125" style="1620" customWidth="1"/>
    <col min="517" max="517" width="13.28515625" style="1620" customWidth="1"/>
    <col min="518" max="518" width="11.85546875" style="1620" customWidth="1"/>
    <col min="519" max="519" width="11.7109375" style="1620" customWidth="1"/>
    <col min="520" max="520" width="12.28515625" style="1620" customWidth="1"/>
    <col min="521" max="521" width="12.140625" style="1620" customWidth="1"/>
    <col min="522" max="522" width="10.28515625" style="1620" customWidth="1"/>
    <col min="523" max="523" width="12.5703125" style="1620" customWidth="1"/>
    <col min="524" max="524" width="11.85546875" style="1620" customWidth="1"/>
    <col min="525" max="525" width="3.42578125" style="1620" customWidth="1"/>
    <col min="526" max="526" width="7.7109375" style="1620" customWidth="1"/>
    <col min="527" max="527" width="11.85546875" style="1620" bestFit="1" customWidth="1"/>
    <col min="528" max="528" width="11.85546875" style="1620" customWidth="1"/>
    <col min="529" max="768" width="9.140625" style="1620"/>
    <col min="769" max="769" width="7" style="1620" customWidth="1"/>
    <col min="770" max="770" width="12.85546875" style="1620" customWidth="1"/>
    <col min="771" max="771" width="13.7109375" style="1620" customWidth="1"/>
    <col min="772" max="772" width="13.5703125" style="1620" customWidth="1"/>
    <col min="773" max="773" width="13.28515625" style="1620" customWidth="1"/>
    <col min="774" max="774" width="11.85546875" style="1620" customWidth="1"/>
    <col min="775" max="775" width="11.7109375" style="1620" customWidth="1"/>
    <col min="776" max="776" width="12.28515625" style="1620" customWidth="1"/>
    <col min="777" max="777" width="12.140625" style="1620" customWidth="1"/>
    <col min="778" max="778" width="10.28515625" style="1620" customWidth="1"/>
    <col min="779" max="779" width="12.5703125" style="1620" customWidth="1"/>
    <col min="780" max="780" width="11.85546875" style="1620" customWidth="1"/>
    <col min="781" max="781" width="3.42578125" style="1620" customWidth="1"/>
    <col min="782" max="782" width="7.7109375" style="1620" customWidth="1"/>
    <col min="783" max="783" width="11.85546875" style="1620" bestFit="1" customWidth="1"/>
    <col min="784" max="784" width="11.85546875" style="1620" customWidth="1"/>
    <col min="785" max="1024" width="9.140625" style="1620"/>
    <col min="1025" max="1025" width="7" style="1620" customWidth="1"/>
    <col min="1026" max="1026" width="12.85546875" style="1620" customWidth="1"/>
    <col min="1027" max="1027" width="13.7109375" style="1620" customWidth="1"/>
    <col min="1028" max="1028" width="13.5703125" style="1620" customWidth="1"/>
    <col min="1029" max="1029" width="13.28515625" style="1620" customWidth="1"/>
    <col min="1030" max="1030" width="11.85546875" style="1620" customWidth="1"/>
    <col min="1031" max="1031" width="11.7109375" style="1620" customWidth="1"/>
    <col min="1032" max="1032" width="12.28515625" style="1620" customWidth="1"/>
    <col min="1033" max="1033" width="12.140625" style="1620" customWidth="1"/>
    <col min="1034" max="1034" width="10.28515625" style="1620" customWidth="1"/>
    <col min="1035" max="1035" width="12.5703125" style="1620" customWidth="1"/>
    <col min="1036" max="1036" width="11.85546875" style="1620" customWidth="1"/>
    <col min="1037" max="1037" width="3.42578125" style="1620" customWidth="1"/>
    <col min="1038" max="1038" width="7.7109375" style="1620" customWidth="1"/>
    <col min="1039" max="1039" width="11.85546875" style="1620" bestFit="1" customWidth="1"/>
    <col min="1040" max="1040" width="11.85546875" style="1620" customWidth="1"/>
    <col min="1041" max="1280" width="9.140625" style="1620"/>
    <col min="1281" max="1281" width="7" style="1620" customWidth="1"/>
    <col min="1282" max="1282" width="12.85546875" style="1620" customWidth="1"/>
    <col min="1283" max="1283" width="13.7109375" style="1620" customWidth="1"/>
    <col min="1284" max="1284" width="13.5703125" style="1620" customWidth="1"/>
    <col min="1285" max="1285" width="13.28515625" style="1620" customWidth="1"/>
    <col min="1286" max="1286" width="11.85546875" style="1620" customWidth="1"/>
    <col min="1287" max="1287" width="11.7109375" style="1620" customWidth="1"/>
    <col min="1288" max="1288" width="12.28515625" style="1620" customWidth="1"/>
    <col min="1289" max="1289" width="12.140625" style="1620" customWidth="1"/>
    <col min="1290" max="1290" width="10.28515625" style="1620" customWidth="1"/>
    <col min="1291" max="1291" width="12.5703125" style="1620" customWidth="1"/>
    <col min="1292" max="1292" width="11.85546875" style="1620" customWidth="1"/>
    <col min="1293" max="1293" width="3.42578125" style="1620" customWidth="1"/>
    <col min="1294" max="1294" width="7.7109375" style="1620" customWidth="1"/>
    <col min="1295" max="1295" width="11.85546875" style="1620" bestFit="1" customWidth="1"/>
    <col min="1296" max="1296" width="11.85546875" style="1620" customWidth="1"/>
    <col min="1297" max="1536" width="9.140625" style="1620"/>
    <col min="1537" max="1537" width="7" style="1620" customWidth="1"/>
    <col min="1538" max="1538" width="12.85546875" style="1620" customWidth="1"/>
    <col min="1539" max="1539" width="13.7109375" style="1620" customWidth="1"/>
    <col min="1540" max="1540" width="13.5703125" style="1620" customWidth="1"/>
    <col min="1541" max="1541" width="13.28515625" style="1620" customWidth="1"/>
    <col min="1542" max="1542" width="11.85546875" style="1620" customWidth="1"/>
    <col min="1543" max="1543" width="11.7109375" style="1620" customWidth="1"/>
    <col min="1544" max="1544" width="12.28515625" style="1620" customWidth="1"/>
    <col min="1545" max="1545" width="12.140625" style="1620" customWidth="1"/>
    <col min="1546" max="1546" width="10.28515625" style="1620" customWidth="1"/>
    <col min="1547" max="1547" width="12.5703125" style="1620" customWidth="1"/>
    <col min="1548" max="1548" width="11.85546875" style="1620" customWidth="1"/>
    <col min="1549" max="1549" width="3.42578125" style="1620" customWidth="1"/>
    <col min="1550" max="1550" width="7.7109375" style="1620" customWidth="1"/>
    <col min="1551" max="1551" width="11.85546875" style="1620" bestFit="1" customWidth="1"/>
    <col min="1552" max="1552" width="11.85546875" style="1620" customWidth="1"/>
    <col min="1553" max="1792" width="9.140625" style="1620"/>
    <col min="1793" max="1793" width="7" style="1620" customWidth="1"/>
    <col min="1794" max="1794" width="12.85546875" style="1620" customWidth="1"/>
    <col min="1795" max="1795" width="13.7109375" style="1620" customWidth="1"/>
    <col min="1796" max="1796" width="13.5703125" style="1620" customWidth="1"/>
    <col min="1797" max="1797" width="13.28515625" style="1620" customWidth="1"/>
    <col min="1798" max="1798" width="11.85546875" style="1620" customWidth="1"/>
    <col min="1799" max="1799" width="11.7109375" style="1620" customWidth="1"/>
    <col min="1800" max="1800" width="12.28515625" style="1620" customWidth="1"/>
    <col min="1801" max="1801" width="12.140625" style="1620" customWidth="1"/>
    <col min="1802" max="1802" width="10.28515625" style="1620" customWidth="1"/>
    <col min="1803" max="1803" width="12.5703125" style="1620" customWidth="1"/>
    <col min="1804" max="1804" width="11.85546875" style="1620" customWidth="1"/>
    <col min="1805" max="1805" width="3.42578125" style="1620" customWidth="1"/>
    <col min="1806" max="1806" width="7.7109375" style="1620" customWidth="1"/>
    <col min="1807" max="1807" width="11.85546875" style="1620" bestFit="1" customWidth="1"/>
    <col min="1808" max="1808" width="11.85546875" style="1620" customWidth="1"/>
    <col min="1809" max="2048" width="9.140625" style="1620"/>
    <col min="2049" max="2049" width="7" style="1620" customWidth="1"/>
    <col min="2050" max="2050" width="12.85546875" style="1620" customWidth="1"/>
    <col min="2051" max="2051" width="13.7109375" style="1620" customWidth="1"/>
    <col min="2052" max="2052" width="13.5703125" style="1620" customWidth="1"/>
    <col min="2053" max="2053" width="13.28515625" style="1620" customWidth="1"/>
    <col min="2054" max="2054" width="11.85546875" style="1620" customWidth="1"/>
    <col min="2055" max="2055" width="11.7109375" style="1620" customWidth="1"/>
    <col min="2056" max="2056" width="12.28515625" style="1620" customWidth="1"/>
    <col min="2057" max="2057" width="12.140625" style="1620" customWidth="1"/>
    <col min="2058" max="2058" width="10.28515625" style="1620" customWidth="1"/>
    <col min="2059" max="2059" width="12.5703125" style="1620" customWidth="1"/>
    <col min="2060" max="2060" width="11.85546875" style="1620" customWidth="1"/>
    <col min="2061" max="2061" width="3.42578125" style="1620" customWidth="1"/>
    <col min="2062" max="2062" width="7.7109375" style="1620" customWidth="1"/>
    <col min="2063" max="2063" width="11.85546875" style="1620" bestFit="1" customWidth="1"/>
    <col min="2064" max="2064" width="11.85546875" style="1620" customWidth="1"/>
    <col min="2065" max="2304" width="9.140625" style="1620"/>
    <col min="2305" max="2305" width="7" style="1620" customWidth="1"/>
    <col min="2306" max="2306" width="12.85546875" style="1620" customWidth="1"/>
    <col min="2307" max="2307" width="13.7109375" style="1620" customWidth="1"/>
    <col min="2308" max="2308" width="13.5703125" style="1620" customWidth="1"/>
    <col min="2309" max="2309" width="13.28515625" style="1620" customWidth="1"/>
    <col min="2310" max="2310" width="11.85546875" style="1620" customWidth="1"/>
    <col min="2311" max="2311" width="11.7109375" style="1620" customWidth="1"/>
    <col min="2312" max="2312" width="12.28515625" style="1620" customWidth="1"/>
    <col min="2313" max="2313" width="12.140625" style="1620" customWidth="1"/>
    <col min="2314" max="2314" width="10.28515625" style="1620" customWidth="1"/>
    <col min="2315" max="2315" width="12.5703125" style="1620" customWidth="1"/>
    <col min="2316" max="2316" width="11.85546875" style="1620" customWidth="1"/>
    <col min="2317" max="2317" width="3.42578125" style="1620" customWidth="1"/>
    <col min="2318" max="2318" width="7.7109375" style="1620" customWidth="1"/>
    <col min="2319" max="2319" width="11.85546875" style="1620" bestFit="1" customWidth="1"/>
    <col min="2320" max="2320" width="11.85546875" style="1620" customWidth="1"/>
    <col min="2321" max="2560" width="9.140625" style="1620"/>
    <col min="2561" max="2561" width="7" style="1620" customWidth="1"/>
    <col min="2562" max="2562" width="12.85546875" style="1620" customWidth="1"/>
    <col min="2563" max="2563" width="13.7109375" style="1620" customWidth="1"/>
    <col min="2564" max="2564" width="13.5703125" style="1620" customWidth="1"/>
    <col min="2565" max="2565" width="13.28515625" style="1620" customWidth="1"/>
    <col min="2566" max="2566" width="11.85546875" style="1620" customWidth="1"/>
    <col min="2567" max="2567" width="11.7109375" style="1620" customWidth="1"/>
    <col min="2568" max="2568" width="12.28515625" style="1620" customWidth="1"/>
    <col min="2569" max="2569" width="12.140625" style="1620" customWidth="1"/>
    <col min="2570" max="2570" width="10.28515625" style="1620" customWidth="1"/>
    <col min="2571" max="2571" width="12.5703125" style="1620" customWidth="1"/>
    <col min="2572" max="2572" width="11.85546875" style="1620" customWidth="1"/>
    <col min="2573" max="2573" width="3.42578125" style="1620" customWidth="1"/>
    <col min="2574" max="2574" width="7.7109375" style="1620" customWidth="1"/>
    <col min="2575" max="2575" width="11.85546875" style="1620" bestFit="1" customWidth="1"/>
    <col min="2576" max="2576" width="11.85546875" style="1620" customWidth="1"/>
    <col min="2577" max="2816" width="9.140625" style="1620"/>
    <col min="2817" max="2817" width="7" style="1620" customWidth="1"/>
    <col min="2818" max="2818" width="12.85546875" style="1620" customWidth="1"/>
    <col min="2819" max="2819" width="13.7109375" style="1620" customWidth="1"/>
    <col min="2820" max="2820" width="13.5703125" style="1620" customWidth="1"/>
    <col min="2821" max="2821" width="13.28515625" style="1620" customWidth="1"/>
    <col min="2822" max="2822" width="11.85546875" style="1620" customWidth="1"/>
    <col min="2823" max="2823" width="11.7109375" style="1620" customWidth="1"/>
    <col min="2824" max="2824" width="12.28515625" style="1620" customWidth="1"/>
    <col min="2825" max="2825" width="12.140625" style="1620" customWidth="1"/>
    <col min="2826" max="2826" width="10.28515625" style="1620" customWidth="1"/>
    <col min="2827" max="2827" width="12.5703125" style="1620" customWidth="1"/>
    <col min="2828" max="2828" width="11.85546875" style="1620" customWidth="1"/>
    <col min="2829" max="2829" width="3.42578125" style="1620" customWidth="1"/>
    <col min="2830" max="2830" width="7.7109375" style="1620" customWidth="1"/>
    <col min="2831" max="2831" width="11.85546875" style="1620" bestFit="1" customWidth="1"/>
    <col min="2832" max="2832" width="11.85546875" style="1620" customWidth="1"/>
    <col min="2833" max="3072" width="9.140625" style="1620"/>
    <col min="3073" max="3073" width="7" style="1620" customWidth="1"/>
    <col min="3074" max="3074" width="12.85546875" style="1620" customWidth="1"/>
    <col min="3075" max="3075" width="13.7109375" style="1620" customWidth="1"/>
    <col min="3076" max="3076" width="13.5703125" style="1620" customWidth="1"/>
    <col min="3077" max="3077" width="13.28515625" style="1620" customWidth="1"/>
    <col min="3078" max="3078" width="11.85546875" style="1620" customWidth="1"/>
    <col min="3079" max="3079" width="11.7109375" style="1620" customWidth="1"/>
    <col min="3080" max="3080" width="12.28515625" style="1620" customWidth="1"/>
    <col min="3081" max="3081" width="12.140625" style="1620" customWidth="1"/>
    <col min="3082" max="3082" width="10.28515625" style="1620" customWidth="1"/>
    <col min="3083" max="3083" width="12.5703125" style="1620" customWidth="1"/>
    <col min="3084" max="3084" width="11.85546875" style="1620" customWidth="1"/>
    <col min="3085" max="3085" width="3.42578125" style="1620" customWidth="1"/>
    <col min="3086" max="3086" width="7.7109375" style="1620" customWidth="1"/>
    <col min="3087" max="3087" width="11.85546875" style="1620" bestFit="1" customWidth="1"/>
    <col min="3088" max="3088" width="11.85546875" style="1620" customWidth="1"/>
    <col min="3089" max="3328" width="9.140625" style="1620"/>
    <col min="3329" max="3329" width="7" style="1620" customWidth="1"/>
    <col min="3330" max="3330" width="12.85546875" style="1620" customWidth="1"/>
    <col min="3331" max="3331" width="13.7109375" style="1620" customWidth="1"/>
    <col min="3332" max="3332" width="13.5703125" style="1620" customWidth="1"/>
    <col min="3333" max="3333" width="13.28515625" style="1620" customWidth="1"/>
    <col min="3334" max="3334" width="11.85546875" style="1620" customWidth="1"/>
    <col min="3335" max="3335" width="11.7109375" style="1620" customWidth="1"/>
    <col min="3336" max="3336" width="12.28515625" style="1620" customWidth="1"/>
    <col min="3337" max="3337" width="12.140625" style="1620" customWidth="1"/>
    <col min="3338" max="3338" width="10.28515625" style="1620" customWidth="1"/>
    <col min="3339" max="3339" width="12.5703125" style="1620" customWidth="1"/>
    <col min="3340" max="3340" width="11.85546875" style="1620" customWidth="1"/>
    <col min="3341" max="3341" width="3.42578125" style="1620" customWidth="1"/>
    <col min="3342" max="3342" width="7.7109375" style="1620" customWidth="1"/>
    <col min="3343" max="3343" width="11.85546875" style="1620" bestFit="1" customWidth="1"/>
    <col min="3344" max="3344" width="11.85546875" style="1620" customWidth="1"/>
    <col min="3345" max="3584" width="9.140625" style="1620"/>
    <col min="3585" max="3585" width="7" style="1620" customWidth="1"/>
    <col min="3586" max="3586" width="12.85546875" style="1620" customWidth="1"/>
    <col min="3587" max="3587" width="13.7109375" style="1620" customWidth="1"/>
    <col min="3588" max="3588" width="13.5703125" style="1620" customWidth="1"/>
    <col min="3589" max="3589" width="13.28515625" style="1620" customWidth="1"/>
    <col min="3590" max="3590" width="11.85546875" style="1620" customWidth="1"/>
    <col min="3591" max="3591" width="11.7109375" style="1620" customWidth="1"/>
    <col min="3592" max="3592" width="12.28515625" style="1620" customWidth="1"/>
    <col min="3593" max="3593" width="12.140625" style="1620" customWidth="1"/>
    <col min="3594" max="3594" width="10.28515625" style="1620" customWidth="1"/>
    <col min="3595" max="3595" width="12.5703125" style="1620" customWidth="1"/>
    <col min="3596" max="3596" width="11.85546875" style="1620" customWidth="1"/>
    <col min="3597" max="3597" width="3.42578125" style="1620" customWidth="1"/>
    <col min="3598" max="3598" width="7.7109375" style="1620" customWidth="1"/>
    <col min="3599" max="3599" width="11.85546875" style="1620" bestFit="1" customWidth="1"/>
    <col min="3600" max="3600" width="11.85546875" style="1620" customWidth="1"/>
    <col min="3601" max="3840" width="9.140625" style="1620"/>
    <col min="3841" max="3841" width="7" style="1620" customWidth="1"/>
    <col min="3842" max="3842" width="12.85546875" style="1620" customWidth="1"/>
    <col min="3843" max="3843" width="13.7109375" style="1620" customWidth="1"/>
    <col min="3844" max="3844" width="13.5703125" style="1620" customWidth="1"/>
    <col min="3845" max="3845" width="13.28515625" style="1620" customWidth="1"/>
    <col min="3846" max="3846" width="11.85546875" style="1620" customWidth="1"/>
    <col min="3847" max="3847" width="11.7109375" style="1620" customWidth="1"/>
    <col min="3848" max="3848" width="12.28515625" style="1620" customWidth="1"/>
    <col min="3849" max="3849" width="12.140625" style="1620" customWidth="1"/>
    <col min="3850" max="3850" width="10.28515625" style="1620" customWidth="1"/>
    <col min="3851" max="3851" width="12.5703125" style="1620" customWidth="1"/>
    <col min="3852" max="3852" width="11.85546875" style="1620" customWidth="1"/>
    <col min="3853" max="3853" width="3.42578125" style="1620" customWidth="1"/>
    <col min="3854" max="3854" width="7.7109375" style="1620" customWidth="1"/>
    <col min="3855" max="3855" width="11.85546875" style="1620" bestFit="1" customWidth="1"/>
    <col min="3856" max="3856" width="11.85546875" style="1620" customWidth="1"/>
    <col min="3857" max="4096" width="9.140625" style="1620"/>
    <col min="4097" max="4097" width="7" style="1620" customWidth="1"/>
    <col min="4098" max="4098" width="12.85546875" style="1620" customWidth="1"/>
    <col min="4099" max="4099" width="13.7109375" style="1620" customWidth="1"/>
    <col min="4100" max="4100" width="13.5703125" style="1620" customWidth="1"/>
    <col min="4101" max="4101" width="13.28515625" style="1620" customWidth="1"/>
    <col min="4102" max="4102" width="11.85546875" style="1620" customWidth="1"/>
    <col min="4103" max="4103" width="11.7109375" style="1620" customWidth="1"/>
    <col min="4104" max="4104" width="12.28515625" style="1620" customWidth="1"/>
    <col min="4105" max="4105" width="12.140625" style="1620" customWidth="1"/>
    <col min="4106" max="4106" width="10.28515625" style="1620" customWidth="1"/>
    <col min="4107" max="4107" width="12.5703125" style="1620" customWidth="1"/>
    <col min="4108" max="4108" width="11.85546875" style="1620" customWidth="1"/>
    <col min="4109" max="4109" width="3.42578125" style="1620" customWidth="1"/>
    <col min="4110" max="4110" width="7.7109375" style="1620" customWidth="1"/>
    <col min="4111" max="4111" width="11.85546875" style="1620" bestFit="1" customWidth="1"/>
    <col min="4112" max="4112" width="11.85546875" style="1620" customWidth="1"/>
    <col min="4113" max="4352" width="9.140625" style="1620"/>
    <col min="4353" max="4353" width="7" style="1620" customWidth="1"/>
    <col min="4354" max="4354" width="12.85546875" style="1620" customWidth="1"/>
    <col min="4355" max="4355" width="13.7109375" style="1620" customWidth="1"/>
    <col min="4356" max="4356" width="13.5703125" style="1620" customWidth="1"/>
    <col min="4357" max="4357" width="13.28515625" style="1620" customWidth="1"/>
    <col min="4358" max="4358" width="11.85546875" style="1620" customWidth="1"/>
    <col min="4359" max="4359" width="11.7109375" style="1620" customWidth="1"/>
    <col min="4360" max="4360" width="12.28515625" style="1620" customWidth="1"/>
    <col min="4361" max="4361" width="12.140625" style="1620" customWidth="1"/>
    <col min="4362" max="4362" width="10.28515625" style="1620" customWidth="1"/>
    <col min="4363" max="4363" width="12.5703125" style="1620" customWidth="1"/>
    <col min="4364" max="4364" width="11.85546875" style="1620" customWidth="1"/>
    <col min="4365" max="4365" width="3.42578125" style="1620" customWidth="1"/>
    <col min="4366" max="4366" width="7.7109375" style="1620" customWidth="1"/>
    <col min="4367" max="4367" width="11.85546875" style="1620" bestFit="1" customWidth="1"/>
    <col min="4368" max="4368" width="11.85546875" style="1620" customWidth="1"/>
    <col min="4369" max="4608" width="9.140625" style="1620"/>
    <col min="4609" max="4609" width="7" style="1620" customWidth="1"/>
    <col min="4610" max="4610" width="12.85546875" style="1620" customWidth="1"/>
    <col min="4611" max="4611" width="13.7109375" style="1620" customWidth="1"/>
    <col min="4612" max="4612" width="13.5703125" style="1620" customWidth="1"/>
    <col min="4613" max="4613" width="13.28515625" style="1620" customWidth="1"/>
    <col min="4614" max="4614" width="11.85546875" style="1620" customWidth="1"/>
    <col min="4615" max="4615" width="11.7109375" style="1620" customWidth="1"/>
    <col min="4616" max="4616" width="12.28515625" style="1620" customWidth="1"/>
    <col min="4617" max="4617" width="12.140625" style="1620" customWidth="1"/>
    <col min="4618" max="4618" width="10.28515625" style="1620" customWidth="1"/>
    <col min="4619" max="4619" width="12.5703125" style="1620" customWidth="1"/>
    <col min="4620" max="4620" width="11.85546875" style="1620" customWidth="1"/>
    <col min="4621" max="4621" width="3.42578125" style="1620" customWidth="1"/>
    <col min="4622" max="4622" width="7.7109375" style="1620" customWidth="1"/>
    <col min="4623" max="4623" width="11.85546875" style="1620" bestFit="1" customWidth="1"/>
    <col min="4624" max="4624" width="11.85546875" style="1620" customWidth="1"/>
    <col min="4625" max="4864" width="9.140625" style="1620"/>
    <col min="4865" max="4865" width="7" style="1620" customWidth="1"/>
    <col min="4866" max="4866" width="12.85546875" style="1620" customWidth="1"/>
    <col min="4867" max="4867" width="13.7109375" style="1620" customWidth="1"/>
    <col min="4868" max="4868" width="13.5703125" style="1620" customWidth="1"/>
    <col min="4869" max="4869" width="13.28515625" style="1620" customWidth="1"/>
    <col min="4870" max="4870" width="11.85546875" style="1620" customWidth="1"/>
    <col min="4871" max="4871" width="11.7109375" style="1620" customWidth="1"/>
    <col min="4872" max="4872" width="12.28515625" style="1620" customWidth="1"/>
    <col min="4873" max="4873" width="12.140625" style="1620" customWidth="1"/>
    <col min="4874" max="4874" width="10.28515625" style="1620" customWidth="1"/>
    <col min="4875" max="4875" width="12.5703125" style="1620" customWidth="1"/>
    <col min="4876" max="4876" width="11.85546875" style="1620" customWidth="1"/>
    <col min="4877" max="4877" width="3.42578125" style="1620" customWidth="1"/>
    <col min="4878" max="4878" width="7.7109375" style="1620" customWidth="1"/>
    <col min="4879" max="4879" width="11.85546875" style="1620" bestFit="1" customWidth="1"/>
    <col min="4880" max="4880" width="11.85546875" style="1620" customWidth="1"/>
    <col min="4881" max="5120" width="9.140625" style="1620"/>
    <col min="5121" max="5121" width="7" style="1620" customWidth="1"/>
    <col min="5122" max="5122" width="12.85546875" style="1620" customWidth="1"/>
    <col min="5123" max="5123" width="13.7109375" style="1620" customWidth="1"/>
    <col min="5124" max="5124" width="13.5703125" style="1620" customWidth="1"/>
    <col min="5125" max="5125" width="13.28515625" style="1620" customWidth="1"/>
    <col min="5126" max="5126" width="11.85546875" style="1620" customWidth="1"/>
    <col min="5127" max="5127" width="11.7109375" style="1620" customWidth="1"/>
    <col min="5128" max="5128" width="12.28515625" style="1620" customWidth="1"/>
    <col min="5129" max="5129" width="12.140625" style="1620" customWidth="1"/>
    <col min="5130" max="5130" width="10.28515625" style="1620" customWidth="1"/>
    <col min="5131" max="5131" width="12.5703125" style="1620" customWidth="1"/>
    <col min="5132" max="5132" width="11.85546875" style="1620" customWidth="1"/>
    <col min="5133" max="5133" width="3.42578125" style="1620" customWidth="1"/>
    <col min="5134" max="5134" width="7.7109375" style="1620" customWidth="1"/>
    <col min="5135" max="5135" width="11.85546875" style="1620" bestFit="1" customWidth="1"/>
    <col min="5136" max="5136" width="11.85546875" style="1620" customWidth="1"/>
    <col min="5137" max="5376" width="9.140625" style="1620"/>
    <col min="5377" max="5377" width="7" style="1620" customWidth="1"/>
    <col min="5378" max="5378" width="12.85546875" style="1620" customWidth="1"/>
    <col min="5379" max="5379" width="13.7109375" style="1620" customWidth="1"/>
    <col min="5380" max="5380" width="13.5703125" style="1620" customWidth="1"/>
    <col min="5381" max="5381" width="13.28515625" style="1620" customWidth="1"/>
    <col min="5382" max="5382" width="11.85546875" style="1620" customWidth="1"/>
    <col min="5383" max="5383" width="11.7109375" style="1620" customWidth="1"/>
    <col min="5384" max="5384" width="12.28515625" style="1620" customWidth="1"/>
    <col min="5385" max="5385" width="12.140625" style="1620" customWidth="1"/>
    <col min="5386" max="5386" width="10.28515625" style="1620" customWidth="1"/>
    <col min="5387" max="5387" width="12.5703125" style="1620" customWidth="1"/>
    <col min="5388" max="5388" width="11.85546875" style="1620" customWidth="1"/>
    <col min="5389" max="5389" width="3.42578125" style="1620" customWidth="1"/>
    <col min="5390" max="5390" width="7.7109375" style="1620" customWidth="1"/>
    <col min="5391" max="5391" width="11.85546875" style="1620" bestFit="1" customWidth="1"/>
    <col min="5392" max="5392" width="11.85546875" style="1620" customWidth="1"/>
    <col min="5393" max="5632" width="9.140625" style="1620"/>
    <col min="5633" max="5633" width="7" style="1620" customWidth="1"/>
    <col min="5634" max="5634" width="12.85546875" style="1620" customWidth="1"/>
    <col min="5635" max="5635" width="13.7109375" style="1620" customWidth="1"/>
    <col min="5636" max="5636" width="13.5703125" style="1620" customWidth="1"/>
    <col min="5637" max="5637" width="13.28515625" style="1620" customWidth="1"/>
    <col min="5638" max="5638" width="11.85546875" style="1620" customWidth="1"/>
    <col min="5639" max="5639" width="11.7109375" style="1620" customWidth="1"/>
    <col min="5640" max="5640" width="12.28515625" style="1620" customWidth="1"/>
    <col min="5641" max="5641" width="12.140625" style="1620" customWidth="1"/>
    <col min="5642" max="5642" width="10.28515625" style="1620" customWidth="1"/>
    <col min="5643" max="5643" width="12.5703125" style="1620" customWidth="1"/>
    <col min="5644" max="5644" width="11.85546875" style="1620" customWidth="1"/>
    <col min="5645" max="5645" width="3.42578125" style="1620" customWidth="1"/>
    <col min="5646" max="5646" width="7.7109375" style="1620" customWidth="1"/>
    <col min="5647" max="5647" width="11.85546875" style="1620" bestFit="1" customWidth="1"/>
    <col min="5648" max="5648" width="11.85546875" style="1620" customWidth="1"/>
    <col min="5649" max="5888" width="9.140625" style="1620"/>
    <col min="5889" max="5889" width="7" style="1620" customWidth="1"/>
    <col min="5890" max="5890" width="12.85546875" style="1620" customWidth="1"/>
    <col min="5891" max="5891" width="13.7109375" style="1620" customWidth="1"/>
    <col min="5892" max="5892" width="13.5703125" style="1620" customWidth="1"/>
    <col min="5893" max="5893" width="13.28515625" style="1620" customWidth="1"/>
    <col min="5894" max="5894" width="11.85546875" style="1620" customWidth="1"/>
    <col min="5895" max="5895" width="11.7109375" style="1620" customWidth="1"/>
    <col min="5896" max="5896" width="12.28515625" style="1620" customWidth="1"/>
    <col min="5897" max="5897" width="12.140625" style="1620" customWidth="1"/>
    <col min="5898" max="5898" width="10.28515625" style="1620" customWidth="1"/>
    <col min="5899" max="5899" width="12.5703125" style="1620" customWidth="1"/>
    <col min="5900" max="5900" width="11.85546875" style="1620" customWidth="1"/>
    <col min="5901" max="5901" width="3.42578125" style="1620" customWidth="1"/>
    <col min="5902" max="5902" width="7.7109375" style="1620" customWidth="1"/>
    <col min="5903" max="5903" width="11.85546875" style="1620" bestFit="1" customWidth="1"/>
    <col min="5904" max="5904" width="11.85546875" style="1620" customWidth="1"/>
    <col min="5905" max="6144" width="9.140625" style="1620"/>
    <col min="6145" max="6145" width="7" style="1620" customWidth="1"/>
    <col min="6146" max="6146" width="12.85546875" style="1620" customWidth="1"/>
    <col min="6147" max="6147" width="13.7109375" style="1620" customWidth="1"/>
    <col min="6148" max="6148" width="13.5703125" style="1620" customWidth="1"/>
    <col min="6149" max="6149" width="13.28515625" style="1620" customWidth="1"/>
    <col min="6150" max="6150" width="11.85546875" style="1620" customWidth="1"/>
    <col min="6151" max="6151" width="11.7109375" style="1620" customWidth="1"/>
    <col min="6152" max="6152" width="12.28515625" style="1620" customWidth="1"/>
    <col min="6153" max="6153" width="12.140625" style="1620" customWidth="1"/>
    <col min="6154" max="6154" width="10.28515625" style="1620" customWidth="1"/>
    <col min="6155" max="6155" width="12.5703125" style="1620" customWidth="1"/>
    <col min="6156" max="6156" width="11.85546875" style="1620" customWidth="1"/>
    <col min="6157" max="6157" width="3.42578125" style="1620" customWidth="1"/>
    <col min="6158" max="6158" width="7.7109375" style="1620" customWidth="1"/>
    <col min="6159" max="6159" width="11.85546875" style="1620" bestFit="1" customWidth="1"/>
    <col min="6160" max="6160" width="11.85546875" style="1620" customWidth="1"/>
    <col min="6161" max="6400" width="9.140625" style="1620"/>
    <col min="6401" max="6401" width="7" style="1620" customWidth="1"/>
    <col min="6402" max="6402" width="12.85546875" style="1620" customWidth="1"/>
    <col min="6403" max="6403" width="13.7109375" style="1620" customWidth="1"/>
    <col min="6404" max="6404" width="13.5703125" style="1620" customWidth="1"/>
    <col min="6405" max="6405" width="13.28515625" style="1620" customWidth="1"/>
    <col min="6406" max="6406" width="11.85546875" style="1620" customWidth="1"/>
    <col min="6407" max="6407" width="11.7109375" style="1620" customWidth="1"/>
    <col min="6408" max="6408" width="12.28515625" style="1620" customWidth="1"/>
    <col min="6409" max="6409" width="12.140625" style="1620" customWidth="1"/>
    <col min="6410" max="6410" width="10.28515625" style="1620" customWidth="1"/>
    <col min="6411" max="6411" width="12.5703125" style="1620" customWidth="1"/>
    <col min="6412" max="6412" width="11.85546875" style="1620" customWidth="1"/>
    <col min="6413" max="6413" width="3.42578125" style="1620" customWidth="1"/>
    <col min="6414" max="6414" width="7.7109375" style="1620" customWidth="1"/>
    <col min="6415" max="6415" width="11.85546875" style="1620" bestFit="1" customWidth="1"/>
    <col min="6416" max="6416" width="11.85546875" style="1620" customWidth="1"/>
    <col min="6417" max="6656" width="9.140625" style="1620"/>
    <col min="6657" max="6657" width="7" style="1620" customWidth="1"/>
    <col min="6658" max="6658" width="12.85546875" style="1620" customWidth="1"/>
    <col min="6659" max="6659" width="13.7109375" style="1620" customWidth="1"/>
    <col min="6660" max="6660" width="13.5703125" style="1620" customWidth="1"/>
    <col min="6661" max="6661" width="13.28515625" style="1620" customWidth="1"/>
    <col min="6662" max="6662" width="11.85546875" style="1620" customWidth="1"/>
    <col min="6663" max="6663" width="11.7109375" style="1620" customWidth="1"/>
    <col min="6664" max="6664" width="12.28515625" style="1620" customWidth="1"/>
    <col min="6665" max="6665" width="12.140625" style="1620" customWidth="1"/>
    <col min="6666" max="6666" width="10.28515625" style="1620" customWidth="1"/>
    <col min="6667" max="6667" width="12.5703125" style="1620" customWidth="1"/>
    <col min="6668" max="6668" width="11.85546875" style="1620" customWidth="1"/>
    <col min="6669" max="6669" width="3.42578125" style="1620" customWidth="1"/>
    <col min="6670" max="6670" width="7.7109375" style="1620" customWidth="1"/>
    <col min="6671" max="6671" width="11.85546875" style="1620" bestFit="1" customWidth="1"/>
    <col min="6672" max="6672" width="11.85546875" style="1620" customWidth="1"/>
    <col min="6673" max="6912" width="9.140625" style="1620"/>
    <col min="6913" max="6913" width="7" style="1620" customWidth="1"/>
    <col min="6914" max="6914" width="12.85546875" style="1620" customWidth="1"/>
    <col min="6915" max="6915" width="13.7109375" style="1620" customWidth="1"/>
    <col min="6916" max="6916" width="13.5703125" style="1620" customWidth="1"/>
    <col min="6917" max="6917" width="13.28515625" style="1620" customWidth="1"/>
    <col min="6918" max="6918" width="11.85546875" style="1620" customWidth="1"/>
    <col min="6919" max="6919" width="11.7109375" style="1620" customWidth="1"/>
    <col min="6920" max="6920" width="12.28515625" style="1620" customWidth="1"/>
    <col min="6921" max="6921" width="12.140625" style="1620" customWidth="1"/>
    <col min="6922" max="6922" width="10.28515625" style="1620" customWidth="1"/>
    <col min="6923" max="6923" width="12.5703125" style="1620" customWidth="1"/>
    <col min="6924" max="6924" width="11.85546875" style="1620" customWidth="1"/>
    <col min="6925" max="6925" width="3.42578125" style="1620" customWidth="1"/>
    <col min="6926" max="6926" width="7.7109375" style="1620" customWidth="1"/>
    <col min="6927" max="6927" width="11.85546875" style="1620" bestFit="1" customWidth="1"/>
    <col min="6928" max="6928" width="11.85546875" style="1620" customWidth="1"/>
    <col min="6929" max="7168" width="9.140625" style="1620"/>
    <col min="7169" max="7169" width="7" style="1620" customWidth="1"/>
    <col min="7170" max="7170" width="12.85546875" style="1620" customWidth="1"/>
    <col min="7171" max="7171" width="13.7109375" style="1620" customWidth="1"/>
    <col min="7172" max="7172" width="13.5703125" style="1620" customWidth="1"/>
    <col min="7173" max="7173" width="13.28515625" style="1620" customWidth="1"/>
    <col min="7174" max="7174" width="11.85546875" style="1620" customWidth="1"/>
    <col min="7175" max="7175" width="11.7109375" style="1620" customWidth="1"/>
    <col min="7176" max="7176" width="12.28515625" style="1620" customWidth="1"/>
    <col min="7177" max="7177" width="12.140625" style="1620" customWidth="1"/>
    <col min="7178" max="7178" width="10.28515625" style="1620" customWidth="1"/>
    <col min="7179" max="7179" width="12.5703125" style="1620" customWidth="1"/>
    <col min="7180" max="7180" width="11.85546875" style="1620" customWidth="1"/>
    <col min="7181" max="7181" width="3.42578125" style="1620" customWidth="1"/>
    <col min="7182" max="7182" width="7.7109375" style="1620" customWidth="1"/>
    <col min="7183" max="7183" width="11.85546875" style="1620" bestFit="1" customWidth="1"/>
    <col min="7184" max="7184" width="11.85546875" style="1620" customWidth="1"/>
    <col min="7185" max="7424" width="9.140625" style="1620"/>
    <col min="7425" max="7425" width="7" style="1620" customWidth="1"/>
    <col min="7426" max="7426" width="12.85546875" style="1620" customWidth="1"/>
    <col min="7427" max="7427" width="13.7109375" style="1620" customWidth="1"/>
    <col min="7428" max="7428" width="13.5703125" style="1620" customWidth="1"/>
    <col min="7429" max="7429" width="13.28515625" style="1620" customWidth="1"/>
    <col min="7430" max="7430" width="11.85546875" style="1620" customWidth="1"/>
    <col min="7431" max="7431" width="11.7109375" style="1620" customWidth="1"/>
    <col min="7432" max="7432" width="12.28515625" style="1620" customWidth="1"/>
    <col min="7433" max="7433" width="12.140625" style="1620" customWidth="1"/>
    <col min="7434" max="7434" width="10.28515625" style="1620" customWidth="1"/>
    <col min="7435" max="7435" width="12.5703125" style="1620" customWidth="1"/>
    <col min="7436" max="7436" width="11.85546875" style="1620" customWidth="1"/>
    <col min="7437" max="7437" width="3.42578125" style="1620" customWidth="1"/>
    <col min="7438" max="7438" width="7.7109375" style="1620" customWidth="1"/>
    <col min="7439" max="7439" width="11.85546875" style="1620" bestFit="1" customWidth="1"/>
    <col min="7440" max="7440" width="11.85546875" style="1620" customWidth="1"/>
    <col min="7441" max="7680" width="9.140625" style="1620"/>
    <col min="7681" max="7681" width="7" style="1620" customWidth="1"/>
    <col min="7682" max="7682" width="12.85546875" style="1620" customWidth="1"/>
    <col min="7683" max="7683" width="13.7109375" style="1620" customWidth="1"/>
    <col min="7684" max="7684" width="13.5703125" style="1620" customWidth="1"/>
    <col min="7685" max="7685" width="13.28515625" style="1620" customWidth="1"/>
    <col min="7686" max="7686" width="11.85546875" style="1620" customWidth="1"/>
    <col min="7687" max="7687" width="11.7109375" style="1620" customWidth="1"/>
    <col min="7688" max="7688" width="12.28515625" style="1620" customWidth="1"/>
    <col min="7689" max="7689" width="12.140625" style="1620" customWidth="1"/>
    <col min="7690" max="7690" width="10.28515625" style="1620" customWidth="1"/>
    <col min="7691" max="7691" width="12.5703125" style="1620" customWidth="1"/>
    <col min="7692" max="7692" width="11.85546875" style="1620" customWidth="1"/>
    <col min="7693" max="7693" width="3.42578125" style="1620" customWidth="1"/>
    <col min="7694" max="7694" width="7.7109375" style="1620" customWidth="1"/>
    <col min="7695" max="7695" width="11.85546875" style="1620" bestFit="1" customWidth="1"/>
    <col min="7696" max="7696" width="11.85546875" style="1620" customWidth="1"/>
    <col min="7697" max="7936" width="9.140625" style="1620"/>
    <col min="7937" max="7937" width="7" style="1620" customWidth="1"/>
    <col min="7938" max="7938" width="12.85546875" style="1620" customWidth="1"/>
    <col min="7939" max="7939" width="13.7109375" style="1620" customWidth="1"/>
    <col min="7940" max="7940" width="13.5703125" style="1620" customWidth="1"/>
    <col min="7941" max="7941" width="13.28515625" style="1620" customWidth="1"/>
    <col min="7942" max="7942" width="11.85546875" style="1620" customWidth="1"/>
    <col min="7943" max="7943" width="11.7109375" style="1620" customWidth="1"/>
    <col min="7944" max="7944" width="12.28515625" style="1620" customWidth="1"/>
    <col min="7945" max="7945" width="12.140625" style="1620" customWidth="1"/>
    <col min="7946" max="7946" width="10.28515625" style="1620" customWidth="1"/>
    <col min="7947" max="7947" width="12.5703125" style="1620" customWidth="1"/>
    <col min="7948" max="7948" width="11.85546875" style="1620" customWidth="1"/>
    <col min="7949" max="7949" width="3.42578125" style="1620" customWidth="1"/>
    <col min="7950" max="7950" width="7.7109375" style="1620" customWidth="1"/>
    <col min="7951" max="7951" width="11.85546875" style="1620" bestFit="1" customWidth="1"/>
    <col min="7952" max="7952" width="11.85546875" style="1620" customWidth="1"/>
    <col min="7953" max="8192" width="9.140625" style="1620"/>
    <col min="8193" max="8193" width="7" style="1620" customWidth="1"/>
    <col min="8194" max="8194" width="12.85546875" style="1620" customWidth="1"/>
    <col min="8195" max="8195" width="13.7109375" style="1620" customWidth="1"/>
    <col min="8196" max="8196" width="13.5703125" style="1620" customWidth="1"/>
    <col min="8197" max="8197" width="13.28515625" style="1620" customWidth="1"/>
    <col min="8198" max="8198" width="11.85546875" style="1620" customWidth="1"/>
    <col min="8199" max="8199" width="11.7109375" style="1620" customWidth="1"/>
    <col min="8200" max="8200" width="12.28515625" style="1620" customWidth="1"/>
    <col min="8201" max="8201" width="12.140625" style="1620" customWidth="1"/>
    <col min="8202" max="8202" width="10.28515625" style="1620" customWidth="1"/>
    <col min="8203" max="8203" width="12.5703125" style="1620" customWidth="1"/>
    <col min="8204" max="8204" width="11.85546875" style="1620" customWidth="1"/>
    <col min="8205" max="8205" width="3.42578125" style="1620" customWidth="1"/>
    <col min="8206" max="8206" width="7.7109375" style="1620" customWidth="1"/>
    <col min="8207" max="8207" width="11.85546875" style="1620" bestFit="1" customWidth="1"/>
    <col min="8208" max="8208" width="11.85546875" style="1620" customWidth="1"/>
    <col min="8209" max="8448" width="9.140625" style="1620"/>
    <col min="8449" max="8449" width="7" style="1620" customWidth="1"/>
    <col min="8450" max="8450" width="12.85546875" style="1620" customWidth="1"/>
    <col min="8451" max="8451" width="13.7109375" style="1620" customWidth="1"/>
    <col min="8452" max="8452" width="13.5703125" style="1620" customWidth="1"/>
    <col min="8453" max="8453" width="13.28515625" style="1620" customWidth="1"/>
    <col min="8454" max="8454" width="11.85546875" style="1620" customWidth="1"/>
    <col min="8455" max="8455" width="11.7109375" style="1620" customWidth="1"/>
    <col min="8456" max="8456" width="12.28515625" style="1620" customWidth="1"/>
    <col min="8457" max="8457" width="12.140625" style="1620" customWidth="1"/>
    <col min="8458" max="8458" width="10.28515625" style="1620" customWidth="1"/>
    <col min="8459" max="8459" width="12.5703125" style="1620" customWidth="1"/>
    <col min="8460" max="8460" width="11.85546875" style="1620" customWidth="1"/>
    <col min="8461" max="8461" width="3.42578125" style="1620" customWidth="1"/>
    <col min="8462" max="8462" width="7.7109375" style="1620" customWidth="1"/>
    <col min="8463" max="8463" width="11.85546875" style="1620" bestFit="1" customWidth="1"/>
    <col min="8464" max="8464" width="11.85546875" style="1620" customWidth="1"/>
    <col min="8465" max="8704" width="9.140625" style="1620"/>
    <col min="8705" max="8705" width="7" style="1620" customWidth="1"/>
    <col min="8706" max="8706" width="12.85546875" style="1620" customWidth="1"/>
    <col min="8707" max="8707" width="13.7109375" style="1620" customWidth="1"/>
    <col min="8708" max="8708" width="13.5703125" style="1620" customWidth="1"/>
    <col min="8709" max="8709" width="13.28515625" style="1620" customWidth="1"/>
    <col min="8710" max="8710" width="11.85546875" style="1620" customWidth="1"/>
    <col min="8711" max="8711" width="11.7109375" style="1620" customWidth="1"/>
    <col min="8712" max="8712" width="12.28515625" style="1620" customWidth="1"/>
    <col min="8713" max="8713" width="12.140625" style="1620" customWidth="1"/>
    <col min="8714" max="8714" width="10.28515625" style="1620" customWidth="1"/>
    <col min="8715" max="8715" width="12.5703125" style="1620" customWidth="1"/>
    <col min="8716" max="8716" width="11.85546875" style="1620" customWidth="1"/>
    <col min="8717" max="8717" width="3.42578125" style="1620" customWidth="1"/>
    <col min="8718" max="8718" width="7.7109375" style="1620" customWidth="1"/>
    <col min="8719" max="8719" width="11.85546875" style="1620" bestFit="1" customWidth="1"/>
    <col min="8720" max="8720" width="11.85546875" style="1620" customWidth="1"/>
    <col min="8721" max="8960" width="9.140625" style="1620"/>
    <col min="8961" max="8961" width="7" style="1620" customWidth="1"/>
    <col min="8962" max="8962" width="12.85546875" style="1620" customWidth="1"/>
    <col min="8963" max="8963" width="13.7109375" style="1620" customWidth="1"/>
    <col min="8964" max="8964" width="13.5703125" style="1620" customWidth="1"/>
    <col min="8965" max="8965" width="13.28515625" style="1620" customWidth="1"/>
    <col min="8966" max="8966" width="11.85546875" style="1620" customWidth="1"/>
    <col min="8967" max="8967" width="11.7109375" style="1620" customWidth="1"/>
    <col min="8968" max="8968" width="12.28515625" style="1620" customWidth="1"/>
    <col min="8969" max="8969" width="12.140625" style="1620" customWidth="1"/>
    <col min="8970" max="8970" width="10.28515625" style="1620" customWidth="1"/>
    <col min="8971" max="8971" width="12.5703125" style="1620" customWidth="1"/>
    <col min="8972" max="8972" width="11.85546875" style="1620" customWidth="1"/>
    <col min="8973" max="8973" width="3.42578125" style="1620" customWidth="1"/>
    <col min="8974" max="8974" width="7.7109375" style="1620" customWidth="1"/>
    <col min="8975" max="8975" width="11.85546875" style="1620" bestFit="1" customWidth="1"/>
    <col min="8976" max="8976" width="11.85546875" style="1620" customWidth="1"/>
    <col min="8977" max="9216" width="9.140625" style="1620"/>
    <col min="9217" max="9217" width="7" style="1620" customWidth="1"/>
    <col min="9218" max="9218" width="12.85546875" style="1620" customWidth="1"/>
    <col min="9219" max="9219" width="13.7109375" style="1620" customWidth="1"/>
    <col min="9220" max="9220" width="13.5703125" style="1620" customWidth="1"/>
    <col min="9221" max="9221" width="13.28515625" style="1620" customWidth="1"/>
    <col min="9222" max="9222" width="11.85546875" style="1620" customWidth="1"/>
    <col min="9223" max="9223" width="11.7109375" style="1620" customWidth="1"/>
    <col min="9224" max="9224" width="12.28515625" style="1620" customWidth="1"/>
    <col min="9225" max="9225" width="12.140625" style="1620" customWidth="1"/>
    <col min="9226" max="9226" width="10.28515625" style="1620" customWidth="1"/>
    <col min="9227" max="9227" width="12.5703125" style="1620" customWidth="1"/>
    <col min="9228" max="9228" width="11.85546875" style="1620" customWidth="1"/>
    <col min="9229" max="9229" width="3.42578125" style="1620" customWidth="1"/>
    <col min="9230" max="9230" width="7.7109375" style="1620" customWidth="1"/>
    <col min="9231" max="9231" width="11.85546875" style="1620" bestFit="1" customWidth="1"/>
    <col min="9232" max="9232" width="11.85546875" style="1620" customWidth="1"/>
    <col min="9233" max="9472" width="9.140625" style="1620"/>
    <col min="9473" max="9473" width="7" style="1620" customWidth="1"/>
    <col min="9474" max="9474" width="12.85546875" style="1620" customWidth="1"/>
    <col min="9475" max="9475" width="13.7109375" style="1620" customWidth="1"/>
    <col min="9476" max="9476" width="13.5703125" style="1620" customWidth="1"/>
    <col min="9477" max="9477" width="13.28515625" style="1620" customWidth="1"/>
    <col min="9478" max="9478" width="11.85546875" style="1620" customWidth="1"/>
    <col min="9479" max="9479" width="11.7109375" style="1620" customWidth="1"/>
    <col min="9480" max="9480" width="12.28515625" style="1620" customWidth="1"/>
    <col min="9481" max="9481" width="12.140625" style="1620" customWidth="1"/>
    <col min="9482" max="9482" width="10.28515625" style="1620" customWidth="1"/>
    <col min="9483" max="9483" width="12.5703125" style="1620" customWidth="1"/>
    <col min="9484" max="9484" width="11.85546875" style="1620" customWidth="1"/>
    <col min="9485" max="9485" width="3.42578125" style="1620" customWidth="1"/>
    <col min="9486" max="9486" width="7.7109375" style="1620" customWidth="1"/>
    <col min="9487" max="9487" width="11.85546875" style="1620" bestFit="1" customWidth="1"/>
    <col min="9488" max="9488" width="11.85546875" style="1620" customWidth="1"/>
    <col min="9489" max="9728" width="9.140625" style="1620"/>
    <col min="9729" max="9729" width="7" style="1620" customWidth="1"/>
    <col min="9730" max="9730" width="12.85546875" style="1620" customWidth="1"/>
    <col min="9731" max="9731" width="13.7109375" style="1620" customWidth="1"/>
    <col min="9732" max="9732" width="13.5703125" style="1620" customWidth="1"/>
    <col min="9733" max="9733" width="13.28515625" style="1620" customWidth="1"/>
    <col min="9734" max="9734" width="11.85546875" style="1620" customWidth="1"/>
    <col min="9735" max="9735" width="11.7109375" style="1620" customWidth="1"/>
    <col min="9736" max="9736" width="12.28515625" style="1620" customWidth="1"/>
    <col min="9737" max="9737" width="12.140625" style="1620" customWidth="1"/>
    <col min="9738" max="9738" width="10.28515625" style="1620" customWidth="1"/>
    <col min="9739" max="9739" width="12.5703125" style="1620" customWidth="1"/>
    <col min="9740" max="9740" width="11.85546875" style="1620" customWidth="1"/>
    <col min="9741" max="9741" width="3.42578125" style="1620" customWidth="1"/>
    <col min="9742" max="9742" width="7.7109375" style="1620" customWidth="1"/>
    <col min="9743" max="9743" width="11.85546875" style="1620" bestFit="1" customWidth="1"/>
    <col min="9744" max="9744" width="11.85546875" style="1620" customWidth="1"/>
    <col min="9745" max="9984" width="9.140625" style="1620"/>
    <col min="9985" max="9985" width="7" style="1620" customWidth="1"/>
    <col min="9986" max="9986" width="12.85546875" style="1620" customWidth="1"/>
    <col min="9987" max="9987" width="13.7109375" style="1620" customWidth="1"/>
    <col min="9988" max="9988" width="13.5703125" style="1620" customWidth="1"/>
    <col min="9989" max="9989" width="13.28515625" style="1620" customWidth="1"/>
    <col min="9990" max="9990" width="11.85546875" style="1620" customWidth="1"/>
    <col min="9991" max="9991" width="11.7109375" style="1620" customWidth="1"/>
    <col min="9992" max="9992" width="12.28515625" style="1620" customWidth="1"/>
    <col min="9993" max="9993" width="12.140625" style="1620" customWidth="1"/>
    <col min="9994" max="9994" width="10.28515625" style="1620" customWidth="1"/>
    <col min="9995" max="9995" width="12.5703125" style="1620" customWidth="1"/>
    <col min="9996" max="9996" width="11.85546875" style="1620" customWidth="1"/>
    <col min="9997" max="9997" width="3.42578125" style="1620" customWidth="1"/>
    <col min="9998" max="9998" width="7.7109375" style="1620" customWidth="1"/>
    <col min="9999" max="9999" width="11.85546875" style="1620" bestFit="1" customWidth="1"/>
    <col min="10000" max="10000" width="11.85546875" style="1620" customWidth="1"/>
    <col min="10001" max="10240" width="9.140625" style="1620"/>
    <col min="10241" max="10241" width="7" style="1620" customWidth="1"/>
    <col min="10242" max="10242" width="12.85546875" style="1620" customWidth="1"/>
    <col min="10243" max="10243" width="13.7109375" style="1620" customWidth="1"/>
    <col min="10244" max="10244" width="13.5703125" style="1620" customWidth="1"/>
    <col min="10245" max="10245" width="13.28515625" style="1620" customWidth="1"/>
    <col min="10246" max="10246" width="11.85546875" style="1620" customWidth="1"/>
    <col min="10247" max="10247" width="11.7109375" style="1620" customWidth="1"/>
    <col min="10248" max="10248" width="12.28515625" style="1620" customWidth="1"/>
    <col min="10249" max="10249" width="12.140625" style="1620" customWidth="1"/>
    <col min="10250" max="10250" width="10.28515625" style="1620" customWidth="1"/>
    <col min="10251" max="10251" width="12.5703125" style="1620" customWidth="1"/>
    <col min="10252" max="10252" width="11.85546875" style="1620" customWidth="1"/>
    <col min="10253" max="10253" width="3.42578125" style="1620" customWidth="1"/>
    <col min="10254" max="10254" width="7.7109375" style="1620" customWidth="1"/>
    <col min="10255" max="10255" width="11.85546875" style="1620" bestFit="1" customWidth="1"/>
    <col min="10256" max="10256" width="11.85546875" style="1620" customWidth="1"/>
    <col min="10257" max="10496" width="9.140625" style="1620"/>
    <col min="10497" max="10497" width="7" style="1620" customWidth="1"/>
    <col min="10498" max="10498" width="12.85546875" style="1620" customWidth="1"/>
    <col min="10499" max="10499" width="13.7109375" style="1620" customWidth="1"/>
    <col min="10500" max="10500" width="13.5703125" style="1620" customWidth="1"/>
    <col min="10501" max="10501" width="13.28515625" style="1620" customWidth="1"/>
    <col min="10502" max="10502" width="11.85546875" style="1620" customWidth="1"/>
    <col min="10503" max="10503" width="11.7109375" style="1620" customWidth="1"/>
    <col min="10504" max="10504" width="12.28515625" style="1620" customWidth="1"/>
    <col min="10505" max="10505" width="12.140625" style="1620" customWidth="1"/>
    <col min="10506" max="10506" width="10.28515625" style="1620" customWidth="1"/>
    <col min="10507" max="10507" width="12.5703125" style="1620" customWidth="1"/>
    <col min="10508" max="10508" width="11.85546875" style="1620" customWidth="1"/>
    <col min="10509" max="10509" width="3.42578125" style="1620" customWidth="1"/>
    <col min="10510" max="10510" width="7.7109375" style="1620" customWidth="1"/>
    <col min="10511" max="10511" width="11.85546875" style="1620" bestFit="1" customWidth="1"/>
    <col min="10512" max="10512" width="11.85546875" style="1620" customWidth="1"/>
    <col min="10513" max="10752" width="9.140625" style="1620"/>
    <col min="10753" max="10753" width="7" style="1620" customWidth="1"/>
    <col min="10754" max="10754" width="12.85546875" style="1620" customWidth="1"/>
    <col min="10755" max="10755" width="13.7109375" style="1620" customWidth="1"/>
    <col min="10756" max="10756" width="13.5703125" style="1620" customWidth="1"/>
    <col min="10757" max="10757" width="13.28515625" style="1620" customWidth="1"/>
    <col min="10758" max="10758" width="11.85546875" style="1620" customWidth="1"/>
    <col min="10759" max="10759" width="11.7109375" style="1620" customWidth="1"/>
    <col min="10760" max="10760" width="12.28515625" style="1620" customWidth="1"/>
    <col min="10761" max="10761" width="12.140625" style="1620" customWidth="1"/>
    <col min="10762" max="10762" width="10.28515625" style="1620" customWidth="1"/>
    <col min="10763" max="10763" width="12.5703125" style="1620" customWidth="1"/>
    <col min="10764" max="10764" width="11.85546875" style="1620" customWidth="1"/>
    <col min="10765" max="10765" width="3.42578125" style="1620" customWidth="1"/>
    <col min="10766" max="10766" width="7.7109375" style="1620" customWidth="1"/>
    <col min="10767" max="10767" width="11.85546875" style="1620" bestFit="1" customWidth="1"/>
    <col min="10768" max="10768" width="11.85546875" style="1620" customWidth="1"/>
    <col min="10769" max="11008" width="9.140625" style="1620"/>
    <col min="11009" max="11009" width="7" style="1620" customWidth="1"/>
    <col min="11010" max="11010" width="12.85546875" style="1620" customWidth="1"/>
    <col min="11011" max="11011" width="13.7109375" style="1620" customWidth="1"/>
    <col min="11012" max="11012" width="13.5703125" style="1620" customWidth="1"/>
    <col min="11013" max="11013" width="13.28515625" style="1620" customWidth="1"/>
    <col min="11014" max="11014" width="11.85546875" style="1620" customWidth="1"/>
    <col min="11015" max="11015" width="11.7109375" style="1620" customWidth="1"/>
    <col min="11016" max="11016" width="12.28515625" style="1620" customWidth="1"/>
    <col min="11017" max="11017" width="12.140625" style="1620" customWidth="1"/>
    <col min="11018" max="11018" width="10.28515625" style="1620" customWidth="1"/>
    <col min="11019" max="11019" width="12.5703125" style="1620" customWidth="1"/>
    <col min="11020" max="11020" width="11.85546875" style="1620" customWidth="1"/>
    <col min="11021" max="11021" width="3.42578125" style="1620" customWidth="1"/>
    <col min="11022" max="11022" width="7.7109375" style="1620" customWidth="1"/>
    <col min="11023" max="11023" width="11.85546875" style="1620" bestFit="1" customWidth="1"/>
    <col min="11024" max="11024" width="11.85546875" style="1620" customWidth="1"/>
    <col min="11025" max="11264" width="9.140625" style="1620"/>
    <col min="11265" max="11265" width="7" style="1620" customWidth="1"/>
    <col min="11266" max="11266" width="12.85546875" style="1620" customWidth="1"/>
    <col min="11267" max="11267" width="13.7109375" style="1620" customWidth="1"/>
    <col min="11268" max="11268" width="13.5703125" style="1620" customWidth="1"/>
    <col min="11269" max="11269" width="13.28515625" style="1620" customWidth="1"/>
    <col min="11270" max="11270" width="11.85546875" style="1620" customWidth="1"/>
    <col min="11271" max="11271" width="11.7109375" style="1620" customWidth="1"/>
    <col min="11272" max="11272" width="12.28515625" style="1620" customWidth="1"/>
    <col min="11273" max="11273" width="12.140625" style="1620" customWidth="1"/>
    <col min="11274" max="11274" width="10.28515625" style="1620" customWidth="1"/>
    <col min="11275" max="11275" width="12.5703125" style="1620" customWidth="1"/>
    <col min="11276" max="11276" width="11.85546875" style="1620" customWidth="1"/>
    <col min="11277" max="11277" width="3.42578125" style="1620" customWidth="1"/>
    <col min="11278" max="11278" width="7.7109375" style="1620" customWidth="1"/>
    <col min="11279" max="11279" width="11.85546875" style="1620" bestFit="1" customWidth="1"/>
    <col min="11280" max="11280" width="11.85546875" style="1620" customWidth="1"/>
    <col min="11281" max="11520" width="9.140625" style="1620"/>
    <col min="11521" max="11521" width="7" style="1620" customWidth="1"/>
    <col min="11522" max="11522" width="12.85546875" style="1620" customWidth="1"/>
    <col min="11523" max="11523" width="13.7109375" style="1620" customWidth="1"/>
    <col min="11524" max="11524" width="13.5703125" style="1620" customWidth="1"/>
    <col min="11525" max="11525" width="13.28515625" style="1620" customWidth="1"/>
    <col min="11526" max="11526" width="11.85546875" style="1620" customWidth="1"/>
    <col min="11527" max="11527" width="11.7109375" style="1620" customWidth="1"/>
    <col min="11528" max="11528" width="12.28515625" style="1620" customWidth="1"/>
    <col min="11529" max="11529" width="12.140625" style="1620" customWidth="1"/>
    <col min="11530" max="11530" width="10.28515625" style="1620" customWidth="1"/>
    <col min="11531" max="11531" width="12.5703125" style="1620" customWidth="1"/>
    <col min="11532" max="11532" width="11.85546875" style="1620" customWidth="1"/>
    <col min="11533" max="11533" width="3.42578125" style="1620" customWidth="1"/>
    <col min="11534" max="11534" width="7.7109375" style="1620" customWidth="1"/>
    <col min="11535" max="11535" width="11.85546875" style="1620" bestFit="1" customWidth="1"/>
    <col min="11536" max="11536" width="11.85546875" style="1620" customWidth="1"/>
    <col min="11537" max="11776" width="9.140625" style="1620"/>
    <col min="11777" max="11777" width="7" style="1620" customWidth="1"/>
    <col min="11778" max="11778" width="12.85546875" style="1620" customWidth="1"/>
    <col min="11779" max="11779" width="13.7109375" style="1620" customWidth="1"/>
    <col min="11780" max="11780" width="13.5703125" style="1620" customWidth="1"/>
    <col min="11781" max="11781" width="13.28515625" style="1620" customWidth="1"/>
    <col min="11782" max="11782" width="11.85546875" style="1620" customWidth="1"/>
    <col min="11783" max="11783" width="11.7109375" style="1620" customWidth="1"/>
    <col min="11784" max="11784" width="12.28515625" style="1620" customWidth="1"/>
    <col min="11785" max="11785" width="12.140625" style="1620" customWidth="1"/>
    <col min="11786" max="11786" width="10.28515625" style="1620" customWidth="1"/>
    <col min="11787" max="11787" width="12.5703125" style="1620" customWidth="1"/>
    <col min="11788" max="11788" width="11.85546875" style="1620" customWidth="1"/>
    <col min="11789" max="11789" width="3.42578125" style="1620" customWidth="1"/>
    <col min="11790" max="11790" width="7.7109375" style="1620" customWidth="1"/>
    <col min="11791" max="11791" width="11.85546875" style="1620" bestFit="1" customWidth="1"/>
    <col min="11792" max="11792" width="11.85546875" style="1620" customWidth="1"/>
    <col min="11793" max="12032" width="9.140625" style="1620"/>
    <col min="12033" max="12033" width="7" style="1620" customWidth="1"/>
    <col min="12034" max="12034" width="12.85546875" style="1620" customWidth="1"/>
    <col min="12035" max="12035" width="13.7109375" style="1620" customWidth="1"/>
    <col min="12036" max="12036" width="13.5703125" style="1620" customWidth="1"/>
    <col min="12037" max="12037" width="13.28515625" style="1620" customWidth="1"/>
    <col min="12038" max="12038" width="11.85546875" style="1620" customWidth="1"/>
    <col min="12039" max="12039" width="11.7109375" style="1620" customWidth="1"/>
    <col min="12040" max="12040" width="12.28515625" style="1620" customWidth="1"/>
    <col min="12041" max="12041" width="12.140625" style="1620" customWidth="1"/>
    <col min="12042" max="12042" width="10.28515625" style="1620" customWidth="1"/>
    <col min="12043" max="12043" width="12.5703125" style="1620" customWidth="1"/>
    <col min="12044" max="12044" width="11.85546875" style="1620" customWidth="1"/>
    <col min="12045" max="12045" width="3.42578125" style="1620" customWidth="1"/>
    <col min="12046" max="12046" width="7.7109375" style="1620" customWidth="1"/>
    <col min="12047" max="12047" width="11.85546875" style="1620" bestFit="1" customWidth="1"/>
    <col min="12048" max="12048" width="11.85546875" style="1620" customWidth="1"/>
    <col min="12049" max="12288" width="9.140625" style="1620"/>
    <col min="12289" max="12289" width="7" style="1620" customWidth="1"/>
    <col min="12290" max="12290" width="12.85546875" style="1620" customWidth="1"/>
    <col min="12291" max="12291" width="13.7109375" style="1620" customWidth="1"/>
    <col min="12292" max="12292" width="13.5703125" style="1620" customWidth="1"/>
    <col min="12293" max="12293" width="13.28515625" style="1620" customWidth="1"/>
    <col min="12294" max="12294" width="11.85546875" style="1620" customWidth="1"/>
    <col min="12295" max="12295" width="11.7109375" style="1620" customWidth="1"/>
    <col min="12296" max="12296" width="12.28515625" style="1620" customWidth="1"/>
    <col min="12297" max="12297" width="12.140625" style="1620" customWidth="1"/>
    <col min="12298" max="12298" width="10.28515625" style="1620" customWidth="1"/>
    <col min="12299" max="12299" width="12.5703125" style="1620" customWidth="1"/>
    <col min="12300" max="12300" width="11.85546875" style="1620" customWidth="1"/>
    <col min="12301" max="12301" width="3.42578125" style="1620" customWidth="1"/>
    <col min="12302" max="12302" width="7.7109375" style="1620" customWidth="1"/>
    <col min="12303" max="12303" width="11.85546875" style="1620" bestFit="1" customWidth="1"/>
    <col min="12304" max="12304" width="11.85546875" style="1620" customWidth="1"/>
    <col min="12305" max="12544" width="9.140625" style="1620"/>
    <col min="12545" max="12545" width="7" style="1620" customWidth="1"/>
    <col min="12546" max="12546" width="12.85546875" style="1620" customWidth="1"/>
    <col min="12547" max="12547" width="13.7109375" style="1620" customWidth="1"/>
    <col min="12548" max="12548" width="13.5703125" style="1620" customWidth="1"/>
    <col min="12549" max="12549" width="13.28515625" style="1620" customWidth="1"/>
    <col min="12550" max="12550" width="11.85546875" style="1620" customWidth="1"/>
    <col min="12551" max="12551" width="11.7109375" style="1620" customWidth="1"/>
    <col min="12552" max="12552" width="12.28515625" style="1620" customWidth="1"/>
    <col min="12553" max="12553" width="12.140625" style="1620" customWidth="1"/>
    <col min="12554" max="12554" width="10.28515625" style="1620" customWidth="1"/>
    <col min="12555" max="12555" width="12.5703125" style="1620" customWidth="1"/>
    <col min="12556" max="12556" width="11.85546875" style="1620" customWidth="1"/>
    <col min="12557" max="12557" width="3.42578125" style="1620" customWidth="1"/>
    <col min="12558" max="12558" width="7.7109375" style="1620" customWidth="1"/>
    <col min="12559" max="12559" width="11.85546875" style="1620" bestFit="1" customWidth="1"/>
    <col min="12560" max="12560" width="11.85546875" style="1620" customWidth="1"/>
    <col min="12561" max="12800" width="9.140625" style="1620"/>
    <col min="12801" max="12801" width="7" style="1620" customWidth="1"/>
    <col min="12802" max="12802" width="12.85546875" style="1620" customWidth="1"/>
    <col min="12803" max="12803" width="13.7109375" style="1620" customWidth="1"/>
    <col min="12804" max="12804" width="13.5703125" style="1620" customWidth="1"/>
    <col min="12805" max="12805" width="13.28515625" style="1620" customWidth="1"/>
    <col min="12806" max="12806" width="11.85546875" style="1620" customWidth="1"/>
    <col min="12807" max="12807" width="11.7109375" style="1620" customWidth="1"/>
    <col min="12808" max="12808" width="12.28515625" style="1620" customWidth="1"/>
    <col min="12809" max="12809" width="12.140625" style="1620" customWidth="1"/>
    <col min="12810" max="12810" width="10.28515625" style="1620" customWidth="1"/>
    <col min="12811" max="12811" width="12.5703125" style="1620" customWidth="1"/>
    <col min="12812" max="12812" width="11.85546875" style="1620" customWidth="1"/>
    <col min="12813" max="12813" width="3.42578125" style="1620" customWidth="1"/>
    <col min="12814" max="12814" width="7.7109375" style="1620" customWidth="1"/>
    <col min="12815" max="12815" width="11.85546875" style="1620" bestFit="1" customWidth="1"/>
    <col min="12816" max="12816" width="11.85546875" style="1620" customWidth="1"/>
    <col min="12817" max="13056" width="9.140625" style="1620"/>
    <col min="13057" max="13057" width="7" style="1620" customWidth="1"/>
    <col min="13058" max="13058" width="12.85546875" style="1620" customWidth="1"/>
    <col min="13059" max="13059" width="13.7109375" style="1620" customWidth="1"/>
    <col min="13060" max="13060" width="13.5703125" style="1620" customWidth="1"/>
    <col min="13061" max="13061" width="13.28515625" style="1620" customWidth="1"/>
    <col min="13062" max="13062" width="11.85546875" style="1620" customWidth="1"/>
    <col min="13063" max="13063" width="11.7109375" style="1620" customWidth="1"/>
    <col min="13064" max="13064" width="12.28515625" style="1620" customWidth="1"/>
    <col min="13065" max="13065" width="12.140625" style="1620" customWidth="1"/>
    <col min="13066" max="13066" width="10.28515625" style="1620" customWidth="1"/>
    <col min="13067" max="13067" width="12.5703125" style="1620" customWidth="1"/>
    <col min="13068" max="13068" width="11.85546875" style="1620" customWidth="1"/>
    <col min="13069" max="13069" width="3.42578125" style="1620" customWidth="1"/>
    <col min="13070" max="13070" width="7.7109375" style="1620" customWidth="1"/>
    <col min="13071" max="13071" width="11.85546875" style="1620" bestFit="1" customWidth="1"/>
    <col min="13072" max="13072" width="11.85546875" style="1620" customWidth="1"/>
    <col min="13073" max="13312" width="9.140625" style="1620"/>
    <col min="13313" max="13313" width="7" style="1620" customWidth="1"/>
    <col min="13314" max="13314" width="12.85546875" style="1620" customWidth="1"/>
    <col min="13315" max="13315" width="13.7109375" style="1620" customWidth="1"/>
    <col min="13316" max="13316" width="13.5703125" style="1620" customWidth="1"/>
    <col min="13317" max="13317" width="13.28515625" style="1620" customWidth="1"/>
    <col min="13318" max="13318" width="11.85546875" style="1620" customWidth="1"/>
    <col min="13319" max="13319" width="11.7109375" style="1620" customWidth="1"/>
    <col min="13320" max="13320" width="12.28515625" style="1620" customWidth="1"/>
    <col min="13321" max="13321" width="12.140625" style="1620" customWidth="1"/>
    <col min="13322" max="13322" width="10.28515625" style="1620" customWidth="1"/>
    <col min="13323" max="13323" width="12.5703125" style="1620" customWidth="1"/>
    <col min="13324" max="13324" width="11.85546875" style="1620" customWidth="1"/>
    <col min="13325" max="13325" width="3.42578125" style="1620" customWidth="1"/>
    <col min="13326" max="13326" width="7.7109375" style="1620" customWidth="1"/>
    <col min="13327" max="13327" width="11.85546875" style="1620" bestFit="1" customWidth="1"/>
    <col min="13328" max="13328" width="11.85546875" style="1620" customWidth="1"/>
    <col min="13329" max="13568" width="9.140625" style="1620"/>
    <col min="13569" max="13569" width="7" style="1620" customWidth="1"/>
    <col min="13570" max="13570" width="12.85546875" style="1620" customWidth="1"/>
    <col min="13571" max="13571" width="13.7109375" style="1620" customWidth="1"/>
    <col min="13572" max="13572" width="13.5703125" style="1620" customWidth="1"/>
    <col min="13573" max="13573" width="13.28515625" style="1620" customWidth="1"/>
    <col min="13574" max="13574" width="11.85546875" style="1620" customWidth="1"/>
    <col min="13575" max="13575" width="11.7109375" style="1620" customWidth="1"/>
    <col min="13576" max="13576" width="12.28515625" style="1620" customWidth="1"/>
    <col min="13577" max="13577" width="12.140625" style="1620" customWidth="1"/>
    <col min="13578" max="13578" width="10.28515625" style="1620" customWidth="1"/>
    <col min="13579" max="13579" width="12.5703125" style="1620" customWidth="1"/>
    <col min="13580" max="13580" width="11.85546875" style="1620" customWidth="1"/>
    <col min="13581" max="13581" width="3.42578125" style="1620" customWidth="1"/>
    <col min="13582" max="13582" width="7.7109375" style="1620" customWidth="1"/>
    <col min="13583" max="13583" width="11.85546875" style="1620" bestFit="1" customWidth="1"/>
    <col min="13584" max="13584" width="11.85546875" style="1620" customWidth="1"/>
    <col min="13585" max="13824" width="9.140625" style="1620"/>
    <col min="13825" max="13825" width="7" style="1620" customWidth="1"/>
    <col min="13826" max="13826" width="12.85546875" style="1620" customWidth="1"/>
    <col min="13827" max="13827" width="13.7109375" style="1620" customWidth="1"/>
    <col min="13828" max="13828" width="13.5703125" style="1620" customWidth="1"/>
    <col min="13829" max="13829" width="13.28515625" style="1620" customWidth="1"/>
    <col min="13830" max="13830" width="11.85546875" style="1620" customWidth="1"/>
    <col min="13831" max="13831" width="11.7109375" style="1620" customWidth="1"/>
    <col min="13832" max="13832" width="12.28515625" style="1620" customWidth="1"/>
    <col min="13833" max="13833" width="12.140625" style="1620" customWidth="1"/>
    <col min="13834" max="13834" width="10.28515625" style="1620" customWidth="1"/>
    <col min="13835" max="13835" width="12.5703125" style="1620" customWidth="1"/>
    <col min="13836" max="13836" width="11.85546875" style="1620" customWidth="1"/>
    <col min="13837" max="13837" width="3.42578125" style="1620" customWidth="1"/>
    <col min="13838" max="13838" width="7.7109375" style="1620" customWidth="1"/>
    <col min="13839" max="13839" width="11.85546875" style="1620" bestFit="1" customWidth="1"/>
    <col min="13840" max="13840" width="11.85546875" style="1620" customWidth="1"/>
    <col min="13841" max="14080" width="9.140625" style="1620"/>
    <col min="14081" max="14081" width="7" style="1620" customWidth="1"/>
    <col min="14082" max="14082" width="12.85546875" style="1620" customWidth="1"/>
    <col min="14083" max="14083" width="13.7109375" style="1620" customWidth="1"/>
    <col min="14084" max="14084" width="13.5703125" style="1620" customWidth="1"/>
    <col min="14085" max="14085" width="13.28515625" style="1620" customWidth="1"/>
    <col min="14086" max="14086" width="11.85546875" style="1620" customWidth="1"/>
    <col min="14087" max="14087" width="11.7109375" style="1620" customWidth="1"/>
    <col min="14088" max="14088" width="12.28515625" style="1620" customWidth="1"/>
    <col min="14089" max="14089" width="12.140625" style="1620" customWidth="1"/>
    <col min="14090" max="14090" width="10.28515625" style="1620" customWidth="1"/>
    <col min="14091" max="14091" width="12.5703125" style="1620" customWidth="1"/>
    <col min="14092" max="14092" width="11.85546875" style="1620" customWidth="1"/>
    <col min="14093" max="14093" width="3.42578125" style="1620" customWidth="1"/>
    <col min="14094" max="14094" width="7.7109375" style="1620" customWidth="1"/>
    <col min="14095" max="14095" width="11.85546875" style="1620" bestFit="1" customWidth="1"/>
    <col min="14096" max="14096" width="11.85546875" style="1620" customWidth="1"/>
    <col min="14097" max="14336" width="9.140625" style="1620"/>
    <col min="14337" max="14337" width="7" style="1620" customWidth="1"/>
    <col min="14338" max="14338" width="12.85546875" style="1620" customWidth="1"/>
    <col min="14339" max="14339" width="13.7109375" style="1620" customWidth="1"/>
    <col min="14340" max="14340" width="13.5703125" style="1620" customWidth="1"/>
    <col min="14341" max="14341" width="13.28515625" style="1620" customWidth="1"/>
    <col min="14342" max="14342" width="11.85546875" style="1620" customWidth="1"/>
    <col min="14343" max="14343" width="11.7109375" style="1620" customWidth="1"/>
    <col min="14344" max="14344" width="12.28515625" style="1620" customWidth="1"/>
    <col min="14345" max="14345" width="12.140625" style="1620" customWidth="1"/>
    <col min="14346" max="14346" width="10.28515625" style="1620" customWidth="1"/>
    <col min="14347" max="14347" width="12.5703125" style="1620" customWidth="1"/>
    <col min="14348" max="14348" width="11.85546875" style="1620" customWidth="1"/>
    <col min="14349" max="14349" width="3.42578125" style="1620" customWidth="1"/>
    <col min="14350" max="14350" width="7.7109375" style="1620" customWidth="1"/>
    <col min="14351" max="14351" width="11.85546875" style="1620" bestFit="1" customWidth="1"/>
    <col min="14352" max="14352" width="11.85546875" style="1620" customWidth="1"/>
    <col min="14353" max="14592" width="9.140625" style="1620"/>
    <col min="14593" max="14593" width="7" style="1620" customWidth="1"/>
    <col min="14594" max="14594" width="12.85546875" style="1620" customWidth="1"/>
    <col min="14595" max="14595" width="13.7109375" style="1620" customWidth="1"/>
    <col min="14596" max="14596" width="13.5703125" style="1620" customWidth="1"/>
    <col min="14597" max="14597" width="13.28515625" style="1620" customWidth="1"/>
    <col min="14598" max="14598" width="11.85546875" style="1620" customWidth="1"/>
    <col min="14599" max="14599" width="11.7109375" style="1620" customWidth="1"/>
    <col min="14600" max="14600" width="12.28515625" style="1620" customWidth="1"/>
    <col min="14601" max="14601" width="12.140625" style="1620" customWidth="1"/>
    <col min="14602" max="14602" width="10.28515625" style="1620" customWidth="1"/>
    <col min="14603" max="14603" width="12.5703125" style="1620" customWidth="1"/>
    <col min="14604" max="14604" width="11.85546875" style="1620" customWidth="1"/>
    <col min="14605" max="14605" width="3.42578125" style="1620" customWidth="1"/>
    <col min="14606" max="14606" width="7.7109375" style="1620" customWidth="1"/>
    <col min="14607" max="14607" width="11.85546875" style="1620" bestFit="1" customWidth="1"/>
    <col min="14608" max="14608" width="11.85546875" style="1620" customWidth="1"/>
    <col min="14609" max="14848" width="9.140625" style="1620"/>
    <col min="14849" max="14849" width="7" style="1620" customWidth="1"/>
    <col min="14850" max="14850" width="12.85546875" style="1620" customWidth="1"/>
    <col min="14851" max="14851" width="13.7109375" style="1620" customWidth="1"/>
    <col min="14852" max="14852" width="13.5703125" style="1620" customWidth="1"/>
    <col min="14853" max="14853" width="13.28515625" style="1620" customWidth="1"/>
    <col min="14854" max="14854" width="11.85546875" style="1620" customWidth="1"/>
    <col min="14855" max="14855" width="11.7109375" style="1620" customWidth="1"/>
    <col min="14856" max="14856" width="12.28515625" style="1620" customWidth="1"/>
    <col min="14857" max="14857" width="12.140625" style="1620" customWidth="1"/>
    <col min="14858" max="14858" width="10.28515625" style="1620" customWidth="1"/>
    <col min="14859" max="14859" width="12.5703125" style="1620" customWidth="1"/>
    <col min="14860" max="14860" width="11.85546875" style="1620" customWidth="1"/>
    <col min="14861" max="14861" width="3.42578125" style="1620" customWidth="1"/>
    <col min="14862" max="14862" width="7.7109375" style="1620" customWidth="1"/>
    <col min="14863" max="14863" width="11.85546875" style="1620" bestFit="1" customWidth="1"/>
    <col min="14864" max="14864" width="11.85546875" style="1620" customWidth="1"/>
    <col min="14865" max="15104" width="9.140625" style="1620"/>
    <col min="15105" max="15105" width="7" style="1620" customWidth="1"/>
    <col min="15106" max="15106" width="12.85546875" style="1620" customWidth="1"/>
    <col min="15107" max="15107" width="13.7109375" style="1620" customWidth="1"/>
    <col min="15108" max="15108" width="13.5703125" style="1620" customWidth="1"/>
    <col min="15109" max="15109" width="13.28515625" style="1620" customWidth="1"/>
    <col min="15110" max="15110" width="11.85546875" style="1620" customWidth="1"/>
    <col min="15111" max="15111" width="11.7109375" style="1620" customWidth="1"/>
    <col min="15112" max="15112" width="12.28515625" style="1620" customWidth="1"/>
    <col min="15113" max="15113" width="12.140625" style="1620" customWidth="1"/>
    <col min="15114" max="15114" width="10.28515625" style="1620" customWidth="1"/>
    <col min="15115" max="15115" width="12.5703125" style="1620" customWidth="1"/>
    <col min="15116" max="15116" width="11.85546875" style="1620" customWidth="1"/>
    <col min="15117" max="15117" width="3.42578125" style="1620" customWidth="1"/>
    <col min="15118" max="15118" width="7.7109375" style="1620" customWidth="1"/>
    <col min="15119" max="15119" width="11.85546875" style="1620" bestFit="1" customWidth="1"/>
    <col min="15120" max="15120" width="11.85546875" style="1620" customWidth="1"/>
    <col min="15121" max="15360" width="9.140625" style="1620"/>
    <col min="15361" max="15361" width="7" style="1620" customWidth="1"/>
    <col min="15362" max="15362" width="12.85546875" style="1620" customWidth="1"/>
    <col min="15363" max="15363" width="13.7109375" style="1620" customWidth="1"/>
    <col min="15364" max="15364" width="13.5703125" style="1620" customWidth="1"/>
    <col min="15365" max="15365" width="13.28515625" style="1620" customWidth="1"/>
    <col min="15366" max="15366" width="11.85546875" style="1620" customWidth="1"/>
    <col min="15367" max="15367" width="11.7109375" style="1620" customWidth="1"/>
    <col min="15368" max="15368" width="12.28515625" style="1620" customWidth="1"/>
    <col min="15369" max="15369" width="12.140625" style="1620" customWidth="1"/>
    <col min="15370" max="15370" width="10.28515625" style="1620" customWidth="1"/>
    <col min="15371" max="15371" width="12.5703125" style="1620" customWidth="1"/>
    <col min="15372" max="15372" width="11.85546875" style="1620" customWidth="1"/>
    <col min="15373" max="15373" width="3.42578125" style="1620" customWidth="1"/>
    <col min="15374" max="15374" width="7.7109375" style="1620" customWidth="1"/>
    <col min="15375" max="15375" width="11.85546875" style="1620" bestFit="1" customWidth="1"/>
    <col min="15376" max="15376" width="11.85546875" style="1620" customWidth="1"/>
    <col min="15377" max="15616" width="9.140625" style="1620"/>
    <col min="15617" max="15617" width="7" style="1620" customWidth="1"/>
    <col min="15618" max="15618" width="12.85546875" style="1620" customWidth="1"/>
    <col min="15619" max="15619" width="13.7109375" style="1620" customWidth="1"/>
    <col min="15620" max="15620" width="13.5703125" style="1620" customWidth="1"/>
    <col min="15621" max="15621" width="13.28515625" style="1620" customWidth="1"/>
    <col min="15622" max="15622" width="11.85546875" style="1620" customWidth="1"/>
    <col min="15623" max="15623" width="11.7109375" style="1620" customWidth="1"/>
    <col min="15624" max="15624" width="12.28515625" style="1620" customWidth="1"/>
    <col min="15625" max="15625" width="12.140625" style="1620" customWidth="1"/>
    <col min="15626" max="15626" width="10.28515625" style="1620" customWidth="1"/>
    <col min="15627" max="15627" width="12.5703125" style="1620" customWidth="1"/>
    <col min="15628" max="15628" width="11.85546875" style="1620" customWidth="1"/>
    <col min="15629" max="15629" width="3.42578125" style="1620" customWidth="1"/>
    <col min="15630" max="15630" width="7.7109375" style="1620" customWidth="1"/>
    <col min="15631" max="15631" width="11.85546875" style="1620" bestFit="1" customWidth="1"/>
    <col min="15632" max="15632" width="11.85546875" style="1620" customWidth="1"/>
    <col min="15633" max="15872" width="9.140625" style="1620"/>
    <col min="15873" max="15873" width="7" style="1620" customWidth="1"/>
    <col min="15874" max="15874" width="12.85546875" style="1620" customWidth="1"/>
    <col min="15875" max="15875" width="13.7109375" style="1620" customWidth="1"/>
    <col min="15876" max="15876" width="13.5703125" style="1620" customWidth="1"/>
    <col min="15877" max="15877" width="13.28515625" style="1620" customWidth="1"/>
    <col min="15878" max="15878" width="11.85546875" style="1620" customWidth="1"/>
    <col min="15879" max="15879" width="11.7109375" style="1620" customWidth="1"/>
    <col min="15880" max="15880" width="12.28515625" style="1620" customWidth="1"/>
    <col min="15881" max="15881" width="12.140625" style="1620" customWidth="1"/>
    <col min="15882" max="15882" width="10.28515625" style="1620" customWidth="1"/>
    <col min="15883" max="15883" width="12.5703125" style="1620" customWidth="1"/>
    <col min="15884" max="15884" width="11.85546875" style="1620" customWidth="1"/>
    <col min="15885" max="15885" width="3.42578125" style="1620" customWidth="1"/>
    <col min="15886" max="15886" width="7.7109375" style="1620" customWidth="1"/>
    <col min="15887" max="15887" width="11.85546875" style="1620" bestFit="1" customWidth="1"/>
    <col min="15888" max="15888" width="11.85546875" style="1620" customWidth="1"/>
    <col min="15889" max="16128" width="9.140625" style="1620"/>
    <col min="16129" max="16129" width="7" style="1620" customWidth="1"/>
    <col min="16130" max="16130" width="12.85546875" style="1620" customWidth="1"/>
    <col min="16131" max="16131" width="13.7109375" style="1620" customWidth="1"/>
    <col min="16132" max="16132" width="13.5703125" style="1620" customWidth="1"/>
    <col min="16133" max="16133" width="13.28515625" style="1620" customWidth="1"/>
    <col min="16134" max="16134" width="11.85546875" style="1620" customWidth="1"/>
    <col min="16135" max="16135" width="11.7109375" style="1620" customWidth="1"/>
    <col min="16136" max="16136" width="12.28515625" style="1620" customWidth="1"/>
    <col min="16137" max="16137" width="12.140625" style="1620" customWidth="1"/>
    <col min="16138" max="16138" width="10.28515625" style="1620" customWidth="1"/>
    <col min="16139" max="16139" width="12.5703125" style="1620" customWidth="1"/>
    <col min="16140" max="16140" width="11.85546875" style="1620" customWidth="1"/>
    <col min="16141" max="16141" width="3.42578125" style="1620" customWidth="1"/>
    <col min="16142" max="16142" width="7.7109375" style="1620" customWidth="1"/>
    <col min="16143" max="16143" width="11.85546875" style="1620" bestFit="1" customWidth="1"/>
    <col min="16144" max="16144" width="11.85546875" style="1620" customWidth="1"/>
    <col min="16145" max="16384" width="9.140625" style="1620"/>
  </cols>
  <sheetData>
    <row r="2" spans="1:28" ht="15" customHeight="1" x14ac:dyDescent="0.15">
      <c r="A2" s="3428" t="s">
        <v>4276</v>
      </c>
      <c r="B2" s="3410"/>
      <c r="C2" s="3410"/>
      <c r="D2" s="3410"/>
      <c r="E2" s="3410"/>
      <c r="F2" s="3410"/>
      <c r="G2" s="3410"/>
      <c r="H2" s="3410"/>
      <c r="I2" s="3410"/>
      <c r="J2" s="3410"/>
      <c r="K2" s="3410"/>
      <c r="L2" s="3410"/>
    </row>
    <row r="3" spans="1:28" ht="11.25" customHeight="1" x14ac:dyDescent="0.15">
      <c r="A3" s="3409"/>
      <c r="B3" s="3410"/>
      <c r="C3" s="3410"/>
      <c r="D3" s="3410"/>
      <c r="E3" s="3410"/>
      <c r="F3" s="3410"/>
      <c r="G3" s="3410"/>
      <c r="H3" s="3410"/>
      <c r="I3" s="3410"/>
      <c r="J3" s="3410"/>
      <c r="K3" s="3410"/>
      <c r="L3" s="3410"/>
      <c r="O3" s="1484"/>
      <c r="P3" s="1484"/>
      <c r="Q3" s="1484"/>
      <c r="R3" s="1484"/>
      <c r="S3" s="1484"/>
      <c r="T3" s="1484"/>
      <c r="U3" s="1484"/>
      <c r="V3" s="1484"/>
      <c r="W3" s="1484"/>
      <c r="X3" s="1484"/>
      <c r="Y3" s="1484"/>
      <c r="Z3" s="1484"/>
      <c r="AA3" s="1484"/>
      <c r="AB3" s="1484"/>
    </row>
    <row r="4" spans="1:28" x14ac:dyDescent="0.15">
      <c r="A4" s="3411" t="s">
        <v>1442</v>
      </c>
      <c r="B4" s="3414" t="s">
        <v>1498</v>
      </c>
      <c r="C4" s="3415"/>
      <c r="D4" s="3415"/>
      <c r="E4" s="3415"/>
      <c r="F4" s="3415"/>
      <c r="G4" s="3415"/>
      <c r="H4" s="3415"/>
      <c r="I4" s="3415"/>
      <c r="J4" s="3415"/>
      <c r="K4" s="3415"/>
      <c r="L4" s="3416"/>
      <c r="O4" s="1484"/>
      <c r="P4" s="1484"/>
      <c r="Q4" s="1484"/>
      <c r="R4" s="1484"/>
      <c r="S4" s="1484"/>
      <c r="T4" s="1484"/>
      <c r="U4" s="1484"/>
      <c r="V4" s="1484"/>
      <c r="W4" s="1484"/>
      <c r="X4" s="1484"/>
      <c r="Y4" s="1484"/>
      <c r="Z4" s="1484"/>
      <c r="AA4" s="1484"/>
      <c r="AB4" s="1484"/>
    </row>
    <row r="5" spans="1:28" x14ac:dyDescent="0.15">
      <c r="A5" s="3412"/>
      <c r="B5" s="3411" t="s">
        <v>141</v>
      </c>
      <c r="C5" s="3417" t="s">
        <v>1474</v>
      </c>
      <c r="D5" s="3418"/>
      <c r="E5" s="3418"/>
      <c r="F5" s="3418"/>
      <c r="G5" s="3418"/>
      <c r="H5" s="3418"/>
      <c r="I5" s="3418"/>
      <c r="J5" s="3418"/>
      <c r="K5" s="3418"/>
      <c r="L5" s="3419"/>
      <c r="O5" s="1484"/>
      <c r="P5" s="1484"/>
      <c r="Q5" s="1484"/>
      <c r="R5" s="1484"/>
      <c r="S5" s="1484"/>
      <c r="T5" s="1484"/>
      <c r="U5" s="1484"/>
      <c r="V5" s="1484"/>
      <c r="W5" s="1484"/>
      <c r="X5" s="1484"/>
      <c r="Y5" s="1484"/>
      <c r="Z5" s="1484"/>
      <c r="AA5" s="1484"/>
      <c r="AB5" s="1484"/>
    </row>
    <row r="6" spans="1:28" ht="21.75" x14ac:dyDescent="0.15">
      <c r="A6" s="3413"/>
      <c r="B6" s="3413"/>
      <c r="C6" s="2138" t="s">
        <v>3403</v>
      </c>
      <c r="D6" s="2245" t="s">
        <v>3404</v>
      </c>
      <c r="E6" s="2245" t="s">
        <v>3405</v>
      </c>
      <c r="F6" s="2245" t="s">
        <v>3381</v>
      </c>
      <c r="G6" s="2245" t="s">
        <v>3406</v>
      </c>
      <c r="H6" s="2245" t="s">
        <v>3354</v>
      </c>
      <c r="I6" s="2245" t="s">
        <v>3348</v>
      </c>
      <c r="J6" s="2245" t="s">
        <v>3376</v>
      </c>
      <c r="K6" s="2245" t="s">
        <v>4277</v>
      </c>
      <c r="L6" s="2245" t="s">
        <v>1341</v>
      </c>
      <c r="O6" s="1484"/>
      <c r="P6" s="1605"/>
      <c r="Q6" s="1484"/>
      <c r="R6" s="1484"/>
      <c r="S6" s="1484"/>
      <c r="T6" s="1484"/>
      <c r="U6" s="1484"/>
      <c r="V6" s="1484"/>
      <c r="W6" s="1484"/>
      <c r="X6" s="1484"/>
      <c r="Y6" s="1484"/>
      <c r="Z6" s="1484"/>
      <c r="AA6" s="1484"/>
      <c r="AB6" s="1484"/>
    </row>
    <row r="7" spans="1:28" x14ac:dyDescent="0.15">
      <c r="A7" s="1630">
        <v>2011</v>
      </c>
      <c r="B7" s="551">
        <f>SUM(C7:L7)</f>
        <v>8905004</v>
      </c>
      <c r="C7" s="552">
        <v>2823498</v>
      </c>
      <c r="D7" s="552">
        <v>3752672</v>
      </c>
      <c r="E7" s="552">
        <v>708158</v>
      </c>
      <c r="F7" s="552">
        <v>665386</v>
      </c>
      <c r="G7" s="552">
        <v>161516</v>
      </c>
      <c r="H7" s="552">
        <v>227987</v>
      </c>
      <c r="I7" s="552">
        <v>287453</v>
      </c>
      <c r="J7" s="552">
        <v>42634</v>
      </c>
      <c r="K7" s="552">
        <v>0</v>
      </c>
      <c r="L7" s="552">
        <v>235700</v>
      </c>
      <c r="O7" s="1484"/>
      <c r="P7" s="1484"/>
      <c r="Q7" s="1484"/>
      <c r="R7" s="1484"/>
      <c r="S7" s="1484"/>
      <c r="T7" s="1484"/>
      <c r="U7" s="1484"/>
      <c r="V7" s="1484"/>
      <c r="W7" s="1484"/>
      <c r="X7" s="1484"/>
      <c r="Y7" s="1484"/>
      <c r="Z7" s="1484"/>
      <c r="AA7" s="1484"/>
      <c r="AB7" s="1484"/>
    </row>
    <row r="8" spans="1:28" x14ac:dyDescent="0.15">
      <c r="A8" s="1630">
        <v>2012</v>
      </c>
      <c r="B8" s="551">
        <f>SUM(C8:L8)</f>
        <v>10129391</v>
      </c>
      <c r="C8" s="552">
        <v>3383071</v>
      </c>
      <c r="D8" s="552">
        <v>4110451</v>
      </c>
      <c r="E8" s="552">
        <v>846731</v>
      </c>
      <c r="F8" s="552">
        <v>776590</v>
      </c>
      <c r="G8" s="552">
        <v>237471</v>
      </c>
      <c r="H8" s="552">
        <v>218973</v>
      </c>
      <c r="I8" s="552">
        <v>237329</v>
      </c>
      <c r="J8" s="552">
        <v>37120</v>
      </c>
      <c r="K8" s="552">
        <v>0</v>
      </c>
      <c r="L8" s="552">
        <v>281655</v>
      </c>
      <c r="M8" s="1484"/>
      <c r="N8" s="1484"/>
      <c r="O8" s="1484"/>
      <c r="P8" s="1484"/>
      <c r="Q8" s="1484"/>
      <c r="R8" s="1484"/>
      <c r="S8" s="1484"/>
      <c r="T8" s="1484"/>
      <c r="U8" s="1484"/>
      <c r="V8" s="1484"/>
      <c r="W8" s="1484"/>
      <c r="X8" s="1484"/>
      <c r="Y8" s="1484"/>
      <c r="Z8" s="1484"/>
      <c r="AA8" s="1484"/>
      <c r="AB8" s="1484"/>
    </row>
    <row r="9" spans="1:28" x14ac:dyDescent="0.15">
      <c r="A9" s="1630">
        <v>2013</v>
      </c>
      <c r="B9" s="551">
        <f>SUM(C9:L9)</f>
        <v>8914033</v>
      </c>
      <c r="C9" s="552">
        <v>3443051</v>
      </c>
      <c r="D9" s="552">
        <v>3040369</v>
      </c>
      <c r="E9" s="552">
        <v>785730</v>
      </c>
      <c r="F9" s="552">
        <v>655452</v>
      </c>
      <c r="G9" s="552">
        <v>167721</v>
      </c>
      <c r="H9" s="552">
        <v>129140</v>
      </c>
      <c r="I9" s="552">
        <v>232135</v>
      </c>
      <c r="J9" s="552">
        <v>62758</v>
      </c>
      <c r="K9" s="552">
        <v>0</v>
      </c>
      <c r="L9" s="552">
        <v>397677</v>
      </c>
      <c r="M9" s="1484"/>
      <c r="N9" s="1484"/>
      <c r="O9" s="1484"/>
      <c r="P9" s="1484"/>
      <c r="Q9" s="1484"/>
      <c r="R9" s="1484"/>
      <c r="S9" s="1484"/>
      <c r="T9" s="1484"/>
      <c r="U9" s="1484"/>
      <c r="V9" s="1484"/>
      <c r="W9" s="1484"/>
      <c r="X9" s="1484"/>
      <c r="Y9" s="1484"/>
      <c r="Z9" s="1484"/>
      <c r="AA9" s="1484"/>
      <c r="AB9" s="1484"/>
    </row>
    <row r="10" spans="1:28" x14ac:dyDescent="0.15">
      <c r="A10" s="1630">
        <v>2014</v>
      </c>
      <c r="B10" s="551">
        <f>SUM(C10:L10)</f>
        <v>7968147</v>
      </c>
      <c r="C10" s="552">
        <v>2761926</v>
      </c>
      <c r="D10" s="552">
        <v>2764327</v>
      </c>
      <c r="E10" s="552">
        <v>647862</v>
      </c>
      <c r="F10" s="552">
        <v>637349</v>
      </c>
      <c r="G10" s="552">
        <v>168604</v>
      </c>
      <c r="H10" s="552">
        <v>195036</v>
      </c>
      <c r="I10" s="552">
        <v>419341</v>
      </c>
      <c r="J10" s="552">
        <v>34972</v>
      </c>
      <c r="K10" s="552">
        <v>117274</v>
      </c>
      <c r="L10" s="552">
        <v>221456</v>
      </c>
      <c r="M10" s="1484"/>
      <c r="N10" s="1484"/>
      <c r="O10" s="1484"/>
      <c r="P10" s="1484"/>
      <c r="Q10" s="1484"/>
      <c r="R10" s="1484"/>
      <c r="S10" s="1484"/>
      <c r="T10" s="1484"/>
      <c r="U10" s="1484"/>
      <c r="V10" s="1484"/>
      <c r="W10" s="1484"/>
      <c r="X10" s="1484"/>
      <c r="Y10" s="1484"/>
      <c r="Z10" s="1484"/>
      <c r="AA10" s="1484"/>
      <c r="AB10" s="1484"/>
    </row>
    <row r="11" spans="1:28" ht="11.25" x14ac:dyDescent="0.15">
      <c r="A11" s="1630" t="s">
        <v>3423</v>
      </c>
      <c r="B11" s="551">
        <f>SUM(C11:L11)</f>
        <v>7879020</v>
      </c>
      <c r="C11" s="552">
        <v>2562420</v>
      </c>
      <c r="D11" s="552">
        <v>3363351</v>
      </c>
      <c r="E11" s="552">
        <v>533006</v>
      </c>
      <c r="F11" s="552">
        <v>598162</v>
      </c>
      <c r="G11" s="552">
        <v>149502</v>
      </c>
      <c r="H11" s="552">
        <v>197831</v>
      </c>
      <c r="I11" s="552">
        <v>173618</v>
      </c>
      <c r="J11" s="552">
        <v>22893</v>
      </c>
      <c r="K11" s="552">
        <v>126745</v>
      </c>
      <c r="L11" s="552">
        <v>151492</v>
      </c>
      <c r="M11" s="1484"/>
      <c r="N11" s="1484"/>
      <c r="O11" s="1484"/>
      <c r="P11" s="1484"/>
      <c r="Q11" s="1484"/>
      <c r="R11" s="1484"/>
      <c r="S11" s="1484"/>
      <c r="T11" s="1484"/>
      <c r="U11" s="1484"/>
      <c r="V11" s="1484"/>
      <c r="W11" s="1484"/>
      <c r="X11" s="1484"/>
      <c r="Y11" s="1484"/>
      <c r="Z11" s="1484"/>
      <c r="AA11" s="1484"/>
      <c r="AB11" s="1484"/>
    </row>
    <row r="12" spans="1:28" ht="11.25" customHeight="1" x14ac:dyDescent="0.15">
      <c r="A12" s="3420"/>
      <c r="B12" s="3421"/>
      <c r="C12" s="3421"/>
      <c r="D12" s="3421"/>
      <c r="E12" s="3421"/>
      <c r="F12" s="3421"/>
      <c r="G12" s="3421"/>
      <c r="H12" s="3421"/>
      <c r="I12" s="3421"/>
      <c r="J12" s="3421"/>
      <c r="K12" s="3421"/>
      <c r="L12" s="3421"/>
      <c r="M12" s="1484"/>
      <c r="N12" s="1484"/>
      <c r="O12" s="1484"/>
      <c r="P12" s="1484"/>
      <c r="Q12" s="1484"/>
      <c r="R12" s="1484"/>
      <c r="S12" s="1484"/>
      <c r="T12" s="1484"/>
      <c r="U12" s="1484"/>
      <c r="V12" s="1484"/>
      <c r="W12" s="1484"/>
      <c r="X12" s="1484"/>
      <c r="Y12" s="1484"/>
      <c r="Z12" s="1484"/>
      <c r="AA12" s="1484"/>
      <c r="AB12" s="1484"/>
    </row>
    <row r="13" spans="1:28" ht="22.5" customHeight="1" x14ac:dyDescent="0.15">
      <c r="A13" s="3429" t="s">
        <v>3413</v>
      </c>
      <c r="B13" s="3430"/>
      <c r="C13" s="3430"/>
      <c r="D13" s="3430"/>
      <c r="E13" s="3430"/>
      <c r="F13" s="3430"/>
      <c r="G13" s="3430"/>
      <c r="H13" s="3430"/>
      <c r="I13" s="3430"/>
      <c r="J13" s="3430"/>
      <c r="K13" s="3430"/>
      <c r="L13" s="3430"/>
      <c r="M13" s="1484"/>
      <c r="N13" s="1484"/>
      <c r="O13" s="1484"/>
      <c r="P13" s="1484"/>
      <c r="Q13" s="1484"/>
      <c r="R13" s="1484"/>
      <c r="S13" s="1484"/>
      <c r="T13" s="1484"/>
      <c r="U13" s="1484"/>
      <c r="V13" s="1484"/>
      <c r="W13" s="1484"/>
      <c r="X13" s="1484"/>
      <c r="Y13" s="1484"/>
      <c r="Z13" s="1484"/>
      <c r="AA13" s="1484"/>
      <c r="AB13" s="1484"/>
    </row>
    <row r="14" spans="1:28" x14ac:dyDescent="0.15">
      <c r="A14" s="3431" t="s">
        <v>3424</v>
      </c>
      <c r="B14" s="3431"/>
      <c r="C14" s="3431"/>
      <c r="D14" s="3431"/>
      <c r="E14" s="3431"/>
      <c r="F14" s="3431"/>
      <c r="G14" s="3431"/>
      <c r="H14" s="3431"/>
      <c r="I14" s="3431"/>
      <c r="J14" s="3431"/>
      <c r="K14" s="3431"/>
      <c r="L14" s="3431"/>
      <c r="M14" s="1484"/>
      <c r="N14" s="1484"/>
      <c r="O14" s="1484"/>
      <c r="P14" s="1484"/>
      <c r="Q14" s="1484"/>
      <c r="R14" s="1484"/>
      <c r="S14" s="1484"/>
      <c r="T14" s="1484"/>
      <c r="U14" s="1484"/>
      <c r="V14" s="1484"/>
      <c r="W14" s="1484"/>
      <c r="X14" s="1484"/>
      <c r="Y14" s="1484"/>
      <c r="Z14" s="1484"/>
      <c r="AA14" s="1484"/>
      <c r="AB14" s="1484"/>
    </row>
    <row r="15" spans="1:28" s="1631" customFormat="1" ht="23.25" customHeight="1" x14ac:dyDescent="0.25">
      <c r="A15" s="3432" t="s">
        <v>3418</v>
      </c>
      <c r="B15" s="3432"/>
      <c r="C15" s="3432"/>
      <c r="D15" s="3432"/>
      <c r="E15" s="3432"/>
      <c r="F15" s="3432"/>
      <c r="G15" s="3432"/>
      <c r="H15" s="3432"/>
      <c r="I15" s="3432"/>
      <c r="J15" s="3432"/>
      <c r="K15" s="3432"/>
      <c r="L15" s="3432"/>
      <c r="M15" s="2244"/>
      <c r="N15" s="2244"/>
      <c r="O15" s="2244"/>
      <c r="P15" s="2244"/>
      <c r="Q15" s="2244"/>
      <c r="R15" s="2244"/>
      <c r="S15" s="2244"/>
      <c r="T15" s="2244"/>
      <c r="U15" s="2244"/>
      <c r="V15" s="2244"/>
      <c r="W15" s="2244"/>
      <c r="X15" s="2244"/>
      <c r="Y15" s="2244"/>
      <c r="Z15" s="2244"/>
      <c r="AA15" s="2244"/>
      <c r="AB15" s="2244"/>
    </row>
    <row r="16" spans="1:28" ht="16.350000000000001" customHeight="1" x14ac:dyDescent="0.15">
      <c r="A16" s="3420" t="s">
        <v>1483</v>
      </c>
      <c r="B16" s="3430"/>
      <c r="C16" s="3430"/>
      <c r="D16" s="3430"/>
      <c r="E16" s="3430"/>
      <c r="F16" s="3430"/>
      <c r="G16" s="3430"/>
      <c r="H16" s="3430"/>
      <c r="I16" s="3430"/>
      <c r="J16" s="3430"/>
      <c r="K16" s="3430"/>
      <c r="L16" s="3430"/>
      <c r="M16" s="1484"/>
      <c r="N16" s="1484"/>
      <c r="O16" s="1484"/>
      <c r="P16" s="1484"/>
      <c r="Q16" s="1484"/>
      <c r="R16" s="1484"/>
      <c r="S16" s="1484"/>
      <c r="T16" s="1484"/>
      <c r="U16" s="1484"/>
      <c r="V16" s="1484"/>
      <c r="W16" s="1484"/>
      <c r="X16" s="1484"/>
      <c r="Y16" s="1484"/>
      <c r="Z16" s="1484"/>
      <c r="AA16" s="1484"/>
      <c r="AB16" s="1484"/>
    </row>
    <row r="17" spans="1:28" x14ac:dyDescent="0.15">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row>
    <row r="18" spans="1:28" x14ac:dyDescent="0.15">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c r="W18" s="1484"/>
      <c r="X18" s="1484"/>
      <c r="Y18" s="1484"/>
      <c r="Z18" s="1484"/>
      <c r="AA18" s="1484"/>
      <c r="AB18" s="1484"/>
    </row>
    <row r="19" spans="1:28" x14ac:dyDescent="0.15">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c r="W19" s="1484"/>
      <c r="X19" s="1484"/>
      <c r="Y19" s="1484"/>
      <c r="Z19" s="1484"/>
      <c r="AA19" s="1484"/>
      <c r="AB19" s="1484"/>
    </row>
    <row r="20" spans="1:28" x14ac:dyDescent="0.15">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row>
    <row r="21" spans="1:28" x14ac:dyDescent="0.15">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4"/>
      <c r="AB21" s="1484"/>
    </row>
    <row r="22" spans="1:28" x14ac:dyDescent="0.15">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1484"/>
      <c r="Z22" s="1484"/>
      <c r="AA22" s="1484"/>
      <c r="AB22" s="1484"/>
    </row>
    <row r="23" spans="1:28" x14ac:dyDescent="0.15">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c r="AA23" s="1484"/>
      <c r="AB23" s="1484"/>
    </row>
    <row r="24" spans="1:28" x14ac:dyDescent="0.15">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row>
    <row r="25" spans="1:28" x14ac:dyDescent="0.15">
      <c r="A25" s="1484"/>
      <c r="B25" s="1484"/>
      <c r="C25" s="1484"/>
      <c r="D25" s="1484"/>
      <c r="E25" s="1484"/>
      <c r="F25" s="1484"/>
      <c r="G25" s="1484"/>
      <c r="H25" s="1484"/>
      <c r="I25" s="1484"/>
      <c r="J25" s="1484"/>
      <c r="K25" s="1484"/>
      <c r="L25" s="1484"/>
      <c r="M25" s="1484"/>
      <c r="O25" s="1484"/>
      <c r="P25" s="1484"/>
      <c r="Q25" s="1484"/>
      <c r="R25" s="1484"/>
      <c r="S25" s="1484"/>
      <c r="T25" s="1484"/>
      <c r="U25" s="1484"/>
      <c r="V25" s="1484"/>
      <c r="W25" s="1484"/>
      <c r="X25" s="1484"/>
      <c r="Y25" s="1484"/>
      <c r="Z25" s="1484"/>
      <c r="AA25" s="1484"/>
      <c r="AB25" s="1484"/>
    </row>
    <row r="26" spans="1:28" x14ac:dyDescent="0.15">
      <c r="O26" s="1484"/>
      <c r="P26" s="1484"/>
      <c r="Q26" s="1484"/>
      <c r="R26" s="1484"/>
      <c r="S26" s="1484"/>
      <c r="T26" s="1484"/>
      <c r="U26" s="1484"/>
      <c r="V26" s="1484"/>
      <c r="W26" s="1484"/>
      <c r="X26" s="1484"/>
      <c r="Y26" s="1484"/>
      <c r="Z26" s="1484"/>
      <c r="AA26" s="1484"/>
      <c r="AB26" s="1484"/>
    </row>
    <row r="27" spans="1:28" x14ac:dyDescent="0.15">
      <c r="O27" s="1484"/>
      <c r="P27" s="1484"/>
      <c r="Q27" s="1484"/>
      <c r="R27" s="1484"/>
      <c r="S27" s="1484"/>
      <c r="T27" s="1484"/>
      <c r="U27" s="1484"/>
      <c r="V27" s="1484"/>
      <c r="W27" s="1484"/>
      <c r="X27" s="1484"/>
      <c r="Y27" s="1484"/>
      <c r="Z27" s="1484"/>
      <c r="AA27" s="1484"/>
      <c r="AB27" s="1484"/>
    </row>
    <row r="28" spans="1:28" x14ac:dyDescent="0.15">
      <c r="O28" s="1484"/>
      <c r="P28" s="1484"/>
      <c r="Q28" s="1484"/>
      <c r="R28" s="1484"/>
      <c r="S28" s="1484"/>
      <c r="T28" s="1484"/>
      <c r="U28" s="1484"/>
      <c r="V28" s="1484"/>
      <c r="W28" s="1484"/>
      <c r="X28" s="1484"/>
      <c r="Y28" s="1484"/>
      <c r="Z28" s="1484"/>
      <c r="AA28" s="1484"/>
      <c r="AB28" s="1484"/>
    </row>
    <row r="29" spans="1:28" x14ac:dyDescent="0.15">
      <c r="O29" s="1484"/>
      <c r="P29" s="1484"/>
      <c r="Q29" s="1484"/>
      <c r="R29" s="1484"/>
      <c r="S29" s="1484"/>
      <c r="T29" s="1484"/>
      <c r="U29" s="1484"/>
      <c r="V29" s="1484"/>
      <c r="W29" s="1484"/>
      <c r="X29" s="1484"/>
      <c r="Y29" s="1484"/>
      <c r="Z29" s="1484"/>
      <c r="AA29" s="1484"/>
      <c r="AB29" s="1484"/>
    </row>
    <row r="30" spans="1:28" x14ac:dyDescent="0.15">
      <c r="O30" s="1484"/>
      <c r="P30" s="1484"/>
      <c r="Q30" s="1484"/>
      <c r="R30" s="1484"/>
      <c r="S30" s="1484"/>
      <c r="T30" s="1484"/>
      <c r="U30" s="1484"/>
      <c r="V30" s="1484"/>
      <c r="W30" s="1484"/>
      <c r="X30" s="1484"/>
      <c r="Y30" s="1484"/>
      <c r="Z30" s="1484"/>
      <c r="AA30" s="1484"/>
      <c r="AB30" s="1484"/>
    </row>
    <row r="31" spans="1:28" x14ac:dyDescent="0.15">
      <c r="O31" s="1484"/>
      <c r="P31" s="1484"/>
      <c r="Q31" s="1484"/>
      <c r="R31" s="1484"/>
      <c r="S31" s="1484"/>
      <c r="T31" s="1484"/>
      <c r="U31" s="1484"/>
      <c r="V31" s="1484"/>
      <c r="W31" s="1484"/>
      <c r="X31" s="1484"/>
      <c r="Y31" s="1484"/>
      <c r="Z31" s="1484"/>
      <c r="AA31" s="1484"/>
      <c r="AB31" s="1484"/>
    </row>
  </sheetData>
  <mergeCells count="11">
    <mergeCell ref="A12:L12"/>
    <mergeCell ref="A13:L13"/>
    <mergeCell ref="A14:L14"/>
    <mergeCell ref="A15:L15"/>
    <mergeCell ref="A16:L16"/>
    <mergeCell ref="A2:L2"/>
    <mergeCell ref="A3:L3"/>
    <mergeCell ref="A4:A6"/>
    <mergeCell ref="B4:L4"/>
    <mergeCell ref="B5:B6"/>
    <mergeCell ref="C5:L5"/>
  </mergeCell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1:Q31"/>
  <sheetViews>
    <sheetView workbookViewId="0">
      <selection activeCell="K36" sqref="K36"/>
    </sheetView>
  </sheetViews>
  <sheetFormatPr baseColWidth="10" defaultColWidth="9.140625" defaultRowHeight="10.5" x14ac:dyDescent="0.15"/>
  <cols>
    <col min="1" max="1" width="20.5703125" style="2090" customWidth="1"/>
    <col min="2" max="2" width="13" style="2090" customWidth="1"/>
    <col min="3" max="3" width="10.28515625" style="2090" customWidth="1"/>
    <col min="4" max="4" width="10.42578125" style="2090" customWidth="1"/>
    <col min="5" max="5" width="9.42578125" style="2090" customWidth="1"/>
    <col min="6" max="6" width="11.5703125" style="2090" bestFit="1" customWidth="1"/>
    <col min="7" max="7" width="10.28515625" style="2090" customWidth="1"/>
    <col min="8" max="8" width="9.85546875" style="2090" customWidth="1"/>
    <col min="9" max="9" width="10.7109375" style="2090" customWidth="1"/>
    <col min="10" max="10" width="9.85546875" style="2090" customWidth="1"/>
    <col min="11" max="11" width="12.28515625" style="2090" customWidth="1"/>
    <col min="12" max="13" width="11.7109375" style="2090" customWidth="1"/>
    <col min="14" max="14" width="10.7109375" style="2090" customWidth="1"/>
    <col min="15" max="15" width="15" style="2090" customWidth="1"/>
    <col min="16" max="256" width="9.140625" style="2090"/>
    <col min="257" max="257" width="20.5703125" style="2090" customWidth="1"/>
    <col min="258" max="258" width="13" style="2090" customWidth="1"/>
    <col min="259" max="259" width="10.28515625" style="2090" customWidth="1"/>
    <col min="260" max="260" width="10.42578125" style="2090" customWidth="1"/>
    <col min="261" max="261" width="9.42578125" style="2090" customWidth="1"/>
    <col min="262" max="262" width="11.5703125" style="2090" bestFit="1" customWidth="1"/>
    <col min="263" max="263" width="10.28515625" style="2090" customWidth="1"/>
    <col min="264" max="264" width="9.85546875" style="2090" customWidth="1"/>
    <col min="265" max="265" width="10.7109375" style="2090" customWidth="1"/>
    <col min="266" max="266" width="9.85546875" style="2090" customWidth="1"/>
    <col min="267" max="267" width="12.28515625" style="2090" customWidth="1"/>
    <col min="268" max="269" width="11.7109375" style="2090" customWidth="1"/>
    <col min="270" max="270" width="10.7109375" style="2090" customWidth="1"/>
    <col min="271" max="271" width="15" style="2090" customWidth="1"/>
    <col min="272" max="512" width="9.140625" style="2090"/>
    <col min="513" max="513" width="20.5703125" style="2090" customWidth="1"/>
    <col min="514" max="514" width="13" style="2090" customWidth="1"/>
    <col min="515" max="515" width="10.28515625" style="2090" customWidth="1"/>
    <col min="516" max="516" width="10.42578125" style="2090" customWidth="1"/>
    <col min="517" max="517" width="9.42578125" style="2090" customWidth="1"/>
    <col min="518" max="518" width="11.5703125" style="2090" bestFit="1" customWidth="1"/>
    <col min="519" max="519" width="10.28515625" style="2090" customWidth="1"/>
    <col min="520" max="520" width="9.85546875" style="2090" customWidth="1"/>
    <col min="521" max="521" width="10.7109375" style="2090" customWidth="1"/>
    <col min="522" max="522" width="9.85546875" style="2090" customWidth="1"/>
    <col min="523" max="523" width="12.28515625" style="2090" customWidth="1"/>
    <col min="524" max="525" width="11.7109375" style="2090" customWidth="1"/>
    <col min="526" max="526" width="10.7109375" style="2090" customWidth="1"/>
    <col min="527" max="527" width="15" style="2090" customWidth="1"/>
    <col min="528" max="768" width="9.140625" style="2090"/>
    <col min="769" max="769" width="20.5703125" style="2090" customWidth="1"/>
    <col min="770" max="770" width="13" style="2090" customWidth="1"/>
    <col min="771" max="771" width="10.28515625" style="2090" customWidth="1"/>
    <col min="772" max="772" width="10.42578125" style="2090" customWidth="1"/>
    <col min="773" max="773" width="9.42578125" style="2090" customWidth="1"/>
    <col min="774" max="774" width="11.5703125" style="2090" bestFit="1" customWidth="1"/>
    <col min="775" max="775" width="10.28515625" style="2090" customWidth="1"/>
    <col min="776" max="776" width="9.85546875" style="2090" customWidth="1"/>
    <col min="777" max="777" width="10.7109375" style="2090" customWidth="1"/>
    <col min="778" max="778" width="9.85546875" style="2090" customWidth="1"/>
    <col min="779" max="779" width="12.28515625" style="2090" customWidth="1"/>
    <col min="780" max="781" width="11.7109375" style="2090" customWidth="1"/>
    <col min="782" max="782" width="10.7109375" style="2090" customWidth="1"/>
    <col min="783" max="783" width="15" style="2090" customWidth="1"/>
    <col min="784" max="1024" width="9.140625" style="2090"/>
    <col min="1025" max="1025" width="20.5703125" style="2090" customWidth="1"/>
    <col min="1026" max="1026" width="13" style="2090" customWidth="1"/>
    <col min="1027" max="1027" width="10.28515625" style="2090" customWidth="1"/>
    <col min="1028" max="1028" width="10.42578125" style="2090" customWidth="1"/>
    <col min="1029" max="1029" width="9.42578125" style="2090" customWidth="1"/>
    <col min="1030" max="1030" width="11.5703125" style="2090" bestFit="1" customWidth="1"/>
    <col min="1031" max="1031" width="10.28515625" style="2090" customWidth="1"/>
    <col min="1032" max="1032" width="9.85546875" style="2090" customWidth="1"/>
    <col min="1033" max="1033" width="10.7109375" style="2090" customWidth="1"/>
    <col min="1034" max="1034" width="9.85546875" style="2090" customWidth="1"/>
    <col min="1035" max="1035" width="12.28515625" style="2090" customWidth="1"/>
    <col min="1036" max="1037" width="11.7109375" style="2090" customWidth="1"/>
    <col min="1038" max="1038" width="10.7109375" style="2090" customWidth="1"/>
    <col min="1039" max="1039" width="15" style="2090" customWidth="1"/>
    <col min="1040" max="1280" width="9.140625" style="2090"/>
    <col min="1281" max="1281" width="20.5703125" style="2090" customWidth="1"/>
    <col min="1282" max="1282" width="13" style="2090" customWidth="1"/>
    <col min="1283" max="1283" width="10.28515625" style="2090" customWidth="1"/>
    <col min="1284" max="1284" width="10.42578125" style="2090" customWidth="1"/>
    <col min="1285" max="1285" width="9.42578125" style="2090" customWidth="1"/>
    <col min="1286" max="1286" width="11.5703125" style="2090" bestFit="1" customWidth="1"/>
    <col min="1287" max="1287" width="10.28515625" style="2090" customWidth="1"/>
    <col min="1288" max="1288" width="9.85546875" style="2090" customWidth="1"/>
    <col min="1289" max="1289" width="10.7109375" style="2090" customWidth="1"/>
    <col min="1290" max="1290" width="9.85546875" style="2090" customWidth="1"/>
    <col min="1291" max="1291" width="12.28515625" style="2090" customWidth="1"/>
    <col min="1292" max="1293" width="11.7109375" style="2090" customWidth="1"/>
    <col min="1294" max="1294" width="10.7109375" style="2090" customWidth="1"/>
    <col min="1295" max="1295" width="15" style="2090" customWidth="1"/>
    <col min="1296" max="1536" width="9.140625" style="2090"/>
    <col min="1537" max="1537" width="20.5703125" style="2090" customWidth="1"/>
    <col min="1538" max="1538" width="13" style="2090" customWidth="1"/>
    <col min="1539" max="1539" width="10.28515625" style="2090" customWidth="1"/>
    <col min="1540" max="1540" width="10.42578125" style="2090" customWidth="1"/>
    <col min="1541" max="1541" width="9.42578125" style="2090" customWidth="1"/>
    <col min="1542" max="1542" width="11.5703125" style="2090" bestFit="1" customWidth="1"/>
    <col min="1543" max="1543" width="10.28515625" style="2090" customWidth="1"/>
    <col min="1544" max="1544" width="9.85546875" style="2090" customWidth="1"/>
    <col min="1545" max="1545" width="10.7109375" style="2090" customWidth="1"/>
    <col min="1546" max="1546" width="9.85546875" style="2090" customWidth="1"/>
    <col min="1547" max="1547" width="12.28515625" style="2090" customWidth="1"/>
    <col min="1548" max="1549" width="11.7109375" style="2090" customWidth="1"/>
    <col min="1550" max="1550" width="10.7109375" style="2090" customWidth="1"/>
    <col min="1551" max="1551" width="15" style="2090" customWidth="1"/>
    <col min="1552" max="1792" width="9.140625" style="2090"/>
    <col min="1793" max="1793" width="20.5703125" style="2090" customWidth="1"/>
    <col min="1794" max="1794" width="13" style="2090" customWidth="1"/>
    <col min="1795" max="1795" width="10.28515625" style="2090" customWidth="1"/>
    <col min="1796" max="1796" width="10.42578125" style="2090" customWidth="1"/>
    <col min="1797" max="1797" width="9.42578125" style="2090" customWidth="1"/>
    <col min="1798" max="1798" width="11.5703125" style="2090" bestFit="1" customWidth="1"/>
    <col min="1799" max="1799" width="10.28515625" style="2090" customWidth="1"/>
    <col min="1800" max="1800" width="9.85546875" style="2090" customWidth="1"/>
    <col min="1801" max="1801" width="10.7109375" style="2090" customWidth="1"/>
    <col min="1802" max="1802" width="9.85546875" style="2090" customWidth="1"/>
    <col min="1803" max="1803" width="12.28515625" style="2090" customWidth="1"/>
    <col min="1804" max="1805" width="11.7109375" style="2090" customWidth="1"/>
    <col min="1806" max="1806" width="10.7109375" style="2090" customWidth="1"/>
    <col min="1807" max="1807" width="15" style="2090" customWidth="1"/>
    <col min="1808" max="2048" width="9.140625" style="2090"/>
    <col min="2049" max="2049" width="20.5703125" style="2090" customWidth="1"/>
    <col min="2050" max="2050" width="13" style="2090" customWidth="1"/>
    <col min="2051" max="2051" width="10.28515625" style="2090" customWidth="1"/>
    <col min="2052" max="2052" width="10.42578125" style="2090" customWidth="1"/>
    <col min="2053" max="2053" width="9.42578125" style="2090" customWidth="1"/>
    <col min="2054" max="2054" width="11.5703125" style="2090" bestFit="1" customWidth="1"/>
    <col min="2055" max="2055" width="10.28515625" style="2090" customWidth="1"/>
    <col min="2056" max="2056" width="9.85546875" style="2090" customWidth="1"/>
    <col min="2057" max="2057" width="10.7109375" style="2090" customWidth="1"/>
    <col min="2058" max="2058" width="9.85546875" style="2090" customWidth="1"/>
    <col min="2059" max="2059" width="12.28515625" style="2090" customWidth="1"/>
    <col min="2060" max="2061" width="11.7109375" style="2090" customWidth="1"/>
    <col min="2062" max="2062" width="10.7109375" style="2090" customWidth="1"/>
    <col min="2063" max="2063" width="15" style="2090" customWidth="1"/>
    <col min="2064" max="2304" width="9.140625" style="2090"/>
    <col min="2305" max="2305" width="20.5703125" style="2090" customWidth="1"/>
    <col min="2306" max="2306" width="13" style="2090" customWidth="1"/>
    <col min="2307" max="2307" width="10.28515625" style="2090" customWidth="1"/>
    <col min="2308" max="2308" width="10.42578125" style="2090" customWidth="1"/>
    <col min="2309" max="2309" width="9.42578125" style="2090" customWidth="1"/>
    <col min="2310" max="2310" width="11.5703125" style="2090" bestFit="1" customWidth="1"/>
    <col min="2311" max="2311" width="10.28515625" style="2090" customWidth="1"/>
    <col min="2312" max="2312" width="9.85546875" style="2090" customWidth="1"/>
    <col min="2313" max="2313" width="10.7109375" style="2090" customWidth="1"/>
    <col min="2314" max="2314" width="9.85546875" style="2090" customWidth="1"/>
    <col min="2315" max="2315" width="12.28515625" style="2090" customWidth="1"/>
    <col min="2316" max="2317" width="11.7109375" style="2090" customWidth="1"/>
    <col min="2318" max="2318" width="10.7109375" style="2090" customWidth="1"/>
    <col min="2319" max="2319" width="15" style="2090" customWidth="1"/>
    <col min="2320" max="2560" width="9.140625" style="2090"/>
    <col min="2561" max="2561" width="20.5703125" style="2090" customWidth="1"/>
    <col min="2562" max="2562" width="13" style="2090" customWidth="1"/>
    <col min="2563" max="2563" width="10.28515625" style="2090" customWidth="1"/>
    <col min="2564" max="2564" width="10.42578125" style="2090" customWidth="1"/>
    <col min="2565" max="2565" width="9.42578125" style="2090" customWidth="1"/>
    <col min="2566" max="2566" width="11.5703125" style="2090" bestFit="1" customWidth="1"/>
    <col min="2567" max="2567" width="10.28515625" style="2090" customWidth="1"/>
    <col min="2568" max="2568" width="9.85546875" style="2090" customWidth="1"/>
    <col min="2569" max="2569" width="10.7109375" style="2090" customWidth="1"/>
    <col min="2570" max="2570" width="9.85546875" style="2090" customWidth="1"/>
    <col min="2571" max="2571" width="12.28515625" style="2090" customWidth="1"/>
    <col min="2572" max="2573" width="11.7109375" style="2090" customWidth="1"/>
    <col min="2574" max="2574" width="10.7109375" style="2090" customWidth="1"/>
    <col min="2575" max="2575" width="15" style="2090" customWidth="1"/>
    <col min="2576" max="2816" width="9.140625" style="2090"/>
    <col min="2817" max="2817" width="20.5703125" style="2090" customWidth="1"/>
    <col min="2818" max="2818" width="13" style="2090" customWidth="1"/>
    <col min="2819" max="2819" width="10.28515625" style="2090" customWidth="1"/>
    <col min="2820" max="2820" width="10.42578125" style="2090" customWidth="1"/>
    <col min="2821" max="2821" width="9.42578125" style="2090" customWidth="1"/>
    <col min="2822" max="2822" width="11.5703125" style="2090" bestFit="1" customWidth="1"/>
    <col min="2823" max="2823" width="10.28515625" style="2090" customWidth="1"/>
    <col min="2824" max="2824" width="9.85546875" style="2090" customWidth="1"/>
    <col min="2825" max="2825" width="10.7109375" style="2090" customWidth="1"/>
    <col min="2826" max="2826" width="9.85546875" style="2090" customWidth="1"/>
    <col min="2827" max="2827" width="12.28515625" style="2090" customWidth="1"/>
    <col min="2828" max="2829" width="11.7109375" style="2090" customWidth="1"/>
    <col min="2830" max="2830" width="10.7109375" style="2090" customWidth="1"/>
    <col min="2831" max="2831" width="15" style="2090" customWidth="1"/>
    <col min="2832" max="3072" width="9.140625" style="2090"/>
    <col min="3073" max="3073" width="20.5703125" style="2090" customWidth="1"/>
    <col min="3074" max="3074" width="13" style="2090" customWidth="1"/>
    <col min="3075" max="3075" width="10.28515625" style="2090" customWidth="1"/>
    <col min="3076" max="3076" width="10.42578125" style="2090" customWidth="1"/>
    <col min="3077" max="3077" width="9.42578125" style="2090" customWidth="1"/>
    <col min="3078" max="3078" width="11.5703125" style="2090" bestFit="1" customWidth="1"/>
    <col min="3079" max="3079" width="10.28515625" style="2090" customWidth="1"/>
    <col min="3080" max="3080" width="9.85546875" style="2090" customWidth="1"/>
    <col min="3081" max="3081" width="10.7109375" style="2090" customWidth="1"/>
    <col min="3082" max="3082" width="9.85546875" style="2090" customWidth="1"/>
    <col min="3083" max="3083" width="12.28515625" style="2090" customWidth="1"/>
    <col min="3084" max="3085" width="11.7109375" style="2090" customWidth="1"/>
    <col min="3086" max="3086" width="10.7109375" style="2090" customWidth="1"/>
    <col min="3087" max="3087" width="15" style="2090" customWidth="1"/>
    <col min="3088" max="3328" width="9.140625" style="2090"/>
    <col min="3329" max="3329" width="20.5703125" style="2090" customWidth="1"/>
    <col min="3330" max="3330" width="13" style="2090" customWidth="1"/>
    <col min="3331" max="3331" width="10.28515625" style="2090" customWidth="1"/>
    <col min="3332" max="3332" width="10.42578125" style="2090" customWidth="1"/>
    <col min="3333" max="3333" width="9.42578125" style="2090" customWidth="1"/>
    <col min="3334" max="3334" width="11.5703125" style="2090" bestFit="1" customWidth="1"/>
    <col min="3335" max="3335" width="10.28515625" style="2090" customWidth="1"/>
    <col min="3336" max="3336" width="9.85546875" style="2090" customWidth="1"/>
    <col min="3337" max="3337" width="10.7109375" style="2090" customWidth="1"/>
    <col min="3338" max="3338" width="9.85546875" style="2090" customWidth="1"/>
    <col min="3339" max="3339" width="12.28515625" style="2090" customWidth="1"/>
    <col min="3340" max="3341" width="11.7109375" style="2090" customWidth="1"/>
    <col min="3342" max="3342" width="10.7109375" style="2090" customWidth="1"/>
    <col min="3343" max="3343" width="15" style="2090" customWidth="1"/>
    <col min="3344" max="3584" width="9.140625" style="2090"/>
    <col min="3585" max="3585" width="20.5703125" style="2090" customWidth="1"/>
    <col min="3586" max="3586" width="13" style="2090" customWidth="1"/>
    <col min="3587" max="3587" width="10.28515625" style="2090" customWidth="1"/>
    <col min="3588" max="3588" width="10.42578125" style="2090" customWidth="1"/>
    <col min="3589" max="3589" width="9.42578125" style="2090" customWidth="1"/>
    <col min="3590" max="3590" width="11.5703125" style="2090" bestFit="1" customWidth="1"/>
    <col min="3591" max="3591" width="10.28515625" style="2090" customWidth="1"/>
    <col min="3592" max="3592" width="9.85546875" style="2090" customWidth="1"/>
    <col min="3593" max="3593" width="10.7109375" style="2090" customWidth="1"/>
    <col min="3594" max="3594" width="9.85546875" style="2090" customWidth="1"/>
    <col min="3595" max="3595" width="12.28515625" style="2090" customWidth="1"/>
    <col min="3596" max="3597" width="11.7109375" style="2090" customWidth="1"/>
    <col min="3598" max="3598" width="10.7109375" style="2090" customWidth="1"/>
    <col min="3599" max="3599" width="15" style="2090" customWidth="1"/>
    <col min="3600" max="3840" width="9.140625" style="2090"/>
    <col min="3841" max="3841" width="20.5703125" style="2090" customWidth="1"/>
    <col min="3842" max="3842" width="13" style="2090" customWidth="1"/>
    <col min="3843" max="3843" width="10.28515625" style="2090" customWidth="1"/>
    <col min="3844" max="3844" width="10.42578125" style="2090" customWidth="1"/>
    <col min="3845" max="3845" width="9.42578125" style="2090" customWidth="1"/>
    <col min="3846" max="3846" width="11.5703125" style="2090" bestFit="1" customWidth="1"/>
    <col min="3847" max="3847" width="10.28515625" style="2090" customWidth="1"/>
    <col min="3848" max="3848" width="9.85546875" style="2090" customWidth="1"/>
    <col min="3849" max="3849" width="10.7109375" style="2090" customWidth="1"/>
    <col min="3850" max="3850" width="9.85546875" style="2090" customWidth="1"/>
    <col min="3851" max="3851" width="12.28515625" style="2090" customWidth="1"/>
    <col min="3852" max="3853" width="11.7109375" style="2090" customWidth="1"/>
    <col min="3854" max="3854" width="10.7109375" style="2090" customWidth="1"/>
    <col min="3855" max="3855" width="15" style="2090" customWidth="1"/>
    <col min="3856" max="4096" width="9.140625" style="2090"/>
    <col min="4097" max="4097" width="20.5703125" style="2090" customWidth="1"/>
    <col min="4098" max="4098" width="13" style="2090" customWidth="1"/>
    <col min="4099" max="4099" width="10.28515625" style="2090" customWidth="1"/>
    <col min="4100" max="4100" width="10.42578125" style="2090" customWidth="1"/>
    <col min="4101" max="4101" width="9.42578125" style="2090" customWidth="1"/>
    <col min="4102" max="4102" width="11.5703125" style="2090" bestFit="1" customWidth="1"/>
    <col min="4103" max="4103" width="10.28515625" style="2090" customWidth="1"/>
    <col min="4104" max="4104" width="9.85546875" style="2090" customWidth="1"/>
    <col min="4105" max="4105" width="10.7109375" style="2090" customWidth="1"/>
    <col min="4106" max="4106" width="9.85546875" style="2090" customWidth="1"/>
    <col min="4107" max="4107" width="12.28515625" style="2090" customWidth="1"/>
    <col min="4108" max="4109" width="11.7109375" style="2090" customWidth="1"/>
    <col min="4110" max="4110" width="10.7109375" style="2090" customWidth="1"/>
    <col min="4111" max="4111" width="15" style="2090" customWidth="1"/>
    <col min="4112" max="4352" width="9.140625" style="2090"/>
    <col min="4353" max="4353" width="20.5703125" style="2090" customWidth="1"/>
    <col min="4354" max="4354" width="13" style="2090" customWidth="1"/>
    <col min="4355" max="4355" width="10.28515625" style="2090" customWidth="1"/>
    <col min="4356" max="4356" width="10.42578125" style="2090" customWidth="1"/>
    <col min="4357" max="4357" width="9.42578125" style="2090" customWidth="1"/>
    <col min="4358" max="4358" width="11.5703125" style="2090" bestFit="1" customWidth="1"/>
    <col min="4359" max="4359" width="10.28515625" style="2090" customWidth="1"/>
    <col min="4360" max="4360" width="9.85546875" style="2090" customWidth="1"/>
    <col min="4361" max="4361" width="10.7109375" style="2090" customWidth="1"/>
    <col min="4362" max="4362" width="9.85546875" style="2090" customWidth="1"/>
    <col min="4363" max="4363" width="12.28515625" style="2090" customWidth="1"/>
    <col min="4364" max="4365" width="11.7109375" style="2090" customWidth="1"/>
    <col min="4366" max="4366" width="10.7109375" style="2090" customWidth="1"/>
    <col min="4367" max="4367" width="15" style="2090" customWidth="1"/>
    <col min="4368" max="4608" width="9.140625" style="2090"/>
    <col min="4609" max="4609" width="20.5703125" style="2090" customWidth="1"/>
    <col min="4610" max="4610" width="13" style="2090" customWidth="1"/>
    <col min="4611" max="4611" width="10.28515625" style="2090" customWidth="1"/>
    <col min="4612" max="4612" width="10.42578125" style="2090" customWidth="1"/>
    <col min="4613" max="4613" width="9.42578125" style="2090" customWidth="1"/>
    <col min="4614" max="4614" width="11.5703125" style="2090" bestFit="1" customWidth="1"/>
    <col min="4615" max="4615" width="10.28515625" style="2090" customWidth="1"/>
    <col min="4616" max="4616" width="9.85546875" style="2090" customWidth="1"/>
    <col min="4617" max="4617" width="10.7109375" style="2090" customWidth="1"/>
    <col min="4618" max="4618" width="9.85546875" style="2090" customWidth="1"/>
    <col min="4619" max="4619" width="12.28515625" style="2090" customWidth="1"/>
    <col min="4620" max="4621" width="11.7109375" style="2090" customWidth="1"/>
    <col min="4622" max="4622" width="10.7109375" style="2090" customWidth="1"/>
    <col min="4623" max="4623" width="15" style="2090" customWidth="1"/>
    <col min="4624" max="4864" width="9.140625" style="2090"/>
    <col min="4865" max="4865" width="20.5703125" style="2090" customWidth="1"/>
    <col min="4866" max="4866" width="13" style="2090" customWidth="1"/>
    <col min="4867" max="4867" width="10.28515625" style="2090" customWidth="1"/>
    <col min="4868" max="4868" width="10.42578125" style="2090" customWidth="1"/>
    <col min="4869" max="4869" width="9.42578125" style="2090" customWidth="1"/>
    <col min="4870" max="4870" width="11.5703125" style="2090" bestFit="1" customWidth="1"/>
    <col min="4871" max="4871" width="10.28515625" style="2090" customWidth="1"/>
    <col min="4872" max="4872" width="9.85546875" style="2090" customWidth="1"/>
    <col min="4873" max="4873" width="10.7109375" style="2090" customWidth="1"/>
    <col min="4874" max="4874" width="9.85546875" style="2090" customWidth="1"/>
    <col min="4875" max="4875" width="12.28515625" style="2090" customWidth="1"/>
    <col min="4876" max="4877" width="11.7109375" style="2090" customWidth="1"/>
    <col min="4878" max="4878" width="10.7109375" style="2090" customWidth="1"/>
    <col min="4879" max="4879" width="15" style="2090" customWidth="1"/>
    <col min="4880" max="5120" width="9.140625" style="2090"/>
    <col min="5121" max="5121" width="20.5703125" style="2090" customWidth="1"/>
    <col min="5122" max="5122" width="13" style="2090" customWidth="1"/>
    <col min="5123" max="5123" width="10.28515625" style="2090" customWidth="1"/>
    <col min="5124" max="5124" width="10.42578125" style="2090" customWidth="1"/>
    <col min="5125" max="5125" width="9.42578125" style="2090" customWidth="1"/>
    <col min="5126" max="5126" width="11.5703125" style="2090" bestFit="1" customWidth="1"/>
    <col min="5127" max="5127" width="10.28515625" style="2090" customWidth="1"/>
    <col min="5128" max="5128" width="9.85546875" style="2090" customWidth="1"/>
    <col min="5129" max="5129" width="10.7109375" style="2090" customWidth="1"/>
    <col min="5130" max="5130" width="9.85546875" style="2090" customWidth="1"/>
    <col min="5131" max="5131" width="12.28515625" style="2090" customWidth="1"/>
    <col min="5132" max="5133" width="11.7109375" style="2090" customWidth="1"/>
    <col min="5134" max="5134" width="10.7109375" style="2090" customWidth="1"/>
    <col min="5135" max="5135" width="15" style="2090" customWidth="1"/>
    <col min="5136" max="5376" width="9.140625" style="2090"/>
    <col min="5377" max="5377" width="20.5703125" style="2090" customWidth="1"/>
    <col min="5378" max="5378" width="13" style="2090" customWidth="1"/>
    <col min="5379" max="5379" width="10.28515625" style="2090" customWidth="1"/>
    <col min="5380" max="5380" width="10.42578125" style="2090" customWidth="1"/>
    <col min="5381" max="5381" width="9.42578125" style="2090" customWidth="1"/>
    <col min="5382" max="5382" width="11.5703125" style="2090" bestFit="1" customWidth="1"/>
    <col min="5383" max="5383" width="10.28515625" style="2090" customWidth="1"/>
    <col min="5384" max="5384" width="9.85546875" style="2090" customWidth="1"/>
    <col min="5385" max="5385" width="10.7109375" style="2090" customWidth="1"/>
    <col min="5386" max="5386" width="9.85546875" style="2090" customWidth="1"/>
    <col min="5387" max="5387" width="12.28515625" style="2090" customWidth="1"/>
    <col min="5388" max="5389" width="11.7109375" style="2090" customWidth="1"/>
    <col min="5390" max="5390" width="10.7109375" style="2090" customWidth="1"/>
    <col min="5391" max="5391" width="15" style="2090" customWidth="1"/>
    <col min="5392" max="5632" width="9.140625" style="2090"/>
    <col min="5633" max="5633" width="20.5703125" style="2090" customWidth="1"/>
    <col min="5634" max="5634" width="13" style="2090" customWidth="1"/>
    <col min="5635" max="5635" width="10.28515625" style="2090" customWidth="1"/>
    <col min="5636" max="5636" width="10.42578125" style="2090" customWidth="1"/>
    <col min="5637" max="5637" width="9.42578125" style="2090" customWidth="1"/>
    <col min="5638" max="5638" width="11.5703125" style="2090" bestFit="1" customWidth="1"/>
    <col min="5639" max="5639" width="10.28515625" style="2090" customWidth="1"/>
    <col min="5640" max="5640" width="9.85546875" style="2090" customWidth="1"/>
    <col min="5641" max="5641" width="10.7109375" style="2090" customWidth="1"/>
    <col min="5642" max="5642" width="9.85546875" style="2090" customWidth="1"/>
    <col min="5643" max="5643" width="12.28515625" style="2090" customWidth="1"/>
    <col min="5644" max="5645" width="11.7109375" style="2090" customWidth="1"/>
    <col min="5646" max="5646" width="10.7109375" style="2090" customWidth="1"/>
    <col min="5647" max="5647" width="15" style="2090" customWidth="1"/>
    <col min="5648" max="5888" width="9.140625" style="2090"/>
    <col min="5889" max="5889" width="20.5703125" style="2090" customWidth="1"/>
    <col min="5890" max="5890" width="13" style="2090" customWidth="1"/>
    <col min="5891" max="5891" width="10.28515625" style="2090" customWidth="1"/>
    <col min="5892" max="5892" width="10.42578125" style="2090" customWidth="1"/>
    <col min="5893" max="5893" width="9.42578125" style="2090" customWidth="1"/>
    <col min="5894" max="5894" width="11.5703125" style="2090" bestFit="1" customWidth="1"/>
    <col min="5895" max="5895" width="10.28515625" style="2090" customWidth="1"/>
    <col min="5896" max="5896" width="9.85546875" style="2090" customWidth="1"/>
    <col min="5897" max="5897" width="10.7109375" style="2090" customWidth="1"/>
    <col min="5898" max="5898" width="9.85546875" style="2090" customWidth="1"/>
    <col min="5899" max="5899" width="12.28515625" style="2090" customWidth="1"/>
    <col min="5900" max="5901" width="11.7109375" style="2090" customWidth="1"/>
    <col min="5902" max="5902" width="10.7109375" style="2090" customWidth="1"/>
    <col min="5903" max="5903" width="15" style="2090" customWidth="1"/>
    <col min="5904" max="6144" width="9.140625" style="2090"/>
    <col min="6145" max="6145" width="20.5703125" style="2090" customWidth="1"/>
    <col min="6146" max="6146" width="13" style="2090" customWidth="1"/>
    <col min="6147" max="6147" width="10.28515625" style="2090" customWidth="1"/>
    <col min="6148" max="6148" width="10.42578125" style="2090" customWidth="1"/>
    <col min="6149" max="6149" width="9.42578125" style="2090" customWidth="1"/>
    <col min="6150" max="6150" width="11.5703125" style="2090" bestFit="1" customWidth="1"/>
    <col min="6151" max="6151" width="10.28515625" style="2090" customWidth="1"/>
    <col min="6152" max="6152" width="9.85546875" style="2090" customWidth="1"/>
    <col min="6153" max="6153" width="10.7109375" style="2090" customWidth="1"/>
    <col min="6154" max="6154" width="9.85546875" style="2090" customWidth="1"/>
    <col min="6155" max="6155" width="12.28515625" style="2090" customWidth="1"/>
    <col min="6156" max="6157" width="11.7109375" style="2090" customWidth="1"/>
    <col min="6158" max="6158" width="10.7109375" style="2090" customWidth="1"/>
    <col min="6159" max="6159" width="15" style="2090" customWidth="1"/>
    <col min="6160" max="6400" width="9.140625" style="2090"/>
    <col min="6401" max="6401" width="20.5703125" style="2090" customWidth="1"/>
    <col min="6402" max="6402" width="13" style="2090" customWidth="1"/>
    <col min="6403" max="6403" width="10.28515625" style="2090" customWidth="1"/>
    <col min="6404" max="6404" width="10.42578125" style="2090" customWidth="1"/>
    <col min="6405" max="6405" width="9.42578125" style="2090" customWidth="1"/>
    <col min="6406" max="6406" width="11.5703125" style="2090" bestFit="1" customWidth="1"/>
    <col min="6407" max="6407" width="10.28515625" style="2090" customWidth="1"/>
    <col min="6408" max="6408" width="9.85546875" style="2090" customWidth="1"/>
    <col min="6409" max="6409" width="10.7109375" style="2090" customWidth="1"/>
    <col min="6410" max="6410" width="9.85546875" style="2090" customWidth="1"/>
    <col min="6411" max="6411" width="12.28515625" style="2090" customWidth="1"/>
    <col min="6412" max="6413" width="11.7109375" style="2090" customWidth="1"/>
    <col min="6414" max="6414" width="10.7109375" style="2090" customWidth="1"/>
    <col min="6415" max="6415" width="15" style="2090" customWidth="1"/>
    <col min="6416" max="6656" width="9.140625" style="2090"/>
    <col min="6657" max="6657" width="20.5703125" style="2090" customWidth="1"/>
    <col min="6658" max="6658" width="13" style="2090" customWidth="1"/>
    <col min="6659" max="6659" width="10.28515625" style="2090" customWidth="1"/>
    <col min="6660" max="6660" width="10.42578125" style="2090" customWidth="1"/>
    <col min="6661" max="6661" width="9.42578125" style="2090" customWidth="1"/>
    <col min="6662" max="6662" width="11.5703125" style="2090" bestFit="1" customWidth="1"/>
    <col min="6663" max="6663" width="10.28515625" style="2090" customWidth="1"/>
    <col min="6664" max="6664" width="9.85546875" style="2090" customWidth="1"/>
    <col min="6665" max="6665" width="10.7109375" style="2090" customWidth="1"/>
    <col min="6666" max="6666" width="9.85546875" style="2090" customWidth="1"/>
    <col min="6667" max="6667" width="12.28515625" style="2090" customWidth="1"/>
    <col min="6668" max="6669" width="11.7109375" style="2090" customWidth="1"/>
    <col min="6670" max="6670" width="10.7109375" style="2090" customWidth="1"/>
    <col min="6671" max="6671" width="15" style="2090" customWidth="1"/>
    <col min="6672" max="6912" width="9.140625" style="2090"/>
    <col min="6913" max="6913" width="20.5703125" style="2090" customWidth="1"/>
    <col min="6914" max="6914" width="13" style="2090" customWidth="1"/>
    <col min="6915" max="6915" width="10.28515625" style="2090" customWidth="1"/>
    <col min="6916" max="6916" width="10.42578125" style="2090" customWidth="1"/>
    <col min="6917" max="6917" width="9.42578125" style="2090" customWidth="1"/>
    <col min="6918" max="6918" width="11.5703125" style="2090" bestFit="1" customWidth="1"/>
    <col min="6919" max="6919" width="10.28515625" style="2090" customWidth="1"/>
    <col min="6920" max="6920" width="9.85546875" style="2090" customWidth="1"/>
    <col min="6921" max="6921" width="10.7109375" style="2090" customWidth="1"/>
    <col min="6922" max="6922" width="9.85546875" style="2090" customWidth="1"/>
    <col min="6923" max="6923" width="12.28515625" style="2090" customWidth="1"/>
    <col min="6924" max="6925" width="11.7109375" style="2090" customWidth="1"/>
    <col min="6926" max="6926" width="10.7109375" style="2090" customWidth="1"/>
    <col min="6927" max="6927" width="15" style="2090" customWidth="1"/>
    <col min="6928" max="7168" width="9.140625" style="2090"/>
    <col min="7169" max="7169" width="20.5703125" style="2090" customWidth="1"/>
    <col min="7170" max="7170" width="13" style="2090" customWidth="1"/>
    <col min="7171" max="7171" width="10.28515625" style="2090" customWidth="1"/>
    <col min="7172" max="7172" width="10.42578125" style="2090" customWidth="1"/>
    <col min="7173" max="7173" width="9.42578125" style="2090" customWidth="1"/>
    <col min="7174" max="7174" width="11.5703125" style="2090" bestFit="1" customWidth="1"/>
    <col min="7175" max="7175" width="10.28515625" style="2090" customWidth="1"/>
    <col min="7176" max="7176" width="9.85546875" style="2090" customWidth="1"/>
    <col min="7177" max="7177" width="10.7109375" style="2090" customWidth="1"/>
    <col min="7178" max="7178" width="9.85546875" style="2090" customWidth="1"/>
    <col min="7179" max="7179" width="12.28515625" style="2090" customWidth="1"/>
    <col min="7180" max="7181" width="11.7109375" style="2090" customWidth="1"/>
    <col min="7182" max="7182" width="10.7109375" style="2090" customWidth="1"/>
    <col min="7183" max="7183" width="15" style="2090" customWidth="1"/>
    <col min="7184" max="7424" width="9.140625" style="2090"/>
    <col min="7425" max="7425" width="20.5703125" style="2090" customWidth="1"/>
    <col min="7426" max="7426" width="13" style="2090" customWidth="1"/>
    <col min="7427" max="7427" width="10.28515625" style="2090" customWidth="1"/>
    <col min="7428" max="7428" width="10.42578125" style="2090" customWidth="1"/>
    <col min="7429" max="7429" width="9.42578125" style="2090" customWidth="1"/>
    <col min="7430" max="7430" width="11.5703125" style="2090" bestFit="1" customWidth="1"/>
    <col min="7431" max="7431" width="10.28515625" style="2090" customWidth="1"/>
    <col min="7432" max="7432" width="9.85546875" style="2090" customWidth="1"/>
    <col min="7433" max="7433" width="10.7109375" style="2090" customWidth="1"/>
    <col min="7434" max="7434" width="9.85546875" style="2090" customWidth="1"/>
    <col min="7435" max="7435" width="12.28515625" style="2090" customWidth="1"/>
    <col min="7436" max="7437" width="11.7109375" style="2090" customWidth="1"/>
    <col min="7438" max="7438" width="10.7109375" style="2090" customWidth="1"/>
    <col min="7439" max="7439" width="15" style="2090" customWidth="1"/>
    <col min="7440" max="7680" width="9.140625" style="2090"/>
    <col min="7681" max="7681" width="20.5703125" style="2090" customWidth="1"/>
    <col min="7682" max="7682" width="13" style="2090" customWidth="1"/>
    <col min="7683" max="7683" width="10.28515625" style="2090" customWidth="1"/>
    <col min="7684" max="7684" width="10.42578125" style="2090" customWidth="1"/>
    <col min="7685" max="7685" width="9.42578125" style="2090" customWidth="1"/>
    <col min="7686" max="7686" width="11.5703125" style="2090" bestFit="1" customWidth="1"/>
    <col min="7687" max="7687" width="10.28515625" style="2090" customWidth="1"/>
    <col min="7688" max="7688" width="9.85546875" style="2090" customWidth="1"/>
    <col min="7689" max="7689" width="10.7109375" style="2090" customWidth="1"/>
    <col min="7690" max="7690" width="9.85546875" style="2090" customWidth="1"/>
    <col min="7691" max="7691" width="12.28515625" style="2090" customWidth="1"/>
    <col min="7692" max="7693" width="11.7109375" style="2090" customWidth="1"/>
    <col min="7694" max="7694" width="10.7109375" style="2090" customWidth="1"/>
    <col min="7695" max="7695" width="15" style="2090" customWidth="1"/>
    <col min="7696" max="7936" width="9.140625" style="2090"/>
    <col min="7937" max="7937" width="20.5703125" style="2090" customWidth="1"/>
    <col min="7938" max="7938" width="13" style="2090" customWidth="1"/>
    <col min="7939" max="7939" width="10.28515625" style="2090" customWidth="1"/>
    <col min="7940" max="7940" width="10.42578125" style="2090" customWidth="1"/>
    <col min="7941" max="7941" width="9.42578125" style="2090" customWidth="1"/>
    <col min="7942" max="7942" width="11.5703125" style="2090" bestFit="1" customWidth="1"/>
    <col min="7943" max="7943" width="10.28515625" style="2090" customWidth="1"/>
    <col min="7944" max="7944" width="9.85546875" style="2090" customWidth="1"/>
    <col min="7945" max="7945" width="10.7109375" style="2090" customWidth="1"/>
    <col min="7946" max="7946" width="9.85546875" style="2090" customWidth="1"/>
    <col min="7947" max="7947" width="12.28515625" style="2090" customWidth="1"/>
    <col min="7948" max="7949" width="11.7109375" style="2090" customWidth="1"/>
    <col min="7950" max="7950" width="10.7109375" style="2090" customWidth="1"/>
    <col min="7951" max="7951" width="15" style="2090" customWidth="1"/>
    <col min="7952" max="8192" width="9.140625" style="2090"/>
    <col min="8193" max="8193" width="20.5703125" style="2090" customWidth="1"/>
    <col min="8194" max="8194" width="13" style="2090" customWidth="1"/>
    <col min="8195" max="8195" width="10.28515625" style="2090" customWidth="1"/>
    <col min="8196" max="8196" width="10.42578125" style="2090" customWidth="1"/>
    <col min="8197" max="8197" width="9.42578125" style="2090" customWidth="1"/>
    <col min="8198" max="8198" width="11.5703125" style="2090" bestFit="1" customWidth="1"/>
    <col min="8199" max="8199" width="10.28515625" style="2090" customWidth="1"/>
    <col min="8200" max="8200" width="9.85546875" style="2090" customWidth="1"/>
    <col min="8201" max="8201" width="10.7109375" style="2090" customWidth="1"/>
    <col min="8202" max="8202" width="9.85546875" style="2090" customWidth="1"/>
    <col min="8203" max="8203" width="12.28515625" style="2090" customWidth="1"/>
    <col min="8204" max="8205" width="11.7109375" style="2090" customWidth="1"/>
    <col min="8206" max="8206" width="10.7109375" style="2090" customWidth="1"/>
    <col min="8207" max="8207" width="15" style="2090" customWidth="1"/>
    <col min="8208" max="8448" width="9.140625" style="2090"/>
    <col min="8449" max="8449" width="20.5703125" style="2090" customWidth="1"/>
    <col min="8450" max="8450" width="13" style="2090" customWidth="1"/>
    <col min="8451" max="8451" width="10.28515625" style="2090" customWidth="1"/>
    <col min="8452" max="8452" width="10.42578125" style="2090" customWidth="1"/>
    <col min="8453" max="8453" width="9.42578125" style="2090" customWidth="1"/>
    <col min="8454" max="8454" width="11.5703125" style="2090" bestFit="1" customWidth="1"/>
    <col min="8455" max="8455" width="10.28515625" style="2090" customWidth="1"/>
    <col min="8456" max="8456" width="9.85546875" style="2090" customWidth="1"/>
    <col min="8457" max="8457" width="10.7109375" style="2090" customWidth="1"/>
    <col min="8458" max="8458" width="9.85546875" style="2090" customWidth="1"/>
    <col min="8459" max="8459" width="12.28515625" style="2090" customWidth="1"/>
    <col min="8460" max="8461" width="11.7109375" style="2090" customWidth="1"/>
    <col min="8462" max="8462" width="10.7109375" style="2090" customWidth="1"/>
    <col min="8463" max="8463" width="15" style="2090" customWidth="1"/>
    <col min="8464" max="8704" width="9.140625" style="2090"/>
    <col min="8705" max="8705" width="20.5703125" style="2090" customWidth="1"/>
    <col min="8706" max="8706" width="13" style="2090" customWidth="1"/>
    <col min="8707" max="8707" width="10.28515625" style="2090" customWidth="1"/>
    <col min="8708" max="8708" width="10.42578125" style="2090" customWidth="1"/>
    <col min="8709" max="8709" width="9.42578125" style="2090" customWidth="1"/>
    <col min="8710" max="8710" width="11.5703125" style="2090" bestFit="1" customWidth="1"/>
    <col min="8711" max="8711" width="10.28515625" style="2090" customWidth="1"/>
    <col min="8712" max="8712" width="9.85546875" style="2090" customWidth="1"/>
    <col min="8713" max="8713" width="10.7109375" style="2090" customWidth="1"/>
    <col min="8714" max="8714" width="9.85546875" style="2090" customWidth="1"/>
    <col min="8715" max="8715" width="12.28515625" style="2090" customWidth="1"/>
    <col min="8716" max="8717" width="11.7109375" style="2090" customWidth="1"/>
    <col min="8718" max="8718" width="10.7109375" style="2090" customWidth="1"/>
    <col min="8719" max="8719" width="15" style="2090" customWidth="1"/>
    <col min="8720" max="8960" width="9.140625" style="2090"/>
    <col min="8961" max="8961" width="20.5703125" style="2090" customWidth="1"/>
    <col min="8962" max="8962" width="13" style="2090" customWidth="1"/>
    <col min="8963" max="8963" width="10.28515625" style="2090" customWidth="1"/>
    <col min="8964" max="8964" width="10.42578125" style="2090" customWidth="1"/>
    <col min="8965" max="8965" width="9.42578125" style="2090" customWidth="1"/>
    <col min="8966" max="8966" width="11.5703125" style="2090" bestFit="1" customWidth="1"/>
    <col min="8967" max="8967" width="10.28515625" style="2090" customWidth="1"/>
    <col min="8968" max="8968" width="9.85546875" style="2090" customWidth="1"/>
    <col min="8969" max="8969" width="10.7109375" style="2090" customWidth="1"/>
    <col min="8970" max="8970" width="9.85546875" style="2090" customWidth="1"/>
    <col min="8971" max="8971" width="12.28515625" style="2090" customWidth="1"/>
    <col min="8972" max="8973" width="11.7109375" style="2090" customWidth="1"/>
    <col min="8974" max="8974" width="10.7109375" style="2090" customWidth="1"/>
    <col min="8975" max="8975" width="15" style="2090" customWidth="1"/>
    <col min="8976" max="9216" width="9.140625" style="2090"/>
    <col min="9217" max="9217" width="20.5703125" style="2090" customWidth="1"/>
    <col min="9218" max="9218" width="13" style="2090" customWidth="1"/>
    <col min="9219" max="9219" width="10.28515625" style="2090" customWidth="1"/>
    <col min="9220" max="9220" width="10.42578125" style="2090" customWidth="1"/>
    <col min="9221" max="9221" width="9.42578125" style="2090" customWidth="1"/>
    <col min="9222" max="9222" width="11.5703125" style="2090" bestFit="1" customWidth="1"/>
    <col min="9223" max="9223" width="10.28515625" style="2090" customWidth="1"/>
    <col min="9224" max="9224" width="9.85546875" style="2090" customWidth="1"/>
    <col min="9225" max="9225" width="10.7109375" style="2090" customWidth="1"/>
    <col min="9226" max="9226" width="9.85546875" style="2090" customWidth="1"/>
    <col min="9227" max="9227" width="12.28515625" style="2090" customWidth="1"/>
    <col min="9228" max="9229" width="11.7109375" style="2090" customWidth="1"/>
    <col min="9230" max="9230" width="10.7109375" style="2090" customWidth="1"/>
    <col min="9231" max="9231" width="15" style="2090" customWidth="1"/>
    <col min="9232" max="9472" width="9.140625" style="2090"/>
    <col min="9473" max="9473" width="20.5703125" style="2090" customWidth="1"/>
    <col min="9474" max="9474" width="13" style="2090" customWidth="1"/>
    <col min="9475" max="9475" width="10.28515625" style="2090" customWidth="1"/>
    <col min="9476" max="9476" width="10.42578125" style="2090" customWidth="1"/>
    <col min="9477" max="9477" width="9.42578125" style="2090" customWidth="1"/>
    <col min="9478" max="9478" width="11.5703125" style="2090" bestFit="1" customWidth="1"/>
    <col min="9479" max="9479" width="10.28515625" style="2090" customWidth="1"/>
    <col min="9480" max="9480" width="9.85546875" style="2090" customWidth="1"/>
    <col min="9481" max="9481" width="10.7109375" style="2090" customWidth="1"/>
    <col min="9482" max="9482" width="9.85546875" style="2090" customWidth="1"/>
    <col min="9483" max="9483" width="12.28515625" style="2090" customWidth="1"/>
    <col min="9484" max="9485" width="11.7109375" style="2090" customWidth="1"/>
    <col min="9486" max="9486" width="10.7109375" style="2090" customWidth="1"/>
    <col min="9487" max="9487" width="15" style="2090" customWidth="1"/>
    <col min="9488" max="9728" width="9.140625" style="2090"/>
    <col min="9729" max="9729" width="20.5703125" style="2090" customWidth="1"/>
    <col min="9730" max="9730" width="13" style="2090" customWidth="1"/>
    <col min="9731" max="9731" width="10.28515625" style="2090" customWidth="1"/>
    <col min="9732" max="9732" width="10.42578125" style="2090" customWidth="1"/>
    <col min="9733" max="9733" width="9.42578125" style="2090" customWidth="1"/>
    <col min="9734" max="9734" width="11.5703125" style="2090" bestFit="1" customWidth="1"/>
    <col min="9735" max="9735" width="10.28515625" style="2090" customWidth="1"/>
    <col min="9736" max="9736" width="9.85546875" style="2090" customWidth="1"/>
    <col min="9737" max="9737" width="10.7109375" style="2090" customWidth="1"/>
    <col min="9738" max="9738" width="9.85546875" style="2090" customWidth="1"/>
    <col min="9739" max="9739" width="12.28515625" style="2090" customWidth="1"/>
    <col min="9740" max="9741" width="11.7109375" style="2090" customWidth="1"/>
    <col min="9742" max="9742" width="10.7109375" style="2090" customWidth="1"/>
    <col min="9743" max="9743" width="15" style="2090" customWidth="1"/>
    <col min="9744" max="9984" width="9.140625" style="2090"/>
    <col min="9985" max="9985" width="20.5703125" style="2090" customWidth="1"/>
    <col min="9986" max="9986" width="13" style="2090" customWidth="1"/>
    <col min="9987" max="9987" width="10.28515625" style="2090" customWidth="1"/>
    <col min="9988" max="9988" width="10.42578125" style="2090" customWidth="1"/>
    <col min="9989" max="9989" width="9.42578125" style="2090" customWidth="1"/>
    <col min="9990" max="9990" width="11.5703125" style="2090" bestFit="1" customWidth="1"/>
    <col min="9991" max="9991" width="10.28515625" style="2090" customWidth="1"/>
    <col min="9992" max="9992" width="9.85546875" style="2090" customWidth="1"/>
    <col min="9993" max="9993" width="10.7109375" style="2090" customWidth="1"/>
    <col min="9994" max="9994" width="9.85546875" style="2090" customWidth="1"/>
    <col min="9995" max="9995" width="12.28515625" style="2090" customWidth="1"/>
    <col min="9996" max="9997" width="11.7109375" style="2090" customWidth="1"/>
    <col min="9998" max="9998" width="10.7109375" style="2090" customWidth="1"/>
    <col min="9999" max="9999" width="15" style="2090" customWidth="1"/>
    <col min="10000" max="10240" width="9.140625" style="2090"/>
    <col min="10241" max="10241" width="20.5703125" style="2090" customWidth="1"/>
    <col min="10242" max="10242" width="13" style="2090" customWidth="1"/>
    <col min="10243" max="10243" width="10.28515625" style="2090" customWidth="1"/>
    <col min="10244" max="10244" width="10.42578125" style="2090" customWidth="1"/>
    <col min="10245" max="10245" width="9.42578125" style="2090" customWidth="1"/>
    <col min="10246" max="10246" width="11.5703125" style="2090" bestFit="1" customWidth="1"/>
    <col min="10247" max="10247" width="10.28515625" style="2090" customWidth="1"/>
    <col min="10248" max="10248" width="9.85546875" style="2090" customWidth="1"/>
    <col min="10249" max="10249" width="10.7109375" style="2090" customWidth="1"/>
    <col min="10250" max="10250" width="9.85546875" style="2090" customWidth="1"/>
    <col min="10251" max="10251" width="12.28515625" style="2090" customWidth="1"/>
    <col min="10252" max="10253" width="11.7109375" style="2090" customWidth="1"/>
    <col min="10254" max="10254" width="10.7109375" style="2090" customWidth="1"/>
    <col min="10255" max="10255" width="15" style="2090" customWidth="1"/>
    <col min="10256" max="10496" width="9.140625" style="2090"/>
    <col min="10497" max="10497" width="20.5703125" style="2090" customWidth="1"/>
    <col min="10498" max="10498" width="13" style="2090" customWidth="1"/>
    <col min="10499" max="10499" width="10.28515625" style="2090" customWidth="1"/>
    <col min="10500" max="10500" width="10.42578125" style="2090" customWidth="1"/>
    <col min="10501" max="10501" width="9.42578125" style="2090" customWidth="1"/>
    <col min="10502" max="10502" width="11.5703125" style="2090" bestFit="1" customWidth="1"/>
    <col min="10503" max="10503" width="10.28515625" style="2090" customWidth="1"/>
    <col min="10504" max="10504" width="9.85546875" style="2090" customWidth="1"/>
    <col min="10505" max="10505" width="10.7109375" style="2090" customWidth="1"/>
    <col min="10506" max="10506" width="9.85546875" style="2090" customWidth="1"/>
    <col min="10507" max="10507" width="12.28515625" style="2090" customWidth="1"/>
    <col min="10508" max="10509" width="11.7109375" style="2090" customWidth="1"/>
    <col min="10510" max="10510" width="10.7109375" style="2090" customWidth="1"/>
    <col min="10511" max="10511" width="15" style="2090" customWidth="1"/>
    <col min="10512" max="10752" width="9.140625" style="2090"/>
    <col min="10753" max="10753" width="20.5703125" style="2090" customWidth="1"/>
    <col min="10754" max="10754" width="13" style="2090" customWidth="1"/>
    <col min="10755" max="10755" width="10.28515625" style="2090" customWidth="1"/>
    <col min="10756" max="10756" width="10.42578125" style="2090" customWidth="1"/>
    <col min="10757" max="10757" width="9.42578125" style="2090" customWidth="1"/>
    <col min="10758" max="10758" width="11.5703125" style="2090" bestFit="1" customWidth="1"/>
    <col min="10759" max="10759" width="10.28515625" style="2090" customWidth="1"/>
    <col min="10760" max="10760" width="9.85546875" style="2090" customWidth="1"/>
    <col min="10761" max="10761" width="10.7109375" style="2090" customWidth="1"/>
    <col min="10762" max="10762" width="9.85546875" style="2090" customWidth="1"/>
    <col min="10763" max="10763" width="12.28515625" style="2090" customWidth="1"/>
    <col min="10764" max="10765" width="11.7109375" style="2090" customWidth="1"/>
    <col min="10766" max="10766" width="10.7109375" style="2090" customWidth="1"/>
    <col min="10767" max="10767" width="15" style="2090" customWidth="1"/>
    <col min="10768" max="11008" width="9.140625" style="2090"/>
    <col min="11009" max="11009" width="20.5703125" style="2090" customWidth="1"/>
    <col min="11010" max="11010" width="13" style="2090" customWidth="1"/>
    <col min="11011" max="11011" width="10.28515625" style="2090" customWidth="1"/>
    <col min="11012" max="11012" width="10.42578125" style="2090" customWidth="1"/>
    <col min="11013" max="11013" width="9.42578125" style="2090" customWidth="1"/>
    <col min="11014" max="11014" width="11.5703125" style="2090" bestFit="1" customWidth="1"/>
    <col min="11015" max="11015" width="10.28515625" style="2090" customWidth="1"/>
    <col min="11016" max="11016" width="9.85546875" style="2090" customWidth="1"/>
    <col min="11017" max="11017" width="10.7109375" style="2090" customWidth="1"/>
    <col min="11018" max="11018" width="9.85546875" style="2090" customWidth="1"/>
    <col min="11019" max="11019" width="12.28515625" style="2090" customWidth="1"/>
    <col min="11020" max="11021" width="11.7109375" style="2090" customWidth="1"/>
    <col min="11022" max="11022" width="10.7109375" style="2090" customWidth="1"/>
    <col min="11023" max="11023" width="15" style="2090" customWidth="1"/>
    <col min="11024" max="11264" width="9.140625" style="2090"/>
    <col min="11265" max="11265" width="20.5703125" style="2090" customWidth="1"/>
    <col min="11266" max="11266" width="13" style="2090" customWidth="1"/>
    <col min="11267" max="11267" width="10.28515625" style="2090" customWidth="1"/>
    <col min="11268" max="11268" width="10.42578125" style="2090" customWidth="1"/>
    <col min="11269" max="11269" width="9.42578125" style="2090" customWidth="1"/>
    <col min="11270" max="11270" width="11.5703125" style="2090" bestFit="1" customWidth="1"/>
    <col min="11271" max="11271" width="10.28515625" style="2090" customWidth="1"/>
    <col min="11272" max="11272" width="9.85546875" style="2090" customWidth="1"/>
    <col min="11273" max="11273" width="10.7109375" style="2090" customWidth="1"/>
    <col min="11274" max="11274" width="9.85546875" style="2090" customWidth="1"/>
    <col min="11275" max="11275" width="12.28515625" style="2090" customWidth="1"/>
    <col min="11276" max="11277" width="11.7109375" style="2090" customWidth="1"/>
    <col min="11278" max="11278" width="10.7109375" style="2090" customWidth="1"/>
    <col min="11279" max="11279" width="15" style="2090" customWidth="1"/>
    <col min="11280" max="11520" width="9.140625" style="2090"/>
    <col min="11521" max="11521" width="20.5703125" style="2090" customWidth="1"/>
    <col min="11522" max="11522" width="13" style="2090" customWidth="1"/>
    <col min="11523" max="11523" width="10.28515625" style="2090" customWidth="1"/>
    <col min="11524" max="11524" width="10.42578125" style="2090" customWidth="1"/>
    <col min="11525" max="11525" width="9.42578125" style="2090" customWidth="1"/>
    <col min="11526" max="11526" width="11.5703125" style="2090" bestFit="1" customWidth="1"/>
    <col min="11527" max="11527" width="10.28515625" style="2090" customWidth="1"/>
    <col min="11528" max="11528" width="9.85546875" style="2090" customWidth="1"/>
    <col min="11529" max="11529" width="10.7109375" style="2090" customWidth="1"/>
    <col min="11530" max="11530" width="9.85546875" style="2090" customWidth="1"/>
    <col min="11531" max="11531" width="12.28515625" style="2090" customWidth="1"/>
    <col min="11532" max="11533" width="11.7109375" style="2090" customWidth="1"/>
    <col min="11534" max="11534" width="10.7109375" style="2090" customWidth="1"/>
    <col min="11535" max="11535" width="15" style="2090" customWidth="1"/>
    <col min="11536" max="11776" width="9.140625" style="2090"/>
    <col min="11777" max="11777" width="20.5703125" style="2090" customWidth="1"/>
    <col min="11778" max="11778" width="13" style="2090" customWidth="1"/>
    <col min="11779" max="11779" width="10.28515625" style="2090" customWidth="1"/>
    <col min="11780" max="11780" width="10.42578125" style="2090" customWidth="1"/>
    <col min="11781" max="11781" width="9.42578125" style="2090" customWidth="1"/>
    <col min="11782" max="11782" width="11.5703125" style="2090" bestFit="1" customWidth="1"/>
    <col min="11783" max="11783" width="10.28515625" style="2090" customWidth="1"/>
    <col min="11784" max="11784" width="9.85546875" style="2090" customWidth="1"/>
    <col min="11785" max="11785" width="10.7109375" style="2090" customWidth="1"/>
    <col min="11786" max="11786" width="9.85546875" style="2090" customWidth="1"/>
    <col min="11787" max="11787" width="12.28515625" style="2090" customWidth="1"/>
    <col min="11788" max="11789" width="11.7109375" style="2090" customWidth="1"/>
    <col min="11790" max="11790" width="10.7109375" style="2090" customWidth="1"/>
    <col min="11791" max="11791" width="15" style="2090" customWidth="1"/>
    <col min="11792" max="12032" width="9.140625" style="2090"/>
    <col min="12033" max="12033" width="20.5703125" style="2090" customWidth="1"/>
    <col min="12034" max="12034" width="13" style="2090" customWidth="1"/>
    <col min="12035" max="12035" width="10.28515625" style="2090" customWidth="1"/>
    <col min="12036" max="12036" width="10.42578125" style="2090" customWidth="1"/>
    <col min="12037" max="12037" width="9.42578125" style="2090" customWidth="1"/>
    <col min="12038" max="12038" width="11.5703125" style="2090" bestFit="1" customWidth="1"/>
    <col min="12039" max="12039" width="10.28515625" style="2090" customWidth="1"/>
    <col min="12040" max="12040" width="9.85546875" style="2090" customWidth="1"/>
    <col min="12041" max="12041" width="10.7109375" style="2090" customWidth="1"/>
    <col min="12042" max="12042" width="9.85546875" style="2090" customWidth="1"/>
    <col min="12043" max="12043" width="12.28515625" style="2090" customWidth="1"/>
    <col min="12044" max="12045" width="11.7109375" style="2090" customWidth="1"/>
    <col min="12046" max="12046" width="10.7109375" style="2090" customWidth="1"/>
    <col min="12047" max="12047" width="15" style="2090" customWidth="1"/>
    <col min="12048" max="12288" width="9.140625" style="2090"/>
    <col min="12289" max="12289" width="20.5703125" style="2090" customWidth="1"/>
    <col min="12290" max="12290" width="13" style="2090" customWidth="1"/>
    <col min="12291" max="12291" width="10.28515625" style="2090" customWidth="1"/>
    <col min="12292" max="12292" width="10.42578125" style="2090" customWidth="1"/>
    <col min="12293" max="12293" width="9.42578125" style="2090" customWidth="1"/>
    <col min="12294" max="12294" width="11.5703125" style="2090" bestFit="1" customWidth="1"/>
    <col min="12295" max="12295" width="10.28515625" style="2090" customWidth="1"/>
    <col min="12296" max="12296" width="9.85546875" style="2090" customWidth="1"/>
    <col min="12297" max="12297" width="10.7109375" style="2090" customWidth="1"/>
    <col min="12298" max="12298" width="9.85546875" style="2090" customWidth="1"/>
    <col min="12299" max="12299" width="12.28515625" style="2090" customWidth="1"/>
    <col min="12300" max="12301" width="11.7109375" style="2090" customWidth="1"/>
    <col min="12302" max="12302" width="10.7109375" style="2090" customWidth="1"/>
    <col min="12303" max="12303" width="15" style="2090" customWidth="1"/>
    <col min="12304" max="12544" width="9.140625" style="2090"/>
    <col min="12545" max="12545" width="20.5703125" style="2090" customWidth="1"/>
    <col min="12546" max="12546" width="13" style="2090" customWidth="1"/>
    <col min="12547" max="12547" width="10.28515625" style="2090" customWidth="1"/>
    <col min="12548" max="12548" width="10.42578125" style="2090" customWidth="1"/>
    <col min="12549" max="12549" width="9.42578125" style="2090" customWidth="1"/>
    <col min="12550" max="12550" width="11.5703125" style="2090" bestFit="1" customWidth="1"/>
    <col min="12551" max="12551" width="10.28515625" style="2090" customWidth="1"/>
    <col min="12552" max="12552" width="9.85546875" style="2090" customWidth="1"/>
    <col min="12553" max="12553" width="10.7109375" style="2090" customWidth="1"/>
    <col min="12554" max="12554" width="9.85546875" style="2090" customWidth="1"/>
    <col min="12555" max="12555" width="12.28515625" style="2090" customWidth="1"/>
    <col min="12556" max="12557" width="11.7109375" style="2090" customWidth="1"/>
    <col min="12558" max="12558" width="10.7109375" style="2090" customWidth="1"/>
    <col min="12559" max="12559" width="15" style="2090" customWidth="1"/>
    <col min="12560" max="12800" width="9.140625" style="2090"/>
    <col min="12801" max="12801" width="20.5703125" style="2090" customWidth="1"/>
    <col min="12802" max="12802" width="13" style="2090" customWidth="1"/>
    <col min="12803" max="12803" width="10.28515625" style="2090" customWidth="1"/>
    <col min="12804" max="12804" width="10.42578125" style="2090" customWidth="1"/>
    <col min="12805" max="12805" width="9.42578125" style="2090" customWidth="1"/>
    <col min="12806" max="12806" width="11.5703125" style="2090" bestFit="1" customWidth="1"/>
    <col min="12807" max="12807" width="10.28515625" style="2090" customWidth="1"/>
    <col min="12808" max="12808" width="9.85546875" style="2090" customWidth="1"/>
    <col min="12809" max="12809" width="10.7109375" style="2090" customWidth="1"/>
    <col min="12810" max="12810" width="9.85546875" style="2090" customWidth="1"/>
    <col min="12811" max="12811" width="12.28515625" style="2090" customWidth="1"/>
    <col min="12812" max="12813" width="11.7109375" style="2090" customWidth="1"/>
    <col min="12814" max="12814" width="10.7109375" style="2090" customWidth="1"/>
    <col min="12815" max="12815" width="15" style="2090" customWidth="1"/>
    <col min="12816" max="13056" width="9.140625" style="2090"/>
    <col min="13057" max="13057" width="20.5703125" style="2090" customWidth="1"/>
    <col min="13058" max="13058" width="13" style="2090" customWidth="1"/>
    <col min="13059" max="13059" width="10.28515625" style="2090" customWidth="1"/>
    <col min="13060" max="13060" width="10.42578125" style="2090" customWidth="1"/>
    <col min="13061" max="13061" width="9.42578125" style="2090" customWidth="1"/>
    <col min="13062" max="13062" width="11.5703125" style="2090" bestFit="1" customWidth="1"/>
    <col min="13063" max="13063" width="10.28515625" style="2090" customWidth="1"/>
    <col min="13064" max="13064" width="9.85546875" style="2090" customWidth="1"/>
    <col min="13065" max="13065" width="10.7109375" style="2090" customWidth="1"/>
    <col min="13066" max="13066" width="9.85546875" style="2090" customWidth="1"/>
    <col min="13067" max="13067" width="12.28515625" style="2090" customWidth="1"/>
    <col min="13068" max="13069" width="11.7109375" style="2090" customWidth="1"/>
    <col min="13070" max="13070" width="10.7109375" style="2090" customWidth="1"/>
    <col min="13071" max="13071" width="15" style="2090" customWidth="1"/>
    <col min="13072" max="13312" width="9.140625" style="2090"/>
    <col min="13313" max="13313" width="20.5703125" style="2090" customWidth="1"/>
    <col min="13314" max="13314" width="13" style="2090" customWidth="1"/>
    <col min="13315" max="13315" width="10.28515625" style="2090" customWidth="1"/>
    <col min="13316" max="13316" width="10.42578125" style="2090" customWidth="1"/>
    <col min="13317" max="13317" width="9.42578125" style="2090" customWidth="1"/>
    <col min="13318" max="13318" width="11.5703125" style="2090" bestFit="1" customWidth="1"/>
    <col min="13319" max="13319" width="10.28515625" style="2090" customWidth="1"/>
    <col min="13320" max="13320" width="9.85546875" style="2090" customWidth="1"/>
    <col min="13321" max="13321" width="10.7109375" style="2090" customWidth="1"/>
    <col min="13322" max="13322" width="9.85546875" style="2090" customWidth="1"/>
    <col min="13323" max="13323" width="12.28515625" style="2090" customWidth="1"/>
    <col min="13324" max="13325" width="11.7109375" style="2090" customWidth="1"/>
    <col min="13326" max="13326" width="10.7109375" style="2090" customWidth="1"/>
    <col min="13327" max="13327" width="15" style="2090" customWidth="1"/>
    <col min="13328" max="13568" width="9.140625" style="2090"/>
    <col min="13569" max="13569" width="20.5703125" style="2090" customWidth="1"/>
    <col min="13570" max="13570" width="13" style="2090" customWidth="1"/>
    <col min="13571" max="13571" width="10.28515625" style="2090" customWidth="1"/>
    <col min="13572" max="13572" width="10.42578125" style="2090" customWidth="1"/>
    <col min="13573" max="13573" width="9.42578125" style="2090" customWidth="1"/>
    <col min="13574" max="13574" width="11.5703125" style="2090" bestFit="1" customWidth="1"/>
    <col min="13575" max="13575" width="10.28515625" style="2090" customWidth="1"/>
    <col min="13576" max="13576" width="9.85546875" style="2090" customWidth="1"/>
    <col min="13577" max="13577" width="10.7109375" style="2090" customWidth="1"/>
    <col min="13578" max="13578" width="9.85546875" style="2090" customWidth="1"/>
    <col min="13579" max="13579" width="12.28515625" style="2090" customWidth="1"/>
    <col min="13580" max="13581" width="11.7109375" style="2090" customWidth="1"/>
    <col min="13582" max="13582" width="10.7109375" style="2090" customWidth="1"/>
    <col min="13583" max="13583" width="15" style="2090" customWidth="1"/>
    <col min="13584" max="13824" width="9.140625" style="2090"/>
    <col min="13825" max="13825" width="20.5703125" style="2090" customWidth="1"/>
    <col min="13826" max="13826" width="13" style="2090" customWidth="1"/>
    <col min="13827" max="13827" width="10.28515625" style="2090" customWidth="1"/>
    <col min="13828" max="13828" width="10.42578125" style="2090" customWidth="1"/>
    <col min="13829" max="13829" width="9.42578125" style="2090" customWidth="1"/>
    <col min="13830" max="13830" width="11.5703125" style="2090" bestFit="1" customWidth="1"/>
    <col min="13831" max="13831" width="10.28515625" style="2090" customWidth="1"/>
    <col min="13832" max="13832" width="9.85546875" style="2090" customWidth="1"/>
    <col min="13833" max="13833" width="10.7109375" style="2090" customWidth="1"/>
    <col min="13834" max="13834" width="9.85546875" style="2090" customWidth="1"/>
    <col min="13835" max="13835" width="12.28515625" style="2090" customWidth="1"/>
    <col min="13836" max="13837" width="11.7109375" style="2090" customWidth="1"/>
    <col min="13838" max="13838" width="10.7109375" style="2090" customWidth="1"/>
    <col min="13839" max="13839" width="15" style="2090" customWidth="1"/>
    <col min="13840" max="14080" width="9.140625" style="2090"/>
    <col min="14081" max="14081" width="20.5703125" style="2090" customWidth="1"/>
    <col min="14082" max="14082" width="13" style="2090" customWidth="1"/>
    <col min="14083" max="14083" width="10.28515625" style="2090" customWidth="1"/>
    <col min="14084" max="14084" width="10.42578125" style="2090" customWidth="1"/>
    <col min="14085" max="14085" width="9.42578125" style="2090" customWidth="1"/>
    <col min="14086" max="14086" width="11.5703125" style="2090" bestFit="1" customWidth="1"/>
    <col min="14087" max="14087" width="10.28515625" style="2090" customWidth="1"/>
    <col min="14088" max="14088" width="9.85546875" style="2090" customWidth="1"/>
    <col min="14089" max="14089" width="10.7109375" style="2090" customWidth="1"/>
    <col min="14090" max="14090" width="9.85546875" style="2090" customWidth="1"/>
    <col min="14091" max="14091" width="12.28515625" style="2090" customWidth="1"/>
    <col min="14092" max="14093" width="11.7109375" style="2090" customWidth="1"/>
    <col min="14094" max="14094" width="10.7109375" style="2090" customWidth="1"/>
    <col min="14095" max="14095" width="15" style="2090" customWidth="1"/>
    <col min="14096" max="14336" width="9.140625" style="2090"/>
    <col min="14337" max="14337" width="20.5703125" style="2090" customWidth="1"/>
    <col min="14338" max="14338" width="13" style="2090" customWidth="1"/>
    <col min="14339" max="14339" width="10.28515625" style="2090" customWidth="1"/>
    <col min="14340" max="14340" width="10.42578125" style="2090" customWidth="1"/>
    <col min="14341" max="14341" width="9.42578125" style="2090" customWidth="1"/>
    <col min="14342" max="14342" width="11.5703125" style="2090" bestFit="1" customWidth="1"/>
    <col min="14343" max="14343" width="10.28515625" style="2090" customWidth="1"/>
    <col min="14344" max="14344" width="9.85546875" style="2090" customWidth="1"/>
    <col min="14345" max="14345" width="10.7109375" style="2090" customWidth="1"/>
    <col min="14346" max="14346" width="9.85546875" style="2090" customWidth="1"/>
    <col min="14347" max="14347" width="12.28515625" style="2090" customWidth="1"/>
    <col min="14348" max="14349" width="11.7109375" style="2090" customWidth="1"/>
    <col min="14350" max="14350" width="10.7109375" style="2090" customWidth="1"/>
    <col min="14351" max="14351" width="15" style="2090" customWidth="1"/>
    <col min="14352" max="14592" width="9.140625" style="2090"/>
    <col min="14593" max="14593" width="20.5703125" style="2090" customWidth="1"/>
    <col min="14594" max="14594" width="13" style="2090" customWidth="1"/>
    <col min="14595" max="14595" width="10.28515625" style="2090" customWidth="1"/>
    <col min="14596" max="14596" width="10.42578125" style="2090" customWidth="1"/>
    <col min="14597" max="14597" width="9.42578125" style="2090" customWidth="1"/>
    <col min="14598" max="14598" width="11.5703125" style="2090" bestFit="1" customWidth="1"/>
    <col min="14599" max="14599" width="10.28515625" style="2090" customWidth="1"/>
    <col min="14600" max="14600" width="9.85546875" style="2090" customWidth="1"/>
    <col min="14601" max="14601" width="10.7109375" style="2090" customWidth="1"/>
    <col min="14602" max="14602" width="9.85546875" style="2090" customWidth="1"/>
    <col min="14603" max="14603" width="12.28515625" style="2090" customWidth="1"/>
    <col min="14604" max="14605" width="11.7109375" style="2090" customWidth="1"/>
    <col min="14606" max="14606" width="10.7109375" style="2090" customWidth="1"/>
    <col min="14607" max="14607" width="15" style="2090" customWidth="1"/>
    <col min="14608" max="14848" width="9.140625" style="2090"/>
    <col min="14849" max="14849" width="20.5703125" style="2090" customWidth="1"/>
    <col min="14850" max="14850" width="13" style="2090" customWidth="1"/>
    <col min="14851" max="14851" width="10.28515625" style="2090" customWidth="1"/>
    <col min="14852" max="14852" width="10.42578125" style="2090" customWidth="1"/>
    <col min="14853" max="14853" width="9.42578125" style="2090" customWidth="1"/>
    <col min="14854" max="14854" width="11.5703125" style="2090" bestFit="1" customWidth="1"/>
    <col min="14855" max="14855" width="10.28515625" style="2090" customWidth="1"/>
    <col min="14856" max="14856" width="9.85546875" style="2090" customWidth="1"/>
    <col min="14857" max="14857" width="10.7109375" style="2090" customWidth="1"/>
    <col min="14858" max="14858" width="9.85546875" style="2090" customWidth="1"/>
    <col min="14859" max="14859" width="12.28515625" style="2090" customWidth="1"/>
    <col min="14860" max="14861" width="11.7109375" style="2090" customWidth="1"/>
    <col min="14862" max="14862" width="10.7109375" style="2090" customWidth="1"/>
    <col min="14863" max="14863" width="15" style="2090" customWidth="1"/>
    <col min="14864" max="15104" width="9.140625" style="2090"/>
    <col min="15105" max="15105" width="20.5703125" style="2090" customWidth="1"/>
    <col min="15106" max="15106" width="13" style="2090" customWidth="1"/>
    <col min="15107" max="15107" width="10.28515625" style="2090" customWidth="1"/>
    <col min="15108" max="15108" width="10.42578125" style="2090" customWidth="1"/>
    <col min="15109" max="15109" width="9.42578125" style="2090" customWidth="1"/>
    <col min="15110" max="15110" width="11.5703125" style="2090" bestFit="1" customWidth="1"/>
    <col min="15111" max="15111" width="10.28515625" style="2090" customWidth="1"/>
    <col min="15112" max="15112" width="9.85546875" style="2090" customWidth="1"/>
    <col min="15113" max="15113" width="10.7109375" style="2090" customWidth="1"/>
    <col min="15114" max="15114" width="9.85546875" style="2090" customWidth="1"/>
    <col min="15115" max="15115" width="12.28515625" style="2090" customWidth="1"/>
    <col min="15116" max="15117" width="11.7109375" style="2090" customWidth="1"/>
    <col min="15118" max="15118" width="10.7109375" style="2090" customWidth="1"/>
    <col min="15119" max="15119" width="15" style="2090" customWidth="1"/>
    <col min="15120" max="15360" width="9.140625" style="2090"/>
    <col min="15361" max="15361" width="20.5703125" style="2090" customWidth="1"/>
    <col min="15362" max="15362" width="13" style="2090" customWidth="1"/>
    <col min="15363" max="15363" width="10.28515625" style="2090" customWidth="1"/>
    <col min="15364" max="15364" width="10.42578125" style="2090" customWidth="1"/>
    <col min="15365" max="15365" width="9.42578125" style="2090" customWidth="1"/>
    <col min="15366" max="15366" width="11.5703125" style="2090" bestFit="1" customWidth="1"/>
    <col min="15367" max="15367" width="10.28515625" style="2090" customWidth="1"/>
    <col min="15368" max="15368" width="9.85546875" style="2090" customWidth="1"/>
    <col min="15369" max="15369" width="10.7109375" style="2090" customWidth="1"/>
    <col min="15370" max="15370" width="9.85546875" style="2090" customWidth="1"/>
    <col min="15371" max="15371" width="12.28515625" style="2090" customWidth="1"/>
    <col min="15372" max="15373" width="11.7109375" style="2090" customWidth="1"/>
    <col min="15374" max="15374" width="10.7109375" style="2090" customWidth="1"/>
    <col min="15375" max="15375" width="15" style="2090" customWidth="1"/>
    <col min="15376" max="15616" width="9.140625" style="2090"/>
    <col min="15617" max="15617" width="20.5703125" style="2090" customWidth="1"/>
    <col min="15618" max="15618" width="13" style="2090" customWidth="1"/>
    <col min="15619" max="15619" width="10.28515625" style="2090" customWidth="1"/>
    <col min="15620" max="15620" width="10.42578125" style="2090" customWidth="1"/>
    <col min="15621" max="15621" width="9.42578125" style="2090" customWidth="1"/>
    <col min="15622" max="15622" width="11.5703125" style="2090" bestFit="1" customWidth="1"/>
    <col min="15623" max="15623" width="10.28515625" style="2090" customWidth="1"/>
    <col min="15624" max="15624" width="9.85546875" style="2090" customWidth="1"/>
    <col min="15625" max="15625" width="10.7109375" style="2090" customWidth="1"/>
    <col min="15626" max="15626" width="9.85546875" style="2090" customWidth="1"/>
    <col min="15627" max="15627" width="12.28515625" style="2090" customWidth="1"/>
    <col min="15628" max="15629" width="11.7109375" style="2090" customWidth="1"/>
    <col min="15630" max="15630" width="10.7109375" style="2090" customWidth="1"/>
    <col min="15631" max="15631" width="15" style="2090" customWidth="1"/>
    <col min="15632" max="15872" width="9.140625" style="2090"/>
    <col min="15873" max="15873" width="20.5703125" style="2090" customWidth="1"/>
    <col min="15874" max="15874" width="13" style="2090" customWidth="1"/>
    <col min="15875" max="15875" width="10.28515625" style="2090" customWidth="1"/>
    <col min="15876" max="15876" width="10.42578125" style="2090" customWidth="1"/>
    <col min="15877" max="15877" width="9.42578125" style="2090" customWidth="1"/>
    <col min="15878" max="15878" width="11.5703125" style="2090" bestFit="1" customWidth="1"/>
    <col min="15879" max="15879" width="10.28515625" style="2090" customWidth="1"/>
    <col min="15880" max="15880" width="9.85546875" style="2090" customWidth="1"/>
    <col min="15881" max="15881" width="10.7109375" style="2090" customWidth="1"/>
    <col min="15882" max="15882" width="9.85546875" style="2090" customWidth="1"/>
    <col min="15883" max="15883" width="12.28515625" style="2090" customWidth="1"/>
    <col min="15884" max="15885" width="11.7109375" style="2090" customWidth="1"/>
    <col min="15886" max="15886" width="10.7109375" style="2090" customWidth="1"/>
    <col min="15887" max="15887" width="15" style="2090" customWidth="1"/>
    <col min="15888" max="16128" width="9.140625" style="2090"/>
    <col min="16129" max="16129" width="20.5703125" style="2090" customWidth="1"/>
    <col min="16130" max="16130" width="13" style="2090" customWidth="1"/>
    <col min="16131" max="16131" width="10.28515625" style="2090" customWidth="1"/>
    <col min="16132" max="16132" width="10.42578125" style="2090" customWidth="1"/>
    <col min="16133" max="16133" width="9.42578125" style="2090" customWidth="1"/>
    <col min="16134" max="16134" width="11.5703125" style="2090" bestFit="1" customWidth="1"/>
    <col min="16135" max="16135" width="10.28515625" style="2090" customWidth="1"/>
    <col min="16136" max="16136" width="9.85546875" style="2090" customWidth="1"/>
    <col min="16137" max="16137" width="10.7109375" style="2090" customWidth="1"/>
    <col min="16138" max="16138" width="9.85546875" style="2090" customWidth="1"/>
    <col min="16139" max="16139" width="12.28515625" style="2090" customWidth="1"/>
    <col min="16140" max="16141" width="11.7109375" style="2090" customWidth="1"/>
    <col min="16142" max="16142" width="10.7109375" style="2090" customWidth="1"/>
    <col min="16143" max="16143" width="15" style="2090" customWidth="1"/>
    <col min="16144" max="16384" width="9.140625" style="2090"/>
  </cols>
  <sheetData>
    <row r="1" spans="1:17" x14ac:dyDescent="0.15">
      <c r="A1" s="2437"/>
      <c r="B1" s="2437"/>
      <c r="C1" s="2437"/>
      <c r="D1" s="2437"/>
      <c r="E1" s="2437"/>
      <c r="F1" s="2437"/>
      <c r="G1" s="2437"/>
      <c r="H1" s="2437"/>
      <c r="I1" s="2437"/>
      <c r="J1" s="2437"/>
      <c r="K1" s="2437"/>
      <c r="L1" s="2437"/>
      <c r="M1" s="2437"/>
      <c r="N1" s="2437"/>
    </row>
    <row r="2" spans="1:17" x14ac:dyDescent="0.15">
      <c r="A2" s="2688" t="s">
        <v>4283</v>
      </c>
      <c r="B2" s="2354"/>
      <c r="C2" s="2354"/>
      <c r="D2" s="2354"/>
      <c r="E2" s="2354"/>
      <c r="F2" s="2354"/>
      <c r="G2" s="2354"/>
      <c r="H2" s="2354"/>
      <c r="I2" s="2354"/>
      <c r="J2" s="2354"/>
      <c r="K2" s="2354"/>
      <c r="L2" s="2354"/>
      <c r="M2" s="2354"/>
      <c r="N2" s="2354"/>
    </row>
    <row r="3" spans="1:17" ht="11.25" customHeight="1" x14ac:dyDescent="0.15">
      <c r="A3" s="2347"/>
      <c r="B3" s="2348"/>
      <c r="C3" s="2348"/>
      <c r="D3" s="2348"/>
      <c r="E3" s="2348"/>
      <c r="F3" s="2348"/>
      <c r="G3" s="2348"/>
      <c r="H3" s="2348"/>
      <c r="I3" s="2348"/>
      <c r="J3" s="2348"/>
      <c r="K3" s="2348"/>
      <c r="L3" s="2348"/>
      <c r="M3" s="2348"/>
      <c r="N3" s="2348"/>
    </row>
    <row r="4" spans="1:17" x14ac:dyDescent="0.15">
      <c r="A4" s="3393" t="s">
        <v>1</v>
      </c>
      <c r="B4" s="2361" t="s">
        <v>2342</v>
      </c>
      <c r="C4" s="3405"/>
      <c r="D4" s="3405"/>
      <c r="E4" s="3405"/>
      <c r="F4" s="3405"/>
      <c r="G4" s="3405"/>
      <c r="H4" s="3405"/>
      <c r="I4" s="3405"/>
      <c r="J4" s="3405"/>
      <c r="K4" s="3405"/>
      <c r="L4" s="3405"/>
      <c r="M4" s="3405"/>
      <c r="N4" s="3406"/>
    </row>
    <row r="5" spans="1:17" ht="21" x14ac:dyDescent="0.15">
      <c r="A5" s="2360"/>
      <c r="B5" s="2110" t="s">
        <v>1473</v>
      </c>
      <c r="C5" s="1615" t="s">
        <v>1512</v>
      </c>
      <c r="D5" s="1615" t="s">
        <v>1513</v>
      </c>
      <c r="E5" s="1615" t="s">
        <v>1514</v>
      </c>
      <c r="F5" s="1615" t="s">
        <v>1515</v>
      </c>
      <c r="G5" s="1615" t="s">
        <v>1516</v>
      </c>
      <c r="H5" s="1615" t="s">
        <v>1517</v>
      </c>
      <c r="I5" s="1615" t="s">
        <v>1518</v>
      </c>
      <c r="J5" s="1615" t="s">
        <v>1519</v>
      </c>
      <c r="K5" s="1615" t="s">
        <v>1520</v>
      </c>
      <c r="L5" s="1615" t="s">
        <v>1521</v>
      </c>
      <c r="M5" s="1615" t="s">
        <v>1522</v>
      </c>
      <c r="N5" s="1615" t="s">
        <v>1523</v>
      </c>
    </row>
    <row r="6" spans="1:17" x14ac:dyDescent="0.15">
      <c r="A6" s="2146" t="s">
        <v>141</v>
      </c>
      <c r="B6" s="543">
        <f t="shared" ref="B6:N6" si="0">SUM(B7:B21)</f>
        <v>7879020</v>
      </c>
      <c r="C6" s="543">
        <f t="shared" si="0"/>
        <v>617949</v>
      </c>
      <c r="D6" s="543">
        <f t="shared" si="0"/>
        <v>651157</v>
      </c>
      <c r="E6" s="543">
        <f t="shared" si="0"/>
        <v>513668</v>
      </c>
      <c r="F6" s="543">
        <f t="shared" si="0"/>
        <v>630780</v>
      </c>
      <c r="G6" s="543">
        <f t="shared" si="0"/>
        <v>554962</v>
      </c>
      <c r="H6" s="543">
        <f t="shared" si="0"/>
        <v>862377</v>
      </c>
      <c r="I6" s="543">
        <f t="shared" si="0"/>
        <v>636944</v>
      </c>
      <c r="J6" s="543">
        <f t="shared" si="0"/>
        <v>664586</v>
      </c>
      <c r="K6" s="543">
        <f t="shared" si="0"/>
        <v>562689</v>
      </c>
      <c r="L6" s="543">
        <f t="shared" si="0"/>
        <v>879762</v>
      </c>
      <c r="M6" s="543">
        <f t="shared" si="0"/>
        <v>854884</v>
      </c>
      <c r="N6" s="543">
        <f t="shared" si="0"/>
        <v>449262</v>
      </c>
    </row>
    <row r="7" spans="1:17" x14ac:dyDescent="0.15">
      <c r="A7" s="2092" t="s">
        <v>5</v>
      </c>
      <c r="B7" s="543">
        <f>SUM(C7:N7)</f>
        <v>158719</v>
      </c>
      <c r="C7" s="545">
        <v>13140</v>
      </c>
      <c r="D7" s="545">
        <v>15975</v>
      </c>
      <c r="E7" s="545">
        <v>21580</v>
      </c>
      <c r="F7" s="545">
        <v>16420</v>
      </c>
      <c r="G7" s="545">
        <v>7235</v>
      </c>
      <c r="H7" s="545">
        <v>11620</v>
      </c>
      <c r="I7" s="545">
        <v>13124</v>
      </c>
      <c r="J7" s="545">
        <v>22232</v>
      </c>
      <c r="K7" s="545">
        <v>7679</v>
      </c>
      <c r="L7" s="545">
        <v>15555</v>
      </c>
      <c r="M7" s="545">
        <v>9254</v>
      </c>
      <c r="N7" s="545">
        <v>4905</v>
      </c>
    </row>
    <row r="8" spans="1:17" x14ac:dyDescent="0.15">
      <c r="A8" s="2092" t="s">
        <v>6</v>
      </c>
      <c r="B8" s="543">
        <f t="shared" ref="B8:B21" si="1">SUM(C8:N8)</f>
        <v>114900</v>
      </c>
      <c r="C8" s="545">
        <v>8175</v>
      </c>
      <c r="D8" s="545">
        <v>8770</v>
      </c>
      <c r="E8" s="545">
        <v>9570</v>
      </c>
      <c r="F8" s="545">
        <v>11080</v>
      </c>
      <c r="G8" s="545">
        <v>9400</v>
      </c>
      <c r="H8" s="545">
        <v>10435</v>
      </c>
      <c r="I8" s="545">
        <v>9990</v>
      </c>
      <c r="J8" s="545">
        <v>10235</v>
      </c>
      <c r="K8" s="545">
        <v>10295</v>
      </c>
      <c r="L8" s="545">
        <v>10090</v>
      </c>
      <c r="M8" s="545">
        <v>10310</v>
      </c>
      <c r="N8" s="545">
        <v>6550</v>
      </c>
    </row>
    <row r="9" spans="1:17" ht="11.25" x14ac:dyDescent="0.15">
      <c r="A9" s="2092" t="s">
        <v>4268</v>
      </c>
      <c r="B9" s="543">
        <f t="shared" si="1"/>
        <v>229707</v>
      </c>
      <c r="C9" s="545">
        <v>13787</v>
      </c>
      <c r="D9" s="545">
        <v>28234</v>
      </c>
      <c r="E9" s="545">
        <v>17165</v>
      </c>
      <c r="F9" s="545">
        <v>17248</v>
      </c>
      <c r="G9" s="545">
        <v>14366</v>
      </c>
      <c r="H9" s="545">
        <v>12161</v>
      </c>
      <c r="I9" s="545">
        <v>8043</v>
      </c>
      <c r="J9" s="545">
        <v>44188</v>
      </c>
      <c r="K9" s="545">
        <v>18758</v>
      </c>
      <c r="L9" s="545">
        <v>22622</v>
      </c>
      <c r="M9" s="545">
        <v>25624</v>
      </c>
      <c r="N9" s="545">
        <v>7511</v>
      </c>
    </row>
    <row r="10" spans="1:17" ht="11.25" x14ac:dyDescent="0.15">
      <c r="A10" s="2092" t="s">
        <v>4270</v>
      </c>
      <c r="B10" s="543">
        <f t="shared" si="1"/>
        <v>131535</v>
      </c>
      <c r="C10" s="545">
        <v>12054</v>
      </c>
      <c r="D10" s="545">
        <v>4958</v>
      </c>
      <c r="E10" s="545">
        <v>6289</v>
      </c>
      <c r="F10" s="545">
        <v>6470</v>
      </c>
      <c r="G10" s="545">
        <v>3035</v>
      </c>
      <c r="H10" s="545">
        <v>3215</v>
      </c>
      <c r="I10" s="545">
        <v>10832</v>
      </c>
      <c r="J10" s="545">
        <v>21280</v>
      </c>
      <c r="K10" s="545">
        <v>14950</v>
      </c>
      <c r="L10" s="545">
        <v>14460</v>
      </c>
      <c r="M10" s="545">
        <v>16698</v>
      </c>
      <c r="N10" s="545">
        <v>17294</v>
      </c>
    </row>
    <row r="11" spans="1:17" ht="11.25" x14ac:dyDescent="0.15">
      <c r="A11" s="2092" t="s">
        <v>4278</v>
      </c>
      <c r="B11" s="543">
        <f t="shared" si="1"/>
        <v>348077</v>
      </c>
      <c r="C11" s="545">
        <v>28053</v>
      </c>
      <c r="D11" s="545">
        <v>19448</v>
      </c>
      <c r="E11" s="545">
        <v>6594</v>
      </c>
      <c r="F11" s="545">
        <v>9930</v>
      </c>
      <c r="G11" s="545">
        <v>27858</v>
      </c>
      <c r="H11" s="545">
        <v>58803</v>
      </c>
      <c r="I11" s="545">
        <v>22955</v>
      </c>
      <c r="J11" s="545">
        <v>32840</v>
      </c>
      <c r="K11" s="545">
        <v>33129</v>
      </c>
      <c r="L11" s="545">
        <v>33201</v>
      </c>
      <c r="M11" s="545">
        <v>38815</v>
      </c>
      <c r="N11" s="545">
        <v>36451</v>
      </c>
      <c r="O11" s="2093"/>
      <c r="P11" s="2093"/>
      <c r="Q11" s="2093"/>
    </row>
    <row r="12" spans="1:17" ht="11.25" x14ac:dyDescent="0.15">
      <c r="A12" s="2092" t="s">
        <v>4279</v>
      </c>
      <c r="B12" s="543">
        <f t="shared" si="1"/>
        <v>913698</v>
      </c>
      <c r="C12" s="545">
        <v>76757</v>
      </c>
      <c r="D12" s="545">
        <v>83820</v>
      </c>
      <c r="E12" s="545">
        <v>50504</v>
      </c>
      <c r="F12" s="545">
        <v>75361</v>
      </c>
      <c r="G12" s="545">
        <v>75848</v>
      </c>
      <c r="H12" s="545">
        <v>99383</v>
      </c>
      <c r="I12" s="545">
        <v>69141</v>
      </c>
      <c r="J12" s="545">
        <v>70577</v>
      </c>
      <c r="K12" s="545">
        <v>57860</v>
      </c>
      <c r="L12" s="545">
        <v>87027</v>
      </c>
      <c r="M12" s="545">
        <v>127089</v>
      </c>
      <c r="N12" s="545">
        <v>40331</v>
      </c>
      <c r="O12" s="2093"/>
      <c r="P12" s="2093"/>
      <c r="Q12" s="2093"/>
    </row>
    <row r="13" spans="1:17" ht="11.25" x14ac:dyDescent="0.15">
      <c r="A13" s="2092" t="s">
        <v>4280</v>
      </c>
      <c r="B13" s="543">
        <f t="shared" si="1"/>
        <v>2147320</v>
      </c>
      <c r="C13" s="545">
        <v>133012</v>
      </c>
      <c r="D13" s="545">
        <v>160991</v>
      </c>
      <c r="E13" s="545">
        <v>139999</v>
      </c>
      <c r="F13" s="545">
        <v>188148</v>
      </c>
      <c r="G13" s="545">
        <v>99768</v>
      </c>
      <c r="H13" s="545">
        <v>357310</v>
      </c>
      <c r="I13" s="545">
        <v>185651</v>
      </c>
      <c r="J13" s="545">
        <v>147544</v>
      </c>
      <c r="K13" s="545">
        <v>123391</v>
      </c>
      <c r="L13" s="545">
        <v>255760</v>
      </c>
      <c r="M13" s="545">
        <v>270070</v>
      </c>
      <c r="N13" s="545">
        <v>85676</v>
      </c>
      <c r="O13" s="2093"/>
      <c r="P13" s="2093"/>
      <c r="Q13" s="2093"/>
    </row>
    <row r="14" spans="1:17" ht="11.25" x14ac:dyDescent="0.15">
      <c r="A14" s="2092" t="s">
        <v>4281</v>
      </c>
      <c r="B14" s="543">
        <f t="shared" si="1"/>
        <v>529966</v>
      </c>
      <c r="C14" s="545">
        <v>36242</v>
      </c>
      <c r="D14" s="545">
        <v>65600</v>
      </c>
      <c r="E14" s="545">
        <v>22271</v>
      </c>
      <c r="F14" s="545">
        <v>36160</v>
      </c>
      <c r="G14" s="545">
        <v>33301</v>
      </c>
      <c r="H14" s="545">
        <v>58924</v>
      </c>
      <c r="I14" s="545">
        <v>47824</v>
      </c>
      <c r="J14" s="545">
        <v>46111</v>
      </c>
      <c r="K14" s="545">
        <v>48222</v>
      </c>
      <c r="L14" s="545">
        <v>56649</v>
      </c>
      <c r="M14" s="545">
        <v>47101</v>
      </c>
      <c r="N14" s="545">
        <v>31561</v>
      </c>
      <c r="O14" s="2093"/>
      <c r="P14" s="2093"/>
      <c r="Q14" s="2093"/>
    </row>
    <row r="15" spans="1:17" x14ac:dyDescent="0.15">
      <c r="A15" s="2092" t="s">
        <v>13</v>
      </c>
      <c r="B15" s="543">
        <f t="shared" si="1"/>
        <v>532676</v>
      </c>
      <c r="C15" s="545">
        <v>47650</v>
      </c>
      <c r="D15" s="545">
        <v>46987</v>
      </c>
      <c r="E15" s="545">
        <v>48943</v>
      </c>
      <c r="F15" s="545">
        <v>53727</v>
      </c>
      <c r="G15" s="545">
        <v>49579</v>
      </c>
      <c r="H15" s="545">
        <v>49917</v>
      </c>
      <c r="I15" s="545">
        <v>36311</v>
      </c>
      <c r="J15" s="545">
        <v>37855</v>
      </c>
      <c r="K15" s="545">
        <v>38772</v>
      </c>
      <c r="L15" s="545">
        <v>50598</v>
      </c>
      <c r="M15" s="545">
        <v>40000</v>
      </c>
      <c r="N15" s="545">
        <v>32337</v>
      </c>
      <c r="O15" s="2093"/>
      <c r="P15" s="2093"/>
      <c r="Q15" s="2093"/>
    </row>
    <row r="16" spans="1:17" x14ac:dyDescent="0.15">
      <c r="A16" s="2092" t="s">
        <v>14</v>
      </c>
      <c r="B16" s="543">
        <f t="shared" si="1"/>
        <v>1065785</v>
      </c>
      <c r="C16" s="545">
        <v>96626</v>
      </c>
      <c r="D16" s="545">
        <v>98524</v>
      </c>
      <c r="E16" s="545">
        <v>92972</v>
      </c>
      <c r="F16" s="545">
        <v>87333</v>
      </c>
      <c r="G16" s="545">
        <v>94161</v>
      </c>
      <c r="H16" s="545">
        <v>57344</v>
      </c>
      <c r="I16" s="545">
        <v>84506</v>
      </c>
      <c r="J16" s="545">
        <v>74053</v>
      </c>
      <c r="K16" s="545">
        <v>57057</v>
      </c>
      <c r="L16" s="545">
        <v>159866</v>
      </c>
      <c r="M16" s="545">
        <v>91679</v>
      </c>
      <c r="N16" s="545">
        <v>71664</v>
      </c>
      <c r="O16" s="2093"/>
      <c r="P16" s="2093"/>
      <c r="Q16" s="2093"/>
    </row>
    <row r="17" spans="1:17" ht="11.25" x14ac:dyDescent="0.15">
      <c r="A17" s="2092" t="s">
        <v>4282</v>
      </c>
      <c r="B17" s="543">
        <f t="shared" si="1"/>
        <v>1027438</v>
      </c>
      <c r="C17" s="545">
        <v>58823</v>
      </c>
      <c r="D17" s="545">
        <v>54305</v>
      </c>
      <c r="E17" s="545">
        <v>50693</v>
      </c>
      <c r="F17" s="545">
        <v>72724</v>
      </c>
      <c r="G17" s="545">
        <v>84324</v>
      </c>
      <c r="H17" s="545">
        <v>103257</v>
      </c>
      <c r="I17" s="545">
        <v>94903</v>
      </c>
      <c r="J17" s="545">
        <v>106447</v>
      </c>
      <c r="K17" s="545">
        <v>103785</v>
      </c>
      <c r="L17" s="545">
        <v>122297</v>
      </c>
      <c r="M17" s="545">
        <v>109851</v>
      </c>
      <c r="N17" s="545">
        <v>66029</v>
      </c>
      <c r="O17" s="2093"/>
      <c r="P17" s="2093"/>
      <c r="Q17" s="2093"/>
    </row>
    <row r="18" spans="1:17" x14ac:dyDescent="0.15">
      <c r="A18" s="2092" t="s">
        <v>16</v>
      </c>
      <c r="B18" s="543">
        <f t="shared" si="1"/>
        <v>134255</v>
      </c>
      <c r="C18" s="545">
        <v>9810</v>
      </c>
      <c r="D18" s="545">
        <v>14080</v>
      </c>
      <c r="E18" s="545">
        <v>10595</v>
      </c>
      <c r="F18" s="545">
        <v>12448</v>
      </c>
      <c r="G18" s="545">
        <v>14836</v>
      </c>
      <c r="H18" s="545">
        <v>10785</v>
      </c>
      <c r="I18" s="545">
        <v>9987</v>
      </c>
      <c r="J18" s="545">
        <v>7396</v>
      </c>
      <c r="K18" s="545">
        <v>6990</v>
      </c>
      <c r="L18" s="545">
        <v>13599</v>
      </c>
      <c r="M18" s="545">
        <v>12764</v>
      </c>
      <c r="N18" s="545">
        <v>10965</v>
      </c>
      <c r="O18" s="2093"/>
      <c r="P18" s="2093"/>
      <c r="Q18" s="2093"/>
    </row>
    <row r="19" spans="1:17" x14ac:dyDescent="0.15">
      <c r="A19" s="2092" t="s">
        <v>17</v>
      </c>
      <c r="B19" s="543">
        <f t="shared" si="1"/>
        <v>401821</v>
      </c>
      <c r="C19" s="545">
        <v>75344</v>
      </c>
      <c r="D19" s="545">
        <v>41855</v>
      </c>
      <c r="E19" s="545">
        <v>30103</v>
      </c>
      <c r="F19" s="545">
        <v>36506</v>
      </c>
      <c r="G19" s="545">
        <v>27761</v>
      </c>
      <c r="H19" s="545">
        <v>22921</v>
      </c>
      <c r="I19" s="545">
        <v>27817</v>
      </c>
      <c r="J19" s="545">
        <v>25568</v>
      </c>
      <c r="K19" s="545">
        <v>25051</v>
      </c>
      <c r="L19" s="545">
        <v>24698</v>
      </c>
      <c r="M19" s="545">
        <v>33479</v>
      </c>
      <c r="N19" s="545">
        <v>30718</v>
      </c>
      <c r="O19" s="2093"/>
      <c r="P19" s="2093"/>
      <c r="Q19" s="2093"/>
    </row>
    <row r="20" spans="1:17" x14ac:dyDescent="0.15">
      <c r="A20" s="2092" t="s">
        <v>18</v>
      </c>
      <c r="B20" s="543">
        <f t="shared" si="1"/>
        <v>63968</v>
      </c>
      <c r="C20" s="545">
        <v>4426</v>
      </c>
      <c r="D20" s="545">
        <v>2260</v>
      </c>
      <c r="E20" s="545">
        <v>3720</v>
      </c>
      <c r="F20" s="545">
        <v>5100</v>
      </c>
      <c r="G20" s="545">
        <v>5100</v>
      </c>
      <c r="H20" s="545">
        <v>2752</v>
      </c>
      <c r="I20" s="545">
        <v>5940</v>
      </c>
      <c r="J20" s="545">
        <v>5930</v>
      </c>
      <c r="K20" s="545">
        <v>7210</v>
      </c>
      <c r="L20" s="545">
        <v>10190</v>
      </c>
      <c r="M20" s="545">
        <v>7520</v>
      </c>
      <c r="N20" s="545">
        <v>3820</v>
      </c>
      <c r="O20" s="2093"/>
      <c r="P20" s="2093"/>
      <c r="Q20" s="2093"/>
    </row>
    <row r="21" spans="1:17" x14ac:dyDescent="0.15">
      <c r="A21" s="2092" t="s">
        <v>19</v>
      </c>
      <c r="B21" s="543">
        <f t="shared" si="1"/>
        <v>79155</v>
      </c>
      <c r="C21" s="545">
        <v>4050</v>
      </c>
      <c r="D21" s="545">
        <v>5350</v>
      </c>
      <c r="E21" s="545">
        <v>2670</v>
      </c>
      <c r="F21" s="545">
        <v>2125</v>
      </c>
      <c r="G21" s="545">
        <v>8390</v>
      </c>
      <c r="H21" s="545">
        <v>3550</v>
      </c>
      <c r="I21" s="545">
        <v>9920</v>
      </c>
      <c r="J21" s="545">
        <v>12330</v>
      </c>
      <c r="K21" s="545">
        <v>9540</v>
      </c>
      <c r="L21" s="545">
        <v>3150</v>
      </c>
      <c r="M21" s="545">
        <v>14630</v>
      </c>
      <c r="N21" s="545">
        <v>3450</v>
      </c>
      <c r="O21" s="2093"/>
      <c r="P21" s="2093"/>
      <c r="Q21" s="2093"/>
    </row>
    <row r="22" spans="1:17" ht="11.25" customHeight="1" x14ac:dyDescent="0.15">
      <c r="A22" s="2356"/>
      <c r="B22" s="2357"/>
      <c r="C22" s="2357"/>
      <c r="D22" s="2357"/>
      <c r="E22" s="2357"/>
      <c r="F22" s="2357"/>
      <c r="G22" s="2357"/>
      <c r="H22" s="2357"/>
      <c r="I22" s="2357"/>
      <c r="J22" s="2357"/>
      <c r="K22" s="2357"/>
      <c r="L22" s="2357"/>
      <c r="M22" s="2357"/>
      <c r="N22" s="2357"/>
      <c r="O22" s="2093"/>
      <c r="P22" s="2093"/>
      <c r="Q22" s="2093"/>
    </row>
    <row r="23" spans="1:17" ht="22.5" customHeight="1" x14ac:dyDescent="0.15">
      <c r="A23" s="2414" t="s">
        <v>3410</v>
      </c>
      <c r="B23" s="2408"/>
      <c r="C23" s="2408"/>
      <c r="D23" s="2408"/>
      <c r="E23" s="2408"/>
      <c r="F23" s="2408"/>
      <c r="G23" s="2408"/>
      <c r="H23" s="2408"/>
      <c r="I23" s="2408"/>
      <c r="J23" s="2408"/>
      <c r="K23" s="2408"/>
      <c r="L23" s="2408"/>
      <c r="M23" s="2408"/>
      <c r="N23" s="2408"/>
      <c r="O23" s="2093"/>
      <c r="P23" s="2093"/>
      <c r="Q23" s="2093"/>
    </row>
    <row r="24" spans="1:17" ht="10.5" customHeight="1" x14ac:dyDescent="0.15">
      <c r="A24" s="2699" t="s">
        <v>1489</v>
      </c>
      <c r="B24" s="2699"/>
      <c r="C24" s="2699"/>
      <c r="D24" s="2699"/>
      <c r="E24" s="2699"/>
      <c r="F24" s="2699"/>
      <c r="G24" s="2699"/>
      <c r="H24" s="2699"/>
      <c r="I24" s="2699"/>
      <c r="J24" s="2699"/>
      <c r="K24" s="2699"/>
      <c r="L24" s="2699"/>
      <c r="M24" s="2699"/>
      <c r="N24" s="2699"/>
      <c r="O24" s="2093"/>
      <c r="P24" s="2093"/>
      <c r="Q24" s="2093"/>
    </row>
    <row r="25" spans="1:17" ht="10.5" customHeight="1" x14ac:dyDescent="0.15">
      <c r="A25" s="2699" t="s">
        <v>3425</v>
      </c>
      <c r="B25" s="2699"/>
      <c r="C25" s="2699"/>
      <c r="D25" s="2699"/>
      <c r="E25" s="2699"/>
      <c r="F25" s="2699"/>
      <c r="G25" s="2699"/>
      <c r="H25" s="2699"/>
      <c r="I25" s="2699"/>
      <c r="J25" s="2699"/>
      <c r="K25" s="2699"/>
      <c r="L25" s="2699"/>
      <c r="M25" s="2699"/>
      <c r="N25" s="2699"/>
      <c r="O25" s="2093"/>
      <c r="P25" s="2093"/>
      <c r="Q25" s="2093"/>
    </row>
    <row r="26" spans="1:17" ht="10.5" customHeight="1" x14ac:dyDescent="0.15">
      <c r="A26" s="2463" t="s">
        <v>1483</v>
      </c>
      <c r="B26" s="2408"/>
      <c r="C26" s="2408"/>
      <c r="D26" s="2408"/>
      <c r="E26" s="2408"/>
      <c r="F26" s="2408"/>
      <c r="G26" s="2408"/>
      <c r="H26" s="2408"/>
      <c r="I26" s="2408"/>
      <c r="J26" s="2408"/>
      <c r="K26" s="2408"/>
      <c r="L26" s="2408"/>
      <c r="M26" s="2408"/>
      <c r="N26" s="2408"/>
      <c r="O26" s="2093"/>
      <c r="P26" s="2093"/>
      <c r="Q26" s="2093"/>
    </row>
    <row r="27" spans="1:17" x14ac:dyDescent="0.15">
      <c r="A27" s="2093"/>
      <c r="B27" s="2093"/>
      <c r="C27" s="2093"/>
      <c r="D27" s="2093"/>
      <c r="E27" s="2093"/>
      <c r="F27" s="2093"/>
      <c r="G27" s="2093"/>
      <c r="H27" s="2093"/>
      <c r="I27" s="2093"/>
      <c r="J27" s="2093"/>
      <c r="K27" s="2093"/>
      <c r="L27" s="2093"/>
      <c r="M27" s="2093"/>
      <c r="N27" s="2093"/>
      <c r="O27" s="2093"/>
      <c r="P27" s="2093"/>
      <c r="Q27" s="2093"/>
    </row>
    <row r="28" spans="1:17" x14ac:dyDescent="0.15">
      <c r="A28" s="2093"/>
      <c r="B28" s="2093"/>
      <c r="C28" s="2093"/>
      <c r="D28" s="2093"/>
      <c r="E28" s="2093"/>
      <c r="F28" s="2093"/>
      <c r="G28" s="2093"/>
      <c r="H28" s="2093"/>
      <c r="I28" s="2093"/>
      <c r="J28" s="2093"/>
      <c r="K28" s="2093"/>
      <c r="L28" s="2093"/>
      <c r="M28" s="2093"/>
      <c r="N28" s="2093"/>
      <c r="O28" s="2093"/>
      <c r="P28" s="2093"/>
      <c r="Q28" s="2093"/>
    </row>
    <row r="29" spans="1:17" x14ac:dyDescent="0.15">
      <c r="A29" s="2093"/>
      <c r="B29" s="2093"/>
      <c r="C29" s="2093"/>
      <c r="D29" s="2093"/>
      <c r="E29" s="2093"/>
      <c r="F29" s="2093"/>
      <c r="G29" s="2093"/>
      <c r="H29" s="2093"/>
      <c r="I29" s="2093"/>
      <c r="J29" s="2093"/>
      <c r="K29" s="2093"/>
      <c r="L29" s="2093"/>
      <c r="M29" s="2093"/>
      <c r="N29" s="2093"/>
      <c r="O29" s="2093"/>
      <c r="P29" s="2093"/>
      <c r="Q29" s="2093"/>
    </row>
    <row r="30" spans="1:17" x14ac:dyDescent="0.15">
      <c r="A30" s="2093"/>
      <c r="B30" s="2093"/>
      <c r="C30" s="2093"/>
      <c r="D30" s="2093"/>
      <c r="E30" s="2093"/>
      <c r="F30" s="2093"/>
      <c r="G30" s="2093"/>
      <c r="H30" s="2093"/>
      <c r="I30" s="2093"/>
      <c r="J30" s="2093"/>
      <c r="K30" s="2093"/>
      <c r="L30" s="2093"/>
      <c r="M30" s="2093"/>
      <c r="N30" s="2093"/>
      <c r="O30" s="2093"/>
      <c r="P30" s="2093"/>
      <c r="Q30" s="2093"/>
    </row>
    <row r="31" spans="1:17" x14ac:dyDescent="0.15">
      <c r="A31" s="2093"/>
      <c r="B31" s="2093"/>
      <c r="C31" s="2093"/>
      <c r="D31" s="2093"/>
      <c r="E31" s="2093"/>
      <c r="F31" s="2093"/>
      <c r="G31" s="2093"/>
      <c r="H31" s="2093"/>
      <c r="I31" s="2093"/>
      <c r="J31" s="2093"/>
      <c r="K31" s="2093"/>
      <c r="L31" s="2093"/>
      <c r="M31" s="2093"/>
      <c r="N31" s="2093"/>
      <c r="O31" s="2093"/>
      <c r="P31" s="2093"/>
      <c r="Q31" s="2093"/>
    </row>
  </sheetData>
  <mergeCells count="10">
    <mergeCell ref="A23:N23"/>
    <mergeCell ref="A24:N24"/>
    <mergeCell ref="A25:N25"/>
    <mergeCell ref="A26:N26"/>
    <mergeCell ref="A1:N1"/>
    <mergeCell ref="A2:N2"/>
    <mergeCell ref="A3:N3"/>
    <mergeCell ref="A4:A5"/>
    <mergeCell ref="B4:N4"/>
    <mergeCell ref="A22:N22"/>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F14"/>
  <sheetViews>
    <sheetView workbookViewId="0">
      <selection activeCell="A20" sqref="A20"/>
    </sheetView>
  </sheetViews>
  <sheetFormatPr baseColWidth="10" defaultColWidth="11.42578125" defaultRowHeight="10.5" x14ac:dyDescent="0.15"/>
  <cols>
    <col min="1" max="1" width="64.42578125" style="211" customWidth="1"/>
    <col min="2" max="3" width="11.42578125" style="211"/>
    <col min="4" max="6" width="11.140625" style="211" customWidth="1"/>
    <col min="7" max="7" width="5.7109375" style="211" customWidth="1"/>
    <col min="8" max="8" width="20.7109375" style="211" bestFit="1" customWidth="1"/>
    <col min="9" max="16384" width="11.42578125" style="211"/>
  </cols>
  <sheetData>
    <row r="2" spans="1:6" ht="26.25" customHeight="1" x14ac:dyDescent="0.15">
      <c r="A2" s="2554" t="s">
        <v>3426</v>
      </c>
      <c r="B2" s="2554"/>
      <c r="C2" s="2554"/>
      <c r="D2" s="2554"/>
      <c r="E2" s="2554"/>
      <c r="F2" s="2554"/>
    </row>
    <row r="3" spans="1:6" x14ac:dyDescent="0.15">
      <c r="A3" s="3434"/>
      <c r="B3" s="3434"/>
      <c r="C3" s="3434"/>
      <c r="D3" s="3434"/>
      <c r="E3" s="3434"/>
      <c r="F3" s="3434"/>
    </row>
    <row r="4" spans="1:6" s="1632" customFormat="1" x14ac:dyDescent="0.25">
      <c r="A4" s="3435" t="s">
        <v>3427</v>
      </c>
      <c r="B4" s="2512" t="s">
        <v>2</v>
      </c>
      <c r="C4" s="2512"/>
      <c r="D4" s="2512"/>
      <c r="E4" s="2512"/>
      <c r="F4" s="2512"/>
    </row>
    <row r="5" spans="1:6" s="1632" customFormat="1" x14ac:dyDescent="0.25">
      <c r="A5" s="3436"/>
      <c r="B5" s="198">
        <v>2011</v>
      </c>
      <c r="C5" s="198">
        <v>2012</v>
      </c>
      <c r="D5" s="198">
        <v>2013</v>
      </c>
      <c r="E5" s="198">
        <v>2014</v>
      </c>
      <c r="F5" s="198">
        <v>2015</v>
      </c>
    </row>
    <row r="6" spans="1:6" ht="21" x14ac:dyDescent="0.15">
      <c r="A6" s="1633" t="s">
        <v>3428</v>
      </c>
      <c r="B6" s="1634">
        <v>13169</v>
      </c>
      <c r="C6" s="1634">
        <v>12259</v>
      </c>
      <c r="D6" s="1635">
        <v>13046</v>
      </c>
      <c r="E6" s="1635">
        <v>12638</v>
      </c>
      <c r="F6" s="1636">
        <v>12566</v>
      </c>
    </row>
    <row r="7" spans="1:6" x14ac:dyDescent="0.15">
      <c r="A7" s="1633" t="s">
        <v>3429</v>
      </c>
      <c r="B7" s="1634">
        <v>3212</v>
      </c>
      <c r="C7" s="1634">
        <v>5663</v>
      </c>
      <c r="D7" s="1637">
        <v>6749</v>
      </c>
      <c r="E7" s="1637">
        <v>7085</v>
      </c>
      <c r="F7" s="1636">
        <v>8416</v>
      </c>
    </row>
    <row r="8" spans="1:6" ht="21" x14ac:dyDescent="0.15">
      <c r="A8" s="1633" t="s">
        <v>3430</v>
      </c>
      <c r="B8" s="1634">
        <v>11461</v>
      </c>
      <c r="C8" s="1634">
        <v>14662</v>
      </c>
      <c r="D8" s="1635">
        <v>15307</v>
      </c>
      <c r="E8" s="1635">
        <v>15009</v>
      </c>
      <c r="F8" s="1636">
        <v>19425</v>
      </c>
    </row>
    <row r="9" spans="1:6" x14ac:dyDescent="0.15">
      <c r="A9" s="1633" t="s">
        <v>3431</v>
      </c>
      <c r="B9" s="1635" t="s">
        <v>193</v>
      </c>
      <c r="C9" s="1635" t="s">
        <v>193</v>
      </c>
      <c r="D9" s="1635" t="s">
        <v>193</v>
      </c>
      <c r="E9" s="1635">
        <v>19</v>
      </c>
      <c r="F9" s="1636">
        <v>11</v>
      </c>
    </row>
    <row r="10" spans="1:6" ht="21" x14ac:dyDescent="0.15">
      <c r="A10" s="1633" t="s">
        <v>3432</v>
      </c>
      <c r="B10" s="1635" t="s">
        <v>193</v>
      </c>
      <c r="C10" s="1635" t="s">
        <v>193</v>
      </c>
      <c r="D10" s="1635" t="s">
        <v>193</v>
      </c>
      <c r="E10" s="1635">
        <v>21</v>
      </c>
      <c r="F10" s="1636">
        <v>21</v>
      </c>
    </row>
    <row r="11" spans="1:6" x14ac:dyDescent="0.15">
      <c r="A11" s="2537"/>
      <c r="B11" s="2537"/>
      <c r="C11" s="2537"/>
      <c r="D11" s="2537"/>
      <c r="E11" s="2537"/>
      <c r="F11" s="2537"/>
    </row>
    <row r="12" spans="1:6" ht="22.5" customHeight="1" x14ac:dyDescent="0.15">
      <c r="A12" s="3383" t="s">
        <v>3433</v>
      </c>
      <c r="B12" s="3383"/>
      <c r="C12" s="3383"/>
      <c r="D12" s="3383"/>
      <c r="E12" s="3383"/>
      <c r="F12" s="3383"/>
    </row>
    <row r="13" spans="1:6" x14ac:dyDescent="0.15">
      <c r="A13" s="3433" t="s">
        <v>3434</v>
      </c>
      <c r="B13" s="3433"/>
      <c r="C13" s="3433"/>
      <c r="D13" s="3433"/>
      <c r="E13" s="3433"/>
      <c r="F13" s="3433"/>
    </row>
    <row r="14" spans="1:6" ht="10.5" customHeight="1" x14ac:dyDescent="0.15">
      <c r="A14" s="2499" t="s">
        <v>3435</v>
      </c>
      <c r="B14" s="2499"/>
      <c r="C14" s="2499"/>
      <c r="D14" s="2499"/>
      <c r="E14" s="2499"/>
      <c r="F14" s="2499"/>
    </row>
  </sheetData>
  <mergeCells count="8">
    <mergeCell ref="A13:F13"/>
    <mergeCell ref="A14:F14"/>
    <mergeCell ref="A2:F2"/>
    <mergeCell ref="A3:F3"/>
    <mergeCell ref="A4:A5"/>
    <mergeCell ref="B4:F4"/>
    <mergeCell ref="A11:F11"/>
    <mergeCell ref="A12:F12"/>
  </mergeCells>
  <pageMargins left="0.7" right="0.7" top="0.75" bottom="0.75" header="0.3" footer="0.3"/>
  <pageSetup orientation="portrait" verticalDpi="0"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2:N51"/>
  <sheetViews>
    <sheetView zoomScaleNormal="100" workbookViewId="0">
      <selection activeCell="B20" sqref="B20"/>
    </sheetView>
  </sheetViews>
  <sheetFormatPr baseColWidth="10" defaultColWidth="11.42578125" defaultRowHeight="15" x14ac:dyDescent="0.25"/>
  <cols>
    <col min="1" max="1" width="29" style="625" customWidth="1"/>
    <col min="2" max="5" width="11.42578125" style="625"/>
    <col min="6" max="6" width="11.42578125" style="625" customWidth="1"/>
    <col min="7" max="8" width="11.42578125" style="625"/>
    <col min="9" max="9" width="17.42578125" style="625" customWidth="1"/>
    <col min="10" max="16384" width="11.42578125" style="625"/>
  </cols>
  <sheetData>
    <row r="2" spans="1:14" ht="36" customHeight="1" x14ac:dyDescent="0.25">
      <c r="A2" s="3438" t="s">
        <v>3436</v>
      </c>
      <c r="B2" s="3438"/>
      <c r="C2" s="3438"/>
      <c r="D2" s="3438"/>
      <c r="E2" s="3438"/>
      <c r="F2" s="3438"/>
    </row>
    <row r="3" spans="1:14" s="211" customFormat="1" ht="10.5" customHeight="1" x14ac:dyDescent="0.15">
      <c r="B3" s="1638"/>
      <c r="C3" s="1638"/>
      <c r="D3" s="1638"/>
      <c r="F3" s="1639"/>
      <c r="G3" s="1639"/>
      <c r="H3" s="1639"/>
    </row>
    <row r="4" spans="1:14" s="1632" customFormat="1" ht="15.75" customHeight="1" x14ac:dyDescent="0.25">
      <c r="A4" s="3439" t="s">
        <v>3437</v>
      </c>
      <c r="B4" s="2900" t="s">
        <v>2</v>
      </c>
      <c r="C4" s="2900"/>
      <c r="D4" s="2900"/>
      <c r="E4" s="2900"/>
      <c r="F4" s="2900"/>
      <c r="G4" s="1640"/>
      <c r="H4" s="1640"/>
    </row>
    <row r="5" spans="1:14" s="1632" customFormat="1" ht="15.75" customHeight="1" x14ac:dyDescent="0.25">
      <c r="A5" s="3440"/>
      <c r="B5" s="1641">
        <v>2011</v>
      </c>
      <c r="C5" s="1641">
        <v>2012</v>
      </c>
      <c r="D5" s="1641">
        <v>2013</v>
      </c>
      <c r="E5" s="1641">
        <v>2014</v>
      </c>
      <c r="F5" s="839" t="s">
        <v>166</v>
      </c>
      <c r="G5" s="1642"/>
      <c r="H5" s="1642"/>
      <c r="J5" s="1642"/>
      <c r="K5" s="1642"/>
      <c r="L5" s="1642"/>
      <c r="M5" s="1642"/>
      <c r="N5" s="1642"/>
    </row>
    <row r="6" spans="1:14" s="211" customFormat="1" ht="10.5" x14ac:dyDescent="0.15">
      <c r="A6" s="1643" t="s">
        <v>141</v>
      </c>
      <c r="B6" s="1644">
        <f t="shared" ref="B6:E6" si="0">SUM(B7:B22)</f>
        <v>13169</v>
      </c>
      <c r="C6" s="1644">
        <f t="shared" si="0"/>
        <v>12259</v>
      </c>
      <c r="D6" s="1644">
        <f t="shared" si="0"/>
        <v>13046</v>
      </c>
      <c r="E6" s="1645">
        <f t="shared" si="0"/>
        <v>12638</v>
      </c>
      <c r="F6" s="1646">
        <f>SUM(F7:F23)</f>
        <v>12566</v>
      </c>
      <c r="G6" s="1647"/>
      <c r="H6" s="1647"/>
      <c r="J6" s="1648"/>
      <c r="K6" s="1648"/>
      <c r="L6" s="1648"/>
      <c r="M6" s="1648"/>
      <c r="N6" s="1648"/>
    </row>
    <row r="7" spans="1:14" s="211" customFormat="1" ht="10.5" x14ac:dyDescent="0.15">
      <c r="A7" s="99" t="s">
        <v>3438</v>
      </c>
      <c r="B7" s="1649">
        <v>25</v>
      </c>
      <c r="C7" s="1649">
        <v>13</v>
      </c>
      <c r="D7" s="1649">
        <v>26</v>
      </c>
      <c r="E7" s="237">
        <v>24</v>
      </c>
      <c r="F7" s="1650">
        <v>0</v>
      </c>
      <c r="G7" s="1651"/>
      <c r="H7" s="1651"/>
      <c r="J7" s="1648"/>
      <c r="K7" s="1648"/>
      <c r="L7" s="1648"/>
      <c r="M7" s="1648"/>
      <c r="N7" s="1648"/>
    </row>
    <row r="8" spans="1:14" s="211" customFormat="1" ht="10.5" x14ac:dyDescent="0.15">
      <c r="A8" s="99" t="s">
        <v>3439</v>
      </c>
      <c r="B8" s="1649">
        <v>400</v>
      </c>
      <c r="C8" s="1649">
        <v>368</v>
      </c>
      <c r="D8" s="1649">
        <v>196</v>
      </c>
      <c r="E8" s="237">
        <v>402</v>
      </c>
      <c r="F8" s="1650">
        <v>430</v>
      </c>
      <c r="G8" s="1651"/>
      <c r="H8" s="1651"/>
      <c r="J8" s="1648"/>
      <c r="K8" s="1648"/>
      <c r="L8" s="1648"/>
      <c r="M8" s="1648"/>
      <c r="N8" s="1648"/>
    </row>
    <row r="9" spans="1:14" s="211" customFormat="1" ht="10.5" x14ac:dyDescent="0.15">
      <c r="A9" s="99" t="s">
        <v>3440</v>
      </c>
      <c r="B9" s="1649">
        <v>1</v>
      </c>
      <c r="C9" s="1649">
        <v>1</v>
      </c>
      <c r="D9" s="1649">
        <v>0</v>
      </c>
      <c r="E9" s="237">
        <v>0</v>
      </c>
      <c r="F9" s="1650">
        <v>0</v>
      </c>
      <c r="G9" s="1651"/>
      <c r="H9" s="1651"/>
      <c r="J9" s="1648"/>
      <c r="K9" s="1648"/>
      <c r="L9" s="1648"/>
      <c r="M9" s="1648"/>
      <c r="N9" s="1648"/>
    </row>
    <row r="10" spans="1:14" s="211" customFormat="1" ht="10.5" x14ac:dyDescent="0.15">
      <c r="A10" s="99" t="s">
        <v>3441</v>
      </c>
      <c r="B10" s="1649">
        <v>104</v>
      </c>
      <c r="C10" s="1649">
        <v>20</v>
      </c>
      <c r="D10" s="1649">
        <v>7</v>
      </c>
      <c r="E10" s="237">
        <v>2</v>
      </c>
      <c r="F10" s="1650">
        <v>0</v>
      </c>
      <c r="G10" s="1651"/>
      <c r="H10" s="1651"/>
      <c r="J10" s="1648"/>
      <c r="K10" s="1648"/>
      <c r="L10" s="1648"/>
      <c r="M10" s="1648"/>
      <c r="N10" s="1648"/>
    </row>
    <row r="11" spans="1:14" s="211" customFormat="1" ht="10.5" x14ac:dyDescent="0.15">
      <c r="A11" s="99" t="s">
        <v>3442</v>
      </c>
      <c r="B11" s="1649">
        <v>62</v>
      </c>
      <c r="C11" s="1649">
        <v>40</v>
      </c>
      <c r="D11" s="1649">
        <v>32</v>
      </c>
      <c r="E11" s="237">
        <v>27</v>
      </c>
      <c r="F11" s="1650">
        <v>0</v>
      </c>
      <c r="G11" s="1651"/>
      <c r="H11" s="1651"/>
      <c r="J11" s="1648"/>
      <c r="K11" s="1648"/>
      <c r="L11" s="1648"/>
      <c r="M11" s="1648"/>
      <c r="N11" s="1648"/>
    </row>
    <row r="12" spans="1:14" s="211" customFormat="1" ht="10.5" x14ac:dyDescent="0.15">
      <c r="A12" s="99" t="s">
        <v>3443</v>
      </c>
      <c r="B12" s="1649">
        <v>272</v>
      </c>
      <c r="C12" s="1649">
        <v>256</v>
      </c>
      <c r="D12" s="1649">
        <v>261</v>
      </c>
      <c r="E12" s="237">
        <v>494</v>
      </c>
      <c r="F12" s="1650">
        <v>312</v>
      </c>
      <c r="G12" s="1651"/>
      <c r="H12" s="1651"/>
      <c r="J12" s="1648"/>
      <c r="K12" s="1648"/>
      <c r="L12" s="1648"/>
      <c r="M12" s="1648"/>
      <c r="N12" s="1648"/>
    </row>
    <row r="13" spans="1:14" s="211" customFormat="1" ht="11.25" x14ac:dyDescent="0.15">
      <c r="A13" s="99" t="s">
        <v>3444</v>
      </c>
      <c r="B13" s="1649">
        <v>1222</v>
      </c>
      <c r="C13" s="1649">
        <v>981</v>
      </c>
      <c r="D13" s="1649">
        <v>1572</v>
      </c>
      <c r="E13" s="237">
        <v>1235</v>
      </c>
      <c r="F13" s="1650">
        <v>2639</v>
      </c>
      <c r="G13" s="1651"/>
      <c r="H13" s="1651"/>
      <c r="J13" s="1648"/>
      <c r="K13" s="1648"/>
      <c r="L13" s="1648"/>
      <c r="M13" s="1648"/>
      <c r="N13" s="1648"/>
    </row>
    <row r="14" spans="1:14" s="211" customFormat="1" ht="10.5" x14ac:dyDescent="0.15">
      <c r="A14" s="99" t="s">
        <v>3445</v>
      </c>
      <c r="B14" s="1649">
        <v>222</v>
      </c>
      <c r="C14" s="1649">
        <v>206</v>
      </c>
      <c r="D14" s="1649">
        <v>170</v>
      </c>
      <c r="E14" s="237">
        <v>122</v>
      </c>
      <c r="F14" s="1650">
        <v>0</v>
      </c>
      <c r="G14" s="1651"/>
      <c r="H14" s="1651"/>
      <c r="J14" s="1648"/>
      <c r="K14" s="1648"/>
      <c r="L14" s="1648"/>
      <c r="M14" s="1648"/>
      <c r="N14" s="1648"/>
    </row>
    <row r="15" spans="1:14" s="211" customFormat="1" ht="10.5" x14ac:dyDescent="0.15">
      <c r="A15" s="99" t="s">
        <v>3446</v>
      </c>
      <c r="B15" s="1649">
        <v>38</v>
      </c>
      <c r="C15" s="1649">
        <v>40</v>
      </c>
      <c r="D15" s="1649">
        <v>40</v>
      </c>
      <c r="E15" s="237">
        <v>53</v>
      </c>
      <c r="F15" s="1650">
        <v>0</v>
      </c>
      <c r="G15" s="1651"/>
      <c r="H15" s="1651"/>
      <c r="J15" s="1648"/>
      <c r="K15" s="1648"/>
      <c r="L15" s="1648"/>
      <c r="M15" s="1648"/>
      <c r="N15" s="1648"/>
    </row>
    <row r="16" spans="1:14" s="211" customFormat="1" ht="11.25" x14ac:dyDescent="0.15">
      <c r="A16" s="99" t="s">
        <v>3447</v>
      </c>
      <c r="B16" s="1649">
        <v>8026</v>
      </c>
      <c r="C16" s="1649">
        <v>7600</v>
      </c>
      <c r="D16" s="1649">
        <v>7828</v>
      </c>
      <c r="E16" s="237">
        <v>7295</v>
      </c>
      <c r="F16" s="1650">
        <v>8840</v>
      </c>
      <c r="G16" s="1651"/>
      <c r="H16" s="1651"/>
      <c r="J16" s="1648"/>
      <c r="K16" s="1648"/>
      <c r="L16" s="1648"/>
      <c r="M16" s="1648"/>
      <c r="N16" s="1648"/>
    </row>
    <row r="17" spans="1:14" s="211" customFormat="1" ht="10.5" x14ac:dyDescent="0.15">
      <c r="A17" s="99" t="s">
        <v>3448</v>
      </c>
      <c r="B17" s="1649">
        <v>35</v>
      </c>
      <c r="C17" s="1649">
        <v>64</v>
      </c>
      <c r="D17" s="1649">
        <v>16</v>
      </c>
      <c r="E17" s="237">
        <v>89</v>
      </c>
      <c r="F17" s="1650">
        <v>0</v>
      </c>
      <c r="G17" s="1651"/>
      <c r="H17" s="1651"/>
      <c r="J17" s="1648"/>
      <c r="K17" s="1648"/>
      <c r="L17" s="1648"/>
      <c r="M17" s="1648"/>
      <c r="N17" s="1648"/>
    </row>
    <row r="18" spans="1:14" s="211" customFormat="1" ht="10.5" x14ac:dyDescent="0.15">
      <c r="A18" s="99" t="s">
        <v>3449</v>
      </c>
      <c r="B18" s="1649">
        <v>2317</v>
      </c>
      <c r="C18" s="1649">
        <v>2207</v>
      </c>
      <c r="D18" s="1649">
        <v>2218</v>
      </c>
      <c r="E18" s="237">
        <v>2325</v>
      </c>
      <c r="F18" s="1650">
        <v>0</v>
      </c>
      <c r="G18" s="1651"/>
      <c r="H18" s="1651"/>
      <c r="J18" s="1648"/>
      <c r="K18" s="1648"/>
      <c r="L18" s="1648"/>
      <c r="M18" s="1648"/>
      <c r="N18" s="1648"/>
    </row>
    <row r="19" spans="1:14" s="211" customFormat="1" ht="10.5" x14ac:dyDescent="0.15">
      <c r="A19" s="99" t="s">
        <v>3450</v>
      </c>
      <c r="B19" s="1649">
        <v>226</v>
      </c>
      <c r="C19" s="1649">
        <v>245</v>
      </c>
      <c r="D19" s="1649">
        <v>391</v>
      </c>
      <c r="E19" s="237">
        <v>239</v>
      </c>
      <c r="F19" s="1650">
        <v>0</v>
      </c>
      <c r="G19" s="1651"/>
      <c r="H19" s="1651"/>
      <c r="J19" s="1648"/>
      <c r="K19" s="1648"/>
      <c r="L19" s="1648"/>
      <c r="M19" s="1648"/>
      <c r="N19" s="1648"/>
    </row>
    <row r="20" spans="1:14" s="211" customFormat="1" ht="10.5" x14ac:dyDescent="0.15">
      <c r="A20" s="99" t="s">
        <v>3451</v>
      </c>
      <c r="B20" s="1649">
        <v>25</v>
      </c>
      <c r="C20" s="1649">
        <v>29</v>
      </c>
      <c r="D20" s="1649">
        <v>37</v>
      </c>
      <c r="E20" s="237">
        <v>32</v>
      </c>
      <c r="F20" s="1652">
        <v>0</v>
      </c>
      <c r="G20" s="1651"/>
      <c r="H20" s="1651"/>
      <c r="J20" s="1648"/>
      <c r="K20" s="1648"/>
      <c r="L20" s="1648"/>
      <c r="M20" s="1648"/>
      <c r="N20" s="1648"/>
    </row>
    <row r="21" spans="1:14" s="211" customFormat="1" ht="10.5" x14ac:dyDescent="0.15">
      <c r="A21" s="99" t="s">
        <v>3452</v>
      </c>
      <c r="B21" s="1649">
        <v>47</v>
      </c>
      <c r="C21" s="1649">
        <v>48</v>
      </c>
      <c r="D21" s="1649">
        <v>80</v>
      </c>
      <c r="E21" s="237">
        <v>65</v>
      </c>
      <c r="F21" s="1650">
        <v>0</v>
      </c>
      <c r="G21" s="1651"/>
      <c r="H21" s="1651"/>
      <c r="J21" s="1648"/>
      <c r="K21" s="1648"/>
      <c r="L21" s="1648"/>
      <c r="M21" s="1648"/>
      <c r="N21" s="1648"/>
    </row>
    <row r="22" spans="1:14" s="211" customFormat="1" ht="10.5" x14ac:dyDescent="0.15">
      <c r="A22" s="99" t="s">
        <v>3453</v>
      </c>
      <c r="B22" s="1649">
        <v>147</v>
      </c>
      <c r="C22" s="1649">
        <v>141</v>
      </c>
      <c r="D22" s="1649">
        <v>172</v>
      </c>
      <c r="E22" s="237">
        <v>234</v>
      </c>
      <c r="F22" s="1652">
        <v>230</v>
      </c>
      <c r="J22" s="1648"/>
      <c r="K22" s="1648"/>
      <c r="L22" s="1648"/>
      <c r="M22" s="1648"/>
      <c r="N22" s="1648"/>
    </row>
    <row r="23" spans="1:14" s="211" customFormat="1" ht="11.25" x14ac:dyDescent="0.15">
      <c r="A23" s="99" t="s">
        <v>3454</v>
      </c>
      <c r="B23" s="1650">
        <v>0</v>
      </c>
      <c r="C23" s="1650">
        <v>0</v>
      </c>
      <c r="D23" s="1650">
        <v>0</v>
      </c>
      <c r="E23" s="1650">
        <v>0</v>
      </c>
      <c r="F23" s="1652">
        <v>115</v>
      </c>
      <c r="J23" s="1648"/>
      <c r="K23" s="1648"/>
      <c r="L23" s="1648"/>
      <c r="M23" s="1648"/>
      <c r="N23" s="1648"/>
    </row>
    <row r="24" spans="1:14" s="211" customFormat="1" ht="10.5" customHeight="1" x14ac:dyDescent="0.15">
      <c r="A24" s="99"/>
      <c r="B24" s="1653"/>
      <c r="C24" s="1653"/>
      <c r="D24" s="1653"/>
      <c r="F24" s="1651"/>
      <c r="G24" s="1651"/>
      <c r="H24" s="1651"/>
      <c r="J24" s="1648"/>
      <c r="K24" s="1648"/>
      <c r="L24" s="1648"/>
      <c r="M24" s="1648"/>
      <c r="N24" s="1648"/>
    </row>
    <row r="25" spans="1:14" s="211" customFormat="1" ht="31.5" customHeight="1" x14ac:dyDescent="0.15">
      <c r="A25" s="3437" t="s">
        <v>3455</v>
      </c>
      <c r="B25" s="3437"/>
      <c r="C25" s="3437"/>
      <c r="D25" s="3437"/>
      <c r="E25" s="3437"/>
      <c r="F25" s="3437"/>
      <c r="G25" s="1651"/>
      <c r="H25" s="1651"/>
      <c r="J25" s="1648"/>
      <c r="K25" s="1648"/>
      <c r="L25" s="1648"/>
      <c r="M25" s="1648"/>
      <c r="N25" s="1648"/>
    </row>
    <row r="26" spans="1:14" s="211" customFormat="1" ht="45" customHeight="1" x14ac:dyDescent="0.15">
      <c r="A26" s="3437" t="s">
        <v>3456</v>
      </c>
      <c r="B26" s="3437"/>
      <c r="C26" s="3437"/>
      <c r="D26" s="3437"/>
      <c r="E26" s="3437"/>
      <c r="F26" s="3437"/>
      <c r="G26" s="1651"/>
      <c r="H26" s="1651"/>
      <c r="J26" s="1648"/>
      <c r="K26" s="1648"/>
      <c r="L26" s="1648"/>
      <c r="M26" s="1648"/>
      <c r="N26" s="1648"/>
    </row>
    <row r="27" spans="1:14" s="211" customFormat="1" ht="34.5" customHeight="1" x14ac:dyDescent="0.15">
      <c r="A27" s="3437" t="s">
        <v>3457</v>
      </c>
      <c r="B27" s="3437"/>
      <c r="C27" s="3437"/>
      <c r="D27" s="3437"/>
      <c r="E27" s="3437"/>
      <c r="F27" s="3437"/>
      <c r="G27" s="1651"/>
      <c r="H27" s="1651"/>
      <c r="J27" s="1648"/>
      <c r="K27" s="1648"/>
      <c r="L27" s="1648"/>
      <c r="M27" s="1648"/>
      <c r="N27" s="1648"/>
    </row>
    <row r="28" spans="1:14" s="211" customFormat="1" ht="18" customHeight="1" x14ac:dyDescent="0.15">
      <c r="A28" s="3437" t="s">
        <v>3458</v>
      </c>
      <c r="B28" s="3437"/>
      <c r="C28" s="3437"/>
      <c r="D28" s="3437"/>
      <c r="E28" s="3437"/>
      <c r="F28" s="3437"/>
      <c r="G28" s="1651"/>
      <c r="H28" s="1651"/>
      <c r="J28" s="1648"/>
      <c r="K28" s="1648"/>
      <c r="L28" s="1648"/>
      <c r="M28" s="1648"/>
      <c r="N28" s="1648"/>
    </row>
    <row r="29" spans="1:14" s="211" customFormat="1" ht="10.5" customHeight="1" x14ac:dyDescent="0.15">
      <c r="A29" s="3441" t="s">
        <v>3434</v>
      </c>
      <c r="B29" s="3441"/>
      <c r="C29" s="3441"/>
      <c r="D29" s="3441"/>
      <c r="E29" s="3441"/>
      <c r="F29" s="3441"/>
    </row>
    <row r="30" spans="1:14" s="211" customFormat="1" ht="12.75" customHeight="1" x14ac:dyDescent="0.15">
      <c r="A30" s="3442" t="s">
        <v>3435</v>
      </c>
      <c r="B30" s="3442"/>
      <c r="C30" s="3442"/>
      <c r="D30" s="3442"/>
      <c r="E30" s="3442"/>
      <c r="F30" s="3442"/>
    </row>
    <row r="32" spans="1:14" x14ac:dyDescent="0.25">
      <c r="A32" s="1654"/>
    </row>
    <row r="33" spans="1:7" x14ac:dyDescent="0.25">
      <c r="A33" s="1654"/>
    </row>
    <row r="42" spans="1:7" x14ac:dyDescent="0.25">
      <c r="A42" s="3443" t="s">
        <v>3459</v>
      </c>
      <c r="B42" s="3443"/>
      <c r="C42" s="3443"/>
      <c r="D42" s="3443"/>
      <c r="E42" s="3443"/>
      <c r="F42" s="3443"/>
    </row>
    <row r="43" spans="1:7" x14ac:dyDescent="0.25">
      <c r="A43" s="3439" t="s">
        <v>3437</v>
      </c>
      <c r="B43" s="2900" t="s">
        <v>2</v>
      </c>
      <c r="C43" s="2900"/>
      <c r="D43" s="2900"/>
      <c r="E43" s="2900"/>
      <c r="F43" s="2900"/>
    </row>
    <row r="44" spans="1:7" x14ac:dyDescent="0.25">
      <c r="A44" s="3440"/>
      <c r="B44" s="1641">
        <v>2011</v>
      </c>
      <c r="C44" s="1641">
        <v>2012</v>
      </c>
      <c r="D44" s="1641">
        <v>2013</v>
      </c>
      <c r="E44" s="1641">
        <v>2014</v>
      </c>
      <c r="F44" s="1655">
        <v>2015</v>
      </c>
    </row>
    <row r="45" spans="1:7" x14ac:dyDescent="0.25">
      <c r="A45" s="1643" t="s">
        <v>141</v>
      </c>
      <c r="B45" s="1644">
        <f>SUM(B46:B50)</f>
        <v>0</v>
      </c>
      <c r="C45" s="1644">
        <f>SUM(C46:C50)</f>
        <v>0</v>
      </c>
      <c r="D45" s="1644">
        <f>SUM(D46:D50)</f>
        <v>0</v>
      </c>
      <c r="E45" s="1656">
        <f>SUM(E46:E50)</f>
        <v>0</v>
      </c>
      <c r="F45" s="1646">
        <f>SUM(F46:F51)</f>
        <v>12566</v>
      </c>
    </row>
    <row r="46" spans="1:7" x14ac:dyDescent="0.25">
      <c r="A46" s="99" t="s">
        <v>3439</v>
      </c>
      <c r="B46" s="237"/>
      <c r="C46" s="237"/>
      <c r="D46" s="237"/>
      <c r="E46" s="237"/>
      <c r="F46" s="1650">
        <v>430</v>
      </c>
      <c r="G46" s="1657">
        <f t="shared" ref="G46:G51" si="1">+F46/$F$45</f>
        <v>3.4219321979945885E-2</v>
      </c>
    </row>
    <row r="47" spans="1:7" x14ac:dyDescent="0.25">
      <c r="A47" s="99" t="s">
        <v>3443</v>
      </c>
      <c r="B47" s="237"/>
      <c r="C47" s="237"/>
      <c r="D47" s="237"/>
      <c r="E47" s="237"/>
      <c r="F47" s="1650">
        <v>312</v>
      </c>
      <c r="G47" s="1657">
        <f t="shared" si="1"/>
        <v>2.4828903390100271E-2</v>
      </c>
    </row>
    <row r="48" spans="1:7" x14ac:dyDescent="0.25">
      <c r="A48" s="99" t="s">
        <v>3460</v>
      </c>
      <c r="B48" s="1649"/>
      <c r="C48" s="1649"/>
      <c r="D48" s="1649"/>
      <c r="E48" s="237"/>
      <c r="F48" s="1650">
        <v>2639</v>
      </c>
      <c r="G48" s="1657">
        <f t="shared" si="1"/>
        <v>0.21001114117459813</v>
      </c>
    </row>
    <row r="49" spans="1:7" x14ac:dyDescent="0.25">
      <c r="A49" s="99" t="s">
        <v>3461</v>
      </c>
      <c r="B49" s="237"/>
      <c r="C49" s="237"/>
      <c r="D49" s="237"/>
      <c r="E49" s="237"/>
      <c r="F49" s="1650">
        <v>8840</v>
      </c>
      <c r="G49" s="1657">
        <f t="shared" si="1"/>
        <v>0.703485596052841</v>
      </c>
    </row>
    <row r="50" spans="1:7" x14ac:dyDescent="0.25">
      <c r="A50" s="99" t="s">
        <v>3453</v>
      </c>
      <c r="B50" s="237"/>
      <c r="C50" s="237"/>
      <c r="D50" s="237"/>
      <c r="E50" s="237"/>
      <c r="F50" s="1652">
        <v>230</v>
      </c>
      <c r="G50" s="1657">
        <f t="shared" si="1"/>
        <v>1.8303358268343149E-2</v>
      </c>
    </row>
    <row r="51" spans="1:7" x14ac:dyDescent="0.25">
      <c r="A51" s="99" t="s">
        <v>3462</v>
      </c>
      <c r="F51" s="1650">
        <v>115</v>
      </c>
      <c r="G51" s="1657">
        <f t="shared" si="1"/>
        <v>9.1516791341715743E-3</v>
      </c>
    </row>
  </sheetData>
  <mergeCells count="12">
    <mergeCell ref="A28:F28"/>
    <mergeCell ref="A29:F29"/>
    <mergeCell ref="A30:F30"/>
    <mergeCell ref="A42:F42"/>
    <mergeCell ref="A43:A44"/>
    <mergeCell ref="B43:F43"/>
    <mergeCell ref="A27:F27"/>
    <mergeCell ref="A2:F2"/>
    <mergeCell ref="A4:A5"/>
    <mergeCell ref="B4:F4"/>
    <mergeCell ref="A25:F25"/>
    <mergeCell ref="A26:F26"/>
  </mergeCells>
  <pageMargins left="0.7" right="0.7" top="0.75" bottom="0.75" header="0.3" footer="0.3"/>
  <pageSetup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K18"/>
  <sheetViews>
    <sheetView workbookViewId="0">
      <selection activeCell="B20" sqref="B20"/>
    </sheetView>
  </sheetViews>
  <sheetFormatPr baseColWidth="10" defaultColWidth="11.42578125" defaultRowHeight="10.5" x14ac:dyDescent="0.15"/>
  <cols>
    <col min="1" max="1" width="28.7109375" style="211" customWidth="1"/>
    <col min="2" max="3" width="11.42578125" style="211"/>
    <col min="4" max="5" width="11.5703125" style="211" customWidth="1"/>
    <col min="6" max="6" width="11.42578125" style="211" customWidth="1"/>
    <col min="7" max="16384" width="11.42578125" style="211"/>
  </cols>
  <sheetData>
    <row r="2" spans="1:11" ht="45" customHeight="1" x14ac:dyDescent="0.15">
      <c r="A2" s="2554" t="s">
        <v>3463</v>
      </c>
      <c r="B2" s="2554"/>
      <c r="C2" s="2554"/>
      <c r="D2" s="2554"/>
      <c r="E2" s="2554"/>
      <c r="F2" s="2554"/>
    </row>
    <row r="3" spans="1:11" x14ac:dyDescent="0.15">
      <c r="A3" s="3445"/>
      <c r="B3" s="3445"/>
      <c r="C3" s="3445"/>
      <c r="D3" s="3445"/>
      <c r="E3" s="3445"/>
      <c r="F3" s="3445"/>
    </row>
    <row r="4" spans="1:11" ht="15.75" customHeight="1" x14ac:dyDescent="0.15">
      <c r="A4" s="2900" t="s">
        <v>3464</v>
      </c>
      <c r="B4" s="2423" t="s">
        <v>2</v>
      </c>
      <c r="C4" s="2423"/>
      <c r="D4" s="2423"/>
      <c r="E4" s="2423"/>
      <c r="F4" s="2423"/>
    </row>
    <row r="5" spans="1:11" ht="15.75" customHeight="1" x14ac:dyDescent="0.15">
      <c r="A5" s="2900"/>
      <c r="B5" s="839">
        <v>2011</v>
      </c>
      <c r="C5" s="839">
        <v>2012</v>
      </c>
      <c r="D5" s="839">
        <v>2013</v>
      </c>
      <c r="E5" s="839">
        <v>2014</v>
      </c>
      <c r="F5" s="839" t="s">
        <v>3</v>
      </c>
    </row>
    <row r="6" spans="1:11" x14ac:dyDescent="0.15">
      <c r="A6" s="1643" t="s">
        <v>141</v>
      </c>
      <c r="B6" s="1645">
        <f t="shared" ref="B6:F6" si="0">SUM(B7:B13)</f>
        <v>13169</v>
      </c>
      <c r="C6" s="1645">
        <f t="shared" si="0"/>
        <v>12259</v>
      </c>
      <c r="D6" s="1645">
        <f t="shared" si="0"/>
        <v>13046</v>
      </c>
      <c r="E6" s="1656">
        <f t="shared" si="0"/>
        <v>12638</v>
      </c>
      <c r="F6" s="1656">
        <f t="shared" si="0"/>
        <v>12566</v>
      </c>
    </row>
    <row r="7" spans="1:11" x14ac:dyDescent="0.15">
      <c r="A7" s="99" t="s">
        <v>966</v>
      </c>
      <c r="B7" s="1653">
        <v>7216</v>
      </c>
      <c r="C7" s="1653">
        <v>6865</v>
      </c>
      <c r="D7" s="1653">
        <v>7697</v>
      </c>
      <c r="E7" s="237">
        <v>5704</v>
      </c>
      <c r="F7" s="20">
        <v>5794</v>
      </c>
      <c r="G7" s="1648"/>
      <c r="H7" s="1648"/>
      <c r="I7" s="1648"/>
      <c r="J7" s="1648"/>
      <c r="K7" s="1648"/>
    </row>
    <row r="8" spans="1:11" x14ac:dyDescent="0.15">
      <c r="A8" s="99" t="s">
        <v>967</v>
      </c>
      <c r="B8" s="1653">
        <v>2238</v>
      </c>
      <c r="C8" s="1653">
        <v>1839</v>
      </c>
      <c r="D8" s="1653">
        <v>1957</v>
      </c>
      <c r="E8" s="237">
        <v>2352</v>
      </c>
      <c r="F8" s="237">
        <v>3573</v>
      </c>
      <c r="G8" s="1648"/>
      <c r="H8" s="1648"/>
      <c r="I8" s="1648"/>
      <c r="J8" s="1648"/>
      <c r="K8" s="1648"/>
    </row>
    <row r="9" spans="1:11" x14ac:dyDescent="0.15">
      <c r="A9" s="99" t="s">
        <v>3465</v>
      </c>
      <c r="B9" s="1653">
        <v>698</v>
      </c>
      <c r="C9" s="1653">
        <v>613</v>
      </c>
      <c r="D9" s="1653">
        <v>522</v>
      </c>
      <c r="E9" s="237">
        <v>2454</v>
      </c>
      <c r="F9" s="1658">
        <v>2146</v>
      </c>
      <c r="G9" s="1648"/>
      <c r="H9" s="1648"/>
      <c r="I9" s="1648"/>
      <c r="J9" s="1648"/>
      <c r="K9" s="1648"/>
    </row>
    <row r="10" spans="1:11" x14ac:dyDescent="0.15">
      <c r="A10" s="99" t="s">
        <v>2024</v>
      </c>
      <c r="B10" s="1653">
        <v>2601</v>
      </c>
      <c r="C10" s="1653">
        <v>2574</v>
      </c>
      <c r="D10" s="1653">
        <v>2609</v>
      </c>
      <c r="E10" s="237">
        <v>1908</v>
      </c>
      <c r="F10" s="1658">
        <v>200</v>
      </c>
      <c r="G10" s="1648"/>
      <c r="H10" s="1648"/>
      <c r="I10" s="1648"/>
      <c r="J10" s="1648"/>
      <c r="K10" s="1648"/>
    </row>
    <row r="11" spans="1:11" x14ac:dyDescent="0.15">
      <c r="A11" s="99" t="s">
        <v>3466</v>
      </c>
      <c r="B11" s="1653">
        <v>284</v>
      </c>
      <c r="C11" s="1653">
        <v>200</v>
      </c>
      <c r="D11" s="1653">
        <v>130</v>
      </c>
      <c r="E11" s="237">
        <v>115</v>
      </c>
      <c r="F11" s="17">
        <v>557</v>
      </c>
      <c r="G11" s="1648"/>
      <c r="H11" s="1648"/>
      <c r="I11" s="1648"/>
      <c r="J11" s="1648"/>
      <c r="K11" s="1648"/>
    </row>
    <row r="12" spans="1:11" x14ac:dyDescent="0.15">
      <c r="A12" s="99" t="s">
        <v>3467</v>
      </c>
      <c r="B12" s="1653">
        <v>23</v>
      </c>
      <c r="C12" s="1653">
        <v>31</v>
      </c>
      <c r="D12" s="1653">
        <v>17</v>
      </c>
      <c r="E12" s="237">
        <v>10</v>
      </c>
      <c r="F12" s="17">
        <v>292</v>
      </c>
      <c r="G12" s="1648"/>
      <c r="H12" s="1648"/>
      <c r="I12" s="1648"/>
      <c r="J12" s="1648"/>
      <c r="K12" s="1648"/>
    </row>
    <row r="13" spans="1:11" ht="21" customHeight="1" x14ac:dyDescent="0.15">
      <c r="A13" s="123" t="s">
        <v>3468</v>
      </c>
      <c r="B13" s="1653">
        <v>109</v>
      </c>
      <c r="C13" s="1653">
        <v>137</v>
      </c>
      <c r="D13" s="1653">
        <v>114</v>
      </c>
      <c r="E13" s="1659">
        <v>95</v>
      </c>
      <c r="F13" s="1660">
        <v>4</v>
      </c>
      <c r="G13" s="1648"/>
      <c r="H13" s="1648"/>
      <c r="I13" s="1648"/>
      <c r="J13" s="1648"/>
      <c r="K13" s="1648"/>
    </row>
    <row r="14" spans="1:11" ht="10.5" customHeight="1" x14ac:dyDescent="0.15">
      <c r="A14" s="123"/>
      <c r="B14" s="1653"/>
      <c r="C14" s="1653"/>
      <c r="D14" s="1653"/>
      <c r="F14" s="1661"/>
      <c r="G14" s="1648"/>
      <c r="H14" s="1648"/>
      <c r="I14" s="1648"/>
      <c r="J14" s="1648"/>
      <c r="K14" s="1648"/>
    </row>
    <row r="15" spans="1:11" ht="66.75" customHeight="1" x14ac:dyDescent="0.15">
      <c r="A15" s="3446" t="s">
        <v>3469</v>
      </c>
      <c r="B15" s="3446"/>
      <c r="C15" s="3446"/>
      <c r="D15" s="3446"/>
      <c r="E15" s="3446"/>
      <c r="F15" s="3446"/>
      <c r="G15" s="1648"/>
      <c r="H15" s="1648"/>
      <c r="I15" s="1648"/>
      <c r="J15" s="1648"/>
      <c r="K15" s="1648"/>
    </row>
    <row r="16" spans="1:11" ht="10.5" customHeight="1" x14ac:dyDescent="0.15">
      <c r="A16" s="3444" t="s">
        <v>3435</v>
      </c>
      <c r="B16" s="3444"/>
      <c r="C16" s="3444"/>
      <c r="D16" s="3444"/>
      <c r="E16" s="3444"/>
      <c r="F16" s="3444"/>
    </row>
    <row r="17" spans="1:4" ht="10.5" customHeight="1" x14ac:dyDescent="0.15">
      <c r="A17" s="1662"/>
      <c r="B17" s="1662"/>
      <c r="C17" s="1662"/>
      <c r="D17" s="1662"/>
    </row>
    <row r="18" spans="1:4" x14ac:dyDescent="0.15">
      <c r="A18" s="1663"/>
    </row>
  </sheetData>
  <mergeCells count="6">
    <mergeCell ref="A16:F16"/>
    <mergeCell ref="A2:F2"/>
    <mergeCell ref="A3:F3"/>
    <mergeCell ref="A4:A5"/>
    <mergeCell ref="B4:F4"/>
    <mergeCell ref="A15:F15"/>
  </mergeCell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2:H30"/>
  <sheetViews>
    <sheetView zoomScaleNormal="100" workbookViewId="0">
      <selection activeCell="H25" sqref="H25"/>
    </sheetView>
  </sheetViews>
  <sheetFormatPr baseColWidth="10" defaultRowHeight="15" x14ac:dyDescent="0.25"/>
  <cols>
    <col min="1" max="1" width="21.28515625" customWidth="1"/>
    <col min="5" max="5" width="11.85546875" bestFit="1" customWidth="1"/>
  </cols>
  <sheetData>
    <row r="2" spans="1:8" s="211" customFormat="1" ht="37.5" customHeight="1" x14ac:dyDescent="0.15">
      <c r="A2" s="2554" t="s">
        <v>3470</v>
      </c>
      <c r="B2" s="2554"/>
      <c r="C2" s="2554"/>
      <c r="D2" s="2554"/>
      <c r="E2" s="2554"/>
      <c r="F2" s="2554"/>
      <c r="G2" s="1664"/>
    </row>
    <row r="3" spans="1:8" s="211" customFormat="1" ht="10.5" x14ac:dyDescent="0.15">
      <c r="A3" s="3448"/>
      <c r="B3" s="3448"/>
      <c r="C3" s="3448"/>
      <c r="D3" s="3448"/>
      <c r="E3" s="3448"/>
      <c r="F3" s="3448"/>
      <c r="G3" s="1665"/>
      <c r="H3" s="1665"/>
    </row>
    <row r="4" spans="1:8" s="211" customFormat="1" ht="16.5" customHeight="1" x14ac:dyDescent="0.15">
      <c r="A4" s="2900" t="s">
        <v>3471</v>
      </c>
      <c r="B4" s="2423" t="s">
        <v>2</v>
      </c>
      <c r="C4" s="2423"/>
      <c r="D4" s="2423"/>
      <c r="E4" s="2423"/>
      <c r="F4" s="2423"/>
      <c r="G4" s="1665"/>
      <c r="H4" s="1665"/>
    </row>
    <row r="5" spans="1:8" s="211" customFormat="1" ht="16.5" customHeight="1" x14ac:dyDescent="0.15">
      <c r="A5" s="2900"/>
      <c r="B5" s="839">
        <v>2011</v>
      </c>
      <c r="C5" s="839">
        <v>2012</v>
      </c>
      <c r="D5" s="839">
        <v>2013</v>
      </c>
      <c r="E5" s="839">
        <v>2014</v>
      </c>
      <c r="F5" s="827">
        <v>2015</v>
      </c>
      <c r="G5" s="1665"/>
      <c r="H5" s="1665"/>
    </row>
    <row r="6" spans="1:8" s="211" customFormat="1" ht="10.5" x14ac:dyDescent="0.15">
      <c r="A6" s="1643" t="s">
        <v>141</v>
      </c>
      <c r="B6" s="1645">
        <f t="shared" ref="B6:E6" si="0">SUM(B7+B23)</f>
        <v>13169</v>
      </c>
      <c r="C6" s="1645">
        <f t="shared" si="0"/>
        <v>12259</v>
      </c>
      <c r="D6" s="1645">
        <f t="shared" si="0"/>
        <v>13046</v>
      </c>
      <c r="E6" s="1645">
        <f t="shared" si="0"/>
        <v>12638</v>
      </c>
      <c r="F6" s="1666">
        <f>SUM(F7,F23)</f>
        <v>12566</v>
      </c>
      <c r="G6" s="1667"/>
      <c r="H6" s="1667"/>
    </row>
    <row r="7" spans="1:8" s="211" customFormat="1" ht="10.5" x14ac:dyDescent="0.15">
      <c r="A7" s="1643" t="s">
        <v>3472</v>
      </c>
      <c r="B7" s="1645">
        <f t="shared" ref="B7:E7" si="1">SUM(B8:B22)</f>
        <v>12715</v>
      </c>
      <c r="C7" s="1645">
        <f t="shared" si="1"/>
        <v>11807</v>
      </c>
      <c r="D7" s="1645">
        <f t="shared" si="1"/>
        <v>12720</v>
      </c>
      <c r="E7" s="1656">
        <f t="shared" si="1"/>
        <v>12320</v>
      </c>
      <c r="F7" s="1666">
        <f>SUM(F8:F22)</f>
        <v>10568</v>
      </c>
      <c r="G7" s="1667"/>
      <c r="H7" s="1667"/>
    </row>
    <row r="8" spans="1:8" s="211" customFormat="1" ht="11.25" x14ac:dyDescent="0.15">
      <c r="A8" s="1668" t="s">
        <v>3473</v>
      </c>
      <c r="B8" s="1649" t="s">
        <v>181</v>
      </c>
      <c r="C8" s="1653">
        <v>2</v>
      </c>
      <c r="D8" s="1653">
        <v>1</v>
      </c>
      <c r="E8" s="237">
        <v>5</v>
      </c>
      <c r="F8" s="1669">
        <v>53</v>
      </c>
      <c r="G8" s="1651"/>
      <c r="H8" s="1651"/>
    </row>
    <row r="9" spans="1:8" s="211" customFormat="1" ht="10.5" x14ac:dyDescent="0.15">
      <c r="A9" s="1668" t="s">
        <v>6</v>
      </c>
      <c r="B9" s="1653">
        <v>160</v>
      </c>
      <c r="C9" s="1653">
        <v>150</v>
      </c>
      <c r="D9" s="1653">
        <v>98</v>
      </c>
      <c r="E9" s="237">
        <v>88</v>
      </c>
      <c r="F9" s="1669">
        <v>127</v>
      </c>
      <c r="G9" s="1651"/>
      <c r="H9" s="1651"/>
    </row>
    <row r="10" spans="1:8" s="211" customFormat="1" ht="10.5" x14ac:dyDescent="0.15">
      <c r="A10" s="1668" t="s">
        <v>7</v>
      </c>
      <c r="B10" s="1653">
        <v>92</v>
      </c>
      <c r="C10" s="1653">
        <v>123</v>
      </c>
      <c r="D10" s="1653">
        <v>130</v>
      </c>
      <c r="E10" s="237">
        <v>113</v>
      </c>
      <c r="F10" s="1669">
        <v>137</v>
      </c>
      <c r="G10" s="1651"/>
      <c r="H10" s="1651"/>
    </row>
    <row r="11" spans="1:8" s="211" customFormat="1" ht="10.5" x14ac:dyDescent="0.15">
      <c r="A11" s="1668" t="s">
        <v>8</v>
      </c>
      <c r="B11" s="1653">
        <v>72</v>
      </c>
      <c r="C11" s="1653">
        <v>68</v>
      </c>
      <c r="D11" s="1653">
        <v>51</v>
      </c>
      <c r="E11" s="237">
        <v>38</v>
      </c>
      <c r="F11" s="1669">
        <v>53</v>
      </c>
      <c r="G11" s="1651"/>
      <c r="H11" s="1651"/>
    </row>
    <row r="12" spans="1:8" s="211" customFormat="1" ht="10.5" x14ac:dyDescent="0.15">
      <c r="A12" s="1668" t="s">
        <v>9</v>
      </c>
      <c r="B12" s="1653">
        <v>196</v>
      </c>
      <c r="C12" s="1653">
        <v>209</v>
      </c>
      <c r="D12" s="1653">
        <v>137</v>
      </c>
      <c r="E12" s="237">
        <v>119</v>
      </c>
      <c r="F12" s="1669">
        <v>190</v>
      </c>
      <c r="G12" s="1651"/>
      <c r="H12" s="1651"/>
    </row>
    <row r="13" spans="1:8" s="211" customFormat="1" ht="10.5" x14ac:dyDescent="0.15">
      <c r="A13" s="1668" t="s">
        <v>10</v>
      </c>
      <c r="B13" s="1653">
        <v>824</v>
      </c>
      <c r="C13" s="1653">
        <v>815</v>
      </c>
      <c r="D13" s="1653">
        <v>1044</v>
      </c>
      <c r="E13" s="237">
        <v>1125</v>
      </c>
      <c r="F13" s="1669">
        <v>918</v>
      </c>
      <c r="G13" s="1651"/>
      <c r="H13" s="1651"/>
    </row>
    <row r="14" spans="1:8" s="211" customFormat="1" ht="10.5" x14ac:dyDescent="0.15">
      <c r="A14" s="1668" t="s">
        <v>11</v>
      </c>
      <c r="B14" s="1653">
        <v>10139</v>
      </c>
      <c r="C14" s="1653">
        <v>9401</v>
      </c>
      <c r="D14" s="1653">
        <v>10045</v>
      </c>
      <c r="E14" s="237">
        <v>9652</v>
      </c>
      <c r="F14" s="1669">
        <v>7706</v>
      </c>
      <c r="G14" s="1651"/>
      <c r="H14" s="1651"/>
    </row>
    <row r="15" spans="1:8" s="211" customFormat="1" ht="10.5" x14ac:dyDescent="0.15">
      <c r="A15" s="1668" t="s">
        <v>12</v>
      </c>
      <c r="B15" s="1653">
        <v>122</v>
      </c>
      <c r="C15" s="1653">
        <v>115</v>
      </c>
      <c r="D15" s="1653">
        <v>122</v>
      </c>
      <c r="E15" s="237">
        <v>98</v>
      </c>
      <c r="F15" s="1669">
        <v>201</v>
      </c>
      <c r="G15" s="1651"/>
      <c r="H15" s="1651"/>
    </row>
    <row r="16" spans="1:8" s="211" customFormat="1" ht="10.5" x14ac:dyDescent="0.15">
      <c r="A16" s="1668" t="s">
        <v>13</v>
      </c>
      <c r="B16" s="1653">
        <v>197</v>
      </c>
      <c r="C16" s="1653">
        <v>124</v>
      </c>
      <c r="D16" s="1653">
        <v>82</v>
      </c>
      <c r="E16" s="237">
        <v>67</v>
      </c>
      <c r="F16" s="1669">
        <v>201</v>
      </c>
      <c r="G16" s="1651"/>
      <c r="H16" s="1651"/>
    </row>
    <row r="17" spans="1:8" s="211" customFormat="1" ht="10.5" x14ac:dyDescent="0.15">
      <c r="A17" s="1668" t="s">
        <v>14</v>
      </c>
      <c r="B17" s="1653">
        <v>379</v>
      </c>
      <c r="C17" s="1653">
        <v>348</v>
      </c>
      <c r="D17" s="1653">
        <v>522</v>
      </c>
      <c r="E17" s="237">
        <v>583</v>
      </c>
      <c r="F17" s="1669">
        <v>401</v>
      </c>
      <c r="G17" s="1651"/>
      <c r="H17" s="1651"/>
    </row>
    <row r="18" spans="1:8" s="211" customFormat="1" ht="10.5" x14ac:dyDescent="0.15">
      <c r="A18" s="1668" t="s">
        <v>15</v>
      </c>
      <c r="B18" s="1653">
        <v>138</v>
      </c>
      <c r="C18" s="1653">
        <v>165</v>
      </c>
      <c r="D18" s="1653">
        <v>253</v>
      </c>
      <c r="E18" s="237">
        <v>185</v>
      </c>
      <c r="F18" s="1669">
        <v>201</v>
      </c>
      <c r="G18" s="1651"/>
      <c r="H18" s="1651"/>
    </row>
    <row r="19" spans="1:8" s="211" customFormat="1" ht="10.5" x14ac:dyDescent="0.15">
      <c r="A19" s="1668" t="s">
        <v>16</v>
      </c>
      <c r="B19" s="1653">
        <v>114</v>
      </c>
      <c r="C19" s="1653">
        <v>80</v>
      </c>
      <c r="D19" s="1653">
        <v>70</v>
      </c>
      <c r="E19" s="237">
        <v>75</v>
      </c>
      <c r="F19" s="1669">
        <v>116</v>
      </c>
      <c r="G19" s="1651"/>
      <c r="H19" s="1651"/>
    </row>
    <row r="20" spans="1:8" s="211" customFormat="1" ht="10.5" x14ac:dyDescent="0.15">
      <c r="A20" s="1668" t="s">
        <v>17</v>
      </c>
      <c r="B20" s="1653">
        <v>159</v>
      </c>
      <c r="C20" s="1653">
        <v>120</v>
      </c>
      <c r="D20" s="1653">
        <v>94</v>
      </c>
      <c r="E20" s="237">
        <v>98</v>
      </c>
      <c r="F20" s="1669">
        <v>169</v>
      </c>
      <c r="G20" s="1651"/>
      <c r="H20" s="1651"/>
    </row>
    <row r="21" spans="1:8" s="211" customFormat="1" ht="10.5" x14ac:dyDescent="0.15">
      <c r="A21" s="1668" t="s">
        <v>18</v>
      </c>
      <c r="B21" s="1653">
        <v>29</v>
      </c>
      <c r="C21" s="1653">
        <v>13</v>
      </c>
      <c r="D21" s="1653">
        <v>15</v>
      </c>
      <c r="E21" s="237">
        <v>13</v>
      </c>
      <c r="F21" s="1669">
        <v>21</v>
      </c>
      <c r="G21" s="1651"/>
      <c r="H21" s="1651"/>
    </row>
    <row r="22" spans="1:8" s="211" customFormat="1" ht="10.5" x14ac:dyDescent="0.15">
      <c r="A22" s="1668" t="s">
        <v>19</v>
      </c>
      <c r="B22" s="1653">
        <v>94</v>
      </c>
      <c r="C22" s="1653">
        <v>74</v>
      </c>
      <c r="D22" s="1653">
        <v>56</v>
      </c>
      <c r="E22" s="237">
        <v>61</v>
      </c>
      <c r="F22" s="1669">
        <v>74</v>
      </c>
      <c r="G22" s="1651"/>
      <c r="H22" s="1651"/>
    </row>
    <row r="23" spans="1:8" s="211" customFormat="1" ht="10.5" x14ac:dyDescent="0.15">
      <c r="A23" s="1643" t="s">
        <v>3474</v>
      </c>
      <c r="B23" s="1645">
        <f t="shared" ref="B23:E23" si="2">B24</f>
        <v>454</v>
      </c>
      <c r="C23" s="1645">
        <f t="shared" si="2"/>
        <v>452</v>
      </c>
      <c r="D23" s="1645">
        <f t="shared" si="2"/>
        <v>326</v>
      </c>
      <c r="E23" s="1656">
        <f t="shared" si="2"/>
        <v>318</v>
      </c>
      <c r="F23" s="1666">
        <f>SUM(F24)</f>
        <v>1998</v>
      </c>
      <c r="G23" s="1667"/>
      <c r="H23" s="1667"/>
    </row>
    <row r="24" spans="1:8" s="211" customFormat="1" ht="11.25" x14ac:dyDescent="0.15">
      <c r="A24" s="968" t="s">
        <v>3475</v>
      </c>
      <c r="B24" s="1653">
        <v>454</v>
      </c>
      <c r="C24" s="1653">
        <v>452</v>
      </c>
      <c r="D24" s="1653">
        <v>326</v>
      </c>
      <c r="E24" s="237">
        <v>318</v>
      </c>
      <c r="F24" s="1669">
        <v>1998</v>
      </c>
      <c r="G24" s="1651"/>
      <c r="H24" s="1651"/>
    </row>
    <row r="25" spans="1:8" s="211" customFormat="1" ht="6.75" customHeight="1" x14ac:dyDescent="0.15">
      <c r="A25" s="968"/>
      <c r="B25" s="1653"/>
      <c r="C25" s="1653"/>
      <c r="D25" s="1653"/>
      <c r="F25" s="1651"/>
      <c r="G25" s="1651"/>
      <c r="H25" s="1651"/>
    </row>
    <row r="26" spans="1:8" s="211" customFormat="1" ht="36" customHeight="1" x14ac:dyDescent="0.15">
      <c r="A26" s="3383" t="s">
        <v>3476</v>
      </c>
      <c r="B26" s="3383"/>
      <c r="C26" s="3383"/>
      <c r="D26" s="3383"/>
      <c r="E26" s="3383"/>
      <c r="F26" s="3383"/>
      <c r="G26" s="1670"/>
      <c r="H26" s="1670"/>
    </row>
    <row r="27" spans="1:8" s="211" customFormat="1" ht="57" customHeight="1" x14ac:dyDescent="0.15">
      <c r="A27" s="3383" t="s">
        <v>3477</v>
      </c>
      <c r="B27" s="3383"/>
      <c r="C27" s="3383"/>
      <c r="D27" s="3383"/>
      <c r="E27" s="3383"/>
      <c r="F27" s="3383"/>
      <c r="G27" s="1670"/>
      <c r="H27" s="1670"/>
    </row>
    <row r="28" spans="1:8" s="211" customFormat="1" ht="12.75" customHeight="1" x14ac:dyDescent="0.15">
      <c r="A28" s="3447" t="s">
        <v>3478</v>
      </c>
      <c r="B28" s="3383"/>
      <c r="C28" s="3383"/>
      <c r="D28" s="3383"/>
      <c r="E28" s="3383"/>
      <c r="F28" s="3383"/>
      <c r="G28" s="1670"/>
      <c r="H28" s="1670"/>
    </row>
    <row r="29" spans="1:8" s="211" customFormat="1" ht="22.5" customHeight="1" x14ac:dyDescent="0.15">
      <c r="A29" s="3383" t="s">
        <v>3435</v>
      </c>
      <c r="B29" s="3383"/>
      <c r="C29" s="3383"/>
      <c r="D29" s="3383"/>
      <c r="E29" s="3383"/>
      <c r="F29" s="3383"/>
    </row>
    <row r="30" spans="1:8" s="211" customFormat="1" ht="10.5" x14ac:dyDescent="0.15"/>
  </sheetData>
  <mergeCells count="8">
    <mergeCell ref="A28:F28"/>
    <mergeCell ref="A29:F29"/>
    <mergeCell ref="A2:F2"/>
    <mergeCell ref="A3:F3"/>
    <mergeCell ref="A4:A5"/>
    <mergeCell ref="B4:F4"/>
    <mergeCell ref="A26:F26"/>
    <mergeCell ref="A27:F27"/>
  </mergeCells>
  <pageMargins left="0.7" right="0.7" top="0.75" bottom="0.75" header="0.3" footer="0.3"/>
  <pageSetup paperSize="9" orientation="landscape" verticalDpi="599"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1:N14"/>
  <sheetViews>
    <sheetView zoomScaleNormal="100" workbookViewId="0">
      <selection activeCell="E23" sqref="E23"/>
    </sheetView>
  </sheetViews>
  <sheetFormatPr baseColWidth="10" defaultColWidth="9.140625" defaultRowHeight="10.5" x14ac:dyDescent="0.15"/>
  <cols>
    <col min="1" max="1" width="34.85546875" style="948" customWidth="1"/>
    <col min="2" max="2" width="13.42578125" style="948" customWidth="1"/>
    <col min="3" max="3" width="17.7109375" style="948" bestFit="1" customWidth="1"/>
    <col min="4" max="4" width="13.42578125" style="948" customWidth="1"/>
    <col min="5" max="5" width="16.5703125" style="948" bestFit="1" customWidth="1"/>
    <col min="6" max="6" width="13.42578125" style="948" customWidth="1"/>
    <col min="7" max="7" width="16.5703125" style="948" bestFit="1" customWidth="1"/>
    <col min="8" max="16384" width="9.140625" style="948"/>
  </cols>
  <sheetData>
    <row r="1" spans="1:14" x14ac:dyDescent="0.15">
      <c r="A1" s="1671"/>
      <c r="B1" s="1671"/>
      <c r="C1" s="1671"/>
      <c r="D1" s="1671"/>
      <c r="E1" s="1671"/>
      <c r="F1" s="1671"/>
      <c r="G1" s="1671"/>
    </row>
    <row r="2" spans="1:14" ht="22.5" customHeight="1" x14ac:dyDescent="0.15">
      <c r="A2" s="3453" t="s">
        <v>3479</v>
      </c>
      <c r="B2" s="3454"/>
      <c r="C2" s="3454"/>
      <c r="D2" s="3454"/>
      <c r="E2" s="3454"/>
      <c r="F2" s="3454"/>
      <c r="G2" s="3454"/>
    </row>
    <row r="3" spans="1:14" ht="10.5" customHeight="1" x14ac:dyDescent="0.15">
      <c r="A3" s="3455"/>
      <c r="B3" s="3456"/>
      <c r="C3" s="3456"/>
      <c r="D3" s="3456"/>
      <c r="E3" s="3456"/>
      <c r="F3" s="3456"/>
      <c r="G3" s="3456"/>
    </row>
    <row r="4" spans="1:14" ht="12.75" customHeight="1" x14ac:dyDescent="0.15">
      <c r="A4" s="3457" t="s">
        <v>3480</v>
      </c>
      <c r="B4" s="3458" t="s">
        <v>3481</v>
      </c>
      <c r="C4" s="3459"/>
      <c r="D4" s="3458" t="s">
        <v>3482</v>
      </c>
      <c r="E4" s="3459"/>
      <c r="F4" s="3458" t="s">
        <v>3483</v>
      </c>
      <c r="G4" s="3459"/>
    </row>
    <row r="5" spans="1:14" ht="17.25" customHeight="1" x14ac:dyDescent="0.15">
      <c r="A5" s="3457"/>
      <c r="B5" s="2139" t="s">
        <v>4284</v>
      </c>
      <c r="C5" s="2139" t="s">
        <v>4285</v>
      </c>
      <c r="D5" s="2139" t="s">
        <v>4284</v>
      </c>
      <c r="E5" s="2139" t="s">
        <v>4285</v>
      </c>
      <c r="F5" s="2139" t="s">
        <v>4284</v>
      </c>
      <c r="G5" s="2139" t="s">
        <v>4285</v>
      </c>
    </row>
    <row r="6" spans="1:14" x14ac:dyDescent="0.15">
      <c r="A6" s="1672" t="s">
        <v>141</v>
      </c>
      <c r="B6" s="1673">
        <f t="shared" ref="B6:G6" si="0">SUM(B7:B11)</f>
        <v>13445</v>
      </c>
      <c r="C6" s="1673">
        <f t="shared" si="0"/>
        <v>136002298687</v>
      </c>
      <c r="D6" s="1673">
        <f t="shared" si="0"/>
        <v>6279</v>
      </c>
      <c r="E6" s="1673">
        <f t="shared" si="0"/>
        <v>67113679813</v>
      </c>
      <c r="F6" s="1673">
        <f t="shared" si="0"/>
        <v>2330</v>
      </c>
      <c r="G6" s="1673">
        <f t="shared" si="0"/>
        <v>20876501691.029999</v>
      </c>
    </row>
    <row r="7" spans="1:14" ht="21" x14ac:dyDescent="0.15">
      <c r="A7" s="1674" t="s">
        <v>3484</v>
      </c>
      <c r="B7" s="1675">
        <v>2200</v>
      </c>
      <c r="C7" s="1675">
        <v>32732901527</v>
      </c>
      <c r="D7" s="1675">
        <v>703</v>
      </c>
      <c r="E7" s="1675">
        <v>10973210461</v>
      </c>
      <c r="F7" s="1675">
        <v>376</v>
      </c>
      <c r="G7" s="1675">
        <v>5455021252</v>
      </c>
    </row>
    <row r="8" spans="1:14" ht="21" x14ac:dyDescent="0.15">
      <c r="A8" s="1674" t="s">
        <v>3485</v>
      </c>
      <c r="B8" s="1675">
        <v>3560</v>
      </c>
      <c r="C8" s="1675">
        <v>27699736570</v>
      </c>
      <c r="D8" s="1675">
        <v>1577</v>
      </c>
      <c r="E8" s="1675">
        <v>13382035092</v>
      </c>
      <c r="F8" s="1675">
        <v>737</v>
      </c>
      <c r="G8" s="1675">
        <v>5129201308</v>
      </c>
    </row>
    <row r="9" spans="1:14" x14ac:dyDescent="0.15">
      <c r="A9" s="1674" t="s">
        <v>3486</v>
      </c>
      <c r="B9" s="1675">
        <v>3497</v>
      </c>
      <c r="C9" s="1675">
        <v>21886572607</v>
      </c>
      <c r="D9" s="1675">
        <v>1589</v>
      </c>
      <c r="E9" s="1675">
        <v>10779177700</v>
      </c>
      <c r="F9" s="1675">
        <v>570</v>
      </c>
      <c r="G9" s="1675">
        <v>3442344753</v>
      </c>
    </row>
    <row r="10" spans="1:14" x14ac:dyDescent="0.15">
      <c r="A10" s="1674" t="s">
        <v>3487</v>
      </c>
      <c r="B10" s="1675">
        <v>2134</v>
      </c>
      <c r="C10" s="1675">
        <v>15012651339</v>
      </c>
      <c r="D10" s="1675">
        <v>1382</v>
      </c>
      <c r="E10" s="1675">
        <v>10019590714</v>
      </c>
      <c r="F10" s="1675">
        <v>347</v>
      </c>
      <c r="G10" s="1675">
        <v>2037774128</v>
      </c>
    </row>
    <row r="11" spans="1:14" x14ac:dyDescent="0.15">
      <c r="A11" s="1674" t="s">
        <v>3488</v>
      </c>
      <c r="B11" s="1675">
        <v>2054</v>
      </c>
      <c r="C11" s="1675">
        <v>38670436644</v>
      </c>
      <c r="D11" s="1675">
        <v>1028</v>
      </c>
      <c r="E11" s="1675">
        <v>21959665846</v>
      </c>
      <c r="F11" s="1675">
        <v>300</v>
      </c>
      <c r="G11" s="1675">
        <v>4812160250.0300007</v>
      </c>
    </row>
    <row r="12" spans="1:14" s="957" customFormat="1" ht="10.5" customHeight="1" x14ac:dyDescent="0.15">
      <c r="A12" s="3449"/>
      <c r="B12" s="3450"/>
      <c r="C12" s="3450"/>
      <c r="D12" s="3450"/>
      <c r="E12" s="3450"/>
      <c r="F12" s="3450"/>
      <c r="G12" s="3450"/>
    </row>
    <row r="13" spans="1:14" s="957" customFormat="1" ht="22.5" customHeight="1" x14ac:dyDescent="0.15">
      <c r="A13" s="3451" t="s">
        <v>3489</v>
      </c>
      <c r="B13" s="3451"/>
      <c r="C13" s="3451"/>
      <c r="D13" s="3451"/>
      <c r="E13" s="3451"/>
      <c r="F13" s="3451"/>
      <c r="G13" s="3451"/>
      <c r="H13" s="1676"/>
      <c r="I13" s="1676"/>
      <c r="J13" s="1676"/>
      <c r="K13" s="1676"/>
      <c r="L13" s="1676"/>
      <c r="M13" s="1676"/>
      <c r="N13" s="1676"/>
    </row>
    <row r="14" spans="1:14" s="957" customFormat="1" x14ac:dyDescent="0.15">
      <c r="A14" s="3449" t="s">
        <v>1634</v>
      </c>
      <c r="B14" s="3452"/>
      <c r="C14" s="3452"/>
      <c r="D14" s="3452"/>
      <c r="E14" s="3452"/>
      <c r="F14" s="3452"/>
      <c r="G14" s="3452"/>
    </row>
  </sheetData>
  <mergeCells count="9">
    <mergeCell ref="A12:G12"/>
    <mergeCell ref="A13:G13"/>
    <mergeCell ref="A14:G14"/>
    <mergeCell ref="A2:G2"/>
    <mergeCell ref="A3:G3"/>
    <mergeCell ref="A4:A5"/>
    <mergeCell ref="B4:C4"/>
    <mergeCell ref="D4:E4"/>
    <mergeCell ref="F4:G4"/>
  </mergeCells>
  <pageMargins left="0.78740157480314965" right="0.78740157480314965" top="0.78740157480314965" bottom="0.78740157480314965" header="0.78740157480314965" footer="0.78740157480314965"/>
  <pageSetup scale="95" orientation="landscape" r:id="rId1"/>
  <headerFooter alignWithMargins="0">
    <oddFooter>&amp;L&amp;C&amp;R</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2:AA32"/>
  <sheetViews>
    <sheetView zoomScaleNormal="100" workbookViewId="0">
      <selection activeCell="E17" sqref="E17"/>
    </sheetView>
  </sheetViews>
  <sheetFormatPr baseColWidth="10" defaultColWidth="9.140625" defaultRowHeight="12.75" x14ac:dyDescent="0.2"/>
  <cols>
    <col min="1" max="1" width="22.7109375" style="758" customWidth="1"/>
    <col min="2" max="2" width="12.7109375" style="758" bestFit="1" customWidth="1"/>
    <col min="3" max="3" width="15.28515625" style="758" bestFit="1" customWidth="1"/>
    <col min="4" max="4" width="10.28515625" style="758" bestFit="1" customWidth="1"/>
    <col min="5" max="5" width="14.7109375" style="758" bestFit="1" customWidth="1"/>
    <col min="6" max="6" width="10.28515625" style="758" bestFit="1" customWidth="1"/>
    <col min="7" max="7" width="14.7109375" style="758" bestFit="1" customWidth="1"/>
    <col min="8" max="8" width="10.28515625" style="758" bestFit="1" customWidth="1"/>
    <col min="9" max="9" width="14.7109375" style="758" bestFit="1" customWidth="1"/>
    <col min="10" max="10" width="10.28515625" style="758" bestFit="1" customWidth="1"/>
    <col min="11" max="11" width="14.7109375" style="758" bestFit="1" customWidth="1"/>
    <col min="12" max="12" width="10.28515625" style="758" bestFit="1" customWidth="1"/>
    <col min="13" max="13" width="15.28515625" style="758" customWidth="1"/>
    <col min="14" max="14" width="10.28515625" style="758" bestFit="1" customWidth="1"/>
    <col min="15" max="15" width="14.7109375" style="758" bestFit="1" customWidth="1"/>
    <col min="16" max="16" width="10.28515625" style="758" bestFit="1" customWidth="1"/>
    <col min="17" max="17" width="14.7109375" style="758" bestFit="1" customWidth="1"/>
    <col min="18" max="18" width="10.28515625" style="758" bestFit="1" customWidth="1"/>
    <col min="19" max="19" width="14.7109375" style="758" bestFit="1" customWidth="1"/>
    <col min="20" max="20" width="10.28515625" style="758" bestFit="1" customWidth="1"/>
    <col min="21" max="21" width="14.7109375" style="758" bestFit="1" customWidth="1"/>
    <col min="22" max="22" width="10.28515625" style="758" bestFit="1" customWidth="1"/>
    <col min="23" max="23" width="14.7109375" style="758" bestFit="1" customWidth="1"/>
    <col min="24" max="24" width="10.28515625" style="758" bestFit="1" customWidth="1"/>
    <col min="25" max="25" width="14.7109375" style="758" bestFit="1" customWidth="1"/>
    <col min="26" max="26" width="10.28515625" style="758" bestFit="1" customWidth="1"/>
    <col min="27" max="27" width="14.7109375" style="758" bestFit="1" customWidth="1"/>
    <col min="28" max="16384" width="9.140625" style="758"/>
  </cols>
  <sheetData>
    <row r="2" spans="1:27" x14ac:dyDescent="0.2">
      <c r="A2" s="2852" t="s">
        <v>3490</v>
      </c>
      <c r="B2" s="3462"/>
      <c r="C2" s="3462"/>
      <c r="D2" s="3462"/>
      <c r="E2" s="3462"/>
      <c r="F2" s="3462"/>
      <c r="G2" s="3462"/>
      <c r="H2" s="3462"/>
      <c r="I2" s="3462"/>
      <c r="J2" s="3462"/>
      <c r="K2" s="3462"/>
      <c r="L2" s="3462"/>
      <c r="M2" s="3462"/>
      <c r="N2" s="3462"/>
      <c r="O2" s="3462"/>
      <c r="P2" s="3462"/>
      <c r="Q2" s="3462"/>
      <c r="R2" s="3462"/>
      <c r="S2" s="3462"/>
      <c r="T2" s="3462"/>
      <c r="U2" s="3462"/>
      <c r="V2" s="3462"/>
      <c r="W2" s="3462"/>
      <c r="X2" s="3462"/>
      <c r="Y2" s="3462"/>
      <c r="Z2" s="3462"/>
      <c r="AA2" s="3462"/>
    </row>
    <row r="3" spans="1:27" ht="11.25" customHeight="1" x14ac:dyDescent="0.2">
      <c r="A3" s="3463"/>
      <c r="B3" s="3464"/>
      <c r="C3" s="3464"/>
      <c r="D3" s="3464"/>
      <c r="E3" s="3464"/>
      <c r="F3" s="3464"/>
      <c r="G3" s="3464"/>
      <c r="H3" s="3464"/>
      <c r="I3" s="3464"/>
      <c r="J3" s="3464"/>
      <c r="K3" s="3464"/>
      <c r="L3" s="3464"/>
      <c r="M3" s="3464"/>
      <c r="N3" s="3464"/>
      <c r="O3" s="3464"/>
      <c r="P3" s="3464"/>
      <c r="Q3" s="3464"/>
      <c r="R3" s="3464"/>
      <c r="S3" s="3464"/>
      <c r="T3" s="3464"/>
      <c r="U3" s="3464"/>
      <c r="V3" s="3464"/>
      <c r="W3" s="3464"/>
      <c r="X3" s="3464"/>
      <c r="Y3" s="3464"/>
      <c r="Z3" s="3464"/>
      <c r="AA3" s="3464"/>
    </row>
    <row r="4" spans="1:27" ht="31.5" customHeight="1" x14ac:dyDescent="0.2">
      <c r="A4" s="3465" t="s">
        <v>1619</v>
      </c>
      <c r="B4" s="3460" t="s">
        <v>69</v>
      </c>
      <c r="C4" s="3461"/>
      <c r="D4" s="3460" t="s">
        <v>3491</v>
      </c>
      <c r="E4" s="3461"/>
      <c r="F4" s="3460" t="s">
        <v>3492</v>
      </c>
      <c r="G4" s="3461"/>
      <c r="H4" s="3460" t="s">
        <v>3493</v>
      </c>
      <c r="I4" s="3461"/>
      <c r="J4" s="3460" t="s">
        <v>3494</v>
      </c>
      <c r="K4" s="3461"/>
      <c r="L4" s="3460" t="s">
        <v>3495</v>
      </c>
      <c r="M4" s="3461"/>
      <c r="N4" s="3460" t="s">
        <v>3496</v>
      </c>
      <c r="O4" s="3461"/>
      <c r="P4" s="3460" t="s">
        <v>3497</v>
      </c>
      <c r="Q4" s="3461"/>
      <c r="R4" s="3460" t="s">
        <v>3498</v>
      </c>
      <c r="S4" s="3461"/>
      <c r="T4" s="3460" t="s">
        <v>3499</v>
      </c>
      <c r="U4" s="3461"/>
      <c r="V4" s="3460" t="s">
        <v>3500</v>
      </c>
      <c r="W4" s="3461"/>
      <c r="X4" s="3460" t="s">
        <v>3501</v>
      </c>
      <c r="Y4" s="3461"/>
      <c r="Z4" s="3460" t="s">
        <v>3502</v>
      </c>
      <c r="AA4" s="3461"/>
    </row>
    <row r="5" spans="1:27" ht="21" x14ac:dyDescent="0.2">
      <c r="A5" s="3465"/>
      <c r="B5" s="1677" t="s">
        <v>1628</v>
      </c>
      <c r="C5" s="1677" t="s">
        <v>1629</v>
      </c>
      <c r="D5" s="1677" t="s">
        <v>1628</v>
      </c>
      <c r="E5" s="1677" t="s">
        <v>1629</v>
      </c>
      <c r="F5" s="1677" t="s">
        <v>1628</v>
      </c>
      <c r="G5" s="1677" t="s">
        <v>1629</v>
      </c>
      <c r="H5" s="1677" t="s">
        <v>1628</v>
      </c>
      <c r="I5" s="1677" t="s">
        <v>1629</v>
      </c>
      <c r="J5" s="1677" t="s">
        <v>1628</v>
      </c>
      <c r="K5" s="1677" t="s">
        <v>1629</v>
      </c>
      <c r="L5" s="1677" t="s">
        <v>1628</v>
      </c>
      <c r="M5" s="1677" t="s">
        <v>1629</v>
      </c>
      <c r="N5" s="1677" t="s">
        <v>1628</v>
      </c>
      <c r="O5" s="1677" t="s">
        <v>1629</v>
      </c>
      <c r="P5" s="1677" t="s">
        <v>1628</v>
      </c>
      <c r="Q5" s="1677" t="s">
        <v>1629</v>
      </c>
      <c r="R5" s="1677" t="s">
        <v>1628</v>
      </c>
      <c r="S5" s="1677" t="s">
        <v>1629</v>
      </c>
      <c r="T5" s="1677" t="s">
        <v>1628</v>
      </c>
      <c r="U5" s="1677" t="s">
        <v>1629</v>
      </c>
      <c r="V5" s="1677" t="s">
        <v>1628</v>
      </c>
      <c r="W5" s="1677" t="s">
        <v>1629</v>
      </c>
      <c r="X5" s="1677" t="s">
        <v>1628</v>
      </c>
      <c r="Y5" s="1677" t="s">
        <v>1629</v>
      </c>
      <c r="Z5" s="1677" t="s">
        <v>1628</v>
      </c>
      <c r="AA5" s="1677" t="s">
        <v>1629</v>
      </c>
    </row>
    <row r="6" spans="1:27" x14ac:dyDescent="0.2">
      <c r="A6" s="1678" t="s">
        <v>141</v>
      </c>
      <c r="B6" s="1679">
        <f>SUM(D6+F6+H6+J6+L6+N6+P6+R6+T6+V6+X6+Z6)</f>
        <v>376</v>
      </c>
      <c r="C6" s="1679">
        <f>SUM(E6+G6+I6+K6+M6+O6+Q6+S6+U6+W6+Y6+AA6)</f>
        <v>5455021252</v>
      </c>
      <c r="D6" s="934">
        <f>SUM(D7:D22)</f>
        <v>138</v>
      </c>
      <c r="E6" s="934">
        <f t="shared" ref="E6:AA6" si="0">SUM(E7:E22)</f>
        <v>735762197</v>
      </c>
      <c r="F6" s="934">
        <f t="shared" si="0"/>
        <v>72</v>
      </c>
      <c r="G6" s="934">
        <f t="shared" si="0"/>
        <v>675668426</v>
      </c>
      <c r="H6" s="934">
        <f t="shared" si="0"/>
        <v>25</v>
      </c>
      <c r="I6" s="934">
        <f t="shared" si="0"/>
        <v>445892185</v>
      </c>
      <c r="J6" s="934">
        <f t="shared" si="0"/>
        <v>5</v>
      </c>
      <c r="K6" s="934">
        <f t="shared" si="0"/>
        <v>121466240</v>
      </c>
      <c r="L6" s="934">
        <f t="shared" si="0"/>
        <v>18</v>
      </c>
      <c r="M6" s="934">
        <f t="shared" si="0"/>
        <v>1410210770</v>
      </c>
      <c r="N6" s="934">
        <f t="shared" si="0"/>
        <v>47</v>
      </c>
      <c r="O6" s="934">
        <f t="shared" si="0"/>
        <v>923168424</v>
      </c>
      <c r="P6" s="934">
        <f t="shared" si="0"/>
        <v>10</v>
      </c>
      <c r="Q6" s="934">
        <f t="shared" si="0"/>
        <v>47249325</v>
      </c>
      <c r="R6" s="934">
        <f t="shared" si="0"/>
        <v>5</v>
      </c>
      <c r="S6" s="934">
        <f t="shared" si="0"/>
        <v>98291939</v>
      </c>
      <c r="T6" s="934">
        <f t="shared" si="0"/>
        <v>6</v>
      </c>
      <c r="U6" s="934">
        <f t="shared" si="0"/>
        <v>77920564</v>
      </c>
      <c r="V6" s="934">
        <f t="shared" si="0"/>
        <v>9</v>
      </c>
      <c r="W6" s="934">
        <f t="shared" si="0"/>
        <v>79153375</v>
      </c>
      <c r="X6" s="934">
        <f t="shared" si="0"/>
        <v>20</v>
      </c>
      <c r="Y6" s="934">
        <f t="shared" si="0"/>
        <v>253987132</v>
      </c>
      <c r="Z6" s="934">
        <f t="shared" si="0"/>
        <v>21</v>
      </c>
      <c r="AA6" s="934">
        <f t="shared" si="0"/>
        <v>586250675</v>
      </c>
    </row>
    <row r="7" spans="1:27" x14ac:dyDescent="0.2">
      <c r="A7" s="1680" t="s">
        <v>5</v>
      </c>
      <c r="B7" s="1681">
        <f t="shared" ref="B7:C22" si="1">SUM(D7+F7+H7+J7+L7+N7+P7+R7+T7+V7+X7+Z7)</f>
        <v>3</v>
      </c>
      <c r="C7" s="1681">
        <f t="shared" si="1"/>
        <v>11341751</v>
      </c>
      <c r="D7" s="928">
        <v>2</v>
      </c>
      <c r="E7" s="928">
        <v>7899853</v>
      </c>
      <c r="F7" s="928">
        <v>1</v>
      </c>
      <c r="G7" s="928">
        <v>3441898</v>
      </c>
      <c r="H7" s="928">
        <v>0</v>
      </c>
      <c r="I7" s="928">
        <v>0</v>
      </c>
      <c r="J7" s="928">
        <v>0</v>
      </c>
      <c r="K7" s="928">
        <v>0</v>
      </c>
      <c r="L7" s="928">
        <v>0</v>
      </c>
      <c r="M7" s="928">
        <v>0</v>
      </c>
      <c r="N7" s="928">
        <v>0</v>
      </c>
      <c r="O7" s="928">
        <v>0</v>
      </c>
      <c r="P7" s="928">
        <v>0</v>
      </c>
      <c r="Q7" s="928">
        <v>0</v>
      </c>
      <c r="R7" s="928">
        <v>0</v>
      </c>
      <c r="S7" s="928">
        <v>0</v>
      </c>
      <c r="T7" s="928">
        <v>0</v>
      </c>
      <c r="U7" s="928">
        <v>0</v>
      </c>
      <c r="V7" s="928">
        <v>0</v>
      </c>
      <c r="W7" s="928">
        <v>0</v>
      </c>
      <c r="X7" s="928">
        <v>0</v>
      </c>
      <c r="Y7" s="928">
        <v>0</v>
      </c>
      <c r="Z7" s="928">
        <v>0</v>
      </c>
      <c r="AA7" s="928">
        <v>0</v>
      </c>
    </row>
    <row r="8" spans="1:27" x14ac:dyDescent="0.2">
      <c r="A8" s="1680" t="s">
        <v>6</v>
      </c>
      <c r="B8" s="1681">
        <f t="shared" si="1"/>
        <v>2</v>
      </c>
      <c r="C8" s="1681">
        <f t="shared" si="1"/>
        <v>38497852</v>
      </c>
      <c r="D8" s="928">
        <v>0</v>
      </c>
      <c r="E8" s="928">
        <v>0</v>
      </c>
      <c r="F8" s="928">
        <v>2</v>
      </c>
      <c r="G8" s="928">
        <v>38497852</v>
      </c>
      <c r="H8" s="928">
        <v>0</v>
      </c>
      <c r="I8" s="928">
        <v>0</v>
      </c>
      <c r="J8" s="928">
        <v>0</v>
      </c>
      <c r="K8" s="928">
        <v>0</v>
      </c>
      <c r="L8" s="928">
        <v>0</v>
      </c>
      <c r="M8" s="928">
        <v>0</v>
      </c>
      <c r="N8" s="928">
        <v>0</v>
      </c>
      <c r="O8" s="928">
        <v>0</v>
      </c>
      <c r="P8" s="928">
        <v>0</v>
      </c>
      <c r="Q8" s="928">
        <v>0</v>
      </c>
      <c r="R8" s="928">
        <v>0</v>
      </c>
      <c r="S8" s="928">
        <v>0</v>
      </c>
      <c r="T8" s="928">
        <v>0</v>
      </c>
      <c r="U8" s="928">
        <v>0</v>
      </c>
      <c r="V8" s="928">
        <v>0</v>
      </c>
      <c r="W8" s="928">
        <v>0</v>
      </c>
      <c r="X8" s="928">
        <v>0</v>
      </c>
      <c r="Y8" s="928">
        <v>0</v>
      </c>
      <c r="Z8" s="928">
        <v>0</v>
      </c>
      <c r="AA8" s="928">
        <v>0</v>
      </c>
    </row>
    <row r="9" spans="1:27" x14ac:dyDescent="0.2">
      <c r="A9" s="1680" t="s">
        <v>7</v>
      </c>
      <c r="B9" s="1681">
        <f t="shared" si="1"/>
        <v>1</v>
      </c>
      <c r="C9" s="1681">
        <f t="shared" si="1"/>
        <v>1833448</v>
      </c>
      <c r="D9" s="928">
        <v>1</v>
      </c>
      <c r="E9" s="928">
        <v>1833448</v>
      </c>
      <c r="F9" s="928">
        <v>0</v>
      </c>
      <c r="G9" s="928">
        <v>0</v>
      </c>
      <c r="H9" s="928">
        <v>0</v>
      </c>
      <c r="I9" s="928">
        <v>0</v>
      </c>
      <c r="J9" s="928">
        <v>0</v>
      </c>
      <c r="K9" s="928">
        <v>0</v>
      </c>
      <c r="L9" s="928">
        <v>0</v>
      </c>
      <c r="M9" s="928">
        <v>0</v>
      </c>
      <c r="N9" s="928">
        <v>0</v>
      </c>
      <c r="O9" s="928">
        <v>0</v>
      </c>
      <c r="P9" s="928">
        <v>0</v>
      </c>
      <c r="Q9" s="928">
        <v>0</v>
      </c>
      <c r="R9" s="928">
        <v>0</v>
      </c>
      <c r="S9" s="928">
        <v>0</v>
      </c>
      <c r="T9" s="928">
        <v>0</v>
      </c>
      <c r="U9" s="928">
        <v>0</v>
      </c>
      <c r="V9" s="928">
        <v>0</v>
      </c>
      <c r="W9" s="928">
        <v>0</v>
      </c>
      <c r="X9" s="928">
        <v>0</v>
      </c>
      <c r="Y9" s="928">
        <v>0</v>
      </c>
      <c r="Z9" s="928">
        <v>0</v>
      </c>
      <c r="AA9" s="928">
        <v>0</v>
      </c>
    </row>
    <row r="10" spans="1:27" x14ac:dyDescent="0.2">
      <c r="A10" s="1680" t="s">
        <v>8</v>
      </c>
      <c r="B10" s="1681">
        <f t="shared" si="1"/>
        <v>1</v>
      </c>
      <c r="C10" s="1681">
        <f t="shared" si="1"/>
        <v>3892199</v>
      </c>
      <c r="D10" s="928">
        <v>1</v>
      </c>
      <c r="E10" s="928">
        <v>3892199</v>
      </c>
      <c r="F10" s="928">
        <v>0</v>
      </c>
      <c r="G10" s="928">
        <v>0</v>
      </c>
      <c r="H10" s="928">
        <v>0</v>
      </c>
      <c r="I10" s="928">
        <v>0</v>
      </c>
      <c r="J10" s="928">
        <v>0</v>
      </c>
      <c r="K10" s="928">
        <v>0</v>
      </c>
      <c r="L10" s="928">
        <v>0</v>
      </c>
      <c r="M10" s="928">
        <v>0</v>
      </c>
      <c r="N10" s="928">
        <v>0</v>
      </c>
      <c r="O10" s="928">
        <v>0</v>
      </c>
      <c r="P10" s="928">
        <v>0</v>
      </c>
      <c r="Q10" s="928">
        <v>0</v>
      </c>
      <c r="R10" s="928">
        <v>0</v>
      </c>
      <c r="S10" s="928">
        <v>0</v>
      </c>
      <c r="T10" s="928">
        <v>0</v>
      </c>
      <c r="U10" s="928">
        <v>0</v>
      </c>
      <c r="V10" s="928">
        <v>0</v>
      </c>
      <c r="W10" s="928">
        <v>0</v>
      </c>
      <c r="X10" s="928">
        <v>0</v>
      </c>
      <c r="Y10" s="928">
        <v>0</v>
      </c>
      <c r="Z10" s="928">
        <v>0</v>
      </c>
      <c r="AA10" s="928">
        <v>0</v>
      </c>
    </row>
    <row r="11" spans="1:27" x14ac:dyDescent="0.2">
      <c r="A11" s="1680" t="s">
        <v>9</v>
      </c>
      <c r="B11" s="1681">
        <f t="shared" si="1"/>
        <v>5</v>
      </c>
      <c r="C11" s="1681">
        <f t="shared" si="1"/>
        <v>25991469</v>
      </c>
      <c r="D11" s="928">
        <v>3</v>
      </c>
      <c r="E11" s="928">
        <v>8572277</v>
      </c>
      <c r="F11" s="928">
        <v>1</v>
      </c>
      <c r="G11" s="928">
        <v>7430600</v>
      </c>
      <c r="H11" s="928">
        <v>0</v>
      </c>
      <c r="I11" s="928">
        <v>0</v>
      </c>
      <c r="J11" s="928">
        <v>0</v>
      </c>
      <c r="K11" s="928">
        <v>0</v>
      </c>
      <c r="L11" s="928">
        <v>0</v>
      </c>
      <c r="M11" s="928">
        <v>0</v>
      </c>
      <c r="N11" s="928">
        <v>0</v>
      </c>
      <c r="O11" s="928">
        <v>0</v>
      </c>
      <c r="P11" s="928">
        <v>0</v>
      </c>
      <c r="Q11" s="928">
        <v>0</v>
      </c>
      <c r="R11" s="928">
        <v>0</v>
      </c>
      <c r="S11" s="928">
        <v>0</v>
      </c>
      <c r="T11" s="928">
        <v>0</v>
      </c>
      <c r="U11" s="928">
        <v>0</v>
      </c>
      <c r="V11" s="928">
        <v>0</v>
      </c>
      <c r="W11" s="928">
        <v>0</v>
      </c>
      <c r="X11" s="928">
        <v>1</v>
      </c>
      <c r="Y11" s="928">
        <v>9988592</v>
      </c>
      <c r="Z11" s="928">
        <v>0</v>
      </c>
      <c r="AA11" s="928">
        <v>0</v>
      </c>
    </row>
    <row r="12" spans="1:27" x14ac:dyDescent="0.2">
      <c r="A12" s="1680" t="s">
        <v>10</v>
      </c>
      <c r="B12" s="1681">
        <f t="shared" si="1"/>
        <v>34</v>
      </c>
      <c r="C12" s="1681">
        <f t="shared" si="1"/>
        <v>599256887</v>
      </c>
      <c r="D12" s="928">
        <v>7</v>
      </c>
      <c r="E12" s="928">
        <v>27376126</v>
      </c>
      <c r="F12" s="928">
        <v>11</v>
      </c>
      <c r="G12" s="928">
        <v>65309980</v>
      </c>
      <c r="H12" s="928">
        <v>2</v>
      </c>
      <c r="I12" s="928">
        <v>46049403</v>
      </c>
      <c r="J12" s="928">
        <v>2</v>
      </c>
      <c r="K12" s="928">
        <v>48590000</v>
      </c>
      <c r="L12" s="928">
        <v>4</v>
      </c>
      <c r="M12" s="928">
        <v>301206491</v>
      </c>
      <c r="N12" s="928">
        <v>4</v>
      </c>
      <c r="O12" s="928">
        <v>85846387</v>
      </c>
      <c r="P12" s="928">
        <v>2</v>
      </c>
      <c r="Q12" s="928">
        <v>9800000</v>
      </c>
      <c r="R12" s="928">
        <v>1</v>
      </c>
      <c r="S12" s="928">
        <v>12078500</v>
      </c>
      <c r="T12" s="928">
        <v>0</v>
      </c>
      <c r="U12" s="928">
        <v>0</v>
      </c>
      <c r="V12" s="928">
        <v>1</v>
      </c>
      <c r="W12" s="928">
        <v>3000000</v>
      </c>
      <c r="X12" s="928">
        <v>0</v>
      </c>
      <c r="Y12" s="928">
        <v>0</v>
      </c>
      <c r="Z12" s="928">
        <v>0</v>
      </c>
      <c r="AA12" s="928">
        <v>0</v>
      </c>
    </row>
    <row r="13" spans="1:27" x14ac:dyDescent="0.2">
      <c r="A13" s="1680" t="s">
        <v>11</v>
      </c>
      <c r="B13" s="1681">
        <f t="shared" si="1"/>
        <v>262</v>
      </c>
      <c r="C13" s="1681">
        <f t="shared" si="1"/>
        <v>3904194928</v>
      </c>
      <c r="D13" s="928">
        <v>98</v>
      </c>
      <c r="E13" s="928">
        <v>579193462</v>
      </c>
      <c r="F13" s="928">
        <v>39</v>
      </c>
      <c r="G13" s="928">
        <v>404208670</v>
      </c>
      <c r="H13" s="928">
        <v>20</v>
      </c>
      <c r="I13" s="928">
        <v>322773992</v>
      </c>
      <c r="J13" s="928">
        <v>2</v>
      </c>
      <c r="K13" s="928">
        <v>59680000</v>
      </c>
      <c r="L13" s="928">
        <v>10</v>
      </c>
      <c r="M13" s="928">
        <v>820879215</v>
      </c>
      <c r="N13" s="928">
        <v>36</v>
      </c>
      <c r="O13" s="928">
        <v>702602708</v>
      </c>
      <c r="P13" s="928">
        <v>6</v>
      </c>
      <c r="Q13" s="928">
        <v>29585325</v>
      </c>
      <c r="R13" s="928">
        <v>2</v>
      </c>
      <c r="S13" s="928">
        <v>64413149</v>
      </c>
      <c r="T13" s="928">
        <v>5</v>
      </c>
      <c r="U13" s="928">
        <v>63376080</v>
      </c>
      <c r="V13" s="928">
        <v>7</v>
      </c>
      <c r="W13" s="928">
        <v>62165773</v>
      </c>
      <c r="X13" s="928">
        <v>16</v>
      </c>
      <c r="Y13" s="928">
        <v>209065879</v>
      </c>
      <c r="Z13" s="928">
        <v>21</v>
      </c>
      <c r="AA13" s="928">
        <v>586250675</v>
      </c>
    </row>
    <row r="14" spans="1:27" x14ac:dyDescent="0.2">
      <c r="A14" s="1680" t="s">
        <v>12</v>
      </c>
      <c r="B14" s="1681">
        <f t="shared" si="1"/>
        <v>5</v>
      </c>
      <c r="C14" s="1681">
        <f t="shared" si="1"/>
        <v>79412596</v>
      </c>
      <c r="D14" s="928">
        <v>1</v>
      </c>
      <c r="E14" s="928">
        <v>13500000</v>
      </c>
      <c r="F14" s="928">
        <v>2</v>
      </c>
      <c r="G14" s="928">
        <v>20908755</v>
      </c>
      <c r="H14" s="928">
        <v>0</v>
      </c>
      <c r="I14" s="928">
        <v>0</v>
      </c>
      <c r="J14" s="928">
        <v>0</v>
      </c>
      <c r="K14" s="928">
        <v>0</v>
      </c>
      <c r="L14" s="928">
        <v>1</v>
      </c>
      <c r="M14" s="928">
        <v>36758861</v>
      </c>
      <c r="N14" s="928">
        <v>1</v>
      </c>
      <c r="O14" s="928">
        <v>8244980</v>
      </c>
      <c r="P14" s="928">
        <v>0</v>
      </c>
      <c r="Q14" s="928">
        <v>0</v>
      </c>
      <c r="R14" s="928">
        <v>0</v>
      </c>
      <c r="S14" s="928">
        <v>0</v>
      </c>
      <c r="T14" s="928">
        <v>0</v>
      </c>
      <c r="U14" s="928">
        <v>0</v>
      </c>
      <c r="V14" s="928">
        <v>0</v>
      </c>
      <c r="W14" s="928">
        <v>0</v>
      </c>
      <c r="X14" s="928">
        <v>0</v>
      </c>
      <c r="Y14" s="928">
        <v>0</v>
      </c>
      <c r="Z14" s="928">
        <v>0</v>
      </c>
      <c r="AA14" s="928">
        <v>0</v>
      </c>
    </row>
    <row r="15" spans="1:27" x14ac:dyDescent="0.2">
      <c r="A15" s="1680" t="s">
        <v>13</v>
      </c>
      <c r="B15" s="1681">
        <f t="shared" si="1"/>
        <v>4</v>
      </c>
      <c r="C15" s="1681">
        <f t="shared" si="1"/>
        <v>49391564</v>
      </c>
      <c r="D15" s="928">
        <v>2</v>
      </c>
      <c r="E15" s="928">
        <v>7532547</v>
      </c>
      <c r="F15" s="928">
        <v>0</v>
      </c>
      <c r="G15" s="928">
        <v>0</v>
      </c>
      <c r="H15" s="928">
        <v>1</v>
      </c>
      <c r="I15" s="928">
        <v>26970723</v>
      </c>
      <c r="J15" s="928">
        <v>0</v>
      </c>
      <c r="K15" s="928">
        <v>0</v>
      </c>
      <c r="L15" s="928">
        <v>0</v>
      </c>
      <c r="M15" s="928">
        <v>0</v>
      </c>
      <c r="N15" s="928">
        <v>0</v>
      </c>
      <c r="O15" s="928">
        <v>0</v>
      </c>
      <c r="P15" s="928">
        <v>0</v>
      </c>
      <c r="Q15" s="928">
        <v>0</v>
      </c>
      <c r="R15" s="928">
        <v>1</v>
      </c>
      <c r="S15" s="928">
        <v>14888294</v>
      </c>
      <c r="T15" s="928">
        <v>0</v>
      </c>
      <c r="U15" s="928">
        <v>0</v>
      </c>
      <c r="V15" s="928">
        <v>0</v>
      </c>
      <c r="W15" s="928">
        <v>0</v>
      </c>
      <c r="X15" s="928">
        <v>0</v>
      </c>
      <c r="Y15" s="928">
        <v>0</v>
      </c>
      <c r="Z15" s="928">
        <v>0</v>
      </c>
      <c r="AA15" s="928">
        <v>0</v>
      </c>
    </row>
    <row r="16" spans="1:27" x14ac:dyDescent="0.2">
      <c r="A16" s="1680" t="s">
        <v>14</v>
      </c>
      <c r="B16" s="1681">
        <f t="shared" si="1"/>
        <v>17</v>
      </c>
      <c r="C16" s="1681">
        <f t="shared" si="1"/>
        <v>221701090</v>
      </c>
      <c r="D16" s="928">
        <v>4</v>
      </c>
      <c r="E16" s="928">
        <v>13682555</v>
      </c>
      <c r="F16" s="928">
        <v>6</v>
      </c>
      <c r="G16" s="928">
        <v>64632566</v>
      </c>
      <c r="H16" s="928">
        <v>1</v>
      </c>
      <c r="I16" s="928">
        <v>25855667</v>
      </c>
      <c r="J16" s="928">
        <v>0</v>
      </c>
      <c r="K16" s="928">
        <v>0</v>
      </c>
      <c r="L16" s="928">
        <v>1</v>
      </c>
      <c r="M16" s="928">
        <v>46020678</v>
      </c>
      <c r="N16" s="928">
        <v>2</v>
      </c>
      <c r="O16" s="928">
        <v>37133390</v>
      </c>
      <c r="P16" s="928">
        <v>1</v>
      </c>
      <c r="Q16" s="928">
        <v>4974000</v>
      </c>
      <c r="R16" s="928">
        <v>0</v>
      </c>
      <c r="S16" s="928">
        <v>0</v>
      </c>
      <c r="T16" s="928">
        <v>0</v>
      </c>
      <c r="U16" s="928">
        <v>0</v>
      </c>
      <c r="V16" s="928">
        <v>1</v>
      </c>
      <c r="W16" s="928">
        <v>13987602</v>
      </c>
      <c r="X16" s="928">
        <v>1</v>
      </c>
      <c r="Y16" s="928">
        <v>15414632</v>
      </c>
      <c r="Z16" s="928">
        <v>0</v>
      </c>
      <c r="AA16" s="928">
        <v>0</v>
      </c>
    </row>
    <row r="17" spans="1:27" x14ac:dyDescent="0.2">
      <c r="A17" s="1680" t="s">
        <v>15</v>
      </c>
      <c r="B17" s="1681">
        <f t="shared" si="1"/>
        <v>7</v>
      </c>
      <c r="C17" s="1681">
        <f t="shared" si="1"/>
        <v>49555202</v>
      </c>
      <c r="D17" s="928">
        <v>4</v>
      </c>
      <c r="E17" s="928">
        <v>18925202</v>
      </c>
      <c r="F17" s="928">
        <v>1</v>
      </c>
      <c r="G17" s="928">
        <v>19880000</v>
      </c>
      <c r="H17" s="928">
        <v>0</v>
      </c>
      <c r="I17" s="928">
        <v>0</v>
      </c>
      <c r="J17" s="928">
        <v>0</v>
      </c>
      <c r="K17" s="928">
        <v>0</v>
      </c>
      <c r="L17" s="928">
        <v>0</v>
      </c>
      <c r="M17" s="928">
        <v>0</v>
      </c>
      <c r="N17" s="928">
        <v>0</v>
      </c>
      <c r="O17" s="928">
        <v>0</v>
      </c>
      <c r="P17" s="928">
        <v>1</v>
      </c>
      <c r="Q17" s="928">
        <v>2890000</v>
      </c>
      <c r="R17" s="928">
        <v>0</v>
      </c>
      <c r="S17" s="928">
        <v>0</v>
      </c>
      <c r="T17" s="928">
        <v>0</v>
      </c>
      <c r="U17" s="928">
        <v>0</v>
      </c>
      <c r="V17" s="928">
        <v>0</v>
      </c>
      <c r="W17" s="928">
        <v>0</v>
      </c>
      <c r="X17" s="928">
        <v>1</v>
      </c>
      <c r="Y17" s="928">
        <v>7860000</v>
      </c>
      <c r="Z17" s="928">
        <v>0</v>
      </c>
      <c r="AA17" s="928">
        <v>0</v>
      </c>
    </row>
    <row r="18" spans="1:27" x14ac:dyDescent="0.2">
      <c r="A18" s="1680" t="s">
        <v>16</v>
      </c>
      <c r="B18" s="1681">
        <f t="shared" si="1"/>
        <v>14</v>
      </c>
      <c r="C18" s="1681">
        <f t="shared" si="1"/>
        <v>202273120</v>
      </c>
      <c r="D18" s="928">
        <v>7</v>
      </c>
      <c r="E18" s="928">
        <v>13812966</v>
      </c>
      <c r="F18" s="928">
        <v>4</v>
      </c>
      <c r="G18" s="928">
        <v>24327745</v>
      </c>
      <c r="H18" s="928">
        <v>1</v>
      </c>
      <c r="I18" s="928">
        <v>24242400</v>
      </c>
      <c r="J18" s="928">
        <v>0</v>
      </c>
      <c r="K18" s="928">
        <v>0</v>
      </c>
      <c r="L18" s="928">
        <v>1</v>
      </c>
      <c r="M18" s="928">
        <v>125345525</v>
      </c>
      <c r="N18" s="928">
        <v>0</v>
      </c>
      <c r="O18" s="928">
        <v>0</v>
      </c>
      <c r="P18" s="928">
        <v>0</v>
      </c>
      <c r="Q18" s="928">
        <v>0</v>
      </c>
      <c r="R18" s="928">
        <v>0</v>
      </c>
      <c r="S18" s="928">
        <v>0</v>
      </c>
      <c r="T18" s="928">
        <v>1</v>
      </c>
      <c r="U18" s="928">
        <v>14544484</v>
      </c>
      <c r="V18" s="928">
        <v>0</v>
      </c>
      <c r="W18" s="928">
        <v>0</v>
      </c>
      <c r="X18" s="928">
        <v>0</v>
      </c>
      <c r="Y18" s="928">
        <v>0</v>
      </c>
      <c r="Z18" s="928">
        <v>0</v>
      </c>
      <c r="AA18" s="928">
        <v>0</v>
      </c>
    </row>
    <row r="19" spans="1:27" x14ac:dyDescent="0.2">
      <c r="A19" s="1680" t="s">
        <v>17</v>
      </c>
      <c r="B19" s="1681">
        <f t="shared" si="1"/>
        <v>8</v>
      </c>
      <c r="C19" s="1681">
        <f t="shared" si="1"/>
        <v>60378499</v>
      </c>
      <c r="D19" s="928">
        <v>5</v>
      </c>
      <c r="E19" s="928">
        <v>20808005</v>
      </c>
      <c r="F19" s="928">
        <v>0</v>
      </c>
      <c r="G19" s="928">
        <v>0</v>
      </c>
      <c r="H19" s="928">
        <v>0</v>
      </c>
      <c r="I19" s="928">
        <v>0</v>
      </c>
      <c r="J19" s="928">
        <v>1</v>
      </c>
      <c r="K19" s="928">
        <v>13196240</v>
      </c>
      <c r="L19" s="928">
        <v>0</v>
      </c>
      <c r="M19" s="928">
        <v>0</v>
      </c>
      <c r="N19" s="928">
        <v>1</v>
      </c>
      <c r="O19" s="928">
        <v>19462258</v>
      </c>
      <c r="P19" s="928">
        <v>0</v>
      </c>
      <c r="Q19" s="928">
        <v>0</v>
      </c>
      <c r="R19" s="928">
        <v>1</v>
      </c>
      <c r="S19" s="928">
        <v>6911996</v>
      </c>
      <c r="T19" s="928">
        <v>0</v>
      </c>
      <c r="U19" s="928">
        <v>0</v>
      </c>
      <c r="V19" s="928">
        <v>0</v>
      </c>
      <c r="W19" s="928">
        <v>0</v>
      </c>
      <c r="X19" s="928">
        <v>0</v>
      </c>
      <c r="Y19" s="928">
        <v>0</v>
      </c>
      <c r="Z19" s="928">
        <v>0</v>
      </c>
      <c r="AA19" s="928">
        <v>0</v>
      </c>
    </row>
    <row r="20" spans="1:27" x14ac:dyDescent="0.2">
      <c r="A20" s="1680" t="s">
        <v>18</v>
      </c>
      <c r="B20" s="1681">
        <f t="shared" si="1"/>
        <v>2</v>
      </c>
      <c r="C20" s="1681">
        <f t="shared" si="1"/>
        <v>7535396</v>
      </c>
      <c r="D20" s="928">
        <v>1</v>
      </c>
      <c r="E20" s="928">
        <v>4735396</v>
      </c>
      <c r="F20" s="928">
        <v>1</v>
      </c>
      <c r="G20" s="928">
        <v>2800000</v>
      </c>
      <c r="H20" s="928">
        <v>0</v>
      </c>
      <c r="I20" s="928">
        <v>0</v>
      </c>
      <c r="J20" s="928">
        <v>0</v>
      </c>
      <c r="K20" s="928">
        <v>0</v>
      </c>
      <c r="L20" s="928">
        <v>0</v>
      </c>
      <c r="M20" s="928">
        <v>0</v>
      </c>
      <c r="N20" s="928">
        <v>0</v>
      </c>
      <c r="O20" s="928">
        <v>0</v>
      </c>
      <c r="P20" s="928">
        <v>0</v>
      </c>
      <c r="Q20" s="928">
        <v>0</v>
      </c>
      <c r="R20" s="928">
        <v>0</v>
      </c>
      <c r="S20" s="928">
        <v>0</v>
      </c>
      <c r="T20" s="928">
        <v>0</v>
      </c>
      <c r="U20" s="928">
        <v>0</v>
      </c>
      <c r="V20" s="928">
        <v>0</v>
      </c>
      <c r="W20" s="928">
        <v>0</v>
      </c>
      <c r="X20" s="928">
        <v>0</v>
      </c>
      <c r="Y20" s="928">
        <v>0</v>
      </c>
      <c r="Z20" s="928">
        <v>0</v>
      </c>
      <c r="AA20" s="928">
        <v>0</v>
      </c>
    </row>
    <row r="21" spans="1:27" x14ac:dyDescent="0.2">
      <c r="A21" s="1680" t="s">
        <v>3503</v>
      </c>
      <c r="B21" s="1681">
        <f t="shared" si="1"/>
        <v>5</v>
      </c>
      <c r="C21" s="1681">
        <f t="shared" si="1"/>
        <v>131201272</v>
      </c>
      <c r="D21" s="928">
        <v>2</v>
      </c>
      <c r="E21" s="928">
        <v>13998161</v>
      </c>
      <c r="F21" s="928">
        <v>1</v>
      </c>
      <c r="G21" s="928">
        <v>7215000</v>
      </c>
      <c r="H21" s="928">
        <v>0</v>
      </c>
      <c r="I21" s="928">
        <v>0</v>
      </c>
      <c r="J21" s="928">
        <v>0</v>
      </c>
      <c r="K21" s="928">
        <v>0</v>
      </c>
      <c r="L21" s="928">
        <v>1</v>
      </c>
      <c r="M21" s="928">
        <v>80000000</v>
      </c>
      <c r="N21" s="928">
        <v>1</v>
      </c>
      <c r="O21" s="928">
        <v>29988111</v>
      </c>
      <c r="P21" s="928">
        <v>0</v>
      </c>
      <c r="Q21" s="928">
        <v>0</v>
      </c>
      <c r="R21" s="928">
        <v>0</v>
      </c>
      <c r="S21" s="928">
        <v>0</v>
      </c>
      <c r="T21" s="928">
        <v>0</v>
      </c>
      <c r="U21" s="928">
        <v>0</v>
      </c>
      <c r="V21" s="928">
        <v>0</v>
      </c>
      <c r="W21" s="928">
        <v>0</v>
      </c>
      <c r="X21" s="928">
        <v>0</v>
      </c>
      <c r="Y21" s="928">
        <v>0</v>
      </c>
      <c r="Z21" s="928">
        <v>0</v>
      </c>
      <c r="AA21" s="928">
        <v>0</v>
      </c>
    </row>
    <row r="22" spans="1:27" x14ac:dyDescent="0.2">
      <c r="A22" s="1680" t="s">
        <v>2011</v>
      </c>
      <c r="B22" s="1681">
        <f t="shared" si="1"/>
        <v>6</v>
      </c>
      <c r="C22" s="1681">
        <f t="shared" si="1"/>
        <v>68563979</v>
      </c>
      <c r="D22" s="928">
        <v>0</v>
      </c>
      <c r="E22" s="928">
        <v>0</v>
      </c>
      <c r="F22" s="928">
        <v>3</v>
      </c>
      <c r="G22" s="928">
        <v>17015360</v>
      </c>
      <c r="H22" s="928">
        <v>0</v>
      </c>
      <c r="I22" s="928">
        <v>0</v>
      </c>
      <c r="J22" s="928">
        <v>0</v>
      </c>
      <c r="K22" s="928">
        <v>0</v>
      </c>
      <c r="L22" s="928">
        <v>0</v>
      </c>
      <c r="M22" s="928">
        <v>0</v>
      </c>
      <c r="N22" s="928">
        <v>2</v>
      </c>
      <c r="O22" s="928">
        <v>39890590</v>
      </c>
      <c r="P22" s="928">
        <v>0</v>
      </c>
      <c r="Q22" s="928">
        <v>0</v>
      </c>
      <c r="R22" s="928">
        <v>0</v>
      </c>
      <c r="S22" s="928">
        <v>0</v>
      </c>
      <c r="T22" s="928">
        <v>0</v>
      </c>
      <c r="U22" s="928">
        <v>0</v>
      </c>
      <c r="V22" s="928">
        <v>0</v>
      </c>
      <c r="W22" s="928">
        <v>0</v>
      </c>
      <c r="X22" s="928">
        <v>1</v>
      </c>
      <c r="Y22" s="928">
        <v>11658029</v>
      </c>
      <c r="Z22" s="928">
        <v>0</v>
      </c>
      <c r="AA22" s="928">
        <v>0</v>
      </c>
    </row>
    <row r="23" spans="1:27" x14ac:dyDescent="0.2">
      <c r="A23" s="3463"/>
      <c r="B23" s="3464"/>
      <c r="C23" s="3464"/>
      <c r="D23" s="3464"/>
      <c r="E23" s="3464"/>
      <c r="F23" s="3464"/>
      <c r="G23" s="3464"/>
      <c r="H23" s="3464"/>
      <c r="I23" s="3464"/>
      <c r="J23" s="3464"/>
      <c r="K23" s="3464"/>
      <c r="L23" s="3464"/>
      <c r="M23" s="3464"/>
      <c r="N23" s="3464"/>
      <c r="O23" s="3464"/>
      <c r="P23" s="1682"/>
      <c r="Q23" s="1682"/>
      <c r="R23" s="1682"/>
      <c r="S23" s="1682"/>
      <c r="T23" s="1682"/>
      <c r="U23" s="1682"/>
      <c r="V23" s="1682"/>
      <c r="W23" s="1682"/>
      <c r="X23" s="1682"/>
      <c r="Y23" s="1682"/>
      <c r="Z23" s="1682"/>
      <c r="AA23" s="1682"/>
    </row>
    <row r="24" spans="1:27" s="1683" customFormat="1" x14ac:dyDescent="0.2">
      <c r="A24" s="3466" t="s">
        <v>2445</v>
      </c>
      <c r="B24" s="2851"/>
      <c r="C24" s="2851"/>
      <c r="D24" s="2851"/>
      <c r="E24" s="2851"/>
      <c r="F24" s="2851"/>
      <c r="G24" s="2851"/>
      <c r="H24" s="2851"/>
      <c r="I24" s="2851"/>
      <c r="J24" s="2851"/>
      <c r="K24" s="2851"/>
      <c r="L24" s="2851"/>
      <c r="M24" s="2851"/>
      <c r="N24" s="2851"/>
      <c r="O24" s="2851"/>
      <c r="P24" s="945"/>
      <c r="Q24" s="945"/>
      <c r="R24" s="945"/>
      <c r="S24" s="945"/>
      <c r="T24" s="945"/>
      <c r="U24" s="945"/>
      <c r="V24" s="945"/>
      <c r="W24" s="945"/>
      <c r="X24" s="945"/>
      <c r="Y24" s="945"/>
      <c r="Z24" s="945"/>
      <c r="AA24" s="945"/>
    </row>
    <row r="25" spans="1:27" s="1683" customFormat="1" x14ac:dyDescent="0.2">
      <c r="A25" s="2850" t="s">
        <v>2013</v>
      </c>
      <c r="B25" s="2851"/>
      <c r="C25" s="2851"/>
      <c r="D25" s="2851"/>
      <c r="E25" s="2851"/>
      <c r="F25" s="2851"/>
      <c r="G25" s="2851"/>
      <c r="H25" s="2851"/>
      <c r="I25" s="2851"/>
      <c r="J25" s="2851"/>
      <c r="K25" s="2851"/>
      <c r="L25" s="2851"/>
      <c r="M25" s="2851"/>
      <c r="N25" s="2851"/>
      <c r="O25" s="2851"/>
      <c r="P25" s="945"/>
      <c r="Q25" s="945"/>
      <c r="R25" s="945"/>
      <c r="S25" s="945"/>
      <c r="T25" s="945"/>
      <c r="U25" s="945"/>
      <c r="V25" s="945"/>
      <c r="W25" s="945"/>
      <c r="X25" s="945"/>
      <c r="Y25" s="945"/>
      <c r="Z25" s="945"/>
      <c r="AA25" s="945"/>
    </row>
    <row r="26" spans="1:27" s="1683" customFormat="1" x14ac:dyDescent="0.2">
      <c r="A26" s="2850" t="s">
        <v>2014</v>
      </c>
      <c r="B26" s="2851"/>
      <c r="C26" s="2851"/>
      <c r="D26" s="2851"/>
      <c r="E26" s="2851"/>
      <c r="F26" s="2851"/>
      <c r="G26" s="2851"/>
      <c r="H26" s="2851"/>
      <c r="I26" s="2851"/>
      <c r="J26" s="2851"/>
      <c r="K26" s="2851"/>
      <c r="L26" s="2851"/>
      <c r="M26" s="2851"/>
      <c r="N26" s="2851"/>
      <c r="O26" s="2851"/>
      <c r="P26" s="945"/>
      <c r="Q26" s="945"/>
      <c r="R26" s="945"/>
      <c r="S26" s="945"/>
      <c r="T26" s="945"/>
      <c r="U26" s="945"/>
      <c r="V26" s="945"/>
      <c r="W26" s="945"/>
      <c r="X26" s="945"/>
      <c r="Y26" s="945"/>
      <c r="Z26" s="945"/>
      <c r="AA26" s="945"/>
    </row>
    <row r="27" spans="1:27" s="1683" customFormat="1" x14ac:dyDescent="0.2">
      <c r="A27" s="3466" t="s">
        <v>2015</v>
      </c>
      <c r="B27" s="2851"/>
      <c r="C27" s="2851"/>
      <c r="D27" s="2851"/>
      <c r="E27" s="2851"/>
      <c r="F27" s="2851"/>
      <c r="G27" s="2851"/>
      <c r="H27" s="2851"/>
      <c r="I27" s="2851"/>
      <c r="J27" s="2851"/>
      <c r="K27" s="2851"/>
      <c r="L27" s="2851"/>
      <c r="M27" s="2851"/>
      <c r="N27" s="2851"/>
      <c r="O27" s="2851"/>
      <c r="P27" s="945"/>
      <c r="Q27" s="945"/>
      <c r="R27" s="945"/>
      <c r="S27" s="945"/>
      <c r="T27" s="945"/>
      <c r="U27" s="945"/>
      <c r="V27" s="945"/>
      <c r="W27" s="945"/>
      <c r="X27" s="945"/>
      <c r="Y27" s="945"/>
      <c r="Z27" s="945"/>
      <c r="AA27" s="945"/>
    </row>
    <row r="28" spans="1:27" s="1683" customFormat="1" x14ac:dyDescent="0.2">
      <c r="A28" s="3467" t="s">
        <v>3504</v>
      </c>
      <c r="B28" s="2851"/>
      <c r="C28" s="2851"/>
      <c r="D28" s="2851"/>
      <c r="E28" s="2851"/>
      <c r="F28" s="2851"/>
      <c r="G28" s="2851"/>
      <c r="H28" s="2851"/>
      <c r="I28" s="2851"/>
      <c r="J28" s="2851"/>
      <c r="K28" s="2851"/>
      <c r="L28" s="2851"/>
      <c r="M28" s="2851"/>
      <c r="N28" s="2851"/>
      <c r="O28" s="2851"/>
      <c r="P28" s="945"/>
      <c r="Q28" s="945"/>
      <c r="R28" s="945"/>
      <c r="S28" s="945"/>
      <c r="T28" s="945"/>
      <c r="U28" s="945"/>
      <c r="V28" s="945"/>
      <c r="W28" s="945"/>
      <c r="X28" s="945"/>
      <c r="Y28" s="945"/>
      <c r="Z28" s="945"/>
      <c r="AA28" s="945"/>
    </row>
    <row r="29" spans="1:27" s="1683" customFormat="1" x14ac:dyDescent="0.2">
      <c r="A29" s="3466" t="s">
        <v>1634</v>
      </c>
      <c r="B29" s="2851"/>
      <c r="C29" s="2851"/>
      <c r="D29" s="2851"/>
      <c r="E29" s="2851"/>
      <c r="F29" s="2851"/>
      <c r="G29" s="2851"/>
      <c r="H29" s="2851"/>
      <c r="I29" s="2851"/>
      <c r="J29" s="2851"/>
      <c r="K29" s="2851"/>
      <c r="L29" s="2851"/>
      <c r="M29" s="2851"/>
      <c r="N29" s="2851"/>
      <c r="O29" s="2851"/>
      <c r="P29" s="938"/>
      <c r="Q29" s="938"/>
      <c r="R29" s="938"/>
      <c r="S29" s="938"/>
      <c r="T29" s="938"/>
      <c r="U29" s="938"/>
      <c r="V29" s="938"/>
      <c r="W29" s="938"/>
      <c r="X29" s="938"/>
      <c r="Y29" s="938"/>
      <c r="Z29" s="938"/>
      <c r="AA29" s="938"/>
    </row>
    <row r="30" spans="1:27" s="1683" customFormat="1" x14ac:dyDescent="0.2"/>
    <row r="32" spans="1:27" x14ac:dyDescent="0.2">
      <c r="A32" s="1684"/>
    </row>
  </sheetData>
  <mergeCells count="23">
    <mergeCell ref="A29:O29"/>
    <mergeCell ref="A23:O23"/>
    <mergeCell ref="A24:O24"/>
    <mergeCell ref="A25:O25"/>
    <mergeCell ref="A26:O26"/>
    <mergeCell ref="A27:O27"/>
    <mergeCell ref="A28:O28"/>
    <mergeCell ref="Z4:AA4"/>
    <mergeCell ref="A2:AA2"/>
    <mergeCell ref="A3:AA3"/>
    <mergeCell ref="A4:A5"/>
    <mergeCell ref="B4:C4"/>
    <mergeCell ref="D4:E4"/>
    <mergeCell ref="F4:G4"/>
    <mergeCell ref="H4:I4"/>
    <mergeCell ref="J4:K4"/>
    <mergeCell ref="L4:M4"/>
    <mergeCell ref="N4:O4"/>
    <mergeCell ref="P4:Q4"/>
    <mergeCell ref="R4:S4"/>
    <mergeCell ref="T4:U4"/>
    <mergeCell ref="V4:W4"/>
    <mergeCell ref="X4:Y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U28"/>
  <sheetViews>
    <sheetView zoomScaleNormal="100" workbookViewId="0">
      <selection activeCell="A3" sqref="A3:U3"/>
    </sheetView>
  </sheetViews>
  <sheetFormatPr baseColWidth="10" defaultColWidth="9.140625" defaultRowHeight="12.75" x14ac:dyDescent="0.2"/>
  <cols>
    <col min="1" max="1" width="16.140625" style="758" customWidth="1"/>
    <col min="2" max="2" width="10.28515625" style="758" bestFit="1" customWidth="1"/>
    <col min="3" max="3" width="15.28515625" style="758" customWidth="1"/>
    <col min="4" max="4" width="10.28515625" style="758" bestFit="1" customWidth="1"/>
    <col min="5" max="5" width="14.7109375" style="758" bestFit="1" customWidth="1"/>
    <col min="6" max="6" width="10.28515625" style="758" bestFit="1" customWidth="1"/>
    <col min="7" max="7" width="15.140625" style="758" customWidth="1"/>
    <col min="8" max="8" width="10.28515625" style="758" bestFit="1" customWidth="1"/>
    <col min="9" max="9" width="15.28515625" style="758" customWidth="1"/>
    <col min="10" max="10" width="10.28515625" style="758" bestFit="1" customWidth="1"/>
    <col min="11" max="11" width="16.7109375" style="758" customWidth="1"/>
    <col min="12" max="12" width="10.28515625" style="758" bestFit="1" customWidth="1"/>
    <col min="13" max="13" width="15.28515625" style="758" customWidth="1"/>
    <col min="14" max="14" width="10.28515625" style="758" bestFit="1" customWidth="1"/>
    <col min="15" max="15" width="15.28515625" style="758" customWidth="1"/>
    <col min="16" max="16" width="10.28515625" style="758" bestFit="1" customWidth="1"/>
    <col min="17" max="17" width="15.28515625" style="758" customWidth="1"/>
    <col min="18" max="18" width="10.28515625" style="758" bestFit="1" customWidth="1"/>
    <col min="19" max="19" width="15.28515625" style="758" customWidth="1"/>
    <col min="20" max="20" width="10.28515625" style="758" bestFit="1" customWidth="1"/>
    <col min="21" max="21" width="16.85546875" style="758" customWidth="1"/>
    <col min="22" max="22" width="85.85546875" style="758" customWidth="1"/>
    <col min="23" max="16384" width="9.140625" style="758"/>
  </cols>
  <sheetData>
    <row r="2" spans="1:21" x14ac:dyDescent="0.2">
      <c r="A2" s="2852" t="s">
        <v>3505</v>
      </c>
      <c r="B2" s="2853"/>
      <c r="C2" s="2853"/>
      <c r="D2" s="2853"/>
      <c r="E2" s="2853"/>
      <c r="F2" s="2853"/>
      <c r="G2" s="2853"/>
      <c r="H2" s="2853"/>
      <c r="I2" s="2853"/>
      <c r="J2" s="2853"/>
      <c r="K2" s="2853"/>
      <c r="L2" s="2853"/>
      <c r="M2" s="2853"/>
      <c r="N2" s="2853"/>
      <c r="O2" s="2853"/>
      <c r="P2" s="2853"/>
      <c r="Q2" s="2853"/>
      <c r="R2" s="2853"/>
      <c r="S2" s="2853"/>
      <c r="T2" s="2853"/>
      <c r="U2" s="2853"/>
    </row>
    <row r="3" spans="1:21" ht="10.5" customHeight="1" x14ac:dyDescent="0.2">
      <c r="A3" s="3463"/>
      <c r="B3" s="3464"/>
      <c r="C3" s="3464"/>
      <c r="D3" s="3464"/>
      <c r="E3" s="3464"/>
      <c r="F3" s="3464"/>
      <c r="G3" s="3464"/>
      <c r="H3" s="3464"/>
      <c r="I3" s="3464"/>
      <c r="J3" s="3464"/>
      <c r="K3" s="3464"/>
      <c r="L3" s="3464"/>
      <c r="M3" s="3464"/>
      <c r="N3" s="3464"/>
      <c r="O3" s="3464"/>
      <c r="P3" s="3464"/>
      <c r="Q3" s="3464"/>
      <c r="R3" s="3464"/>
      <c r="S3" s="3464"/>
      <c r="T3" s="3464"/>
      <c r="U3" s="3464"/>
    </row>
    <row r="4" spans="1:21" ht="43.5" customHeight="1" x14ac:dyDescent="0.2">
      <c r="A4" s="3470" t="s">
        <v>3506</v>
      </c>
      <c r="B4" s="3465" t="s">
        <v>372</v>
      </c>
      <c r="C4" s="3468"/>
      <c r="D4" s="3465" t="s">
        <v>3507</v>
      </c>
      <c r="E4" s="3468"/>
      <c r="F4" s="3465" t="s">
        <v>3508</v>
      </c>
      <c r="G4" s="3468"/>
      <c r="H4" s="3465" t="s">
        <v>3509</v>
      </c>
      <c r="I4" s="3468"/>
      <c r="J4" s="3465" t="s">
        <v>3510</v>
      </c>
      <c r="K4" s="3468"/>
      <c r="L4" s="3465" t="s">
        <v>3511</v>
      </c>
      <c r="M4" s="3468"/>
      <c r="N4" s="3465" t="s">
        <v>3512</v>
      </c>
      <c r="O4" s="3468"/>
      <c r="P4" s="3465" t="s">
        <v>3491</v>
      </c>
      <c r="Q4" s="3468"/>
      <c r="R4" s="3465" t="s">
        <v>3513</v>
      </c>
      <c r="S4" s="3465"/>
      <c r="T4" s="3465" t="s">
        <v>3514</v>
      </c>
      <c r="U4" s="3468"/>
    </row>
    <row r="5" spans="1:21" ht="21" x14ac:dyDescent="0.2">
      <c r="A5" s="3471"/>
      <c r="B5" s="1677" t="s">
        <v>1628</v>
      </c>
      <c r="C5" s="1677" t="s">
        <v>1629</v>
      </c>
      <c r="D5" s="1677" t="s">
        <v>1628</v>
      </c>
      <c r="E5" s="1677" t="s">
        <v>1629</v>
      </c>
      <c r="F5" s="1677" t="s">
        <v>1628</v>
      </c>
      <c r="G5" s="1677" t="s">
        <v>1629</v>
      </c>
      <c r="H5" s="1677" t="s">
        <v>1628</v>
      </c>
      <c r="I5" s="1677" t="s">
        <v>1629</v>
      </c>
      <c r="J5" s="1677" t="s">
        <v>1628</v>
      </c>
      <c r="K5" s="1677" t="s">
        <v>1629</v>
      </c>
      <c r="L5" s="1677" t="s">
        <v>1628</v>
      </c>
      <c r="M5" s="1677" t="s">
        <v>1629</v>
      </c>
      <c r="N5" s="1677" t="s">
        <v>1628</v>
      </c>
      <c r="O5" s="1677" t="s">
        <v>1629</v>
      </c>
      <c r="P5" s="1677" t="s">
        <v>1628</v>
      </c>
      <c r="Q5" s="1677" t="s">
        <v>1629</v>
      </c>
      <c r="R5" s="1677" t="s">
        <v>1628</v>
      </c>
      <c r="S5" s="1685" t="s">
        <v>1629</v>
      </c>
      <c r="T5" s="1677" t="s">
        <v>1628</v>
      </c>
      <c r="U5" s="1677" t="s">
        <v>1629</v>
      </c>
    </row>
    <row r="6" spans="1:21" x14ac:dyDescent="0.2">
      <c r="A6" s="945" t="s">
        <v>141</v>
      </c>
      <c r="B6" s="934">
        <f>SUM(B7:B21)</f>
        <v>737</v>
      </c>
      <c r="C6" s="934">
        <f>SUM(C7:C21)</f>
        <v>5129201308</v>
      </c>
      <c r="D6" s="934">
        <f>SUM(D7:D21)</f>
        <v>127</v>
      </c>
      <c r="E6" s="934">
        <f t="shared" ref="E6:U6" si="0">SUM(E7:E21)</f>
        <v>840255146</v>
      </c>
      <c r="F6" s="934">
        <f t="shared" si="0"/>
        <v>39</v>
      </c>
      <c r="G6" s="934">
        <f t="shared" si="0"/>
        <v>353783853</v>
      </c>
      <c r="H6" s="934">
        <f t="shared" si="0"/>
        <v>133</v>
      </c>
      <c r="I6" s="934">
        <f t="shared" si="0"/>
        <v>1006938028</v>
      </c>
      <c r="J6" s="934">
        <f t="shared" si="0"/>
        <v>21</v>
      </c>
      <c r="K6" s="934">
        <f t="shared" si="0"/>
        <v>118857138</v>
      </c>
      <c r="L6" s="934">
        <f t="shared" si="0"/>
        <v>30</v>
      </c>
      <c r="M6" s="934">
        <f t="shared" si="0"/>
        <v>185808682</v>
      </c>
      <c r="N6" s="934">
        <f t="shared" si="0"/>
        <v>73</v>
      </c>
      <c r="O6" s="934">
        <f t="shared" si="0"/>
        <v>698082333</v>
      </c>
      <c r="P6" s="934">
        <f t="shared" si="0"/>
        <v>126</v>
      </c>
      <c r="Q6" s="934">
        <f t="shared" si="0"/>
        <v>244387279</v>
      </c>
      <c r="R6" s="934">
        <f t="shared" si="0"/>
        <v>31</v>
      </c>
      <c r="S6" s="934">
        <f t="shared" si="0"/>
        <v>170335196</v>
      </c>
      <c r="T6" s="934">
        <f t="shared" si="0"/>
        <v>157</v>
      </c>
      <c r="U6" s="934">
        <f t="shared" si="0"/>
        <v>1510753653</v>
      </c>
    </row>
    <row r="7" spans="1:21" x14ac:dyDescent="0.2">
      <c r="A7" s="938" t="s">
        <v>5</v>
      </c>
      <c r="B7" s="1686">
        <f>SUM(D7+F7+H7+J7+L7+N7+P7+R7+T7)</f>
        <v>38</v>
      </c>
      <c r="C7" s="1686">
        <f>SUM(E7+G7+I7+K7+M7+O7+Q7+S7+U7)</f>
        <v>200460975</v>
      </c>
      <c r="D7" s="928">
        <v>8</v>
      </c>
      <c r="E7" s="928">
        <v>30592519</v>
      </c>
      <c r="F7" s="928">
        <v>0</v>
      </c>
      <c r="G7" s="928">
        <v>0</v>
      </c>
      <c r="H7" s="928">
        <v>6</v>
      </c>
      <c r="I7" s="928">
        <v>42755699</v>
      </c>
      <c r="J7" s="928">
        <v>1</v>
      </c>
      <c r="K7" s="928">
        <v>3637280</v>
      </c>
      <c r="L7" s="928">
        <v>1</v>
      </c>
      <c r="M7" s="928">
        <v>6052600</v>
      </c>
      <c r="N7" s="928">
        <v>2</v>
      </c>
      <c r="O7" s="928">
        <v>19378386</v>
      </c>
      <c r="P7" s="928">
        <v>8</v>
      </c>
      <c r="Q7" s="928">
        <v>19061567</v>
      </c>
      <c r="R7" s="928">
        <v>3</v>
      </c>
      <c r="S7" s="928">
        <v>17370144</v>
      </c>
      <c r="T7" s="928">
        <v>9</v>
      </c>
      <c r="U7" s="928">
        <v>61612780</v>
      </c>
    </row>
    <row r="8" spans="1:21" x14ac:dyDescent="0.2">
      <c r="A8" s="938" t="s">
        <v>6</v>
      </c>
      <c r="B8" s="1686">
        <f t="shared" ref="B8:C21" si="1">SUM(D8+F8+H8+J8+L8+N8+P8+R8+T8)</f>
        <v>30</v>
      </c>
      <c r="C8" s="1686">
        <f t="shared" si="1"/>
        <v>167277183</v>
      </c>
      <c r="D8" s="928">
        <v>3</v>
      </c>
      <c r="E8" s="928">
        <v>10986026</v>
      </c>
      <c r="F8" s="928">
        <v>2</v>
      </c>
      <c r="G8" s="928">
        <v>12147195</v>
      </c>
      <c r="H8" s="928">
        <v>4</v>
      </c>
      <c r="I8" s="928">
        <v>35514736</v>
      </c>
      <c r="J8" s="928">
        <v>1</v>
      </c>
      <c r="K8" s="928">
        <v>15000000</v>
      </c>
      <c r="L8" s="928">
        <v>2</v>
      </c>
      <c r="M8" s="928">
        <v>12917560</v>
      </c>
      <c r="N8" s="928">
        <v>3</v>
      </c>
      <c r="O8" s="928">
        <v>28527004</v>
      </c>
      <c r="P8" s="928">
        <v>11</v>
      </c>
      <c r="Q8" s="928">
        <v>29059772</v>
      </c>
      <c r="R8" s="928">
        <v>0</v>
      </c>
      <c r="S8" s="928">
        <v>0</v>
      </c>
      <c r="T8" s="928">
        <v>4</v>
      </c>
      <c r="U8" s="928">
        <v>23124890</v>
      </c>
    </row>
    <row r="9" spans="1:21" x14ac:dyDescent="0.2">
      <c r="A9" s="938" t="s">
        <v>7</v>
      </c>
      <c r="B9" s="1686">
        <f t="shared" si="1"/>
        <v>28</v>
      </c>
      <c r="C9" s="1686">
        <f t="shared" si="1"/>
        <v>170972924</v>
      </c>
      <c r="D9" s="928">
        <v>2</v>
      </c>
      <c r="E9" s="928">
        <v>17400538</v>
      </c>
      <c r="F9" s="928">
        <v>0</v>
      </c>
      <c r="G9" s="928">
        <v>0</v>
      </c>
      <c r="H9" s="928">
        <v>7</v>
      </c>
      <c r="I9" s="928">
        <v>52910792</v>
      </c>
      <c r="J9" s="928">
        <v>1</v>
      </c>
      <c r="K9" s="928">
        <v>5000000</v>
      </c>
      <c r="L9" s="928">
        <v>1</v>
      </c>
      <c r="M9" s="928">
        <v>3178139</v>
      </c>
      <c r="N9" s="928">
        <v>1</v>
      </c>
      <c r="O9" s="928">
        <v>2242010</v>
      </c>
      <c r="P9" s="928">
        <v>4</v>
      </c>
      <c r="Q9" s="928">
        <v>3796023</v>
      </c>
      <c r="R9" s="928">
        <v>3</v>
      </c>
      <c r="S9" s="928">
        <v>17904536</v>
      </c>
      <c r="T9" s="928">
        <v>9</v>
      </c>
      <c r="U9" s="928">
        <v>68540886</v>
      </c>
    </row>
    <row r="10" spans="1:21" x14ac:dyDescent="0.2">
      <c r="A10" s="938" t="s">
        <v>8</v>
      </c>
      <c r="B10" s="1686">
        <f t="shared" si="1"/>
        <v>27</v>
      </c>
      <c r="C10" s="1686">
        <f t="shared" si="1"/>
        <v>134366158</v>
      </c>
      <c r="D10" s="928">
        <v>3</v>
      </c>
      <c r="E10" s="928">
        <v>17764795</v>
      </c>
      <c r="F10" s="928">
        <v>0</v>
      </c>
      <c r="G10" s="928">
        <v>0</v>
      </c>
      <c r="H10" s="928">
        <v>4</v>
      </c>
      <c r="I10" s="928">
        <v>23487948</v>
      </c>
      <c r="J10" s="928">
        <v>2</v>
      </c>
      <c r="K10" s="928">
        <v>10000000</v>
      </c>
      <c r="L10" s="928">
        <v>1</v>
      </c>
      <c r="M10" s="928">
        <v>6360460</v>
      </c>
      <c r="N10" s="928">
        <v>5</v>
      </c>
      <c r="O10" s="928">
        <v>41373444</v>
      </c>
      <c r="P10" s="928">
        <v>7</v>
      </c>
      <c r="Q10" s="928">
        <v>9500890</v>
      </c>
      <c r="R10" s="928">
        <v>2</v>
      </c>
      <c r="S10" s="928">
        <v>7834671</v>
      </c>
      <c r="T10" s="928">
        <v>3</v>
      </c>
      <c r="U10" s="928">
        <v>18043950</v>
      </c>
    </row>
    <row r="11" spans="1:21" x14ac:dyDescent="0.2">
      <c r="A11" s="938" t="s">
        <v>9</v>
      </c>
      <c r="B11" s="1686">
        <f t="shared" si="1"/>
        <v>39</v>
      </c>
      <c r="C11" s="1686">
        <f t="shared" si="1"/>
        <v>199025725</v>
      </c>
      <c r="D11" s="928">
        <v>6</v>
      </c>
      <c r="E11" s="928">
        <v>39256444</v>
      </c>
      <c r="F11" s="928">
        <v>3</v>
      </c>
      <c r="G11" s="928">
        <v>6365725</v>
      </c>
      <c r="H11" s="928">
        <v>8</v>
      </c>
      <c r="I11" s="928">
        <v>56263023</v>
      </c>
      <c r="J11" s="928">
        <v>0</v>
      </c>
      <c r="K11" s="928">
        <v>0</v>
      </c>
      <c r="L11" s="928">
        <v>0</v>
      </c>
      <c r="M11" s="928">
        <v>0</v>
      </c>
      <c r="N11" s="928">
        <v>3</v>
      </c>
      <c r="O11" s="928">
        <v>13862471</v>
      </c>
      <c r="P11" s="928">
        <v>10</v>
      </c>
      <c r="Q11" s="928">
        <v>19040553</v>
      </c>
      <c r="R11" s="928">
        <v>2</v>
      </c>
      <c r="S11" s="928">
        <v>9342854</v>
      </c>
      <c r="T11" s="928">
        <v>7</v>
      </c>
      <c r="U11" s="928">
        <v>54894655</v>
      </c>
    </row>
    <row r="12" spans="1:21" x14ac:dyDescent="0.2">
      <c r="A12" s="938" t="s">
        <v>10</v>
      </c>
      <c r="B12" s="1686">
        <f t="shared" si="1"/>
        <v>87</v>
      </c>
      <c r="C12" s="1686">
        <f t="shared" si="1"/>
        <v>656090265</v>
      </c>
      <c r="D12" s="928">
        <v>14</v>
      </c>
      <c r="E12" s="928">
        <v>90136769</v>
      </c>
      <c r="F12" s="928">
        <v>3</v>
      </c>
      <c r="G12" s="928">
        <v>28040861</v>
      </c>
      <c r="H12" s="928">
        <v>19</v>
      </c>
      <c r="I12" s="928">
        <v>155343069</v>
      </c>
      <c r="J12" s="928">
        <v>2</v>
      </c>
      <c r="K12" s="928">
        <v>9859488</v>
      </c>
      <c r="L12" s="928">
        <v>4</v>
      </c>
      <c r="M12" s="928">
        <v>28915103</v>
      </c>
      <c r="N12" s="928">
        <v>13</v>
      </c>
      <c r="O12" s="928">
        <v>137260335</v>
      </c>
      <c r="P12" s="928">
        <v>13</v>
      </c>
      <c r="Q12" s="928">
        <v>23066326</v>
      </c>
      <c r="R12" s="928">
        <v>0</v>
      </c>
      <c r="S12" s="928">
        <v>0</v>
      </c>
      <c r="T12" s="928">
        <v>19</v>
      </c>
      <c r="U12" s="928">
        <v>183468314</v>
      </c>
    </row>
    <row r="13" spans="1:21" x14ac:dyDescent="0.2">
      <c r="A13" s="938" t="s">
        <v>11</v>
      </c>
      <c r="B13" s="1686">
        <f t="shared" si="1"/>
        <v>151</v>
      </c>
      <c r="C13" s="1686">
        <f t="shared" si="1"/>
        <v>1379570929</v>
      </c>
      <c r="D13" s="928">
        <v>37</v>
      </c>
      <c r="E13" s="928">
        <v>284380246</v>
      </c>
      <c r="F13" s="928">
        <v>12</v>
      </c>
      <c r="G13" s="928">
        <v>134261211</v>
      </c>
      <c r="H13" s="928">
        <v>23</v>
      </c>
      <c r="I13" s="928">
        <v>199307116</v>
      </c>
      <c r="J13" s="928">
        <v>3</v>
      </c>
      <c r="K13" s="928">
        <v>14272611</v>
      </c>
      <c r="L13" s="928">
        <v>6</v>
      </c>
      <c r="M13" s="928">
        <v>42693410</v>
      </c>
      <c r="N13" s="928">
        <v>18</v>
      </c>
      <c r="O13" s="928">
        <v>211576082</v>
      </c>
      <c r="P13" s="928">
        <v>13</v>
      </c>
      <c r="Q13" s="928">
        <v>29292183</v>
      </c>
      <c r="R13" s="928">
        <v>5</v>
      </c>
      <c r="S13" s="928">
        <v>25999257</v>
      </c>
      <c r="T13" s="928">
        <v>34</v>
      </c>
      <c r="U13" s="928">
        <v>437788813</v>
      </c>
    </row>
    <row r="14" spans="1:21" x14ac:dyDescent="0.2">
      <c r="A14" s="938" t="s">
        <v>12</v>
      </c>
      <c r="B14" s="1686">
        <f t="shared" si="1"/>
        <v>34</v>
      </c>
      <c r="C14" s="1686">
        <f t="shared" si="1"/>
        <v>298647750</v>
      </c>
      <c r="D14" s="928">
        <v>5</v>
      </c>
      <c r="E14" s="928">
        <v>37993595</v>
      </c>
      <c r="F14" s="928">
        <v>4</v>
      </c>
      <c r="G14" s="928">
        <v>50041317</v>
      </c>
      <c r="H14" s="928">
        <v>7</v>
      </c>
      <c r="I14" s="928">
        <v>58392046</v>
      </c>
      <c r="J14" s="928">
        <v>0</v>
      </c>
      <c r="K14" s="928">
        <v>0</v>
      </c>
      <c r="L14" s="928">
        <v>1</v>
      </c>
      <c r="M14" s="928">
        <v>6711124</v>
      </c>
      <c r="N14" s="928">
        <v>2</v>
      </c>
      <c r="O14" s="928">
        <v>24973065</v>
      </c>
      <c r="P14" s="928">
        <v>3</v>
      </c>
      <c r="Q14" s="928">
        <v>6122679</v>
      </c>
      <c r="R14" s="928">
        <v>2</v>
      </c>
      <c r="S14" s="928">
        <v>14535318</v>
      </c>
      <c r="T14" s="928">
        <v>10</v>
      </c>
      <c r="U14" s="928">
        <v>99878606</v>
      </c>
    </row>
    <row r="15" spans="1:21" x14ac:dyDescent="0.2">
      <c r="A15" s="938" t="s">
        <v>13</v>
      </c>
      <c r="B15" s="1686">
        <f t="shared" si="1"/>
        <v>38</v>
      </c>
      <c r="C15" s="1686">
        <f t="shared" si="1"/>
        <v>208917654</v>
      </c>
      <c r="D15" s="928">
        <v>7</v>
      </c>
      <c r="E15" s="928">
        <v>33943014</v>
      </c>
      <c r="F15" s="928">
        <v>3</v>
      </c>
      <c r="G15" s="928">
        <v>15592637</v>
      </c>
      <c r="H15" s="928">
        <v>7</v>
      </c>
      <c r="I15" s="928">
        <v>47719411</v>
      </c>
      <c r="J15" s="928">
        <v>3</v>
      </c>
      <c r="K15" s="928">
        <v>14368892</v>
      </c>
      <c r="L15" s="928">
        <v>0</v>
      </c>
      <c r="M15" s="928">
        <v>0</v>
      </c>
      <c r="N15" s="928">
        <v>3</v>
      </c>
      <c r="O15" s="928">
        <v>14822060</v>
      </c>
      <c r="P15" s="928">
        <v>8</v>
      </c>
      <c r="Q15" s="928">
        <v>9696140</v>
      </c>
      <c r="R15" s="928">
        <v>2</v>
      </c>
      <c r="S15" s="928">
        <v>12186252</v>
      </c>
      <c r="T15" s="928">
        <v>5</v>
      </c>
      <c r="U15" s="928">
        <v>60589248</v>
      </c>
    </row>
    <row r="16" spans="1:21" x14ac:dyDescent="0.2">
      <c r="A16" s="938" t="s">
        <v>14</v>
      </c>
      <c r="B16" s="1686">
        <f t="shared" si="1"/>
        <v>78</v>
      </c>
      <c r="C16" s="1686">
        <f t="shared" si="1"/>
        <v>544133656</v>
      </c>
      <c r="D16" s="928">
        <v>11</v>
      </c>
      <c r="E16" s="928">
        <v>78221985</v>
      </c>
      <c r="F16" s="928">
        <v>5</v>
      </c>
      <c r="G16" s="928">
        <v>46588422</v>
      </c>
      <c r="H16" s="928">
        <v>11</v>
      </c>
      <c r="I16" s="928">
        <v>87180814</v>
      </c>
      <c r="J16" s="928">
        <v>4</v>
      </c>
      <c r="K16" s="928">
        <v>17678000</v>
      </c>
      <c r="L16" s="928">
        <v>2</v>
      </c>
      <c r="M16" s="928">
        <v>15920400</v>
      </c>
      <c r="N16" s="928">
        <v>8</v>
      </c>
      <c r="O16" s="928">
        <v>83626424</v>
      </c>
      <c r="P16" s="928">
        <v>18</v>
      </c>
      <c r="Q16" s="928">
        <v>34968704</v>
      </c>
      <c r="R16" s="928">
        <v>3</v>
      </c>
      <c r="S16" s="928">
        <v>17704495</v>
      </c>
      <c r="T16" s="928">
        <v>16</v>
      </c>
      <c r="U16" s="928">
        <v>162244412</v>
      </c>
    </row>
    <row r="17" spans="1:21" x14ac:dyDescent="0.2">
      <c r="A17" s="938" t="s">
        <v>15</v>
      </c>
      <c r="B17" s="1686">
        <f t="shared" si="1"/>
        <v>41</v>
      </c>
      <c r="C17" s="1686">
        <f t="shared" si="1"/>
        <v>323581485</v>
      </c>
      <c r="D17" s="928">
        <v>5</v>
      </c>
      <c r="E17" s="928">
        <v>29541504</v>
      </c>
      <c r="F17" s="928">
        <v>3</v>
      </c>
      <c r="G17" s="928">
        <v>34520098</v>
      </c>
      <c r="H17" s="928">
        <v>8</v>
      </c>
      <c r="I17" s="928">
        <v>59958460</v>
      </c>
      <c r="J17" s="928">
        <v>0</v>
      </c>
      <c r="K17" s="928">
        <v>0</v>
      </c>
      <c r="L17" s="928">
        <v>7</v>
      </c>
      <c r="M17" s="928">
        <v>43919862</v>
      </c>
      <c r="N17" s="928">
        <v>3</v>
      </c>
      <c r="O17" s="928">
        <v>32075050</v>
      </c>
      <c r="P17" s="928">
        <v>5</v>
      </c>
      <c r="Q17" s="928">
        <v>12268438</v>
      </c>
      <c r="R17" s="928">
        <v>0</v>
      </c>
      <c r="S17" s="928">
        <v>0</v>
      </c>
      <c r="T17" s="928">
        <v>10</v>
      </c>
      <c r="U17" s="928">
        <v>111298073</v>
      </c>
    </row>
    <row r="18" spans="1:21" x14ac:dyDescent="0.2">
      <c r="A18" s="938" t="s">
        <v>16</v>
      </c>
      <c r="B18" s="1686">
        <f t="shared" si="1"/>
        <v>28</v>
      </c>
      <c r="C18" s="1686">
        <f t="shared" si="1"/>
        <v>163102154</v>
      </c>
      <c r="D18" s="928">
        <v>4</v>
      </c>
      <c r="E18" s="928">
        <v>25417363</v>
      </c>
      <c r="F18" s="928">
        <v>0</v>
      </c>
      <c r="G18" s="928">
        <v>0</v>
      </c>
      <c r="H18" s="928">
        <v>7</v>
      </c>
      <c r="I18" s="928">
        <v>55404832</v>
      </c>
      <c r="J18" s="928">
        <v>2</v>
      </c>
      <c r="K18" s="928">
        <v>18131867</v>
      </c>
      <c r="L18" s="928">
        <v>1</v>
      </c>
      <c r="M18" s="928">
        <v>4786070</v>
      </c>
      <c r="N18" s="928">
        <v>6</v>
      </c>
      <c r="O18" s="928">
        <v>40755285</v>
      </c>
      <c r="P18" s="928">
        <v>4</v>
      </c>
      <c r="Q18" s="928">
        <v>4058858</v>
      </c>
      <c r="R18" s="928">
        <v>1</v>
      </c>
      <c r="S18" s="928">
        <v>2904150</v>
      </c>
      <c r="T18" s="928">
        <v>3</v>
      </c>
      <c r="U18" s="928">
        <v>11643729</v>
      </c>
    </row>
    <row r="19" spans="1:21" x14ac:dyDescent="0.2">
      <c r="A19" s="938" t="s">
        <v>17</v>
      </c>
      <c r="B19" s="1686">
        <f t="shared" si="1"/>
        <v>43</v>
      </c>
      <c r="C19" s="1686">
        <f t="shared" si="1"/>
        <v>252204747</v>
      </c>
      <c r="D19" s="928">
        <v>6</v>
      </c>
      <c r="E19" s="928">
        <v>32064760</v>
      </c>
      <c r="F19" s="928">
        <v>1</v>
      </c>
      <c r="G19" s="928">
        <v>6641240</v>
      </c>
      <c r="H19" s="928">
        <v>10</v>
      </c>
      <c r="I19" s="928">
        <v>64224119</v>
      </c>
      <c r="J19" s="928">
        <v>0</v>
      </c>
      <c r="K19" s="928">
        <v>0</v>
      </c>
      <c r="L19" s="928">
        <v>2</v>
      </c>
      <c r="M19" s="928">
        <v>6564500</v>
      </c>
      <c r="N19" s="928">
        <v>1</v>
      </c>
      <c r="O19" s="928">
        <v>8100000</v>
      </c>
      <c r="P19" s="928">
        <v>8</v>
      </c>
      <c r="Q19" s="928">
        <v>14564236</v>
      </c>
      <c r="R19" s="928">
        <v>3</v>
      </c>
      <c r="S19" s="928">
        <v>20605386</v>
      </c>
      <c r="T19" s="928">
        <v>12</v>
      </c>
      <c r="U19" s="928">
        <v>99440506</v>
      </c>
    </row>
    <row r="20" spans="1:21" x14ac:dyDescent="0.2">
      <c r="A20" s="938" t="s">
        <v>18</v>
      </c>
      <c r="B20" s="1686">
        <f t="shared" si="1"/>
        <v>39</v>
      </c>
      <c r="C20" s="1686">
        <f t="shared" si="1"/>
        <v>235639810</v>
      </c>
      <c r="D20" s="928">
        <v>6</v>
      </c>
      <c r="E20" s="928">
        <v>49337508</v>
      </c>
      <c r="F20" s="928">
        <v>1</v>
      </c>
      <c r="G20" s="928">
        <v>8301000</v>
      </c>
      <c r="H20" s="928">
        <v>7</v>
      </c>
      <c r="I20" s="928">
        <v>41303462</v>
      </c>
      <c r="J20" s="928">
        <v>0</v>
      </c>
      <c r="K20" s="928">
        <v>0</v>
      </c>
      <c r="L20" s="928">
        <v>1</v>
      </c>
      <c r="M20" s="928">
        <v>6200000</v>
      </c>
      <c r="N20" s="928">
        <v>4</v>
      </c>
      <c r="O20" s="928">
        <v>35462078</v>
      </c>
      <c r="P20" s="928">
        <v>8</v>
      </c>
      <c r="Q20" s="928">
        <v>10661116</v>
      </c>
      <c r="R20" s="928">
        <v>4</v>
      </c>
      <c r="S20" s="928">
        <v>21354133</v>
      </c>
      <c r="T20" s="928">
        <v>8</v>
      </c>
      <c r="U20" s="928">
        <v>63020513</v>
      </c>
    </row>
    <row r="21" spans="1:21" x14ac:dyDescent="0.2">
      <c r="A21" s="938" t="s">
        <v>19</v>
      </c>
      <c r="B21" s="1686">
        <f t="shared" si="1"/>
        <v>36</v>
      </c>
      <c r="C21" s="1686">
        <f t="shared" si="1"/>
        <v>195209893</v>
      </c>
      <c r="D21" s="928">
        <v>10</v>
      </c>
      <c r="E21" s="928">
        <v>63218080</v>
      </c>
      <c r="F21" s="928">
        <v>2</v>
      </c>
      <c r="G21" s="928">
        <v>11284147</v>
      </c>
      <c r="H21" s="928">
        <v>5</v>
      </c>
      <c r="I21" s="928">
        <v>27172501</v>
      </c>
      <c r="J21" s="928">
        <v>2</v>
      </c>
      <c r="K21" s="928">
        <v>10909000</v>
      </c>
      <c r="L21" s="928">
        <v>1</v>
      </c>
      <c r="M21" s="928">
        <v>1589454</v>
      </c>
      <c r="N21" s="928">
        <v>1</v>
      </c>
      <c r="O21" s="928">
        <v>4048639</v>
      </c>
      <c r="P21" s="928">
        <v>6</v>
      </c>
      <c r="Q21" s="928">
        <v>19229794</v>
      </c>
      <c r="R21" s="928">
        <v>1</v>
      </c>
      <c r="S21" s="928">
        <v>2594000</v>
      </c>
      <c r="T21" s="928">
        <v>8</v>
      </c>
      <c r="U21" s="928">
        <v>55164278</v>
      </c>
    </row>
    <row r="22" spans="1:21" s="1683" customFormat="1" x14ac:dyDescent="0.2">
      <c r="A22" s="2985"/>
      <c r="B22" s="3469"/>
      <c r="C22" s="3469"/>
      <c r="D22" s="3469"/>
      <c r="E22" s="3469"/>
      <c r="F22" s="3469"/>
      <c r="G22" s="3469"/>
      <c r="H22" s="3469"/>
      <c r="I22" s="3469"/>
      <c r="J22" s="3469"/>
      <c r="K22" s="3469"/>
      <c r="L22" s="3469"/>
      <c r="M22" s="3469"/>
      <c r="N22" s="3469"/>
      <c r="O22" s="3469"/>
      <c r="P22" s="3469"/>
      <c r="Q22" s="3469"/>
      <c r="R22" s="938"/>
      <c r="S22" s="938"/>
      <c r="T22" s="938"/>
      <c r="U22" s="938"/>
    </row>
    <row r="23" spans="1:21" s="1683" customFormat="1" x14ac:dyDescent="0.2">
      <c r="A23" s="2850" t="s">
        <v>3515</v>
      </c>
      <c r="B23" s="2851"/>
      <c r="C23" s="2851"/>
      <c r="D23" s="2851"/>
      <c r="E23" s="2851"/>
      <c r="F23" s="2851"/>
      <c r="G23" s="2851"/>
      <c r="H23" s="2851"/>
      <c r="I23" s="2851"/>
      <c r="J23" s="2851"/>
      <c r="K23" s="2851"/>
      <c r="L23" s="2851"/>
      <c r="M23" s="2851"/>
      <c r="N23" s="2851"/>
      <c r="O23" s="2851"/>
      <c r="P23" s="2851"/>
      <c r="Q23" s="2851"/>
      <c r="R23" s="945"/>
      <c r="S23" s="945"/>
      <c r="T23" s="945"/>
      <c r="U23" s="945"/>
    </row>
    <row r="24" spans="1:21" s="1683" customFormat="1" x14ac:dyDescent="0.2">
      <c r="A24" s="2850" t="s">
        <v>3516</v>
      </c>
      <c r="B24" s="2851"/>
      <c r="C24" s="2851"/>
      <c r="D24" s="2851"/>
      <c r="E24" s="2851"/>
      <c r="F24" s="2851"/>
      <c r="G24" s="2851"/>
      <c r="H24" s="2851"/>
      <c r="I24" s="2851"/>
      <c r="J24" s="2851"/>
      <c r="K24" s="2851"/>
      <c r="L24" s="2851"/>
      <c r="M24" s="2851"/>
      <c r="N24" s="2851"/>
      <c r="O24" s="2851"/>
      <c r="P24" s="2851"/>
      <c r="Q24" s="2851"/>
      <c r="R24" s="945"/>
      <c r="S24" s="945"/>
      <c r="T24" s="945"/>
      <c r="U24" s="945"/>
    </row>
    <row r="25" spans="1:21" s="1683" customFormat="1" x14ac:dyDescent="0.2">
      <c r="A25" s="3466" t="s">
        <v>3517</v>
      </c>
      <c r="B25" s="2851"/>
      <c r="C25" s="2851"/>
      <c r="D25" s="2851"/>
      <c r="E25" s="2851"/>
      <c r="F25" s="2851"/>
      <c r="G25" s="2851"/>
      <c r="H25" s="2851"/>
      <c r="I25" s="2851"/>
      <c r="J25" s="2851"/>
      <c r="K25" s="2851"/>
      <c r="L25" s="2851"/>
      <c r="M25" s="2851"/>
      <c r="N25" s="2851"/>
      <c r="O25" s="2851"/>
      <c r="P25" s="2851"/>
      <c r="Q25" s="2851"/>
      <c r="R25" s="945"/>
      <c r="S25" s="945"/>
      <c r="T25" s="945"/>
      <c r="U25" s="945"/>
    </row>
    <row r="26" spans="1:21" s="1683" customFormat="1" x14ac:dyDescent="0.2">
      <c r="A26" s="3472" t="s">
        <v>326</v>
      </c>
      <c r="B26" s="2851"/>
      <c r="C26" s="2851"/>
      <c r="D26" s="2851"/>
      <c r="E26" s="2851"/>
      <c r="F26" s="2851"/>
      <c r="G26" s="2851"/>
      <c r="H26" s="2851"/>
      <c r="I26" s="2851"/>
      <c r="J26" s="2851"/>
      <c r="K26" s="2851"/>
      <c r="L26" s="2851"/>
      <c r="M26" s="2851"/>
      <c r="N26" s="2851"/>
      <c r="O26" s="2851"/>
      <c r="P26" s="2851"/>
      <c r="Q26" s="2851"/>
      <c r="R26" s="945"/>
      <c r="S26" s="945"/>
      <c r="T26" s="945"/>
      <c r="U26" s="945"/>
    </row>
    <row r="27" spans="1:21" s="1683" customFormat="1" x14ac:dyDescent="0.2">
      <c r="A27" s="3466" t="s">
        <v>1634</v>
      </c>
      <c r="B27" s="2851"/>
      <c r="C27" s="2851"/>
      <c r="D27" s="2851"/>
      <c r="E27" s="2851"/>
      <c r="F27" s="2851"/>
      <c r="G27" s="2851"/>
      <c r="H27" s="2851"/>
      <c r="I27" s="2851"/>
      <c r="J27" s="2851"/>
      <c r="K27" s="2851"/>
      <c r="L27" s="2851"/>
      <c r="M27" s="2851"/>
      <c r="N27" s="2851"/>
      <c r="O27" s="2851"/>
      <c r="P27" s="2851"/>
      <c r="Q27" s="2851"/>
      <c r="R27" s="938"/>
      <c r="S27" s="938"/>
      <c r="T27" s="938"/>
      <c r="U27" s="938"/>
    </row>
    <row r="28" spans="1:21" s="1683" customFormat="1" x14ac:dyDescent="0.2"/>
  </sheetData>
  <mergeCells count="19">
    <mergeCell ref="A25:Q25"/>
    <mergeCell ref="A26:Q26"/>
    <mergeCell ref="A27:Q27"/>
    <mergeCell ref="P4:Q4"/>
    <mergeCell ref="R4:S4"/>
    <mergeCell ref="T4:U4"/>
    <mergeCell ref="A22:Q22"/>
    <mergeCell ref="A23:Q23"/>
    <mergeCell ref="A24:Q24"/>
    <mergeCell ref="A2:U2"/>
    <mergeCell ref="A3:U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F70"/>
  <sheetViews>
    <sheetView workbookViewId="0">
      <selection activeCell="A2" sqref="A2:F2"/>
    </sheetView>
  </sheetViews>
  <sheetFormatPr baseColWidth="10" defaultColWidth="11.42578125" defaultRowHeight="10.5" x14ac:dyDescent="0.15"/>
  <cols>
    <col min="1" max="1" width="50.85546875" style="1" customWidth="1"/>
    <col min="2" max="3" width="11.42578125" style="1"/>
    <col min="4" max="4" width="11.85546875" style="1" customWidth="1"/>
    <col min="5" max="5" width="11.42578125" style="28"/>
    <col min="6" max="16384" width="11.42578125" style="1"/>
  </cols>
  <sheetData>
    <row r="1" spans="1:6" s="12" customFormat="1" x14ac:dyDescent="0.15">
      <c r="A1" s="11"/>
      <c r="B1" s="11"/>
      <c r="C1" s="11"/>
      <c r="D1" s="11"/>
      <c r="E1" s="11"/>
      <c r="F1" s="11"/>
    </row>
    <row r="2" spans="1:6" s="12" customFormat="1" ht="22.5" customHeight="1" x14ac:dyDescent="0.15">
      <c r="A2" s="2308" t="s">
        <v>22</v>
      </c>
      <c r="B2" s="2308"/>
      <c r="C2" s="2308"/>
      <c r="D2" s="2308"/>
      <c r="E2" s="2308"/>
      <c r="F2" s="2308"/>
    </row>
    <row r="4" spans="1:6" x14ac:dyDescent="0.15">
      <c r="A4" s="2309" t="s">
        <v>4168</v>
      </c>
      <c r="B4" s="2310" t="s">
        <v>2</v>
      </c>
      <c r="C4" s="2310"/>
      <c r="D4" s="2310"/>
      <c r="E4" s="2310"/>
      <c r="F4" s="2310"/>
    </row>
    <row r="5" spans="1:6" x14ac:dyDescent="0.15">
      <c r="A5" s="2309"/>
      <c r="B5" s="13">
        <v>2011</v>
      </c>
      <c r="C5" s="13">
        <v>2012</v>
      </c>
      <c r="D5" s="13">
        <v>2013</v>
      </c>
      <c r="E5" s="13">
        <v>2014</v>
      </c>
      <c r="F5" s="13">
        <v>2015</v>
      </c>
    </row>
    <row r="6" spans="1:6" x14ac:dyDescent="0.15">
      <c r="A6" s="14" t="s">
        <v>4</v>
      </c>
      <c r="B6" s="15">
        <f>B7+B13+B19+B25+B31+B37+B43+B49+B55+B61</f>
        <v>57</v>
      </c>
      <c r="C6" s="15">
        <f>C7+C13+C19+C25+C31+C37+C43+C49+C55+C61</f>
        <v>74</v>
      </c>
      <c r="D6" s="15">
        <f>D7+D13+D19+D25+D31+D37+D43+D49+D55+D61</f>
        <v>75</v>
      </c>
      <c r="E6" s="15">
        <f>E7+E13+E19+E25+E31+E37+E43+E49+E55+E61</f>
        <v>124</v>
      </c>
      <c r="F6" s="15">
        <f>F7+F13+F19+F25+F31+F37+F43+F49+F55+F61</f>
        <v>81</v>
      </c>
    </row>
    <row r="7" spans="1:6" x14ac:dyDescent="0.15">
      <c r="A7" s="14" t="s">
        <v>23</v>
      </c>
      <c r="B7" s="15">
        <f>SUM(B8:B12)</f>
        <v>14</v>
      </c>
      <c r="C7" s="15">
        <f t="shared" ref="C7:F7" si="0">SUM(C8:C12)</f>
        <v>17</v>
      </c>
      <c r="D7" s="15">
        <f t="shared" si="0"/>
        <v>21</v>
      </c>
      <c r="E7" s="15">
        <f t="shared" si="0"/>
        <v>23</v>
      </c>
      <c r="F7" s="15">
        <f t="shared" si="0"/>
        <v>19</v>
      </c>
    </row>
    <row r="8" spans="1:6" x14ac:dyDescent="0.15">
      <c r="A8" s="16" t="s">
        <v>24</v>
      </c>
      <c r="B8" s="15">
        <v>0</v>
      </c>
      <c r="C8" s="15">
        <v>0</v>
      </c>
      <c r="D8" s="15">
        <v>0</v>
      </c>
      <c r="E8" s="15">
        <v>0</v>
      </c>
      <c r="F8" s="17">
        <v>1</v>
      </c>
    </row>
    <row r="9" spans="1:6" x14ac:dyDescent="0.15">
      <c r="A9" s="16" t="s">
        <v>25</v>
      </c>
      <c r="B9" s="18">
        <v>14</v>
      </c>
      <c r="C9" s="18">
        <v>14</v>
      </c>
      <c r="D9" s="18">
        <v>18</v>
      </c>
      <c r="E9" s="18">
        <v>18</v>
      </c>
      <c r="F9" s="18">
        <v>15</v>
      </c>
    </row>
    <row r="10" spans="1:6" s="12" customFormat="1" x14ac:dyDescent="0.15">
      <c r="A10" s="16" t="s">
        <v>26</v>
      </c>
      <c r="B10" s="15">
        <v>0</v>
      </c>
      <c r="C10" s="15">
        <v>0</v>
      </c>
      <c r="D10" s="19">
        <v>2</v>
      </c>
      <c r="E10" s="19">
        <v>4</v>
      </c>
      <c r="F10" s="17">
        <v>3</v>
      </c>
    </row>
    <row r="11" spans="1:6" s="12" customFormat="1" x14ac:dyDescent="0.15">
      <c r="A11" s="16" t="s">
        <v>27</v>
      </c>
      <c r="B11" s="15">
        <v>0</v>
      </c>
      <c r="C11" s="15">
        <v>0</v>
      </c>
      <c r="D11" s="15">
        <v>0</v>
      </c>
      <c r="E11" s="15">
        <v>0</v>
      </c>
      <c r="F11" s="15">
        <v>0</v>
      </c>
    </row>
    <row r="12" spans="1:6" s="12" customFormat="1" x14ac:dyDescent="0.15">
      <c r="A12" s="16" t="s">
        <v>28</v>
      </c>
      <c r="B12" s="15">
        <v>0</v>
      </c>
      <c r="C12" s="19">
        <v>3</v>
      </c>
      <c r="D12" s="19">
        <v>1</v>
      </c>
      <c r="E12" s="19">
        <v>1</v>
      </c>
      <c r="F12" s="15">
        <v>0</v>
      </c>
    </row>
    <row r="13" spans="1:6" x14ac:dyDescent="0.15">
      <c r="A13" s="14" t="s">
        <v>29</v>
      </c>
      <c r="B13" s="15">
        <f>SUM(B14:B18)</f>
        <v>4</v>
      </c>
      <c r="C13" s="15">
        <f t="shared" ref="C13:F13" si="1">SUM(C14:C18)</f>
        <v>3</v>
      </c>
      <c r="D13" s="15">
        <f t="shared" si="1"/>
        <v>6</v>
      </c>
      <c r="E13" s="15">
        <f t="shared" si="1"/>
        <v>7</v>
      </c>
      <c r="F13" s="15">
        <f t="shared" si="1"/>
        <v>7</v>
      </c>
    </row>
    <row r="14" spans="1:6" x14ac:dyDescent="0.15">
      <c r="A14" s="16" t="s">
        <v>24</v>
      </c>
      <c r="B14" s="15">
        <v>0</v>
      </c>
      <c r="C14" s="15">
        <v>0</v>
      </c>
      <c r="D14" s="15">
        <v>0</v>
      </c>
      <c r="E14" s="15">
        <v>0</v>
      </c>
      <c r="F14" s="15">
        <v>0</v>
      </c>
    </row>
    <row r="15" spans="1:6" x14ac:dyDescent="0.15">
      <c r="A15" s="16" t="s">
        <v>25</v>
      </c>
      <c r="B15" s="18">
        <v>4</v>
      </c>
      <c r="C15" s="18">
        <v>3</v>
      </c>
      <c r="D15" s="18">
        <v>6</v>
      </c>
      <c r="E15" s="18">
        <v>7</v>
      </c>
      <c r="F15" s="18">
        <v>7</v>
      </c>
    </row>
    <row r="16" spans="1:6" x14ac:dyDescent="0.15">
      <c r="A16" s="16" t="s">
        <v>26</v>
      </c>
      <c r="B16" s="15">
        <v>0</v>
      </c>
      <c r="C16" s="15">
        <v>0</v>
      </c>
      <c r="D16" s="15">
        <v>0</v>
      </c>
      <c r="E16" s="15">
        <v>0</v>
      </c>
      <c r="F16" s="15">
        <v>0</v>
      </c>
    </row>
    <row r="17" spans="1:6" x14ac:dyDescent="0.15">
      <c r="A17" s="16" t="s">
        <v>27</v>
      </c>
      <c r="B17" s="15">
        <v>0</v>
      </c>
      <c r="C17" s="15">
        <v>0</v>
      </c>
      <c r="D17" s="15">
        <v>0</v>
      </c>
      <c r="E17" s="15">
        <v>0</v>
      </c>
      <c r="F17" s="15">
        <v>0</v>
      </c>
    </row>
    <row r="18" spans="1:6" x14ac:dyDescent="0.15">
      <c r="A18" s="16" t="s">
        <v>28</v>
      </c>
      <c r="B18" s="15">
        <v>0</v>
      </c>
      <c r="C18" s="15">
        <v>0</v>
      </c>
      <c r="D18" s="15">
        <v>0</v>
      </c>
      <c r="E18" s="15">
        <v>0</v>
      </c>
      <c r="F18" s="15">
        <v>0</v>
      </c>
    </row>
    <row r="19" spans="1:6" ht="21" x14ac:dyDescent="0.15">
      <c r="A19" s="74" t="s">
        <v>30</v>
      </c>
      <c r="B19" s="15">
        <f>SUM(B20:B24)</f>
        <v>0</v>
      </c>
      <c r="C19" s="15">
        <f t="shared" ref="C19:F19" si="2">SUM(C20:C24)</f>
        <v>1</v>
      </c>
      <c r="D19" s="15">
        <f t="shared" si="2"/>
        <v>0</v>
      </c>
      <c r="E19" s="15">
        <f t="shared" si="2"/>
        <v>0</v>
      </c>
      <c r="F19" s="15">
        <f t="shared" si="2"/>
        <v>1</v>
      </c>
    </row>
    <row r="20" spans="1:6" x14ac:dyDescent="0.15">
      <c r="A20" s="16" t="s">
        <v>24</v>
      </c>
      <c r="B20" s="15">
        <v>0</v>
      </c>
      <c r="C20" s="15">
        <v>0</v>
      </c>
      <c r="D20" s="15">
        <v>0</v>
      </c>
      <c r="E20" s="15">
        <v>0</v>
      </c>
      <c r="F20" s="15">
        <v>0</v>
      </c>
    </row>
    <row r="21" spans="1:6" x14ac:dyDescent="0.15">
      <c r="A21" s="16" t="s">
        <v>25</v>
      </c>
      <c r="B21" s="15">
        <v>0</v>
      </c>
      <c r="C21" s="18">
        <v>1</v>
      </c>
      <c r="D21" s="15">
        <v>0</v>
      </c>
      <c r="E21" s="15">
        <v>0</v>
      </c>
      <c r="F21" s="15">
        <v>0</v>
      </c>
    </row>
    <row r="22" spans="1:6" x14ac:dyDescent="0.15">
      <c r="A22" s="16" t="s">
        <v>26</v>
      </c>
      <c r="B22" s="15">
        <v>0</v>
      </c>
      <c r="C22" s="15">
        <v>0</v>
      </c>
      <c r="D22" s="15">
        <v>0</v>
      </c>
      <c r="E22" s="15">
        <v>0</v>
      </c>
      <c r="F22" s="15">
        <v>0</v>
      </c>
    </row>
    <row r="23" spans="1:6" x14ac:dyDescent="0.15">
      <c r="A23" s="16" t="s">
        <v>27</v>
      </c>
      <c r="B23" s="15">
        <v>0</v>
      </c>
      <c r="C23" s="15">
        <v>0</v>
      </c>
      <c r="D23" s="15">
        <v>0</v>
      </c>
      <c r="E23" s="15">
        <v>0</v>
      </c>
      <c r="F23" s="15">
        <v>0</v>
      </c>
    </row>
    <row r="24" spans="1:6" x14ac:dyDescent="0.15">
      <c r="A24" s="16" t="s">
        <v>28</v>
      </c>
      <c r="B24" s="15">
        <v>0</v>
      </c>
      <c r="C24" s="15">
        <v>0</v>
      </c>
      <c r="D24" s="15">
        <v>0</v>
      </c>
      <c r="E24" s="15">
        <v>0</v>
      </c>
      <c r="F24" s="17">
        <v>1</v>
      </c>
    </row>
    <row r="25" spans="1:6" x14ac:dyDescent="0.15">
      <c r="A25" s="14" t="s">
        <v>31</v>
      </c>
      <c r="B25" s="15">
        <f>SUM(B26:B30)</f>
        <v>0</v>
      </c>
      <c r="C25" s="15">
        <f t="shared" ref="C25:F25" si="3">SUM(C26:C30)</f>
        <v>3</v>
      </c>
      <c r="D25" s="15">
        <f t="shared" si="3"/>
        <v>2</v>
      </c>
      <c r="E25" s="15">
        <f t="shared" si="3"/>
        <v>4</v>
      </c>
      <c r="F25" s="15">
        <f t="shared" si="3"/>
        <v>0</v>
      </c>
    </row>
    <row r="26" spans="1:6" x14ac:dyDescent="0.15">
      <c r="A26" s="16" t="s">
        <v>24</v>
      </c>
      <c r="B26" s="15">
        <v>0</v>
      </c>
      <c r="C26" s="15">
        <v>0</v>
      </c>
      <c r="D26" s="15">
        <v>0</v>
      </c>
      <c r="E26" s="15">
        <v>0</v>
      </c>
      <c r="F26" s="15">
        <v>0</v>
      </c>
    </row>
    <row r="27" spans="1:6" x14ac:dyDescent="0.15">
      <c r="A27" s="16" t="s">
        <v>25</v>
      </c>
      <c r="B27" s="15">
        <v>0</v>
      </c>
      <c r="C27" s="15">
        <v>0</v>
      </c>
      <c r="D27" s="18">
        <v>1</v>
      </c>
      <c r="E27" s="18">
        <v>2</v>
      </c>
      <c r="F27" s="20"/>
    </row>
    <row r="28" spans="1:6" x14ac:dyDescent="0.15">
      <c r="A28" s="16" t="s">
        <v>26</v>
      </c>
      <c r="B28" s="15">
        <v>0</v>
      </c>
      <c r="C28" s="15">
        <v>0</v>
      </c>
      <c r="D28" s="15">
        <v>0</v>
      </c>
      <c r="E28" s="15">
        <v>0</v>
      </c>
      <c r="F28" s="15">
        <v>0</v>
      </c>
    </row>
    <row r="29" spans="1:6" x14ac:dyDescent="0.15">
      <c r="A29" s="16" t="s">
        <v>27</v>
      </c>
      <c r="B29" s="15">
        <v>0</v>
      </c>
      <c r="C29" s="15">
        <v>0</v>
      </c>
      <c r="D29" s="15">
        <v>0</v>
      </c>
      <c r="E29" s="15">
        <v>0</v>
      </c>
      <c r="F29" s="15">
        <v>0</v>
      </c>
    </row>
    <row r="30" spans="1:6" x14ac:dyDescent="0.15">
      <c r="A30" s="16" t="s">
        <v>28</v>
      </c>
      <c r="B30" s="15">
        <v>0</v>
      </c>
      <c r="C30" s="18">
        <v>3</v>
      </c>
      <c r="D30" s="18">
        <v>1</v>
      </c>
      <c r="E30" s="18">
        <v>2</v>
      </c>
      <c r="F30" s="15">
        <v>0</v>
      </c>
    </row>
    <row r="31" spans="1:6" ht="11.25" x14ac:dyDescent="0.15">
      <c r="A31" s="21" t="s">
        <v>32</v>
      </c>
      <c r="B31" s="22">
        <f>SUM(B32:B36)</f>
        <v>7</v>
      </c>
      <c r="C31" s="22">
        <f t="shared" ref="C31:F31" si="4">SUM(C32:C36)</f>
        <v>11</v>
      </c>
      <c r="D31" s="22">
        <f t="shared" si="4"/>
        <v>5</v>
      </c>
      <c r="E31" s="22">
        <f t="shared" si="4"/>
        <v>9</v>
      </c>
      <c r="F31" s="22">
        <f t="shared" si="4"/>
        <v>2</v>
      </c>
    </row>
    <row r="32" spans="1:6" x14ac:dyDescent="0.15">
      <c r="A32" s="16" t="s">
        <v>24</v>
      </c>
      <c r="B32" s="23">
        <v>2</v>
      </c>
      <c r="C32" s="23">
        <v>1</v>
      </c>
      <c r="D32" s="23">
        <v>2</v>
      </c>
      <c r="E32" s="23">
        <v>4</v>
      </c>
      <c r="F32" s="23">
        <v>1</v>
      </c>
    </row>
    <row r="33" spans="1:6" x14ac:dyDescent="0.15">
      <c r="A33" s="16" t="s">
        <v>25</v>
      </c>
      <c r="B33" s="15">
        <v>0</v>
      </c>
      <c r="C33" s="15">
        <v>0</v>
      </c>
      <c r="D33" s="15">
        <v>0</v>
      </c>
      <c r="E33" s="15">
        <v>0</v>
      </c>
      <c r="F33" s="15">
        <v>0</v>
      </c>
    </row>
    <row r="34" spans="1:6" x14ac:dyDescent="0.15">
      <c r="A34" s="16" t="s">
        <v>26</v>
      </c>
      <c r="B34" s="23">
        <v>5</v>
      </c>
      <c r="C34" s="23">
        <v>10</v>
      </c>
      <c r="D34" s="23">
        <v>3</v>
      </c>
      <c r="E34" s="23">
        <v>5</v>
      </c>
      <c r="F34" s="20">
        <v>1</v>
      </c>
    </row>
    <row r="35" spans="1:6" x14ac:dyDescent="0.15">
      <c r="A35" s="16" t="s">
        <v>27</v>
      </c>
      <c r="B35" s="15">
        <v>0</v>
      </c>
      <c r="C35" s="15">
        <v>0</v>
      </c>
      <c r="D35" s="15">
        <v>0</v>
      </c>
      <c r="E35" s="15">
        <v>0</v>
      </c>
      <c r="F35" s="15">
        <v>0</v>
      </c>
    </row>
    <row r="36" spans="1:6" x14ac:dyDescent="0.15">
      <c r="A36" s="16" t="s">
        <v>28</v>
      </c>
      <c r="B36" s="15">
        <v>0</v>
      </c>
      <c r="C36" s="15">
        <v>0</v>
      </c>
      <c r="D36" s="15">
        <v>0</v>
      </c>
      <c r="E36" s="15">
        <v>0</v>
      </c>
      <c r="F36" s="15">
        <v>0</v>
      </c>
    </row>
    <row r="37" spans="1:6" x14ac:dyDescent="0.15">
      <c r="A37" s="14" t="s">
        <v>33</v>
      </c>
      <c r="B37" s="15">
        <f>SUM(B38:B42)</f>
        <v>7</v>
      </c>
      <c r="C37" s="15">
        <f>SUM(C38:C42)</f>
        <v>12</v>
      </c>
      <c r="D37" s="15">
        <f>SUM(D38:D42)</f>
        <v>15</v>
      </c>
      <c r="E37" s="15">
        <f>SUM(E38:E42)</f>
        <v>17</v>
      </c>
      <c r="F37" s="15">
        <f>SUM(F38:F42)</f>
        <v>25</v>
      </c>
    </row>
    <row r="38" spans="1:6" s="25" customFormat="1" ht="10.5" customHeight="1" x14ac:dyDescent="0.15">
      <c r="A38" s="24" t="s">
        <v>24</v>
      </c>
      <c r="B38" s="15">
        <v>0</v>
      </c>
      <c r="C38" s="25">
        <v>1</v>
      </c>
      <c r="D38" s="25">
        <v>6</v>
      </c>
      <c r="E38" s="25">
        <v>8</v>
      </c>
      <c r="F38" s="25">
        <v>18</v>
      </c>
    </row>
    <row r="39" spans="1:6" s="25" customFormat="1" ht="10.5" customHeight="1" x14ac:dyDescent="0.15">
      <c r="A39" s="16" t="s">
        <v>25</v>
      </c>
      <c r="B39" s="25">
        <v>7</v>
      </c>
      <c r="C39" s="25">
        <v>11</v>
      </c>
      <c r="D39" s="25">
        <v>9</v>
      </c>
      <c r="E39" s="25">
        <v>9</v>
      </c>
      <c r="F39" s="25">
        <v>7</v>
      </c>
    </row>
    <row r="40" spans="1:6" s="25" customFormat="1" ht="10.5" customHeight="1" x14ac:dyDescent="0.15">
      <c r="A40" s="24" t="s">
        <v>26</v>
      </c>
      <c r="B40" s="15">
        <v>0</v>
      </c>
      <c r="C40" s="15">
        <v>0</v>
      </c>
      <c r="D40" s="15">
        <v>0</v>
      </c>
      <c r="E40" s="15">
        <v>0</v>
      </c>
      <c r="F40" s="15">
        <v>0</v>
      </c>
    </row>
    <row r="41" spans="1:6" s="25" customFormat="1" ht="10.5" customHeight="1" x14ac:dyDescent="0.15">
      <c r="A41" s="24" t="s">
        <v>27</v>
      </c>
      <c r="B41" s="15">
        <v>0</v>
      </c>
      <c r="C41" s="15">
        <v>0</v>
      </c>
      <c r="D41" s="15">
        <v>0</v>
      </c>
      <c r="E41" s="15">
        <v>0</v>
      </c>
      <c r="F41" s="15">
        <v>0</v>
      </c>
    </row>
    <row r="42" spans="1:6" s="25" customFormat="1" ht="10.5" customHeight="1" x14ac:dyDescent="0.15">
      <c r="A42" s="24" t="s">
        <v>28</v>
      </c>
      <c r="B42" s="15">
        <v>0</v>
      </c>
      <c r="C42" s="15">
        <v>0</v>
      </c>
      <c r="D42" s="15">
        <v>0</v>
      </c>
      <c r="E42" s="15">
        <v>0</v>
      </c>
      <c r="F42" s="15">
        <v>0</v>
      </c>
    </row>
    <row r="43" spans="1:6" x14ac:dyDescent="0.15">
      <c r="A43" s="14" t="s">
        <v>34</v>
      </c>
      <c r="B43" s="15">
        <f t="shared" ref="B43:F43" si="5">SUM(B44:B48)</f>
        <v>2</v>
      </c>
      <c r="C43" s="15">
        <f t="shared" si="5"/>
        <v>3</v>
      </c>
      <c r="D43" s="15">
        <f t="shared" si="5"/>
        <v>3</v>
      </c>
      <c r="E43" s="15">
        <f t="shared" si="5"/>
        <v>2</v>
      </c>
      <c r="F43" s="15">
        <f t="shared" si="5"/>
        <v>5</v>
      </c>
    </row>
    <row r="44" spans="1:6" x14ac:dyDescent="0.15">
      <c r="A44" s="24" t="s">
        <v>24</v>
      </c>
      <c r="B44" s="15">
        <v>0</v>
      </c>
      <c r="C44" s="15">
        <v>0</v>
      </c>
      <c r="D44" s="15">
        <v>0</v>
      </c>
      <c r="E44" s="15">
        <v>0</v>
      </c>
      <c r="F44" s="15">
        <v>0</v>
      </c>
    </row>
    <row r="45" spans="1:6" x14ac:dyDescent="0.15">
      <c r="A45" s="16" t="s">
        <v>25</v>
      </c>
      <c r="B45" s="18">
        <v>1</v>
      </c>
      <c r="C45" s="18">
        <v>2</v>
      </c>
      <c r="D45" s="18">
        <v>1</v>
      </c>
      <c r="E45" s="18">
        <v>1</v>
      </c>
      <c r="F45" s="20">
        <v>4</v>
      </c>
    </row>
    <row r="46" spans="1:6" x14ac:dyDescent="0.15">
      <c r="A46" s="24" t="s">
        <v>26</v>
      </c>
      <c r="B46" s="18">
        <v>1</v>
      </c>
      <c r="C46" s="18">
        <v>1</v>
      </c>
      <c r="D46" s="18">
        <v>1</v>
      </c>
      <c r="E46" s="18">
        <v>1</v>
      </c>
      <c r="F46" s="20">
        <v>1</v>
      </c>
    </row>
    <row r="47" spans="1:6" x14ac:dyDescent="0.15">
      <c r="A47" s="24" t="s">
        <v>27</v>
      </c>
      <c r="B47" s="15">
        <v>0</v>
      </c>
      <c r="C47" s="15">
        <v>0</v>
      </c>
      <c r="D47" s="15">
        <v>0</v>
      </c>
      <c r="E47" s="15">
        <v>0</v>
      </c>
      <c r="F47" s="15">
        <v>0</v>
      </c>
    </row>
    <row r="48" spans="1:6" x14ac:dyDescent="0.15">
      <c r="A48" s="24" t="s">
        <v>28</v>
      </c>
      <c r="B48" s="15">
        <v>0</v>
      </c>
      <c r="C48" s="15">
        <v>0</v>
      </c>
      <c r="D48" s="18">
        <v>1</v>
      </c>
      <c r="E48" s="15">
        <v>0</v>
      </c>
      <c r="F48" s="15">
        <v>0</v>
      </c>
    </row>
    <row r="49" spans="1:6" x14ac:dyDescent="0.15">
      <c r="A49" s="14" t="s">
        <v>35</v>
      </c>
      <c r="B49" s="15">
        <f>SUM(B50:B54)</f>
        <v>7</v>
      </c>
      <c r="C49" s="15">
        <f t="shared" ref="C49:F49" si="6">SUM(C50:C54)</f>
        <v>8</v>
      </c>
      <c r="D49" s="15">
        <f t="shared" si="6"/>
        <v>7</v>
      </c>
      <c r="E49" s="15">
        <f t="shared" si="6"/>
        <v>49</v>
      </c>
      <c r="F49" s="15">
        <f t="shared" si="6"/>
        <v>14</v>
      </c>
    </row>
    <row r="50" spans="1:6" x14ac:dyDescent="0.15">
      <c r="A50" s="24" t="s">
        <v>24</v>
      </c>
      <c r="B50" s="15">
        <v>0</v>
      </c>
      <c r="C50" s="18">
        <v>1</v>
      </c>
      <c r="D50" s="18">
        <v>1</v>
      </c>
      <c r="E50" s="18">
        <v>3</v>
      </c>
      <c r="F50" s="18">
        <v>3</v>
      </c>
    </row>
    <row r="51" spans="1:6" x14ac:dyDescent="0.15">
      <c r="A51" s="16" t="s">
        <v>25</v>
      </c>
      <c r="B51" s="18">
        <v>1</v>
      </c>
      <c r="C51" s="18">
        <v>1</v>
      </c>
      <c r="D51" s="18">
        <v>1</v>
      </c>
      <c r="E51" s="18">
        <v>6</v>
      </c>
      <c r="F51" s="20">
        <v>3</v>
      </c>
    </row>
    <row r="52" spans="1:6" x14ac:dyDescent="0.15">
      <c r="A52" s="24" t="s">
        <v>26</v>
      </c>
      <c r="B52" s="18">
        <v>6</v>
      </c>
      <c r="C52" s="18">
        <v>5</v>
      </c>
      <c r="D52" s="18">
        <v>5</v>
      </c>
      <c r="E52" s="18">
        <v>7</v>
      </c>
      <c r="F52" s="20">
        <v>7</v>
      </c>
    </row>
    <row r="53" spans="1:6" x14ac:dyDescent="0.15">
      <c r="A53" s="24" t="s">
        <v>27</v>
      </c>
      <c r="B53" s="15">
        <v>0</v>
      </c>
      <c r="C53" s="18">
        <v>1</v>
      </c>
      <c r="D53" s="15">
        <v>0</v>
      </c>
      <c r="E53" s="18">
        <v>33</v>
      </c>
      <c r="F53" s="20">
        <v>1</v>
      </c>
    </row>
    <row r="54" spans="1:6" x14ac:dyDescent="0.15">
      <c r="A54" s="24" t="s">
        <v>28</v>
      </c>
      <c r="B54" s="15">
        <v>0</v>
      </c>
      <c r="C54" s="15">
        <v>0</v>
      </c>
      <c r="D54" s="15">
        <v>0</v>
      </c>
      <c r="E54" s="15">
        <v>0</v>
      </c>
      <c r="F54" s="15">
        <v>0</v>
      </c>
    </row>
    <row r="55" spans="1:6" x14ac:dyDescent="0.15">
      <c r="A55" s="14" t="s">
        <v>36</v>
      </c>
      <c r="B55" s="15">
        <f>SUM(B56:B60)</f>
        <v>15</v>
      </c>
      <c r="C55" s="15">
        <f t="shared" ref="C55:F55" si="7">SUM(C56:C60)</f>
        <v>15</v>
      </c>
      <c r="D55" s="15">
        <f t="shared" si="7"/>
        <v>15</v>
      </c>
      <c r="E55" s="15">
        <f t="shared" si="7"/>
        <v>12</v>
      </c>
      <c r="F55" s="15">
        <f t="shared" si="7"/>
        <v>7</v>
      </c>
    </row>
    <row r="56" spans="1:6" x14ac:dyDescent="0.15">
      <c r="A56" s="24" t="s">
        <v>24</v>
      </c>
      <c r="B56" s="15">
        <v>0</v>
      </c>
      <c r="C56" s="15">
        <v>0</v>
      </c>
      <c r="D56" s="15">
        <v>0</v>
      </c>
      <c r="E56" s="15">
        <v>0</v>
      </c>
      <c r="F56" s="15">
        <v>0</v>
      </c>
    </row>
    <row r="57" spans="1:6" x14ac:dyDescent="0.15">
      <c r="A57" s="16" t="s">
        <v>25</v>
      </c>
      <c r="B57" s="15">
        <v>0</v>
      </c>
      <c r="C57" s="15">
        <v>0</v>
      </c>
      <c r="D57" s="15">
        <v>0</v>
      </c>
      <c r="E57" s="15">
        <v>0</v>
      </c>
      <c r="F57" s="15">
        <v>0</v>
      </c>
    </row>
    <row r="58" spans="1:6" x14ac:dyDescent="0.15">
      <c r="A58" s="24" t="s">
        <v>26</v>
      </c>
      <c r="B58" s="18">
        <v>15</v>
      </c>
      <c r="C58" s="18">
        <v>15</v>
      </c>
      <c r="D58" s="18">
        <v>15</v>
      </c>
      <c r="E58" s="18">
        <v>12</v>
      </c>
      <c r="F58" s="18">
        <v>7</v>
      </c>
    </row>
    <row r="59" spans="1:6" x14ac:dyDescent="0.15">
      <c r="A59" s="24" t="s">
        <v>27</v>
      </c>
      <c r="B59" s="15">
        <v>0</v>
      </c>
      <c r="C59" s="15">
        <v>0</v>
      </c>
      <c r="D59" s="15">
        <v>0</v>
      </c>
      <c r="E59" s="15">
        <v>0</v>
      </c>
      <c r="F59" s="15">
        <v>0</v>
      </c>
    </row>
    <row r="60" spans="1:6" x14ac:dyDescent="0.15">
      <c r="A60" s="24" t="s">
        <v>28</v>
      </c>
      <c r="B60" s="15">
        <v>0</v>
      </c>
      <c r="C60" s="15">
        <v>0</v>
      </c>
      <c r="D60" s="15">
        <v>0</v>
      </c>
      <c r="E60" s="15">
        <v>0</v>
      </c>
      <c r="F60" s="15">
        <v>0</v>
      </c>
    </row>
    <row r="61" spans="1:6" x14ac:dyDescent="0.15">
      <c r="A61" s="14" t="s">
        <v>37</v>
      </c>
      <c r="B61" s="15">
        <f>SUM(B62:B66)</f>
        <v>1</v>
      </c>
      <c r="C61" s="15">
        <f t="shared" ref="C61:F61" si="8">SUM(C62:C66)</f>
        <v>1</v>
      </c>
      <c r="D61" s="15">
        <f t="shared" si="8"/>
        <v>1</v>
      </c>
      <c r="E61" s="15">
        <f t="shared" si="8"/>
        <v>1</v>
      </c>
      <c r="F61" s="15">
        <f t="shared" si="8"/>
        <v>1</v>
      </c>
    </row>
    <row r="62" spans="1:6" x14ac:dyDescent="0.15">
      <c r="A62" s="24" t="s">
        <v>24</v>
      </c>
      <c r="B62" s="15">
        <v>0</v>
      </c>
      <c r="C62" s="15">
        <v>0</v>
      </c>
      <c r="D62" s="15">
        <v>0</v>
      </c>
      <c r="E62" s="15">
        <v>0</v>
      </c>
      <c r="F62" s="15">
        <v>0</v>
      </c>
    </row>
    <row r="63" spans="1:6" x14ac:dyDescent="0.15">
      <c r="A63" s="16" t="s">
        <v>25</v>
      </c>
      <c r="B63" s="18">
        <v>1</v>
      </c>
      <c r="C63" s="18">
        <v>1</v>
      </c>
      <c r="D63" s="18">
        <v>1</v>
      </c>
      <c r="E63" s="18">
        <v>1</v>
      </c>
      <c r="F63" s="18">
        <v>1</v>
      </c>
    </row>
    <row r="64" spans="1:6" x14ac:dyDescent="0.15">
      <c r="A64" s="24" t="s">
        <v>26</v>
      </c>
      <c r="B64" s="15">
        <v>0</v>
      </c>
      <c r="C64" s="15">
        <v>0</v>
      </c>
      <c r="D64" s="15">
        <v>0</v>
      </c>
      <c r="E64" s="15">
        <v>0</v>
      </c>
      <c r="F64" s="15">
        <v>0</v>
      </c>
    </row>
    <row r="65" spans="1:6" x14ac:dyDescent="0.15">
      <c r="A65" s="24" t="s">
        <v>27</v>
      </c>
      <c r="B65" s="15">
        <v>0</v>
      </c>
      <c r="C65" s="15">
        <v>0</v>
      </c>
      <c r="D65" s="15">
        <v>0</v>
      </c>
      <c r="E65" s="15">
        <v>0</v>
      </c>
      <c r="F65" s="15">
        <v>0</v>
      </c>
    </row>
    <row r="66" spans="1:6" x14ac:dyDescent="0.15">
      <c r="A66" s="24" t="s">
        <v>28</v>
      </c>
      <c r="B66" s="15">
        <v>0</v>
      </c>
      <c r="C66" s="15">
        <v>0</v>
      </c>
      <c r="D66" s="15">
        <v>0</v>
      </c>
      <c r="E66" s="15">
        <v>0</v>
      </c>
      <c r="F66" s="15">
        <v>0</v>
      </c>
    </row>
    <row r="67" spans="1:6" x14ac:dyDescent="0.15">
      <c r="A67" s="16"/>
      <c r="B67" s="16"/>
      <c r="C67" s="16"/>
      <c r="D67" s="16"/>
      <c r="E67" s="16"/>
    </row>
    <row r="68" spans="1:6" x14ac:dyDescent="0.15">
      <c r="A68" s="1987" t="s">
        <v>4169</v>
      </c>
      <c r="B68" s="1977"/>
      <c r="C68" s="1977"/>
      <c r="D68" s="1977"/>
      <c r="E68" s="1977"/>
      <c r="F68" s="1977"/>
    </row>
    <row r="69" spans="1:6" x14ac:dyDescent="0.15">
      <c r="A69" s="26" t="s">
        <v>20</v>
      </c>
      <c r="B69" s="26"/>
      <c r="C69" s="26"/>
      <c r="D69" s="26"/>
      <c r="E69" s="26"/>
      <c r="F69" s="27"/>
    </row>
    <row r="70" spans="1:6" x14ac:dyDescent="0.15">
      <c r="A70" s="2311" t="s">
        <v>21</v>
      </c>
      <c r="B70" s="2311"/>
      <c r="C70" s="2311"/>
      <c r="D70" s="2311"/>
      <c r="E70" s="26"/>
      <c r="F70" s="27"/>
    </row>
  </sheetData>
  <mergeCells count="4">
    <mergeCell ref="A2:F2"/>
    <mergeCell ref="A4:A5"/>
    <mergeCell ref="B4:F4"/>
    <mergeCell ref="A70:D70"/>
  </mergeCells>
  <pageMargins left="0" right="0" top="0.74803149606299213" bottom="0.74803149606299213" header="0.31496062992125984" footer="0.31496062992125984"/>
  <pageSetup paperSize="9" scale="90"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E64"/>
  <sheetViews>
    <sheetView zoomScale="90" zoomScaleNormal="90" workbookViewId="0">
      <selection activeCell="A2" sqref="A2:D2"/>
    </sheetView>
  </sheetViews>
  <sheetFormatPr baseColWidth="10" defaultColWidth="9.140625" defaultRowHeight="10.5" x14ac:dyDescent="0.15"/>
  <cols>
    <col min="1" max="1" width="26.42578125" style="97" customWidth="1"/>
    <col min="2" max="2" width="38.5703125" style="97" customWidth="1"/>
    <col min="3" max="3" width="20.85546875" style="157" customWidth="1"/>
    <col min="4" max="4" width="20.5703125" style="157" customWidth="1"/>
    <col min="5" max="13" width="8.85546875" style="97" customWidth="1"/>
    <col min="14" max="16384" width="9.140625" style="97"/>
  </cols>
  <sheetData>
    <row r="2" spans="1:5" ht="23.25" customHeight="1" x14ac:dyDescent="0.15">
      <c r="A2" s="2416" t="s">
        <v>4341</v>
      </c>
      <c r="B2" s="2416"/>
      <c r="C2" s="2416"/>
      <c r="D2" s="2416"/>
      <c r="E2" s="146"/>
    </row>
    <row r="4" spans="1:5" x14ac:dyDescent="0.15">
      <c r="A4" s="2423" t="s">
        <v>341</v>
      </c>
      <c r="B4" s="2423"/>
      <c r="C4" s="147">
        <v>2014</v>
      </c>
      <c r="D4" s="148">
        <v>2015</v>
      </c>
    </row>
    <row r="5" spans="1:5" ht="21.75" x14ac:dyDescent="0.15">
      <c r="A5" s="2423"/>
      <c r="B5" s="2423"/>
      <c r="C5" s="1988" t="s">
        <v>4170</v>
      </c>
      <c r="D5" s="1988" t="s">
        <v>4171</v>
      </c>
    </row>
    <row r="6" spans="1:5" x14ac:dyDescent="0.15">
      <c r="A6" s="2424" t="s">
        <v>141</v>
      </c>
      <c r="B6" s="149" t="s">
        <v>342</v>
      </c>
      <c r="C6" s="150">
        <f>SUM(C8,C10,C12,C14,C16,C18,C20,C22,C24,C26,C28,C30,C32,C34,C36)</f>
        <v>32</v>
      </c>
      <c r="D6" s="150">
        <f>SUM(D8,D10,D12,D14,D16,D18,D20,D22,D24,D26,D28,D30,D32,D34,D36)</f>
        <v>33</v>
      </c>
    </row>
    <row r="7" spans="1:5" ht="12.75" customHeight="1" x14ac:dyDescent="0.15">
      <c r="A7" s="2425"/>
      <c r="B7" s="149" t="s">
        <v>343</v>
      </c>
      <c r="C7" s="151">
        <f>SUM(C9,C11,C13,C15,C17,C19,C21,C23,C25,C27,C29,C31,C33,C35,C37)</f>
        <v>3</v>
      </c>
      <c r="D7" s="151">
        <f>SUM(D9,D11,D13,D15,D17,D19,D21,D23,D25,D27,D29,D31,D33,D35,D37)</f>
        <v>3</v>
      </c>
    </row>
    <row r="8" spans="1:5" ht="12.75" customHeight="1" x14ac:dyDescent="0.15">
      <c r="A8" s="2422" t="s">
        <v>344</v>
      </c>
      <c r="B8" s="152" t="s">
        <v>342</v>
      </c>
      <c r="C8" s="153">
        <v>2</v>
      </c>
      <c r="D8" s="153">
        <v>2</v>
      </c>
    </row>
    <row r="9" spans="1:5" ht="12.75" customHeight="1" x14ac:dyDescent="0.15">
      <c r="A9" s="2422"/>
      <c r="B9" s="152" t="s">
        <v>343</v>
      </c>
      <c r="C9" s="153">
        <v>0</v>
      </c>
      <c r="D9" s="153">
        <v>0</v>
      </c>
    </row>
    <row r="10" spans="1:5" ht="12.75" customHeight="1" x14ac:dyDescent="0.15">
      <c r="A10" s="2422" t="s">
        <v>6</v>
      </c>
      <c r="B10" s="152" t="s">
        <v>342</v>
      </c>
      <c r="C10" s="153">
        <v>2</v>
      </c>
      <c r="D10" s="153">
        <v>0</v>
      </c>
      <c r="E10" s="122"/>
    </row>
    <row r="11" spans="1:5" ht="12.75" customHeight="1" x14ac:dyDescent="0.15">
      <c r="A11" s="2422"/>
      <c r="B11" s="152" t="s">
        <v>343</v>
      </c>
      <c r="C11" s="153">
        <v>0</v>
      </c>
      <c r="D11" s="153">
        <v>0</v>
      </c>
    </row>
    <row r="12" spans="1:5" ht="12.75" customHeight="1" x14ac:dyDescent="0.15">
      <c r="A12" s="2422" t="s">
        <v>345</v>
      </c>
      <c r="B12" s="152" t="s">
        <v>342</v>
      </c>
      <c r="C12" s="153">
        <v>1</v>
      </c>
      <c r="D12" s="153">
        <v>0</v>
      </c>
    </row>
    <row r="13" spans="1:5" ht="12.75" customHeight="1" x14ac:dyDescent="0.15">
      <c r="A13" s="2422"/>
      <c r="B13" s="152" t="s">
        <v>343</v>
      </c>
      <c r="C13" s="153">
        <v>0</v>
      </c>
      <c r="D13" s="153">
        <v>0</v>
      </c>
    </row>
    <row r="14" spans="1:5" ht="12.75" customHeight="1" x14ac:dyDescent="0.15">
      <c r="A14" s="2422" t="s">
        <v>346</v>
      </c>
      <c r="B14" s="152" t="s">
        <v>342</v>
      </c>
      <c r="C14" s="153">
        <v>1</v>
      </c>
      <c r="D14" s="153">
        <v>3</v>
      </c>
    </row>
    <row r="15" spans="1:5" ht="12.75" customHeight="1" x14ac:dyDescent="0.15">
      <c r="A15" s="2422"/>
      <c r="B15" s="152" t="s">
        <v>343</v>
      </c>
      <c r="C15" s="153">
        <v>0</v>
      </c>
      <c r="D15" s="153">
        <v>0</v>
      </c>
    </row>
    <row r="16" spans="1:5" ht="12.75" customHeight="1" x14ac:dyDescent="0.15">
      <c r="A16" s="2422" t="s">
        <v>347</v>
      </c>
      <c r="B16" s="152" t="s">
        <v>342</v>
      </c>
      <c r="C16" s="153">
        <v>2</v>
      </c>
      <c r="D16" s="153">
        <v>2</v>
      </c>
    </row>
    <row r="17" spans="1:4" ht="12.75" customHeight="1" x14ac:dyDescent="0.15">
      <c r="A17" s="2422"/>
      <c r="B17" s="152" t="s">
        <v>343</v>
      </c>
      <c r="C17" s="153">
        <v>0</v>
      </c>
      <c r="D17" s="153">
        <v>0</v>
      </c>
    </row>
    <row r="18" spans="1:4" ht="12.75" customHeight="1" x14ac:dyDescent="0.15">
      <c r="A18" s="2422" t="s">
        <v>348</v>
      </c>
      <c r="B18" s="152" t="s">
        <v>342</v>
      </c>
      <c r="C18" s="153">
        <v>3</v>
      </c>
      <c r="D18" s="153">
        <v>6</v>
      </c>
    </row>
    <row r="19" spans="1:4" ht="12.75" customHeight="1" x14ac:dyDescent="0.15">
      <c r="A19" s="2422"/>
      <c r="B19" s="152" t="s">
        <v>343</v>
      </c>
      <c r="C19" s="153">
        <v>0</v>
      </c>
      <c r="D19" s="153">
        <v>0</v>
      </c>
    </row>
    <row r="20" spans="1:4" ht="12.75" customHeight="1" x14ac:dyDescent="0.15">
      <c r="A20" s="2422" t="s">
        <v>349</v>
      </c>
      <c r="B20" s="152" t="s">
        <v>342</v>
      </c>
      <c r="C20" s="153">
        <v>3</v>
      </c>
      <c r="D20" s="153">
        <v>4</v>
      </c>
    </row>
    <row r="21" spans="1:4" ht="12.75" customHeight="1" x14ac:dyDescent="0.15">
      <c r="A21" s="2422"/>
      <c r="B21" s="152" t="s">
        <v>343</v>
      </c>
      <c r="C21" s="153">
        <v>0</v>
      </c>
      <c r="D21" s="153">
        <v>0</v>
      </c>
    </row>
    <row r="22" spans="1:4" ht="12.75" customHeight="1" x14ac:dyDescent="0.15">
      <c r="A22" s="2422" t="s">
        <v>12</v>
      </c>
      <c r="B22" s="152" t="s">
        <v>342</v>
      </c>
      <c r="C22" s="153">
        <v>3</v>
      </c>
      <c r="D22" s="153">
        <v>4</v>
      </c>
    </row>
    <row r="23" spans="1:4" ht="12.75" customHeight="1" x14ac:dyDescent="0.15">
      <c r="A23" s="2422"/>
      <c r="B23" s="152" t="s">
        <v>343</v>
      </c>
      <c r="C23" s="153">
        <v>0</v>
      </c>
      <c r="D23" s="153">
        <v>0</v>
      </c>
    </row>
    <row r="24" spans="1:4" ht="12.75" customHeight="1" x14ac:dyDescent="0.15">
      <c r="A24" s="2422" t="s">
        <v>13</v>
      </c>
      <c r="B24" s="152" t="s">
        <v>342</v>
      </c>
      <c r="C24" s="153">
        <v>3</v>
      </c>
      <c r="D24" s="153">
        <v>2</v>
      </c>
    </row>
    <row r="25" spans="1:4" ht="12.75" customHeight="1" x14ac:dyDescent="0.15">
      <c r="A25" s="2422"/>
      <c r="B25" s="152" t="s">
        <v>343</v>
      </c>
      <c r="C25" s="153">
        <v>0</v>
      </c>
      <c r="D25" s="153">
        <v>0</v>
      </c>
    </row>
    <row r="26" spans="1:4" ht="12.75" customHeight="1" x14ac:dyDescent="0.15">
      <c r="A26" s="2422" t="s">
        <v>14</v>
      </c>
      <c r="B26" s="152" t="s">
        <v>342</v>
      </c>
      <c r="C26" s="153">
        <v>5</v>
      </c>
      <c r="D26" s="153">
        <v>1</v>
      </c>
    </row>
    <row r="27" spans="1:4" ht="12.75" customHeight="1" x14ac:dyDescent="0.15">
      <c r="A27" s="2422"/>
      <c r="B27" s="152" t="s">
        <v>343</v>
      </c>
      <c r="C27" s="153">
        <v>2</v>
      </c>
      <c r="D27" s="153">
        <v>2</v>
      </c>
    </row>
    <row r="28" spans="1:4" ht="12.75" customHeight="1" x14ac:dyDescent="0.15">
      <c r="A28" s="2422" t="s">
        <v>350</v>
      </c>
      <c r="B28" s="152" t="s">
        <v>342</v>
      </c>
      <c r="C28" s="153">
        <v>2</v>
      </c>
      <c r="D28" s="153">
        <v>6</v>
      </c>
    </row>
    <row r="29" spans="1:4" ht="12.75" customHeight="1" x14ac:dyDescent="0.15">
      <c r="A29" s="2422"/>
      <c r="B29" s="152" t="s">
        <v>343</v>
      </c>
      <c r="C29" s="153">
        <v>0</v>
      </c>
      <c r="D29" s="153">
        <v>0</v>
      </c>
    </row>
    <row r="30" spans="1:4" ht="12.75" customHeight="1" x14ac:dyDescent="0.15">
      <c r="A30" s="2422" t="s">
        <v>301</v>
      </c>
      <c r="B30" s="152" t="s">
        <v>342</v>
      </c>
      <c r="C30" s="153">
        <v>1</v>
      </c>
      <c r="D30" s="153">
        <v>0</v>
      </c>
    </row>
    <row r="31" spans="1:4" ht="12.75" customHeight="1" x14ac:dyDescent="0.15">
      <c r="A31" s="2422"/>
      <c r="B31" s="152" t="s">
        <v>343</v>
      </c>
      <c r="C31" s="153">
        <v>1</v>
      </c>
      <c r="D31" s="153">
        <v>0</v>
      </c>
    </row>
    <row r="32" spans="1:4" ht="12.75" customHeight="1" x14ac:dyDescent="0.15">
      <c r="A32" s="2422" t="s">
        <v>303</v>
      </c>
      <c r="B32" s="152" t="s">
        <v>342</v>
      </c>
      <c r="C32" s="153">
        <v>1</v>
      </c>
      <c r="D32" s="153">
        <v>1</v>
      </c>
    </row>
    <row r="33" spans="1:4" ht="12.75" customHeight="1" x14ac:dyDescent="0.15">
      <c r="A33" s="2422"/>
      <c r="B33" s="152" t="s">
        <v>343</v>
      </c>
      <c r="C33" s="153">
        <v>0</v>
      </c>
      <c r="D33" s="153">
        <v>0</v>
      </c>
    </row>
    <row r="34" spans="1:4" ht="12.75" customHeight="1" x14ac:dyDescent="0.15">
      <c r="A34" s="2422" t="s">
        <v>18</v>
      </c>
      <c r="B34" s="152" t="s">
        <v>342</v>
      </c>
      <c r="C34" s="153">
        <v>3</v>
      </c>
      <c r="D34" s="153">
        <v>1</v>
      </c>
    </row>
    <row r="35" spans="1:4" ht="12.75" customHeight="1" x14ac:dyDescent="0.15">
      <c r="A35" s="2422"/>
      <c r="B35" s="152" t="s">
        <v>343</v>
      </c>
      <c r="C35" s="153">
        <v>0</v>
      </c>
      <c r="D35" s="153">
        <v>1</v>
      </c>
    </row>
    <row r="36" spans="1:4" ht="12.75" customHeight="1" x14ac:dyDescent="0.15">
      <c r="A36" s="2422" t="s">
        <v>19</v>
      </c>
      <c r="B36" s="152" t="s">
        <v>342</v>
      </c>
      <c r="C36" s="153">
        <v>0</v>
      </c>
      <c r="D36" s="153">
        <v>1</v>
      </c>
    </row>
    <row r="37" spans="1:4" ht="12.75" customHeight="1" x14ac:dyDescent="0.15">
      <c r="A37" s="2426"/>
      <c r="B37" s="154" t="s">
        <v>343</v>
      </c>
      <c r="C37" s="155">
        <v>0</v>
      </c>
      <c r="D37" s="155">
        <v>0</v>
      </c>
    </row>
    <row r="39" spans="1:4" ht="29.25" customHeight="1" x14ac:dyDescent="0.15">
      <c r="A39" s="2433" t="s">
        <v>351</v>
      </c>
      <c r="B39" s="2433"/>
      <c r="C39" s="2433"/>
      <c r="D39" s="2433"/>
    </row>
    <row r="40" spans="1:4" ht="22.5" customHeight="1" x14ac:dyDescent="0.15">
      <c r="A40" s="2434" t="s">
        <v>352</v>
      </c>
      <c r="B40" s="2434"/>
      <c r="C40" s="2434"/>
      <c r="D40" s="2434"/>
    </row>
    <row r="41" spans="1:4" ht="12.75" customHeight="1" x14ac:dyDescent="0.15">
      <c r="A41" s="2435" t="s">
        <v>353</v>
      </c>
      <c r="B41" s="2435"/>
      <c r="C41" s="2435"/>
      <c r="D41" s="2435"/>
    </row>
    <row r="42" spans="1:4" ht="22.5" customHeight="1" x14ac:dyDescent="0.15">
      <c r="A42" s="2435" t="s">
        <v>354</v>
      </c>
      <c r="B42" s="2435"/>
      <c r="C42" s="2435"/>
      <c r="D42" s="2435"/>
    </row>
    <row r="43" spans="1:4" ht="26.25" customHeight="1" x14ac:dyDescent="0.15">
      <c r="A43" s="2435" t="s">
        <v>355</v>
      </c>
      <c r="B43" s="2435"/>
      <c r="C43" s="2435"/>
      <c r="D43" s="2435"/>
    </row>
    <row r="44" spans="1:4" ht="11.25" customHeight="1" x14ac:dyDescent="0.15">
      <c r="A44" s="2436" t="s">
        <v>326</v>
      </c>
      <c r="B44" s="2414"/>
      <c r="C44" s="2414"/>
      <c r="D44" s="2414"/>
    </row>
    <row r="45" spans="1:4" ht="22.5" customHeight="1" x14ac:dyDescent="0.15">
      <c r="A45" s="2427" t="s">
        <v>327</v>
      </c>
      <c r="B45" s="2407"/>
      <c r="C45" s="2407"/>
      <c r="D45" s="2407"/>
    </row>
    <row r="53" spans="1:2" x14ac:dyDescent="0.15">
      <c r="B53" s="156"/>
    </row>
    <row r="62" spans="1:2" x14ac:dyDescent="0.15">
      <c r="A62" s="2428"/>
      <c r="B62" s="2428"/>
    </row>
    <row r="63" spans="1:2" x14ac:dyDescent="0.15">
      <c r="A63" s="2429"/>
      <c r="B63" s="2430"/>
    </row>
    <row r="64" spans="1:2" x14ac:dyDescent="0.15">
      <c r="A64" s="2431"/>
      <c r="B64" s="2432"/>
    </row>
  </sheetData>
  <mergeCells count="28">
    <mergeCell ref="A45:D45"/>
    <mergeCell ref="A62:B62"/>
    <mergeCell ref="A63:B63"/>
    <mergeCell ref="A64:B64"/>
    <mergeCell ref="A39:D39"/>
    <mergeCell ref="A40:D40"/>
    <mergeCell ref="A41:D41"/>
    <mergeCell ref="A42:D42"/>
    <mergeCell ref="A43:D43"/>
    <mergeCell ref="A44:D44"/>
    <mergeCell ref="A36:A37"/>
    <mergeCell ref="A14:A15"/>
    <mergeCell ref="A16:A17"/>
    <mergeCell ref="A18:A19"/>
    <mergeCell ref="A20:A21"/>
    <mergeCell ref="A22:A23"/>
    <mergeCell ref="A24:A25"/>
    <mergeCell ref="A26:A27"/>
    <mergeCell ref="A28:A29"/>
    <mergeCell ref="A30:A31"/>
    <mergeCell ref="A32:A33"/>
    <mergeCell ref="A34:A35"/>
    <mergeCell ref="A12:A13"/>
    <mergeCell ref="A2:D2"/>
    <mergeCell ref="A4:B5"/>
    <mergeCell ref="A6:A7"/>
    <mergeCell ref="A8:A9"/>
    <mergeCell ref="A10:A11"/>
  </mergeCells>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M44"/>
  <sheetViews>
    <sheetView workbookViewId="0">
      <selection activeCell="O11" sqref="O11"/>
    </sheetView>
  </sheetViews>
  <sheetFormatPr baseColWidth="10" defaultColWidth="9.140625" defaultRowHeight="12.75" x14ac:dyDescent="0.2"/>
  <cols>
    <col min="1" max="1" width="20" style="758" customWidth="1"/>
    <col min="2" max="2" width="12" style="758" customWidth="1"/>
    <col min="3" max="3" width="17.28515625" style="758" customWidth="1"/>
    <col min="4" max="4" width="10.28515625" style="758" bestFit="1" customWidth="1"/>
    <col min="5" max="5" width="15.28515625" style="758" bestFit="1" customWidth="1"/>
    <col min="6" max="6" width="10.28515625" style="758" bestFit="1" customWidth="1"/>
    <col min="7" max="7" width="16.5703125" style="758" bestFit="1" customWidth="1"/>
    <col min="8" max="8" width="10.28515625" style="758" bestFit="1" customWidth="1"/>
    <col min="9" max="9" width="15.28515625" style="758" bestFit="1" customWidth="1"/>
    <col min="10" max="10" width="10.28515625" style="758" bestFit="1" customWidth="1"/>
    <col min="11" max="11" width="16.5703125" style="758" bestFit="1" customWidth="1"/>
    <col min="12" max="12" width="10.28515625" style="758" bestFit="1" customWidth="1"/>
    <col min="13" max="13" width="15.28515625" style="758" bestFit="1" customWidth="1"/>
    <col min="14" max="43" width="10.7109375" style="758" customWidth="1"/>
    <col min="44" max="16384" width="9.140625" style="758"/>
  </cols>
  <sheetData>
    <row r="2" spans="1:13" x14ac:dyDescent="0.2">
      <c r="A2" s="3474" t="s">
        <v>4286</v>
      </c>
      <c r="B2" s="3475"/>
      <c r="C2" s="3475"/>
      <c r="D2" s="3475"/>
      <c r="E2" s="3475"/>
      <c r="F2" s="3475"/>
      <c r="G2" s="3475"/>
      <c r="H2" s="3475"/>
      <c r="I2" s="3475"/>
      <c r="J2" s="3475"/>
      <c r="K2" s="3475"/>
      <c r="L2" s="3475"/>
      <c r="M2" s="3475"/>
    </row>
    <row r="3" spans="1:13" ht="11.25" customHeight="1" x14ac:dyDescent="0.2">
      <c r="A3" s="3463"/>
      <c r="B3" s="3464"/>
      <c r="C3" s="3464"/>
      <c r="D3" s="3464"/>
      <c r="E3" s="3464"/>
      <c r="F3" s="3464"/>
      <c r="G3" s="3464"/>
      <c r="H3" s="3464"/>
      <c r="I3" s="3464"/>
      <c r="J3" s="3464"/>
      <c r="K3" s="3464"/>
      <c r="L3" s="3464"/>
      <c r="M3" s="3464"/>
    </row>
    <row r="4" spans="1:13" x14ac:dyDescent="0.2">
      <c r="A4" s="3470" t="s">
        <v>4287</v>
      </c>
      <c r="B4" s="3465" t="s">
        <v>69</v>
      </c>
      <c r="C4" s="3468"/>
      <c r="D4" s="3468"/>
      <c r="E4" s="3468"/>
      <c r="F4" s="3465" t="s">
        <v>3518</v>
      </c>
      <c r="G4" s="3468"/>
      <c r="H4" s="3468"/>
      <c r="I4" s="3468"/>
      <c r="J4" s="3465" t="s">
        <v>3519</v>
      </c>
      <c r="K4" s="3468"/>
      <c r="L4" s="3468"/>
      <c r="M4" s="3468"/>
    </row>
    <row r="5" spans="1:13" ht="21" customHeight="1" x14ac:dyDescent="0.2">
      <c r="A5" s="3476"/>
      <c r="B5" s="3460" t="s">
        <v>3481</v>
      </c>
      <c r="C5" s="3461"/>
      <c r="D5" s="3460" t="s">
        <v>3483</v>
      </c>
      <c r="E5" s="3461"/>
      <c r="F5" s="3460" t="s">
        <v>3481</v>
      </c>
      <c r="G5" s="3461"/>
      <c r="H5" s="3460" t="s">
        <v>3483</v>
      </c>
      <c r="I5" s="3461"/>
      <c r="J5" s="3460" t="s">
        <v>3481</v>
      </c>
      <c r="K5" s="3461"/>
      <c r="L5" s="3460" t="s">
        <v>3483</v>
      </c>
      <c r="M5" s="3461"/>
    </row>
    <row r="6" spans="1:13" x14ac:dyDescent="0.2">
      <c r="A6" s="3471"/>
      <c r="B6" s="1677" t="s">
        <v>2399</v>
      </c>
      <c r="C6" s="1677" t="s">
        <v>3520</v>
      </c>
      <c r="D6" s="1677" t="s">
        <v>2399</v>
      </c>
      <c r="E6" s="1677" t="s">
        <v>3520</v>
      </c>
      <c r="F6" s="1677" t="s">
        <v>2399</v>
      </c>
      <c r="G6" s="1677" t="s">
        <v>3520</v>
      </c>
      <c r="H6" s="1677" t="s">
        <v>2399</v>
      </c>
      <c r="I6" s="1677" t="s">
        <v>3520</v>
      </c>
      <c r="J6" s="1677" t="s">
        <v>2399</v>
      </c>
      <c r="K6" s="1677" t="s">
        <v>3520</v>
      </c>
      <c r="L6" s="1677" t="s">
        <v>2399</v>
      </c>
      <c r="M6" s="1677" t="s">
        <v>3520</v>
      </c>
    </row>
    <row r="7" spans="1:13" x14ac:dyDescent="0.2">
      <c r="A7" s="945" t="s">
        <v>141</v>
      </c>
      <c r="B7" s="1687">
        <f>SUM(B8:B12)</f>
        <v>52014</v>
      </c>
      <c r="C7" s="1687">
        <f>SUM(C8:C12)</f>
        <v>508545797940.70001</v>
      </c>
      <c r="D7" s="1687">
        <f t="shared" ref="D7:E7" si="0">SUM(D8:D12)</f>
        <v>9590</v>
      </c>
      <c r="E7" s="1687">
        <f t="shared" si="0"/>
        <v>87731795368.229996</v>
      </c>
      <c r="F7" s="1687">
        <f>SUM(F8:F12)</f>
        <v>42300</v>
      </c>
      <c r="G7" s="1687">
        <f t="shared" ref="G7:M7" si="1">SUM(G8:G12)</f>
        <v>314038011804.70001</v>
      </c>
      <c r="H7" s="1687">
        <f t="shared" si="1"/>
        <v>7355</v>
      </c>
      <c r="I7" s="1687">
        <f t="shared" si="1"/>
        <v>49627840457.809998</v>
      </c>
      <c r="J7" s="1687">
        <f t="shared" si="1"/>
        <v>9714</v>
      </c>
      <c r="K7" s="1687">
        <f t="shared" si="1"/>
        <v>194507786136</v>
      </c>
      <c r="L7" s="1687">
        <f t="shared" si="1"/>
        <v>2235</v>
      </c>
      <c r="M7" s="1687">
        <f t="shared" si="1"/>
        <v>38103954910.419998</v>
      </c>
    </row>
    <row r="8" spans="1:13" x14ac:dyDescent="0.2">
      <c r="A8" s="945" t="s">
        <v>1435</v>
      </c>
      <c r="B8" s="1687">
        <f t="shared" ref="B8:M12" si="2">SUM(B14+B20+B26+B32+B38)</f>
        <v>7104</v>
      </c>
      <c r="C8" s="1687">
        <f t="shared" si="2"/>
        <v>61459375011.699997</v>
      </c>
      <c r="D8" s="1687">
        <f t="shared" si="2"/>
        <v>1591</v>
      </c>
      <c r="E8" s="1687">
        <f t="shared" si="2"/>
        <v>13802029658.700001</v>
      </c>
      <c r="F8" s="1687">
        <f t="shared" si="2"/>
        <v>5685</v>
      </c>
      <c r="G8" s="1687">
        <f t="shared" si="2"/>
        <v>35481802154.699997</v>
      </c>
      <c r="H8" s="1687">
        <f t="shared" si="2"/>
        <v>1288</v>
      </c>
      <c r="I8" s="1687">
        <f t="shared" si="2"/>
        <v>8268452822.6999998</v>
      </c>
      <c r="J8" s="1687">
        <f t="shared" si="2"/>
        <v>1419</v>
      </c>
      <c r="K8" s="1687">
        <f t="shared" si="2"/>
        <v>25977572857</v>
      </c>
      <c r="L8" s="1687">
        <f t="shared" si="2"/>
        <v>303</v>
      </c>
      <c r="M8" s="1687">
        <f t="shared" si="2"/>
        <v>5533576836</v>
      </c>
    </row>
    <row r="9" spans="1:13" x14ac:dyDescent="0.2">
      <c r="A9" s="945" t="s">
        <v>1436</v>
      </c>
      <c r="B9" s="1687">
        <f t="shared" si="2"/>
        <v>10730</v>
      </c>
      <c r="C9" s="1687">
        <f t="shared" si="2"/>
        <v>98524430206</v>
      </c>
      <c r="D9" s="1687">
        <f t="shared" si="2"/>
        <v>1459</v>
      </c>
      <c r="E9" s="1687">
        <f t="shared" si="2"/>
        <v>14993554645</v>
      </c>
      <c r="F9" s="1687">
        <f t="shared" si="2"/>
        <v>8806</v>
      </c>
      <c r="G9" s="1687">
        <f t="shared" si="2"/>
        <v>63294134262</v>
      </c>
      <c r="H9" s="1687">
        <f t="shared" si="2"/>
        <v>1099</v>
      </c>
      <c r="I9" s="1687">
        <f t="shared" si="2"/>
        <v>7930653941</v>
      </c>
      <c r="J9" s="1687">
        <f t="shared" si="2"/>
        <v>1924</v>
      </c>
      <c r="K9" s="1687">
        <f t="shared" si="2"/>
        <v>35230295944</v>
      </c>
      <c r="L9" s="1687">
        <f t="shared" si="2"/>
        <v>360</v>
      </c>
      <c r="M9" s="1687">
        <f t="shared" si="2"/>
        <v>7062900704</v>
      </c>
    </row>
    <row r="10" spans="1:13" x14ac:dyDescent="0.2">
      <c r="A10" s="945" t="s">
        <v>1437</v>
      </c>
      <c r="B10" s="1687">
        <f t="shared" si="2"/>
        <v>9884</v>
      </c>
      <c r="C10" s="1687">
        <f t="shared" si="2"/>
        <v>101200445933</v>
      </c>
      <c r="D10" s="1687">
        <f t="shared" si="2"/>
        <v>1998</v>
      </c>
      <c r="E10" s="1687">
        <f t="shared" si="2"/>
        <v>18002086456</v>
      </c>
      <c r="F10" s="1687">
        <f t="shared" si="2"/>
        <v>8121</v>
      </c>
      <c r="G10" s="1687">
        <f t="shared" si="2"/>
        <v>62627607907</v>
      </c>
      <c r="H10" s="1687">
        <f t="shared" si="2"/>
        <v>1508</v>
      </c>
      <c r="I10" s="1687">
        <f t="shared" si="2"/>
        <v>10221048146</v>
      </c>
      <c r="J10" s="1687">
        <f t="shared" si="2"/>
        <v>1763</v>
      </c>
      <c r="K10" s="1687">
        <f t="shared" si="2"/>
        <v>38572838026</v>
      </c>
      <c r="L10" s="1687">
        <f t="shared" si="2"/>
        <v>490</v>
      </c>
      <c r="M10" s="1687">
        <f t="shared" si="2"/>
        <v>7781038310</v>
      </c>
    </row>
    <row r="11" spans="1:13" x14ac:dyDescent="0.2">
      <c r="A11" s="945" t="s">
        <v>1438</v>
      </c>
      <c r="B11" s="1687">
        <f t="shared" si="2"/>
        <v>10851</v>
      </c>
      <c r="C11" s="1687">
        <f t="shared" si="2"/>
        <v>111359248103</v>
      </c>
      <c r="D11" s="1687">
        <f t="shared" si="2"/>
        <v>2212</v>
      </c>
      <c r="E11" s="1687">
        <f t="shared" si="2"/>
        <v>20057622917.5</v>
      </c>
      <c r="F11" s="1687">
        <f t="shared" si="2"/>
        <v>8698</v>
      </c>
      <c r="G11" s="1687">
        <f t="shared" si="2"/>
        <v>66693819158</v>
      </c>
      <c r="H11" s="1687">
        <f t="shared" si="2"/>
        <v>1663</v>
      </c>
      <c r="I11" s="1687">
        <f t="shared" si="2"/>
        <v>11194625991.9</v>
      </c>
      <c r="J11" s="1687">
        <f t="shared" si="2"/>
        <v>2153</v>
      </c>
      <c r="K11" s="1687">
        <f t="shared" si="2"/>
        <v>44665428945</v>
      </c>
      <c r="L11" s="1687">
        <f t="shared" si="2"/>
        <v>549</v>
      </c>
      <c r="M11" s="1687">
        <f t="shared" si="2"/>
        <v>8862996925.6000004</v>
      </c>
    </row>
    <row r="12" spans="1:13" x14ac:dyDescent="0.2">
      <c r="A12" s="945" t="s">
        <v>1439</v>
      </c>
      <c r="B12" s="1687">
        <f>SUM(B18+B24+B30+B36+B42)</f>
        <v>13445</v>
      </c>
      <c r="C12" s="1687">
        <f t="shared" si="2"/>
        <v>136002298687</v>
      </c>
      <c r="D12" s="1687">
        <f t="shared" si="2"/>
        <v>2330</v>
      </c>
      <c r="E12" s="1687">
        <f t="shared" si="2"/>
        <v>20876501691.029999</v>
      </c>
      <c r="F12" s="1687">
        <f t="shared" si="2"/>
        <v>10990</v>
      </c>
      <c r="G12" s="1687">
        <f t="shared" si="2"/>
        <v>85940648323</v>
      </c>
      <c r="H12" s="1687">
        <f t="shared" si="2"/>
        <v>1797</v>
      </c>
      <c r="I12" s="1687">
        <f t="shared" si="2"/>
        <v>12013059556.209999</v>
      </c>
      <c r="J12" s="1687">
        <f t="shared" si="2"/>
        <v>2455</v>
      </c>
      <c r="K12" s="1687">
        <f t="shared" si="2"/>
        <v>50061650364</v>
      </c>
      <c r="L12" s="1687">
        <f t="shared" si="2"/>
        <v>533</v>
      </c>
      <c r="M12" s="1687">
        <f t="shared" si="2"/>
        <v>8863442134.8199997</v>
      </c>
    </row>
    <row r="13" spans="1:13" x14ac:dyDescent="0.2">
      <c r="A13" s="945" t="s">
        <v>3521</v>
      </c>
      <c r="B13" s="1687">
        <f>SUM(B14:B18)</f>
        <v>9089</v>
      </c>
      <c r="C13" s="1687">
        <f t="shared" ref="C13:M13" si="3">SUM(C14:C18)</f>
        <v>131942146344</v>
      </c>
      <c r="D13" s="1687">
        <f t="shared" si="3"/>
        <v>1415</v>
      </c>
      <c r="E13" s="1687">
        <f t="shared" si="3"/>
        <v>23024835322</v>
      </c>
      <c r="F13" s="1687">
        <f t="shared" si="3"/>
        <v>7928</v>
      </c>
      <c r="G13" s="1687">
        <f t="shared" si="3"/>
        <v>94052456193</v>
      </c>
      <c r="H13" s="1687">
        <f t="shared" si="3"/>
        <v>1204</v>
      </c>
      <c r="I13" s="1687">
        <f t="shared" si="3"/>
        <v>13972955432</v>
      </c>
      <c r="J13" s="1687">
        <f t="shared" si="3"/>
        <v>1161</v>
      </c>
      <c r="K13" s="1687">
        <f t="shared" si="3"/>
        <v>37889690151</v>
      </c>
      <c r="L13" s="1687">
        <f t="shared" si="3"/>
        <v>211</v>
      </c>
      <c r="M13" s="1687">
        <f t="shared" si="3"/>
        <v>9051879890</v>
      </c>
    </row>
    <row r="14" spans="1:13" x14ac:dyDescent="0.2">
      <c r="A14" s="938" t="s">
        <v>1435</v>
      </c>
      <c r="B14" s="1687">
        <f t="shared" ref="B14:E17" si="4">SUM(F14+J14)</f>
        <v>1044</v>
      </c>
      <c r="C14" s="1687">
        <f t="shared" si="4"/>
        <v>14026393360</v>
      </c>
      <c r="D14" s="1687">
        <f t="shared" si="4"/>
        <v>212</v>
      </c>
      <c r="E14" s="1687">
        <f t="shared" si="4"/>
        <v>3301259517</v>
      </c>
      <c r="F14" s="1688">
        <v>938</v>
      </c>
      <c r="G14" s="1688">
        <v>9221265563</v>
      </c>
      <c r="H14" s="1688">
        <v>190</v>
      </c>
      <c r="I14" s="1688">
        <v>2096373020</v>
      </c>
      <c r="J14" s="1688">
        <v>106</v>
      </c>
      <c r="K14" s="1688">
        <v>4805127797</v>
      </c>
      <c r="L14" s="1688">
        <v>22</v>
      </c>
      <c r="M14" s="1688">
        <v>1204886497</v>
      </c>
    </row>
    <row r="15" spans="1:13" x14ac:dyDescent="0.2">
      <c r="A15" s="938" t="s">
        <v>1436</v>
      </c>
      <c r="B15" s="1687">
        <f t="shared" si="4"/>
        <v>1867</v>
      </c>
      <c r="C15" s="1687">
        <f t="shared" si="4"/>
        <v>28881253822</v>
      </c>
      <c r="D15" s="1687">
        <f t="shared" si="4"/>
        <v>190</v>
      </c>
      <c r="E15" s="1687">
        <f t="shared" si="4"/>
        <v>3848400382</v>
      </c>
      <c r="F15" s="1688">
        <v>1587</v>
      </c>
      <c r="G15" s="1688">
        <v>21054540767</v>
      </c>
      <c r="H15" s="1688">
        <v>154</v>
      </c>
      <c r="I15" s="1688">
        <v>2224647267</v>
      </c>
      <c r="J15" s="1688">
        <v>280</v>
      </c>
      <c r="K15" s="1688">
        <v>7826713055</v>
      </c>
      <c r="L15" s="1688">
        <v>36</v>
      </c>
      <c r="M15" s="1688">
        <v>1623753115</v>
      </c>
    </row>
    <row r="16" spans="1:13" x14ac:dyDescent="0.2">
      <c r="A16" s="938" t="s">
        <v>1437</v>
      </c>
      <c r="B16" s="1687">
        <f>SUM(F16+J16)</f>
        <v>1900</v>
      </c>
      <c r="C16" s="1687">
        <f t="shared" si="4"/>
        <v>27041920150</v>
      </c>
      <c r="D16" s="1687">
        <f t="shared" si="4"/>
        <v>303</v>
      </c>
      <c r="E16" s="1687">
        <f t="shared" si="4"/>
        <v>4718031040</v>
      </c>
      <c r="F16" s="1688">
        <v>1652</v>
      </c>
      <c r="G16" s="1688">
        <v>18864317086</v>
      </c>
      <c r="H16" s="1688">
        <v>257</v>
      </c>
      <c r="I16" s="1688">
        <v>3000468300</v>
      </c>
      <c r="J16" s="1688">
        <v>248</v>
      </c>
      <c r="K16" s="1688">
        <v>8177603064</v>
      </c>
      <c r="L16" s="1688">
        <v>46</v>
      </c>
      <c r="M16" s="1688">
        <v>1717562740</v>
      </c>
    </row>
    <row r="17" spans="1:13" x14ac:dyDescent="0.2">
      <c r="A17" s="938" t="s">
        <v>1438</v>
      </c>
      <c r="B17" s="1687">
        <f>SUM(F17+J17)</f>
        <v>2078</v>
      </c>
      <c r="C17" s="1687">
        <f>SUM(G17+K17)</f>
        <v>29259677485</v>
      </c>
      <c r="D17" s="1687">
        <f t="shared" si="4"/>
        <v>334</v>
      </c>
      <c r="E17" s="1687">
        <f t="shared" si="4"/>
        <v>5702123131</v>
      </c>
      <c r="F17" s="1689">
        <v>1813</v>
      </c>
      <c r="G17" s="1689">
        <v>20450290018</v>
      </c>
      <c r="H17" s="1689">
        <v>283</v>
      </c>
      <c r="I17" s="1689">
        <v>3186985336</v>
      </c>
      <c r="J17" s="1689">
        <v>265</v>
      </c>
      <c r="K17" s="1689">
        <v>8809387467</v>
      </c>
      <c r="L17" s="1689">
        <v>51</v>
      </c>
      <c r="M17" s="1689">
        <v>2515137795</v>
      </c>
    </row>
    <row r="18" spans="1:13" x14ac:dyDescent="0.2">
      <c r="A18" s="938" t="s">
        <v>1439</v>
      </c>
      <c r="B18" s="1687">
        <f>SUM(F18+J18)</f>
        <v>2200</v>
      </c>
      <c r="C18" s="1687">
        <f>SUM(G18+K18)</f>
        <v>32732901527</v>
      </c>
      <c r="D18" s="1687">
        <f>SUM(H18+L18)</f>
        <v>376</v>
      </c>
      <c r="E18" s="1687">
        <f>SUM(I18+M18)</f>
        <v>5455021252</v>
      </c>
      <c r="F18" s="1689">
        <v>1938</v>
      </c>
      <c r="G18" s="1689">
        <v>24462042759</v>
      </c>
      <c r="H18" s="1689">
        <v>320</v>
      </c>
      <c r="I18" s="1689">
        <v>3464481509</v>
      </c>
      <c r="J18" s="1689">
        <v>262</v>
      </c>
      <c r="K18" s="1689">
        <v>8270858768</v>
      </c>
      <c r="L18" s="1689">
        <v>56</v>
      </c>
      <c r="M18" s="1689">
        <v>1990539743</v>
      </c>
    </row>
    <row r="19" spans="1:13" x14ac:dyDescent="0.2">
      <c r="A19" s="945" t="s">
        <v>3522</v>
      </c>
      <c r="B19" s="1687">
        <f>SUM(B20:B24)</f>
        <v>14751</v>
      </c>
      <c r="C19" s="1687">
        <f t="shared" ref="C19:M19" si="5">SUM(C20:C24)</f>
        <v>106784297259</v>
      </c>
      <c r="D19" s="1687">
        <f t="shared" si="5"/>
        <v>3313</v>
      </c>
      <c r="E19" s="1687">
        <f t="shared" si="5"/>
        <v>21805631434.400002</v>
      </c>
      <c r="F19" s="1687">
        <f t="shared" si="5"/>
        <v>11886</v>
      </c>
      <c r="G19" s="1687">
        <f t="shared" si="5"/>
        <v>86137573405</v>
      </c>
      <c r="H19" s="1687">
        <f t="shared" si="5"/>
        <v>2584</v>
      </c>
      <c r="I19" s="1687">
        <f t="shared" si="5"/>
        <v>16981097531.799999</v>
      </c>
      <c r="J19" s="1687">
        <f t="shared" si="5"/>
        <v>2865</v>
      </c>
      <c r="K19" s="1687">
        <f t="shared" si="5"/>
        <v>20646723854</v>
      </c>
      <c r="L19" s="1687">
        <f t="shared" si="5"/>
        <v>729</v>
      </c>
      <c r="M19" s="1687">
        <f t="shared" si="5"/>
        <v>4824533902.6000004</v>
      </c>
    </row>
    <row r="20" spans="1:13" x14ac:dyDescent="0.2">
      <c r="A20" s="938" t="s">
        <v>1435</v>
      </c>
      <c r="B20" s="1687">
        <f t="shared" ref="B20:E24" si="6">SUM(F20+J20)</f>
        <v>1983</v>
      </c>
      <c r="C20" s="1687">
        <f t="shared" si="6"/>
        <v>13495004991</v>
      </c>
      <c r="D20" s="1687">
        <f t="shared" si="6"/>
        <v>582</v>
      </c>
      <c r="E20" s="1687">
        <f t="shared" si="6"/>
        <v>3630253530</v>
      </c>
      <c r="F20" s="1688">
        <v>1460</v>
      </c>
      <c r="G20" s="1688">
        <v>9642484434</v>
      </c>
      <c r="H20" s="1688">
        <v>446</v>
      </c>
      <c r="I20" s="1688">
        <v>2780166391</v>
      </c>
      <c r="J20" s="1688">
        <v>523</v>
      </c>
      <c r="K20" s="1688">
        <v>3852520557</v>
      </c>
      <c r="L20" s="1688">
        <v>136</v>
      </c>
      <c r="M20" s="1688">
        <v>850087139</v>
      </c>
    </row>
    <row r="21" spans="1:13" x14ac:dyDescent="0.2">
      <c r="A21" s="938" t="s">
        <v>1436</v>
      </c>
      <c r="B21" s="1687">
        <f t="shared" si="6"/>
        <v>3169</v>
      </c>
      <c r="C21" s="1687">
        <f t="shared" si="6"/>
        <v>20564616379</v>
      </c>
      <c r="D21" s="1687">
        <f t="shared" si="6"/>
        <v>568</v>
      </c>
      <c r="E21" s="1687">
        <f t="shared" si="6"/>
        <v>3794901464</v>
      </c>
      <c r="F21" s="1688">
        <v>2613</v>
      </c>
      <c r="G21" s="1688">
        <v>17040091976</v>
      </c>
      <c r="H21" s="1688">
        <v>435</v>
      </c>
      <c r="I21" s="1688">
        <v>2930214260</v>
      </c>
      <c r="J21" s="1688">
        <v>556</v>
      </c>
      <c r="K21" s="1688">
        <v>3524524403</v>
      </c>
      <c r="L21" s="1688">
        <v>133</v>
      </c>
      <c r="M21" s="1688">
        <v>864687204</v>
      </c>
    </row>
    <row r="22" spans="1:13" x14ac:dyDescent="0.2">
      <c r="A22" s="938" t="s">
        <v>1437</v>
      </c>
      <c r="B22" s="1687">
        <f t="shared" si="6"/>
        <v>2842</v>
      </c>
      <c r="C22" s="1687">
        <f t="shared" si="6"/>
        <v>20486137582</v>
      </c>
      <c r="D22" s="1687">
        <f t="shared" si="6"/>
        <v>717</v>
      </c>
      <c r="E22" s="1687">
        <f t="shared" si="6"/>
        <v>4523797930</v>
      </c>
      <c r="F22" s="1688">
        <v>2340</v>
      </c>
      <c r="G22" s="1688">
        <v>17056369059</v>
      </c>
      <c r="H22" s="1688">
        <v>572</v>
      </c>
      <c r="I22" s="1688">
        <v>3630551026</v>
      </c>
      <c r="J22" s="1688">
        <v>502</v>
      </c>
      <c r="K22" s="1688">
        <v>3429768523</v>
      </c>
      <c r="L22" s="1688">
        <v>145</v>
      </c>
      <c r="M22" s="1688">
        <v>893246904</v>
      </c>
    </row>
    <row r="23" spans="1:13" x14ac:dyDescent="0.2">
      <c r="A23" s="938" t="s">
        <v>1438</v>
      </c>
      <c r="B23" s="1687">
        <f>SUM(F23+J23)</f>
        <v>3197</v>
      </c>
      <c r="C23" s="1687">
        <f>SUM(G23+K23)</f>
        <v>24538801737</v>
      </c>
      <c r="D23" s="1687">
        <f t="shared" si="6"/>
        <v>709</v>
      </c>
      <c r="E23" s="1687">
        <f t="shared" si="6"/>
        <v>4727477202.4000006</v>
      </c>
      <c r="F23" s="1689">
        <v>2559</v>
      </c>
      <c r="G23" s="1689">
        <v>19844275844</v>
      </c>
      <c r="H23" s="1689">
        <v>546</v>
      </c>
      <c r="I23" s="1689">
        <v>3656802005.8000002</v>
      </c>
      <c r="J23" s="1689">
        <v>638</v>
      </c>
      <c r="K23" s="1689">
        <v>4694525893</v>
      </c>
      <c r="L23" s="1689">
        <v>163</v>
      </c>
      <c r="M23" s="1689">
        <v>1070675196.6</v>
      </c>
    </row>
    <row r="24" spans="1:13" x14ac:dyDescent="0.2">
      <c r="A24" s="938" t="s">
        <v>1439</v>
      </c>
      <c r="B24" s="1687">
        <f>SUM(F24+J24)</f>
        <v>3560</v>
      </c>
      <c r="C24" s="1687">
        <f>SUM(G24+K24)</f>
        <v>27699736570</v>
      </c>
      <c r="D24" s="1687">
        <f t="shared" si="6"/>
        <v>737</v>
      </c>
      <c r="E24" s="1687">
        <f t="shared" si="6"/>
        <v>5129201308</v>
      </c>
      <c r="F24" s="1689">
        <v>2914</v>
      </c>
      <c r="G24" s="1689">
        <v>22554352092</v>
      </c>
      <c r="H24" s="1689">
        <v>585</v>
      </c>
      <c r="I24" s="1689">
        <v>3983363849</v>
      </c>
      <c r="J24" s="1689">
        <v>646</v>
      </c>
      <c r="K24" s="1689">
        <v>5145384478</v>
      </c>
      <c r="L24" s="1689">
        <v>152</v>
      </c>
      <c r="M24" s="1689">
        <v>1145837459</v>
      </c>
    </row>
    <row r="25" spans="1:13" x14ac:dyDescent="0.2">
      <c r="A25" s="945" t="s">
        <v>3523</v>
      </c>
      <c r="B25" s="1687">
        <f>SUM(B26:B30)</f>
        <v>12893</v>
      </c>
      <c r="C25" s="1687">
        <f t="shared" ref="C25:M25" si="7">SUM(C26:C30)</f>
        <v>76587866279</v>
      </c>
      <c r="D25" s="1687">
        <f t="shared" si="7"/>
        <v>2216</v>
      </c>
      <c r="E25" s="1687">
        <f t="shared" si="7"/>
        <v>13252779181</v>
      </c>
      <c r="F25" s="1687">
        <f t="shared" si="7"/>
        <v>10328</v>
      </c>
      <c r="G25" s="1687">
        <f t="shared" si="7"/>
        <v>49117639938</v>
      </c>
      <c r="H25" s="1687">
        <f t="shared" si="7"/>
        <v>1517</v>
      </c>
      <c r="I25" s="1687">
        <f t="shared" si="7"/>
        <v>6534565793</v>
      </c>
      <c r="J25" s="1687">
        <f t="shared" si="7"/>
        <v>2565</v>
      </c>
      <c r="K25" s="1687">
        <f t="shared" si="7"/>
        <v>27470226341</v>
      </c>
      <c r="L25" s="1687">
        <f t="shared" si="7"/>
        <v>699</v>
      </c>
      <c r="M25" s="1687">
        <f t="shared" si="7"/>
        <v>6718213388</v>
      </c>
    </row>
    <row r="26" spans="1:13" x14ac:dyDescent="0.2">
      <c r="A26" s="938" t="s">
        <v>1435</v>
      </c>
      <c r="B26" s="1687">
        <f t="shared" ref="B26:E30" si="8">SUM(F26+J26)</f>
        <v>2082</v>
      </c>
      <c r="C26" s="1687">
        <f>SUM(G26+K26)</f>
        <v>11309688611</v>
      </c>
      <c r="D26" s="1687">
        <f t="shared" si="8"/>
        <v>375</v>
      </c>
      <c r="E26" s="1687">
        <f t="shared" si="8"/>
        <v>2323252733</v>
      </c>
      <c r="F26" s="1688">
        <v>1767</v>
      </c>
      <c r="G26" s="1688">
        <v>8039673887</v>
      </c>
      <c r="H26" s="1688">
        <v>315</v>
      </c>
      <c r="I26" s="1688">
        <v>1589602127</v>
      </c>
      <c r="J26" s="1688">
        <v>315</v>
      </c>
      <c r="K26" s="1688">
        <v>3270014724</v>
      </c>
      <c r="L26" s="1688">
        <v>60</v>
      </c>
      <c r="M26" s="1688">
        <v>733650606</v>
      </c>
    </row>
    <row r="27" spans="1:13" x14ac:dyDescent="0.2">
      <c r="A27" s="938" t="s">
        <v>1436</v>
      </c>
      <c r="B27" s="1687">
        <f t="shared" si="8"/>
        <v>2748</v>
      </c>
      <c r="C27" s="1687">
        <f>SUM(G27+K27)</f>
        <v>17462615956</v>
      </c>
      <c r="D27" s="1687">
        <f t="shared" si="8"/>
        <v>293</v>
      </c>
      <c r="E27" s="1687">
        <f t="shared" si="8"/>
        <v>2032902629</v>
      </c>
      <c r="F27" s="1688">
        <v>2248</v>
      </c>
      <c r="G27" s="1688">
        <v>10306171280</v>
      </c>
      <c r="H27" s="1688">
        <v>200</v>
      </c>
      <c r="I27" s="1688">
        <v>826930848</v>
      </c>
      <c r="J27" s="1688">
        <v>500</v>
      </c>
      <c r="K27" s="1688">
        <v>7156444676</v>
      </c>
      <c r="L27" s="1688">
        <v>93</v>
      </c>
      <c r="M27" s="1688">
        <v>1205971781</v>
      </c>
    </row>
    <row r="28" spans="1:13" x14ac:dyDescent="0.2">
      <c r="A28" s="938" t="s">
        <v>1437</v>
      </c>
      <c r="B28" s="1687">
        <f t="shared" si="8"/>
        <v>2229</v>
      </c>
      <c r="C28" s="1687">
        <f t="shared" si="8"/>
        <v>12261867972</v>
      </c>
      <c r="D28" s="1687">
        <f>SUM(H28+L28)</f>
        <v>473</v>
      </c>
      <c r="E28" s="1687">
        <f t="shared" si="8"/>
        <v>2712437775</v>
      </c>
      <c r="F28" s="1688">
        <v>1781</v>
      </c>
      <c r="G28" s="1688">
        <v>8061146805</v>
      </c>
      <c r="H28" s="1688">
        <v>294</v>
      </c>
      <c r="I28" s="1688">
        <v>1196926399</v>
      </c>
      <c r="J28" s="1688">
        <v>448</v>
      </c>
      <c r="K28" s="1688">
        <v>4200721167</v>
      </c>
      <c r="L28" s="1688">
        <v>179</v>
      </c>
      <c r="M28" s="1688">
        <v>1515511376</v>
      </c>
    </row>
    <row r="29" spans="1:13" x14ac:dyDescent="0.2">
      <c r="A29" s="938" t="s">
        <v>1438</v>
      </c>
      <c r="B29" s="1687">
        <f>SUM(F29+J29)</f>
        <v>2337</v>
      </c>
      <c r="C29" s="1687">
        <f>SUM(G29+K29)</f>
        <v>13667121133</v>
      </c>
      <c r="D29" s="1687">
        <f t="shared" si="8"/>
        <v>505</v>
      </c>
      <c r="E29" s="1687">
        <f t="shared" si="8"/>
        <v>2741841291</v>
      </c>
      <c r="F29" s="1689">
        <v>1754</v>
      </c>
      <c r="G29" s="1689">
        <v>8215512176</v>
      </c>
      <c r="H29" s="1689">
        <v>322</v>
      </c>
      <c r="I29" s="1689">
        <v>1268540191</v>
      </c>
      <c r="J29" s="1689">
        <v>583</v>
      </c>
      <c r="K29" s="1689">
        <v>5451608957</v>
      </c>
      <c r="L29" s="1689">
        <v>183</v>
      </c>
      <c r="M29" s="1689">
        <v>1473301100</v>
      </c>
    </row>
    <row r="30" spans="1:13" x14ac:dyDescent="0.2">
      <c r="A30" s="938" t="s">
        <v>1439</v>
      </c>
      <c r="B30" s="1687">
        <f>SUM(F30+J30)</f>
        <v>3497</v>
      </c>
      <c r="C30" s="1687">
        <f>SUM(G30+K30)</f>
        <v>21886572607</v>
      </c>
      <c r="D30" s="1687">
        <f t="shared" si="8"/>
        <v>570</v>
      </c>
      <c r="E30" s="1687">
        <f t="shared" si="8"/>
        <v>3442344753</v>
      </c>
      <c r="F30" s="1689">
        <v>2778</v>
      </c>
      <c r="G30" s="1689">
        <v>14495135790</v>
      </c>
      <c r="H30" s="1689">
        <v>386</v>
      </c>
      <c r="I30" s="1689">
        <v>1652566228</v>
      </c>
      <c r="J30" s="1689">
        <v>719</v>
      </c>
      <c r="K30" s="1689">
        <v>7391436817</v>
      </c>
      <c r="L30" s="1689">
        <v>184</v>
      </c>
      <c r="M30" s="1689">
        <v>1789778525</v>
      </c>
    </row>
    <row r="31" spans="1:13" x14ac:dyDescent="0.2">
      <c r="A31" s="945" t="s">
        <v>3524</v>
      </c>
      <c r="B31" s="1687">
        <f t="shared" ref="B31:M31" si="9">SUM(B32:B36)</f>
        <v>8530</v>
      </c>
      <c r="C31" s="1687">
        <f t="shared" si="9"/>
        <v>56861939906.699997</v>
      </c>
      <c r="D31" s="1687">
        <f t="shared" si="9"/>
        <v>1648</v>
      </c>
      <c r="E31" s="1687">
        <f t="shared" si="9"/>
        <v>9817517166.7999992</v>
      </c>
      <c r="F31" s="1687">
        <f t="shared" si="9"/>
        <v>7314</v>
      </c>
      <c r="G31" s="1687">
        <f t="shared" si="9"/>
        <v>43041206144.699997</v>
      </c>
      <c r="H31" s="1687">
        <f t="shared" si="9"/>
        <v>1386</v>
      </c>
      <c r="I31" s="1687">
        <f t="shared" si="9"/>
        <v>6783345115.7999992</v>
      </c>
      <c r="J31" s="1687">
        <f t="shared" si="9"/>
        <v>1216</v>
      </c>
      <c r="K31" s="1687">
        <f t="shared" si="9"/>
        <v>13820733762</v>
      </c>
      <c r="L31" s="1687">
        <f t="shared" si="9"/>
        <v>262</v>
      </c>
      <c r="M31" s="1687">
        <f t="shared" si="9"/>
        <v>3034172051</v>
      </c>
    </row>
    <row r="32" spans="1:13" x14ac:dyDescent="0.2">
      <c r="A32" s="938" t="s">
        <v>1435</v>
      </c>
      <c r="B32" s="1687">
        <f t="shared" ref="B32:E36" si="10">SUM(F32+J32)</f>
        <v>1209</v>
      </c>
      <c r="C32" s="1687">
        <f t="shared" si="10"/>
        <v>6535212065.6999998</v>
      </c>
      <c r="D32" s="1687">
        <f t="shared" si="10"/>
        <v>267</v>
      </c>
      <c r="E32" s="1687">
        <f t="shared" si="10"/>
        <v>1450958656.7</v>
      </c>
      <c r="F32" s="1688">
        <v>1000</v>
      </c>
      <c r="G32" s="1688">
        <v>4681501685.6999998</v>
      </c>
      <c r="H32" s="1688">
        <v>231</v>
      </c>
      <c r="I32" s="1688">
        <v>1050907860.7</v>
      </c>
      <c r="J32" s="1688">
        <v>209</v>
      </c>
      <c r="K32" s="1688">
        <v>1853710380</v>
      </c>
      <c r="L32" s="1688">
        <v>36</v>
      </c>
      <c r="M32" s="1688">
        <v>400050796</v>
      </c>
    </row>
    <row r="33" spans="1:13" x14ac:dyDescent="0.2">
      <c r="A33" s="938" t="s">
        <v>1436</v>
      </c>
      <c r="B33" s="1687">
        <f t="shared" si="10"/>
        <v>1632</v>
      </c>
      <c r="C33" s="1687">
        <f t="shared" si="10"/>
        <v>10696331071</v>
      </c>
      <c r="D33" s="1687">
        <f t="shared" si="10"/>
        <v>287</v>
      </c>
      <c r="E33" s="1687">
        <f t="shared" si="10"/>
        <v>1746029440</v>
      </c>
      <c r="F33" s="1688">
        <v>1385</v>
      </c>
      <c r="G33" s="1688">
        <v>8227521959</v>
      </c>
      <c r="H33" s="1688">
        <v>239</v>
      </c>
      <c r="I33" s="1688">
        <v>1210872308</v>
      </c>
      <c r="J33" s="1688">
        <v>247</v>
      </c>
      <c r="K33" s="1688">
        <v>2468809112</v>
      </c>
      <c r="L33" s="1688">
        <v>48</v>
      </c>
      <c r="M33" s="1688">
        <v>535157132</v>
      </c>
    </row>
    <row r="34" spans="1:13" x14ac:dyDescent="0.2">
      <c r="A34" s="938" t="s">
        <v>1437</v>
      </c>
      <c r="B34" s="1687">
        <f t="shared" si="10"/>
        <v>1678</v>
      </c>
      <c r="C34" s="1687">
        <f t="shared" si="10"/>
        <v>12409173314</v>
      </c>
      <c r="D34" s="1687">
        <f t="shared" si="10"/>
        <v>327</v>
      </c>
      <c r="E34" s="1687">
        <f t="shared" si="10"/>
        <v>2019225701</v>
      </c>
      <c r="F34" s="1688">
        <v>1446</v>
      </c>
      <c r="G34" s="1688">
        <v>9440446359</v>
      </c>
      <c r="H34" s="1688">
        <v>269</v>
      </c>
      <c r="I34" s="1688">
        <v>1385119981</v>
      </c>
      <c r="J34" s="1688">
        <v>232</v>
      </c>
      <c r="K34" s="1688">
        <v>2968726955</v>
      </c>
      <c r="L34" s="1688">
        <v>58</v>
      </c>
      <c r="M34" s="1688">
        <v>634105720</v>
      </c>
    </row>
    <row r="35" spans="1:13" x14ac:dyDescent="0.2">
      <c r="A35" s="938" t="s">
        <v>1438</v>
      </c>
      <c r="B35" s="1687">
        <f>SUM(F35+J35)</f>
        <v>1877</v>
      </c>
      <c r="C35" s="1687">
        <f>SUM(G35+K35)</f>
        <v>12208572117</v>
      </c>
      <c r="D35" s="1687">
        <f t="shared" si="10"/>
        <v>420</v>
      </c>
      <c r="E35" s="1687">
        <f t="shared" si="10"/>
        <v>2563529241.0999999</v>
      </c>
      <c r="F35" s="1689">
        <v>1625</v>
      </c>
      <c r="G35" s="1689">
        <v>9207159757</v>
      </c>
      <c r="H35" s="1689">
        <v>346</v>
      </c>
      <c r="I35" s="1689">
        <v>1667207894.0999999</v>
      </c>
      <c r="J35" s="1689">
        <v>252</v>
      </c>
      <c r="K35" s="1689">
        <v>3001412360</v>
      </c>
      <c r="L35" s="1689">
        <v>74</v>
      </c>
      <c r="M35" s="1689">
        <v>896321347</v>
      </c>
    </row>
    <row r="36" spans="1:13" x14ac:dyDescent="0.2">
      <c r="A36" s="938" t="s">
        <v>1439</v>
      </c>
      <c r="B36" s="1687">
        <f>SUM(F36+J36)</f>
        <v>2134</v>
      </c>
      <c r="C36" s="1687">
        <f>SUM(G36+K36)</f>
        <v>15012651339</v>
      </c>
      <c r="D36" s="1687">
        <f t="shared" si="10"/>
        <v>347</v>
      </c>
      <c r="E36" s="1687">
        <f t="shared" si="10"/>
        <v>2037774128</v>
      </c>
      <c r="F36" s="1689">
        <v>1858</v>
      </c>
      <c r="G36" s="1689">
        <v>11484576384</v>
      </c>
      <c r="H36" s="1689">
        <v>301</v>
      </c>
      <c r="I36" s="1689">
        <v>1469237072</v>
      </c>
      <c r="J36" s="1689">
        <v>276</v>
      </c>
      <c r="K36" s="1689">
        <v>3528074955</v>
      </c>
      <c r="L36" s="1689">
        <v>46</v>
      </c>
      <c r="M36" s="1689">
        <v>568537056</v>
      </c>
    </row>
    <row r="37" spans="1:13" x14ac:dyDescent="0.2">
      <c r="A37" s="945" t="s">
        <v>3488</v>
      </c>
      <c r="B37" s="1687">
        <f>SUM(B38:B42)</f>
        <v>6751</v>
      </c>
      <c r="C37" s="1687">
        <f t="shared" ref="C37:M37" si="11">SUM(C38:C42)</f>
        <v>136369548152</v>
      </c>
      <c r="D37" s="1687">
        <f t="shared" si="11"/>
        <v>998</v>
      </c>
      <c r="E37" s="1687">
        <f t="shared" si="11"/>
        <v>19831032264.029999</v>
      </c>
      <c r="F37" s="1687">
        <f t="shared" si="11"/>
        <v>4844</v>
      </c>
      <c r="G37" s="1687">
        <f t="shared" si="11"/>
        <v>41689136124</v>
      </c>
      <c r="H37" s="1687">
        <f t="shared" si="11"/>
        <v>664</v>
      </c>
      <c r="I37" s="1687">
        <f t="shared" si="11"/>
        <v>5355876585.21</v>
      </c>
      <c r="J37" s="1687">
        <f t="shared" si="11"/>
        <v>1907</v>
      </c>
      <c r="K37" s="1687">
        <f t="shared" si="11"/>
        <v>94680412028</v>
      </c>
      <c r="L37" s="1687">
        <f t="shared" si="11"/>
        <v>334</v>
      </c>
      <c r="M37" s="1687">
        <f t="shared" si="11"/>
        <v>14475155678.82</v>
      </c>
    </row>
    <row r="38" spans="1:13" x14ac:dyDescent="0.2">
      <c r="A38" s="938" t="s">
        <v>1435</v>
      </c>
      <c r="B38" s="1687">
        <f>SUM(F38+J38)</f>
        <v>786</v>
      </c>
      <c r="C38" s="1687">
        <f>SUM(G38+K38)</f>
        <v>16093075984</v>
      </c>
      <c r="D38" s="1687">
        <f>SUM(H38+L38)</f>
        <v>155</v>
      </c>
      <c r="E38" s="1687">
        <f>SUM(I38+M38)</f>
        <v>3096305222</v>
      </c>
      <c r="F38" s="1688">
        <v>520</v>
      </c>
      <c r="G38" s="1688">
        <v>3896876585</v>
      </c>
      <c r="H38" s="1688">
        <v>106</v>
      </c>
      <c r="I38" s="1688">
        <v>751403424</v>
      </c>
      <c r="J38" s="1688">
        <v>266</v>
      </c>
      <c r="K38" s="1688">
        <v>12196199399</v>
      </c>
      <c r="L38" s="1688">
        <v>49</v>
      </c>
      <c r="M38" s="1688">
        <v>2344901798</v>
      </c>
    </row>
    <row r="39" spans="1:13" x14ac:dyDescent="0.2">
      <c r="A39" s="938" t="s">
        <v>1436</v>
      </c>
      <c r="B39" s="1687">
        <f t="shared" ref="B39:E42" si="12">SUM(F39+J39)</f>
        <v>1314</v>
      </c>
      <c r="C39" s="1687">
        <f t="shared" si="12"/>
        <v>20919612978</v>
      </c>
      <c r="D39" s="1687">
        <f t="shared" si="12"/>
        <v>121</v>
      </c>
      <c r="E39" s="1687">
        <f t="shared" si="12"/>
        <v>3571320730</v>
      </c>
      <c r="F39" s="1688">
        <v>973</v>
      </c>
      <c r="G39" s="1688">
        <v>6665808280</v>
      </c>
      <c r="H39" s="1688">
        <v>71</v>
      </c>
      <c r="I39" s="1688">
        <v>737989258</v>
      </c>
      <c r="J39" s="1688">
        <v>341</v>
      </c>
      <c r="K39" s="1688">
        <v>14253804698</v>
      </c>
      <c r="L39" s="1688">
        <v>50</v>
      </c>
      <c r="M39" s="1688">
        <v>2833331472</v>
      </c>
    </row>
    <row r="40" spans="1:13" x14ac:dyDescent="0.2">
      <c r="A40" s="938" t="s">
        <v>1437</v>
      </c>
      <c r="B40" s="1687">
        <f t="shared" si="12"/>
        <v>1235</v>
      </c>
      <c r="C40" s="1687">
        <f t="shared" si="12"/>
        <v>29001346915</v>
      </c>
      <c r="D40" s="1687">
        <f t="shared" si="12"/>
        <v>178</v>
      </c>
      <c r="E40" s="1687">
        <f t="shared" si="12"/>
        <v>4028594010</v>
      </c>
      <c r="F40" s="1688">
        <v>902</v>
      </c>
      <c r="G40" s="1688">
        <v>9205328598</v>
      </c>
      <c r="H40" s="1688">
        <v>116</v>
      </c>
      <c r="I40" s="1688">
        <v>1007982440</v>
      </c>
      <c r="J40" s="1688">
        <v>333</v>
      </c>
      <c r="K40" s="1688">
        <v>19796018317</v>
      </c>
      <c r="L40" s="1688">
        <v>62</v>
      </c>
      <c r="M40" s="1688">
        <v>3020611570</v>
      </c>
    </row>
    <row r="41" spans="1:13" x14ac:dyDescent="0.2">
      <c r="A41" s="938" t="s">
        <v>1438</v>
      </c>
      <c r="B41" s="1687">
        <f>SUM(F41+J41)</f>
        <v>1362</v>
      </c>
      <c r="C41" s="1687">
        <f>SUM(G41+K41)</f>
        <v>31685075631</v>
      </c>
      <c r="D41" s="1687">
        <f t="shared" si="12"/>
        <v>244</v>
      </c>
      <c r="E41" s="1687">
        <f t="shared" si="12"/>
        <v>4322652052</v>
      </c>
      <c r="F41" s="1689">
        <v>947</v>
      </c>
      <c r="G41" s="1689">
        <v>8976581363</v>
      </c>
      <c r="H41" s="1689">
        <v>166</v>
      </c>
      <c r="I41" s="1689">
        <v>1415090565</v>
      </c>
      <c r="J41" s="1689">
        <v>415</v>
      </c>
      <c r="K41" s="1689">
        <v>22708494268</v>
      </c>
      <c r="L41" s="1689">
        <v>78</v>
      </c>
      <c r="M41" s="1689">
        <v>2907561487</v>
      </c>
    </row>
    <row r="42" spans="1:13" x14ac:dyDescent="0.2">
      <c r="A42" s="938" t="s">
        <v>1439</v>
      </c>
      <c r="B42" s="1687">
        <f>SUM(F42+J42)</f>
        <v>2054</v>
      </c>
      <c r="C42" s="1687">
        <f>SUM(G42+K42)</f>
        <v>38670436644</v>
      </c>
      <c r="D42" s="1687">
        <f t="shared" si="12"/>
        <v>300</v>
      </c>
      <c r="E42" s="1687">
        <f t="shared" si="12"/>
        <v>4812160250.0300007</v>
      </c>
      <c r="F42" s="1689">
        <v>1502</v>
      </c>
      <c r="G42" s="1689">
        <v>12944541298</v>
      </c>
      <c r="H42" s="1689">
        <v>205</v>
      </c>
      <c r="I42" s="1689">
        <v>1443410898.21</v>
      </c>
      <c r="J42" s="1689">
        <v>552</v>
      </c>
      <c r="K42" s="1689">
        <v>25725895346</v>
      </c>
      <c r="L42" s="1689">
        <v>95</v>
      </c>
      <c r="M42" s="1689">
        <v>3368749351.8200002</v>
      </c>
    </row>
    <row r="43" spans="1:13" s="1683" customFormat="1" ht="11.25" customHeight="1" x14ac:dyDescent="0.2">
      <c r="A43" s="938"/>
    </row>
    <row r="44" spans="1:13" s="1683" customFormat="1" x14ac:dyDescent="0.2">
      <c r="A44" s="3473" t="s">
        <v>1634</v>
      </c>
      <c r="B44" s="3473"/>
      <c r="C44" s="3473"/>
      <c r="D44" s="3473"/>
      <c r="E44" s="3473"/>
      <c r="F44" s="3473"/>
      <c r="G44" s="3473"/>
      <c r="H44" s="3473"/>
      <c r="I44" s="3473"/>
      <c r="J44" s="3473"/>
      <c r="K44" s="3473"/>
      <c r="L44" s="3473"/>
      <c r="M44" s="3473"/>
    </row>
  </sheetData>
  <mergeCells count="13">
    <mergeCell ref="J5:K5"/>
    <mergeCell ref="L5:M5"/>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1:M45"/>
  <sheetViews>
    <sheetView zoomScaleNormal="100" workbookViewId="0">
      <selection activeCell="A2" sqref="A2:M2"/>
    </sheetView>
  </sheetViews>
  <sheetFormatPr baseColWidth="10" defaultColWidth="9.140625" defaultRowHeight="10.5" x14ac:dyDescent="0.15"/>
  <cols>
    <col min="1" max="1" width="19.140625" style="940" bestFit="1" customWidth="1"/>
    <col min="2" max="2" width="10.28515625" style="940" bestFit="1" customWidth="1"/>
    <col min="3" max="3" width="16.5703125" style="940" bestFit="1" customWidth="1"/>
    <col min="4" max="4" width="10.28515625" style="940" bestFit="1" customWidth="1"/>
    <col min="5" max="5" width="15.28515625" style="940" bestFit="1" customWidth="1"/>
    <col min="6" max="6" width="10.28515625" style="940" bestFit="1" customWidth="1"/>
    <col min="7" max="7" width="16.5703125" style="940" bestFit="1" customWidth="1"/>
    <col min="8" max="8" width="10.28515625" style="940" bestFit="1" customWidth="1"/>
    <col min="9" max="9" width="15.28515625" style="940" bestFit="1" customWidth="1"/>
    <col min="10" max="10" width="10.28515625" style="940" bestFit="1" customWidth="1"/>
    <col min="11" max="11" width="16.5703125" style="940" bestFit="1" customWidth="1"/>
    <col min="12" max="12" width="10.28515625" style="940" bestFit="1" customWidth="1"/>
    <col min="13" max="13" width="15.28515625" style="940" bestFit="1" customWidth="1"/>
    <col min="14" max="14" width="22.5703125" style="940" customWidth="1"/>
    <col min="15" max="15" width="204.7109375" style="940" customWidth="1"/>
    <col min="16" max="16384" width="9.140625" style="940"/>
  </cols>
  <sheetData>
    <row r="1" spans="1:13" ht="11.25" customHeight="1" x14ac:dyDescent="0.15">
      <c r="A1" s="1690"/>
      <c r="B1" s="1690"/>
      <c r="C1" s="1690"/>
      <c r="D1" s="1690"/>
      <c r="E1" s="1690"/>
      <c r="F1" s="1690"/>
      <c r="G1" s="1690"/>
      <c r="H1" s="1690"/>
      <c r="I1" s="1690"/>
      <c r="J1" s="1690"/>
      <c r="K1" s="1690"/>
      <c r="L1" s="1690"/>
      <c r="M1" s="1690"/>
    </row>
    <row r="2" spans="1:13" ht="15" customHeight="1" x14ac:dyDescent="0.15">
      <c r="A2" s="3479" t="s">
        <v>3525</v>
      </c>
      <c r="B2" s="3480"/>
      <c r="C2" s="3480"/>
      <c r="D2" s="3480"/>
      <c r="E2" s="3480"/>
      <c r="F2" s="3480"/>
      <c r="G2" s="3480"/>
      <c r="H2" s="3480"/>
      <c r="I2" s="3480"/>
      <c r="J2" s="3480"/>
      <c r="K2" s="3480"/>
      <c r="L2" s="3480"/>
      <c r="M2" s="3480"/>
    </row>
    <row r="3" spans="1:13" ht="11.25" customHeight="1" x14ac:dyDescent="0.15">
      <c r="A3" s="3481"/>
      <c r="B3" s="3481"/>
      <c r="C3" s="3481"/>
      <c r="D3" s="3481"/>
      <c r="E3" s="3481"/>
      <c r="F3" s="3481"/>
      <c r="G3" s="3481"/>
      <c r="H3" s="3481"/>
      <c r="I3" s="3481"/>
      <c r="J3" s="3481"/>
      <c r="K3" s="3481"/>
      <c r="L3" s="3481"/>
      <c r="M3" s="3481"/>
    </row>
    <row r="4" spans="1:13" x14ac:dyDescent="0.15">
      <c r="A4" s="3470" t="s">
        <v>4287</v>
      </c>
      <c r="B4" s="3465" t="s">
        <v>69</v>
      </c>
      <c r="C4" s="3482"/>
      <c r="D4" s="3482"/>
      <c r="E4" s="3482"/>
      <c r="F4" s="3483" t="s">
        <v>967</v>
      </c>
      <c r="G4" s="3482"/>
      <c r="H4" s="3482"/>
      <c r="I4" s="3482"/>
      <c r="J4" s="3465" t="s">
        <v>966</v>
      </c>
      <c r="K4" s="3482"/>
      <c r="L4" s="3482"/>
      <c r="M4" s="3482"/>
    </row>
    <row r="5" spans="1:13" ht="29.25" customHeight="1" x14ac:dyDescent="0.15">
      <c r="A5" s="3476"/>
      <c r="B5" s="3460" t="s">
        <v>3481</v>
      </c>
      <c r="C5" s="3477"/>
      <c r="D5" s="3460" t="s">
        <v>3483</v>
      </c>
      <c r="E5" s="3477"/>
      <c r="F5" s="3460" t="s">
        <v>3481</v>
      </c>
      <c r="G5" s="3477"/>
      <c r="H5" s="3460" t="s">
        <v>3483</v>
      </c>
      <c r="I5" s="3477"/>
      <c r="J5" s="3460" t="s">
        <v>3481</v>
      </c>
      <c r="K5" s="3477"/>
      <c r="L5" s="3460" t="s">
        <v>3483</v>
      </c>
      <c r="M5" s="3477"/>
    </row>
    <row r="6" spans="1:13" ht="13.5" customHeight="1" x14ac:dyDescent="0.15">
      <c r="A6" s="3471"/>
      <c r="B6" s="1677" t="s">
        <v>2399</v>
      </c>
      <c r="C6" s="1677" t="s">
        <v>3520</v>
      </c>
      <c r="D6" s="1677" t="s">
        <v>2399</v>
      </c>
      <c r="E6" s="1677" t="s">
        <v>3520</v>
      </c>
      <c r="F6" s="1677" t="s">
        <v>2399</v>
      </c>
      <c r="G6" s="1677" t="s">
        <v>3520</v>
      </c>
      <c r="H6" s="1677" t="s">
        <v>2399</v>
      </c>
      <c r="I6" s="1677" t="s">
        <v>3520</v>
      </c>
      <c r="J6" s="1677" t="s">
        <v>2399</v>
      </c>
      <c r="K6" s="1677" t="s">
        <v>3520</v>
      </c>
      <c r="L6" s="1677" t="s">
        <v>2399</v>
      </c>
      <c r="M6" s="1677" t="s">
        <v>3520</v>
      </c>
    </row>
    <row r="7" spans="1:13" x14ac:dyDescent="0.15">
      <c r="A7" s="1691" t="s">
        <v>141</v>
      </c>
      <c r="B7" s="1687">
        <f>SUM(B8:B12)</f>
        <v>42300</v>
      </c>
      <c r="C7" s="1687">
        <f t="shared" ref="C7:M7" si="0">SUM(C8:C12)</f>
        <v>314038011804.70001</v>
      </c>
      <c r="D7" s="1687">
        <f t="shared" si="0"/>
        <v>7355</v>
      </c>
      <c r="E7" s="1687">
        <f t="shared" si="0"/>
        <v>49627840457.810005</v>
      </c>
      <c r="F7" s="1687">
        <f t="shared" si="0"/>
        <v>16751</v>
      </c>
      <c r="G7" s="1687">
        <f t="shared" si="0"/>
        <v>127366852722</v>
      </c>
      <c r="H7" s="1687">
        <f t="shared" si="0"/>
        <v>3074</v>
      </c>
      <c r="I7" s="1687">
        <f t="shared" si="0"/>
        <v>21034909626.48</v>
      </c>
      <c r="J7" s="1687">
        <f t="shared" si="0"/>
        <v>25549</v>
      </c>
      <c r="K7" s="1687">
        <f t="shared" si="0"/>
        <v>186671159082.70001</v>
      </c>
      <c r="L7" s="1687">
        <f t="shared" si="0"/>
        <v>4281</v>
      </c>
      <c r="M7" s="1687">
        <f t="shared" si="0"/>
        <v>28592930831.330002</v>
      </c>
    </row>
    <row r="8" spans="1:13" x14ac:dyDescent="0.15">
      <c r="A8" s="1692">
        <v>2011</v>
      </c>
      <c r="B8" s="1687">
        <f>SUM(B14+B20+B26+B32+B38)</f>
        <v>5685</v>
      </c>
      <c r="C8" s="1687">
        <f t="shared" ref="C8:M10" si="1">SUM(C14+C20+C26+C32+C38)</f>
        <v>35481802154.699997</v>
      </c>
      <c r="D8" s="1687">
        <f t="shared" si="1"/>
        <v>1288</v>
      </c>
      <c r="E8" s="1687">
        <f t="shared" si="1"/>
        <v>8268452822.6999998</v>
      </c>
      <c r="F8" s="1687">
        <f t="shared" si="1"/>
        <v>2140</v>
      </c>
      <c r="G8" s="1687">
        <f t="shared" si="1"/>
        <v>13667571154</v>
      </c>
      <c r="H8" s="1687">
        <f t="shared" si="1"/>
        <v>501</v>
      </c>
      <c r="I8" s="1687">
        <f t="shared" si="1"/>
        <v>3268874764</v>
      </c>
      <c r="J8" s="1687">
        <f t="shared" si="1"/>
        <v>3545</v>
      </c>
      <c r="K8" s="1687">
        <f t="shared" si="1"/>
        <v>21814231000.700001</v>
      </c>
      <c r="L8" s="1687">
        <f t="shared" si="1"/>
        <v>787</v>
      </c>
      <c r="M8" s="1687">
        <f t="shared" si="1"/>
        <v>4999578058.6999998</v>
      </c>
    </row>
    <row r="9" spans="1:13" x14ac:dyDescent="0.15">
      <c r="A9" s="1692">
        <v>2012</v>
      </c>
      <c r="B9" s="1687">
        <f>SUM(B15+B21+B27+B33+B39)</f>
        <v>8806</v>
      </c>
      <c r="C9" s="1687">
        <f t="shared" si="1"/>
        <v>63294134262</v>
      </c>
      <c r="D9" s="1687">
        <f t="shared" si="1"/>
        <v>1099</v>
      </c>
      <c r="E9" s="1687">
        <f t="shared" si="1"/>
        <v>7930653941</v>
      </c>
      <c r="F9" s="1687">
        <f t="shared" si="1"/>
        <v>3474</v>
      </c>
      <c r="G9" s="1687">
        <f t="shared" si="1"/>
        <v>25460667928</v>
      </c>
      <c r="H9" s="1687">
        <f t="shared" si="1"/>
        <v>431</v>
      </c>
      <c r="I9" s="1687">
        <f t="shared" si="1"/>
        <v>3285203435</v>
      </c>
      <c r="J9" s="1687">
        <f t="shared" si="1"/>
        <v>5332</v>
      </c>
      <c r="K9" s="1687">
        <f t="shared" si="1"/>
        <v>37833466334</v>
      </c>
      <c r="L9" s="1687">
        <f t="shared" si="1"/>
        <v>668</v>
      </c>
      <c r="M9" s="1687">
        <f t="shared" si="1"/>
        <v>4645450506</v>
      </c>
    </row>
    <row r="10" spans="1:13" x14ac:dyDescent="0.15">
      <c r="A10" s="1692">
        <v>2013</v>
      </c>
      <c r="B10" s="1687">
        <f>SUM(B16+B22+B28+B34+B40)</f>
        <v>8121</v>
      </c>
      <c r="C10" s="1687">
        <f t="shared" si="1"/>
        <v>62627607907</v>
      </c>
      <c r="D10" s="1687">
        <f t="shared" si="1"/>
        <v>1508</v>
      </c>
      <c r="E10" s="1687">
        <f t="shared" si="1"/>
        <v>10221048146</v>
      </c>
      <c r="F10" s="1687">
        <f t="shared" si="1"/>
        <v>3209</v>
      </c>
      <c r="G10" s="1687">
        <f t="shared" si="1"/>
        <v>25184607668</v>
      </c>
      <c r="H10" s="1687">
        <f t="shared" si="1"/>
        <v>662</v>
      </c>
      <c r="I10" s="1687">
        <f t="shared" si="1"/>
        <v>4420098433</v>
      </c>
      <c r="J10" s="1687">
        <f t="shared" si="1"/>
        <v>4912</v>
      </c>
      <c r="K10" s="1687">
        <f t="shared" si="1"/>
        <v>37443000239</v>
      </c>
      <c r="L10" s="1687">
        <f t="shared" si="1"/>
        <v>846</v>
      </c>
      <c r="M10" s="1687">
        <f t="shared" si="1"/>
        <v>5800949713</v>
      </c>
    </row>
    <row r="11" spans="1:13" x14ac:dyDescent="0.15">
      <c r="A11" s="1692">
        <v>2014</v>
      </c>
      <c r="B11" s="1687">
        <f t="shared" ref="B11:M12" si="2">SUM(B17+B23+B29+B35+B41)</f>
        <v>8698</v>
      </c>
      <c r="C11" s="1687">
        <f t="shared" si="2"/>
        <v>66693819158</v>
      </c>
      <c r="D11" s="1687">
        <f t="shared" si="2"/>
        <v>1663</v>
      </c>
      <c r="E11" s="1687">
        <f t="shared" si="2"/>
        <v>11194625991.900002</v>
      </c>
      <c r="F11" s="1687">
        <f t="shared" si="2"/>
        <v>3506</v>
      </c>
      <c r="G11" s="1687">
        <f t="shared" si="2"/>
        <v>27319997233</v>
      </c>
      <c r="H11" s="1687">
        <f t="shared" si="2"/>
        <v>695</v>
      </c>
      <c r="I11" s="1687">
        <f t="shared" si="2"/>
        <v>4907567905.1499996</v>
      </c>
      <c r="J11" s="1687">
        <f t="shared" si="2"/>
        <v>5192</v>
      </c>
      <c r="K11" s="1687">
        <f t="shared" si="2"/>
        <v>39373821925</v>
      </c>
      <c r="L11" s="1687">
        <f t="shared" si="2"/>
        <v>968</v>
      </c>
      <c r="M11" s="1687">
        <f t="shared" si="2"/>
        <v>6287058086.75</v>
      </c>
    </row>
    <row r="12" spans="1:13" x14ac:dyDescent="0.15">
      <c r="A12" s="1692">
        <v>2015</v>
      </c>
      <c r="B12" s="1687">
        <f>SUM(B18+B24+B30+B36+B42)</f>
        <v>10990</v>
      </c>
      <c r="C12" s="1687">
        <f t="shared" si="2"/>
        <v>85940648323</v>
      </c>
      <c r="D12" s="1687">
        <f t="shared" si="2"/>
        <v>1797</v>
      </c>
      <c r="E12" s="1687">
        <f t="shared" si="2"/>
        <v>12013059556.209999</v>
      </c>
      <c r="F12" s="1687">
        <f t="shared" si="2"/>
        <v>4422</v>
      </c>
      <c r="G12" s="1687">
        <f t="shared" si="2"/>
        <v>35734008739</v>
      </c>
      <c r="H12" s="1687">
        <f t="shared" si="2"/>
        <v>785</v>
      </c>
      <c r="I12" s="1687">
        <f t="shared" si="2"/>
        <v>5153165089.3299999</v>
      </c>
      <c r="J12" s="1687">
        <f t="shared" si="2"/>
        <v>6568</v>
      </c>
      <c r="K12" s="1687">
        <f t="shared" si="2"/>
        <v>50206639584</v>
      </c>
      <c r="L12" s="1687">
        <f t="shared" si="2"/>
        <v>1012</v>
      </c>
      <c r="M12" s="1687">
        <f t="shared" si="2"/>
        <v>6859894466.8800001</v>
      </c>
    </row>
    <row r="13" spans="1:13" x14ac:dyDescent="0.15">
      <c r="A13" s="1693" t="s">
        <v>3521</v>
      </c>
      <c r="B13" s="1687">
        <f t="shared" ref="B13:M13" si="3">SUM(B14:B18)</f>
        <v>7928</v>
      </c>
      <c r="C13" s="1687">
        <f t="shared" si="3"/>
        <v>94052456193</v>
      </c>
      <c r="D13" s="1687">
        <f t="shared" si="3"/>
        <v>1204</v>
      </c>
      <c r="E13" s="1687">
        <f t="shared" si="3"/>
        <v>13972955432</v>
      </c>
      <c r="F13" s="1687">
        <f t="shared" si="3"/>
        <v>4124</v>
      </c>
      <c r="G13" s="1687">
        <f t="shared" si="3"/>
        <v>43969176863</v>
      </c>
      <c r="H13" s="1687">
        <f t="shared" si="3"/>
        <v>626</v>
      </c>
      <c r="I13" s="1687">
        <f t="shared" si="3"/>
        <v>6480404294</v>
      </c>
      <c r="J13" s="1687">
        <f t="shared" si="3"/>
        <v>3804</v>
      </c>
      <c r="K13" s="1687">
        <f t="shared" si="3"/>
        <v>50083279330</v>
      </c>
      <c r="L13" s="1687">
        <f t="shared" si="3"/>
        <v>578</v>
      </c>
      <c r="M13" s="1687">
        <f t="shared" si="3"/>
        <v>7492551138</v>
      </c>
    </row>
    <row r="14" spans="1:13" x14ac:dyDescent="0.15">
      <c r="A14" s="1694">
        <v>2011</v>
      </c>
      <c r="B14" s="1687">
        <f t="shared" ref="B14:E18" si="4">SUM(F14+J14)</f>
        <v>938</v>
      </c>
      <c r="C14" s="1687">
        <f t="shared" si="4"/>
        <v>9221265563</v>
      </c>
      <c r="D14" s="1687">
        <f t="shared" si="4"/>
        <v>190</v>
      </c>
      <c r="E14" s="1687">
        <f t="shared" si="4"/>
        <v>2096373020</v>
      </c>
      <c r="F14" s="1688">
        <v>490</v>
      </c>
      <c r="G14" s="1688">
        <v>4022399183</v>
      </c>
      <c r="H14" s="1688">
        <v>104</v>
      </c>
      <c r="I14" s="1688">
        <v>964652622</v>
      </c>
      <c r="J14" s="1688">
        <v>448</v>
      </c>
      <c r="K14" s="1688">
        <v>5198866380</v>
      </c>
      <c r="L14" s="1688">
        <v>86</v>
      </c>
      <c r="M14" s="1688">
        <v>1131720398</v>
      </c>
    </row>
    <row r="15" spans="1:13" x14ac:dyDescent="0.15">
      <c r="A15" s="1694">
        <v>2012</v>
      </c>
      <c r="B15" s="1687">
        <f t="shared" si="4"/>
        <v>1587</v>
      </c>
      <c r="C15" s="1687">
        <f t="shared" si="4"/>
        <v>21054540767</v>
      </c>
      <c r="D15" s="1687">
        <f t="shared" si="4"/>
        <v>154</v>
      </c>
      <c r="E15" s="1687">
        <f t="shared" si="4"/>
        <v>2224647267</v>
      </c>
      <c r="F15" s="1688">
        <v>826</v>
      </c>
      <c r="G15" s="1688">
        <v>9432142880</v>
      </c>
      <c r="H15" s="1688">
        <v>71</v>
      </c>
      <c r="I15" s="1688">
        <v>1017882854</v>
      </c>
      <c r="J15" s="1688">
        <v>761</v>
      </c>
      <c r="K15" s="1688">
        <v>11622397887</v>
      </c>
      <c r="L15" s="1688">
        <v>83</v>
      </c>
      <c r="M15" s="1688">
        <v>1206764413</v>
      </c>
    </row>
    <row r="16" spans="1:13" x14ac:dyDescent="0.15">
      <c r="A16" s="1694">
        <v>2013</v>
      </c>
      <c r="B16" s="1687">
        <f t="shared" si="4"/>
        <v>1652</v>
      </c>
      <c r="C16" s="1687">
        <f t="shared" si="4"/>
        <v>18864317086</v>
      </c>
      <c r="D16" s="1687">
        <f t="shared" si="4"/>
        <v>257</v>
      </c>
      <c r="E16" s="1687">
        <f t="shared" si="4"/>
        <v>3000468300</v>
      </c>
      <c r="F16" s="1688">
        <v>823</v>
      </c>
      <c r="G16" s="1688">
        <v>8716288688</v>
      </c>
      <c r="H16" s="1688">
        <v>122</v>
      </c>
      <c r="I16" s="1688">
        <v>1213480234</v>
      </c>
      <c r="J16" s="1688">
        <v>829</v>
      </c>
      <c r="K16" s="1688">
        <v>10148028398</v>
      </c>
      <c r="L16" s="1688">
        <v>135</v>
      </c>
      <c r="M16" s="1688">
        <v>1786988066</v>
      </c>
    </row>
    <row r="17" spans="1:13" x14ac:dyDescent="0.15">
      <c r="A17" s="1694">
        <v>2014</v>
      </c>
      <c r="B17" s="1687">
        <f t="shared" si="4"/>
        <v>1813</v>
      </c>
      <c r="C17" s="1687">
        <f t="shared" si="4"/>
        <v>20450290018</v>
      </c>
      <c r="D17" s="1687">
        <f t="shared" si="4"/>
        <v>283</v>
      </c>
      <c r="E17" s="1687">
        <f t="shared" si="4"/>
        <v>3186985336</v>
      </c>
      <c r="F17" s="1689">
        <v>949</v>
      </c>
      <c r="G17" s="1689">
        <v>9527666878</v>
      </c>
      <c r="H17" s="1689">
        <v>157</v>
      </c>
      <c r="I17" s="1689">
        <v>1643283412</v>
      </c>
      <c r="J17" s="1689">
        <v>864</v>
      </c>
      <c r="K17" s="1689">
        <v>10922623140</v>
      </c>
      <c r="L17" s="1689">
        <v>126</v>
      </c>
      <c r="M17" s="1689">
        <v>1543701924</v>
      </c>
    </row>
    <row r="18" spans="1:13" x14ac:dyDescent="0.15">
      <c r="A18" s="1694">
        <v>2015</v>
      </c>
      <c r="B18" s="1687">
        <f t="shared" si="4"/>
        <v>1938</v>
      </c>
      <c r="C18" s="1687">
        <f t="shared" si="4"/>
        <v>24462042759</v>
      </c>
      <c r="D18" s="1687">
        <f t="shared" si="4"/>
        <v>320</v>
      </c>
      <c r="E18" s="1687">
        <f t="shared" si="4"/>
        <v>3464481509</v>
      </c>
      <c r="F18" s="1689">
        <v>1036</v>
      </c>
      <c r="G18" s="1689">
        <v>12270679234</v>
      </c>
      <c r="H18" s="1689">
        <v>172</v>
      </c>
      <c r="I18" s="1689">
        <v>1641105172</v>
      </c>
      <c r="J18" s="1689">
        <v>902</v>
      </c>
      <c r="K18" s="1689">
        <v>12191363525</v>
      </c>
      <c r="L18" s="1689">
        <v>148</v>
      </c>
      <c r="M18" s="1689">
        <v>1823376337</v>
      </c>
    </row>
    <row r="19" spans="1:13" x14ac:dyDescent="0.15">
      <c r="A19" s="1693" t="s">
        <v>3522</v>
      </c>
      <c r="B19" s="1687">
        <f t="shared" ref="B19:M19" si="5">SUM(B20:B24)</f>
        <v>11886</v>
      </c>
      <c r="C19" s="1687">
        <f t="shared" si="5"/>
        <v>86137573405</v>
      </c>
      <c r="D19" s="1687">
        <f t="shared" si="5"/>
        <v>2584</v>
      </c>
      <c r="E19" s="1687">
        <f t="shared" si="5"/>
        <v>16981097531.799999</v>
      </c>
      <c r="F19" s="1687">
        <f t="shared" si="5"/>
        <v>5540</v>
      </c>
      <c r="G19" s="1687">
        <f t="shared" si="5"/>
        <v>40433763780</v>
      </c>
      <c r="H19" s="1687">
        <f t="shared" si="5"/>
        <v>1258</v>
      </c>
      <c r="I19" s="1687">
        <f t="shared" si="5"/>
        <v>8388066446.75</v>
      </c>
      <c r="J19" s="1687">
        <f t="shared" si="5"/>
        <v>6346</v>
      </c>
      <c r="K19" s="1687">
        <f t="shared" si="5"/>
        <v>45703809625</v>
      </c>
      <c r="L19" s="1687">
        <f t="shared" si="5"/>
        <v>1326</v>
      </c>
      <c r="M19" s="1687">
        <f t="shared" si="5"/>
        <v>8593031085.0499992</v>
      </c>
    </row>
    <row r="20" spans="1:13" x14ac:dyDescent="0.15">
      <c r="A20" s="1694">
        <v>2011</v>
      </c>
      <c r="B20" s="1687">
        <f t="shared" ref="B20:D24" si="6">SUM(F20+J20)</f>
        <v>1460</v>
      </c>
      <c r="C20" s="1687">
        <f t="shared" si="6"/>
        <v>9642484434</v>
      </c>
      <c r="D20" s="1687">
        <f t="shared" si="6"/>
        <v>446</v>
      </c>
      <c r="E20" s="1687">
        <f>SUM(I20+M20)</f>
        <v>2780166391</v>
      </c>
      <c r="F20" s="1688">
        <v>639</v>
      </c>
      <c r="G20" s="1688">
        <v>4345314203</v>
      </c>
      <c r="H20" s="1688">
        <v>208</v>
      </c>
      <c r="I20" s="1688">
        <v>1299597035</v>
      </c>
      <c r="J20" s="1688">
        <v>821</v>
      </c>
      <c r="K20" s="1688">
        <v>5297170231</v>
      </c>
      <c r="L20" s="1688">
        <v>238</v>
      </c>
      <c r="M20" s="1688">
        <v>1480569356</v>
      </c>
    </row>
    <row r="21" spans="1:13" x14ac:dyDescent="0.15">
      <c r="A21" s="1694">
        <v>2012</v>
      </c>
      <c r="B21" s="1687">
        <f t="shared" si="6"/>
        <v>2613</v>
      </c>
      <c r="C21" s="1687">
        <f t="shared" si="6"/>
        <v>17040091976</v>
      </c>
      <c r="D21" s="1687">
        <f t="shared" si="6"/>
        <v>435</v>
      </c>
      <c r="E21" s="1687">
        <f>SUM(I21+M21)</f>
        <v>2930214260</v>
      </c>
      <c r="F21" s="1688">
        <v>1174</v>
      </c>
      <c r="G21" s="1688">
        <v>7911332679</v>
      </c>
      <c r="H21" s="1688">
        <v>190</v>
      </c>
      <c r="I21" s="1688">
        <v>1382869325</v>
      </c>
      <c r="J21" s="1688">
        <v>1439</v>
      </c>
      <c r="K21" s="1688">
        <v>9128759297</v>
      </c>
      <c r="L21" s="1688">
        <v>245</v>
      </c>
      <c r="M21" s="1688">
        <v>1547344935</v>
      </c>
    </row>
    <row r="22" spans="1:13" x14ac:dyDescent="0.15">
      <c r="A22" s="1694">
        <v>2013</v>
      </c>
      <c r="B22" s="1687">
        <f t="shared" si="6"/>
        <v>2340</v>
      </c>
      <c r="C22" s="1687">
        <f t="shared" si="6"/>
        <v>17056369059</v>
      </c>
      <c r="D22" s="1687">
        <f t="shared" si="6"/>
        <v>572</v>
      </c>
      <c r="E22" s="1687">
        <f>SUM(I22+M22)</f>
        <v>3630551026</v>
      </c>
      <c r="F22" s="1688">
        <v>1105</v>
      </c>
      <c r="G22" s="1688">
        <v>8087036333</v>
      </c>
      <c r="H22" s="1688">
        <v>293</v>
      </c>
      <c r="I22" s="1688">
        <v>1911235332</v>
      </c>
      <c r="J22" s="1688">
        <v>1235</v>
      </c>
      <c r="K22" s="1688">
        <v>8969332726</v>
      </c>
      <c r="L22" s="1688">
        <v>279</v>
      </c>
      <c r="M22" s="1688">
        <v>1719315694</v>
      </c>
    </row>
    <row r="23" spans="1:13" x14ac:dyDescent="0.15">
      <c r="A23" s="1694">
        <v>2014</v>
      </c>
      <c r="B23" s="1687">
        <f t="shared" si="6"/>
        <v>2559</v>
      </c>
      <c r="C23" s="1687">
        <f t="shared" si="6"/>
        <v>19844275844</v>
      </c>
      <c r="D23" s="1687">
        <f t="shared" si="6"/>
        <v>546</v>
      </c>
      <c r="E23" s="1687">
        <f>SUM(I23+M23)</f>
        <v>3656802005.8000002</v>
      </c>
      <c r="F23" s="1689">
        <v>1195</v>
      </c>
      <c r="G23" s="1689">
        <v>9178801530</v>
      </c>
      <c r="H23" s="1689">
        <v>264</v>
      </c>
      <c r="I23" s="1689">
        <v>1783899390.75</v>
      </c>
      <c r="J23" s="1689">
        <v>1364</v>
      </c>
      <c r="K23" s="1689">
        <v>10665474314</v>
      </c>
      <c r="L23" s="1689">
        <v>282</v>
      </c>
      <c r="M23" s="1689">
        <v>1872902615.0500002</v>
      </c>
    </row>
    <row r="24" spans="1:13" x14ac:dyDescent="0.15">
      <c r="A24" s="1694">
        <v>2015</v>
      </c>
      <c r="B24" s="1687">
        <f t="shared" si="6"/>
        <v>2914</v>
      </c>
      <c r="C24" s="1687">
        <f t="shared" si="6"/>
        <v>22554352092</v>
      </c>
      <c r="D24" s="1687">
        <f t="shared" si="6"/>
        <v>585</v>
      </c>
      <c r="E24" s="1687">
        <f>SUM(I24+M24)</f>
        <v>3983363849</v>
      </c>
      <c r="F24" s="1689">
        <v>1427</v>
      </c>
      <c r="G24" s="1689">
        <v>10911279035</v>
      </c>
      <c r="H24" s="1689">
        <v>303</v>
      </c>
      <c r="I24" s="1689">
        <v>2010465364</v>
      </c>
      <c r="J24" s="1689">
        <v>1487</v>
      </c>
      <c r="K24" s="1689">
        <v>11643073057</v>
      </c>
      <c r="L24" s="1689">
        <v>282</v>
      </c>
      <c r="M24" s="1689">
        <v>1972898485</v>
      </c>
    </row>
    <row r="25" spans="1:13" x14ac:dyDescent="0.15">
      <c r="A25" s="1693" t="s">
        <v>3523</v>
      </c>
      <c r="B25" s="1687">
        <f t="shared" ref="B25:M25" si="7">SUM(B26:B30)</f>
        <v>10328</v>
      </c>
      <c r="C25" s="1687">
        <f t="shared" si="7"/>
        <v>49117639938</v>
      </c>
      <c r="D25" s="1687">
        <f t="shared" si="7"/>
        <v>1517</v>
      </c>
      <c r="E25" s="1687">
        <f t="shared" si="7"/>
        <v>6534565793</v>
      </c>
      <c r="F25" s="1687">
        <f t="shared" si="7"/>
        <v>4055</v>
      </c>
      <c r="G25" s="1687">
        <f t="shared" si="7"/>
        <v>20734982970</v>
      </c>
      <c r="H25" s="1687">
        <f t="shared" si="7"/>
        <v>626</v>
      </c>
      <c r="I25" s="1687">
        <f t="shared" si="7"/>
        <v>2699068055</v>
      </c>
      <c r="J25" s="1687">
        <f t="shared" si="7"/>
        <v>6273</v>
      </c>
      <c r="K25" s="1687">
        <f t="shared" si="7"/>
        <v>28382656968</v>
      </c>
      <c r="L25" s="1687">
        <f t="shared" si="7"/>
        <v>891</v>
      </c>
      <c r="M25" s="1687">
        <f t="shared" si="7"/>
        <v>3835497738</v>
      </c>
    </row>
    <row r="26" spans="1:13" x14ac:dyDescent="0.15">
      <c r="A26" s="1694">
        <v>2011</v>
      </c>
      <c r="B26" s="1687">
        <f t="shared" ref="B26:E30" si="8">SUM(F26+J26)</f>
        <v>1767</v>
      </c>
      <c r="C26" s="1687">
        <f t="shared" si="8"/>
        <v>8039673887</v>
      </c>
      <c r="D26" s="1687">
        <f t="shared" si="8"/>
        <v>315</v>
      </c>
      <c r="E26" s="1687">
        <f t="shared" si="8"/>
        <v>1589602127</v>
      </c>
      <c r="F26" s="1688">
        <v>650</v>
      </c>
      <c r="G26" s="1688">
        <v>3258280361</v>
      </c>
      <c r="H26" s="1688">
        <v>110</v>
      </c>
      <c r="I26" s="1688">
        <v>576730477</v>
      </c>
      <c r="J26" s="1688">
        <v>1117</v>
      </c>
      <c r="K26" s="1688">
        <v>4781393526</v>
      </c>
      <c r="L26" s="1688">
        <v>205</v>
      </c>
      <c r="M26" s="1688">
        <v>1012871650</v>
      </c>
    </row>
    <row r="27" spans="1:13" x14ac:dyDescent="0.15">
      <c r="A27" s="1694">
        <v>2012</v>
      </c>
      <c r="B27" s="1687">
        <f t="shared" si="8"/>
        <v>2248</v>
      </c>
      <c r="C27" s="1687">
        <f t="shared" si="8"/>
        <v>10306171280</v>
      </c>
      <c r="D27" s="1687">
        <f t="shared" si="8"/>
        <v>200</v>
      </c>
      <c r="E27" s="1687">
        <f t="shared" si="8"/>
        <v>826930848</v>
      </c>
      <c r="F27" s="1688">
        <v>863</v>
      </c>
      <c r="G27" s="1688">
        <v>4176515925</v>
      </c>
      <c r="H27" s="1688">
        <v>75</v>
      </c>
      <c r="I27" s="1688">
        <v>300914608</v>
      </c>
      <c r="J27" s="1688">
        <v>1385</v>
      </c>
      <c r="K27" s="1688">
        <v>6129655355</v>
      </c>
      <c r="L27" s="1688">
        <v>125</v>
      </c>
      <c r="M27" s="1688">
        <v>526016240</v>
      </c>
    </row>
    <row r="28" spans="1:13" x14ac:dyDescent="0.15">
      <c r="A28" s="1694">
        <v>2013</v>
      </c>
      <c r="B28" s="1687">
        <f t="shared" si="8"/>
        <v>1781</v>
      </c>
      <c r="C28" s="1687">
        <f t="shared" si="8"/>
        <v>8061146805</v>
      </c>
      <c r="D28" s="1687">
        <f t="shared" si="8"/>
        <v>294</v>
      </c>
      <c r="E28" s="1687">
        <f t="shared" si="8"/>
        <v>1196926399</v>
      </c>
      <c r="F28" s="1688">
        <v>701</v>
      </c>
      <c r="G28" s="1688">
        <v>3511934333</v>
      </c>
      <c r="H28" s="1688">
        <v>143</v>
      </c>
      <c r="I28" s="1688">
        <v>609637825</v>
      </c>
      <c r="J28" s="1688">
        <v>1080</v>
      </c>
      <c r="K28" s="1688">
        <v>4549212472</v>
      </c>
      <c r="L28" s="1688">
        <v>151</v>
      </c>
      <c r="M28" s="1688">
        <v>587288574</v>
      </c>
    </row>
    <row r="29" spans="1:13" x14ac:dyDescent="0.15">
      <c r="A29" s="1694">
        <v>2014</v>
      </c>
      <c r="B29" s="1687">
        <f t="shared" si="8"/>
        <v>1754</v>
      </c>
      <c r="C29" s="1687">
        <f t="shared" si="8"/>
        <v>8215512176</v>
      </c>
      <c r="D29" s="1687">
        <f t="shared" si="8"/>
        <v>322</v>
      </c>
      <c r="E29" s="1687">
        <f t="shared" si="8"/>
        <v>1268540191</v>
      </c>
      <c r="F29" s="1689">
        <v>742</v>
      </c>
      <c r="G29" s="1689">
        <v>3700025568</v>
      </c>
      <c r="H29" s="1689">
        <v>137</v>
      </c>
      <c r="I29" s="1689">
        <v>531867627</v>
      </c>
      <c r="J29" s="1689">
        <v>1012</v>
      </c>
      <c r="K29" s="1689">
        <v>4515486608</v>
      </c>
      <c r="L29" s="1689">
        <v>185</v>
      </c>
      <c r="M29" s="1689">
        <v>736672564</v>
      </c>
    </row>
    <row r="30" spans="1:13" x14ac:dyDescent="0.15">
      <c r="A30" s="1694">
        <v>2015</v>
      </c>
      <c r="B30" s="1687">
        <f t="shared" si="8"/>
        <v>2778</v>
      </c>
      <c r="C30" s="1687">
        <f t="shared" si="8"/>
        <v>14495135790</v>
      </c>
      <c r="D30" s="1687">
        <f t="shared" si="8"/>
        <v>386</v>
      </c>
      <c r="E30" s="1687">
        <f t="shared" si="8"/>
        <v>1652566228</v>
      </c>
      <c r="F30" s="1689">
        <v>1099</v>
      </c>
      <c r="G30" s="1689">
        <v>6088226783</v>
      </c>
      <c r="H30" s="1689">
        <v>161</v>
      </c>
      <c r="I30" s="1689">
        <v>679917518</v>
      </c>
      <c r="J30" s="1689">
        <v>1679</v>
      </c>
      <c r="K30" s="1689">
        <v>8406909007</v>
      </c>
      <c r="L30" s="1689">
        <v>225</v>
      </c>
      <c r="M30" s="1689">
        <v>972648710</v>
      </c>
    </row>
    <row r="31" spans="1:13" x14ac:dyDescent="0.15">
      <c r="A31" s="1693" t="s">
        <v>3524</v>
      </c>
      <c r="B31" s="1687">
        <f t="shared" ref="B31:M31" si="9">SUM(B32:B36)</f>
        <v>7314</v>
      </c>
      <c r="C31" s="1687">
        <f t="shared" si="9"/>
        <v>43041206144.699997</v>
      </c>
      <c r="D31" s="1687">
        <f t="shared" si="9"/>
        <v>1386</v>
      </c>
      <c r="E31" s="1687">
        <f t="shared" si="9"/>
        <v>6783345115.8000002</v>
      </c>
      <c r="F31" s="1687">
        <f t="shared" si="9"/>
        <v>1544</v>
      </c>
      <c r="G31" s="1687">
        <f t="shared" si="9"/>
        <v>9491582848</v>
      </c>
      <c r="H31" s="1687">
        <f t="shared" si="9"/>
        <v>332</v>
      </c>
      <c r="I31" s="1687">
        <f t="shared" si="9"/>
        <v>1652458031.4000001</v>
      </c>
      <c r="J31" s="1687">
        <f t="shared" si="9"/>
        <v>5770</v>
      </c>
      <c r="K31" s="1687">
        <f t="shared" si="9"/>
        <v>33549623296.700001</v>
      </c>
      <c r="L31" s="1687">
        <f t="shared" si="9"/>
        <v>1054</v>
      </c>
      <c r="M31" s="1687">
        <f t="shared" si="9"/>
        <v>5130887084.3999996</v>
      </c>
    </row>
    <row r="32" spans="1:13" x14ac:dyDescent="0.15">
      <c r="A32" s="1694">
        <v>2011</v>
      </c>
      <c r="B32" s="1687">
        <f t="shared" ref="B32:E36" si="10">SUM(F32+J32)</f>
        <v>1000</v>
      </c>
      <c r="C32" s="1687">
        <f t="shared" si="10"/>
        <v>4681501685.6999998</v>
      </c>
      <c r="D32" s="1687">
        <f t="shared" si="10"/>
        <v>231</v>
      </c>
      <c r="E32" s="1687">
        <f t="shared" si="10"/>
        <v>1050907860.7</v>
      </c>
      <c r="F32" s="1688">
        <v>197</v>
      </c>
      <c r="G32" s="1688">
        <v>949706258</v>
      </c>
      <c r="H32" s="1688">
        <v>47</v>
      </c>
      <c r="I32" s="1688">
        <v>200284343</v>
      </c>
      <c r="J32" s="1688">
        <v>803</v>
      </c>
      <c r="K32" s="1688">
        <v>3731795427.6999998</v>
      </c>
      <c r="L32" s="1688">
        <v>184</v>
      </c>
      <c r="M32" s="1688">
        <v>850623517.70000005</v>
      </c>
    </row>
    <row r="33" spans="1:13" x14ac:dyDescent="0.15">
      <c r="A33" s="1694">
        <v>2012</v>
      </c>
      <c r="B33" s="1687">
        <f t="shared" si="10"/>
        <v>1385</v>
      </c>
      <c r="C33" s="1687">
        <f t="shared" si="10"/>
        <v>8227521959</v>
      </c>
      <c r="D33" s="1687">
        <f t="shared" si="10"/>
        <v>239</v>
      </c>
      <c r="E33" s="1687">
        <f t="shared" si="10"/>
        <v>1210872308</v>
      </c>
      <c r="F33" s="1688">
        <v>313</v>
      </c>
      <c r="G33" s="1688">
        <v>1841943624</v>
      </c>
      <c r="H33" s="1688">
        <v>67</v>
      </c>
      <c r="I33" s="1688">
        <v>331056343</v>
      </c>
      <c r="J33" s="1688">
        <v>1072</v>
      </c>
      <c r="K33" s="1688">
        <v>6385578335</v>
      </c>
      <c r="L33" s="1688">
        <v>172</v>
      </c>
      <c r="M33" s="1688">
        <v>879815965</v>
      </c>
    </row>
    <row r="34" spans="1:13" x14ac:dyDescent="0.15">
      <c r="A34" s="1694">
        <v>2013</v>
      </c>
      <c r="B34" s="1687">
        <f t="shared" si="10"/>
        <v>1446</v>
      </c>
      <c r="C34" s="1687">
        <f t="shared" si="10"/>
        <v>9440446359</v>
      </c>
      <c r="D34" s="1687">
        <f t="shared" si="10"/>
        <v>269</v>
      </c>
      <c r="E34" s="1687">
        <f t="shared" si="10"/>
        <v>1385119981</v>
      </c>
      <c r="F34" s="1688">
        <v>311</v>
      </c>
      <c r="G34" s="1688">
        <v>2042762302</v>
      </c>
      <c r="H34" s="1688">
        <v>65</v>
      </c>
      <c r="I34" s="1688">
        <v>345578406</v>
      </c>
      <c r="J34" s="1688">
        <v>1135</v>
      </c>
      <c r="K34" s="1688">
        <v>7397684057</v>
      </c>
      <c r="L34" s="1688">
        <v>204</v>
      </c>
      <c r="M34" s="1688">
        <v>1039541575</v>
      </c>
    </row>
    <row r="35" spans="1:13" x14ac:dyDescent="0.15">
      <c r="A35" s="1694">
        <v>2014</v>
      </c>
      <c r="B35" s="1687">
        <f t="shared" si="10"/>
        <v>1625</v>
      </c>
      <c r="C35" s="1687">
        <f t="shared" si="10"/>
        <v>9207159757</v>
      </c>
      <c r="D35" s="1687">
        <f t="shared" si="10"/>
        <v>346</v>
      </c>
      <c r="E35" s="1687">
        <f t="shared" si="10"/>
        <v>1667207894.1000004</v>
      </c>
      <c r="F35" s="1689">
        <v>334</v>
      </c>
      <c r="G35" s="1689">
        <v>2158169795</v>
      </c>
      <c r="H35" s="1689">
        <v>87</v>
      </c>
      <c r="I35" s="1689">
        <v>456506415.40000004</v>
      </c>
      <c r="J35" s="1689">
        <v>1291</v>
      </c>
      <c r="K35" s="1689">
        <v>7048989962</v>
      </c>
      <c r="L35" s="1689">
        <v>259</v>
      </c>
      <c r="M35" s="1689">
        <v>1210701478.7000003</v>
      </c>
    </row>
    <row r="36" spans="1:13" x14ac:dyDescent="0.15">
      <c r="A36" s="1694">
        <v>2015</v>
      </c>
      <c r="B36" s="1687">
        <f t="shared" si="10"/>
        <v>1858</v>
      </c>
      <c r="C36" s="1687">
        <f t="shared" si="10"/>
        <v>11484576384</v>
      </c>
      <c r="D36" s="1687">
        <f t="shared" si="10"/>
        <v>301</v>
      </c>
      <c r="E36" s="1687">
        <f t="shared" si="10"/>
        <v>1469237072</v>
      </c>
      <c r="F36" s="1689">
        <v>389</v>
      </c>
      <c r="G36" s="1689">
        <v>2499000869</v>
      </c>
      <c r="H36" s="1689">
        <v>66</v>
      </c>
      <c r="I36" s="1689">
        <v>319032524</v>
      </c>
      <c r="J36" s="1689">
        <v>1469</v>
      </c>
      <c r="K36" s="1689">
        <v>8985575515</v>
      </c>
      <c r="L36" s="1689">
        <v>235</v>
      </c>
      <c r="M36" s="1689">
        <v>1150204548</v>
      </c>
    </row>
    <row r="37" spans="1:13" x14ac:dyDescent="0.15">
      <c r="A37" s="1693" t="s">
        <v>3488</v>
      </c>
      <c r="B37" s="1687">
        <f t="shared" ref="B37:M37" si="11">SUM(B38:B42)</f>
        <v>4844</v>
      </c>
      <c r="C37" s="1687">
        <f t="shared" si="11"/>
        <v>41689136124</v>
      </c>
      <c r="D37" s="1687">
        <f t="shared" si="11"/>
        <v>664</v>
      </c>
      <c r="E37" s="1687">
        <f t="shared" si="11"/>
        <v>5355876585.21</v>
      </c>
      <c r="F37" s="1687">
        <f t="shared" si="11"/>
        <v>1488</v>
      </c>
      <c r="G37" s="1687">
        <f t="shared" si="11"/>
        <v>12737346261</v>
      </c>
      <c r="H37" s="1687">
        <f t="shared" si="11"/>
        <v>232</v>
      </c>
      <c r="I37" s="1687">
        <f t="shared" si="11"/>
        <v>1814912799.3299999</v>
      </c>
      <c r="J37" s="1687">
        <f t="shared" si="11"/>
        <v>3356</v>
      </c>
      <c r="K37" s="1687">
        <f t="shared" si="11"/>
        <v>28951789863</v>
      </c>
      <c r="L37" s="1687">
        <f t="shared" si="11"/>
        <v>432</v>
      </c>
      <c r="M37" s="1687">
        <f t="shared" si="11"/>
        <v>3540963785.8800001</v>
      </c>
    </row>
    <row r="38" spans="1:13" x14ac:dyDescent="0.15">
      <c r="A38" s="1694">
        <v>2011</v>
      </c>
      <c r="B38" s="1687">
        <f t="shared" ref="B38:E42" si="12">SUM(F38+J38)</f>
        <v>520</v>
      </c>
      <c r="C38" s="1687">
        <f t="shared" si="12"/>
        <v>3896876585</v>
      </c>
      <c r="D38" s="1687">
        <f t="shared" si="12"/>
        <v>106</v>
      </c>
      <c r="E38" s="1687">
        <f t="shared" si="12"/>
        <v>751403424</v>
      </c>
      <c r="F38" s="1688">
        <v>164</v>
      </c>
      <c r="G38" s="1688">
        <v>1091871149</v>
      </c>
      <c r="H38" s="1688">
        <v>32</v>
      </c>
      <c r="I38" s="1688">
        <v>227610287</v>
      </c>
      <c r="J38" s="1688">
        <v>356</v>
      </c>
      <c r="K38" s="1688">
        <v>2805005436</v>
      </c>
      <c r="L38" s="1688">
        <v>74</v>
      </c>
      <c r="M38" s="1688">
        <v>523793137</v>
      </c>
    </row>
    <row r="39" spans="1:13" x14ac:dyDescent="0.15">
      <c r="A39" s="1694">
        <v>2012</v>
      </c>
      <c r="B39" s="1687">
        <f t="shared" si="12"/>
        <v>973</v>
      </c>
      <c r="C39" s="1687">
        <f t="shared" si="12"/>
        <v>6665808280</v>
      </c>
      <c r="D39" s="1687">
        <f t="shared" si="12"/>
        <v>71</v>
      </c>
      <c r="E39" s="1687">
        <f t="shared" si="12"/>
        <v>737989258</v>
      </c>
      <c r="F39" s="1688">
        <v>298</v>
      </c>
      <c r="G39" s="1688">
        <v>2098732820</v>
      </c>
      <c r="H39" s="1688">
        <v>28</v>
      </c>
      <c r="I39" s="1688">
        <v>252480305</v>
      </c>
      <c r="J39" s="1688">
        <v>675</v>
      </c>
      <c r="K39" s="1688">
        <v>4567075460</v>
      </c>
      <c r="L39" s="1688">
        <v>43</v>
      </c>
      <c r="M39" s="1688">
        <v>485508953</v>
      </c>
    </row>
    <row r="40" spans="1:13" x14ac:dyDescent="0.15">
      <c r="A40" s="1694">
        <v>2013</v>
      </c>
      <c r="B40" s="1687">
        <f t="shared" si="12"/>
        <v>902</v>
      </c>
      <c r="C40" s="1687">
        <f t="shared" si="12"/>
        <v>9205328598</v>
      </c>
      <c r="D40" s="1687">
        <f t="shared" si="12"/>
        <v>116</v>
      </c>
      <c r="E40" s="1687">
        <f t="shared" si="12"/>
        <v>1007982440</v>
      </c>
      <c r="F40" s="1688">
        <v>269</v>
      </c>
      <c r="G40" s="1688">
        <v>2826586012</v>
      </c>
      <c r="H40" s="1688">
        <v>39</v>
      </c>
      <c r="I40" s="1688">
        <v>340166636</v>
      </c>
      <c r="J40" s="1688">
        <v>633</v>
      </c>
      <c r="K40" s="1688">
        <v>6378742586</v>
      </c>
      <c r="L40" s="1688">
        <v>77</v>
      </c>
      <c r="M40" s="1688">
        <v>667815804</v>
      </c>
    </row>
    <row r="41" spans="1:13" x14ac:dyDescent="0.15">
      <c r="A41" s="1694">
        <v>2014</v>
      </c>
      <c r="B41" s="1687">
        <f t="shared" si="12"/>
        <v>947</v>
      </c>
      <c r="C41" s="1687">
        <f t="shared" si="12"/>
        <v>8976581363</v>
      </c>
      <c r="D41" s="1687">
        <f t="shared" si="12"/>
        <v>166</v>
      </c>
      <c r="E41" s="1687">
        <f t="shared" si="12"/>
        <v>1415090565</v>
      </c>
      <c r="F41" s="1689">
        <v>286</v>
      </c>
      <c r="G41" s="1689">
        <v>2755333462</v>
      </c>
      <c r="H41" s="1689">
        <v>50</v>
      </c>
      <c r="I41" s="1689">
        <v>492011060</v>
      </c>
      <c r="J41" s="1689">
        <v>661</v>
      </c>
      <c r="K41" s="1689">
        <v>6221247901</v>
      </c>
      <c r="L41" s="1689">
        <v>116</v>
      </c>
      <c r="M41" s="1689">
        <v>923079505</v>
      </c>
    </row>
    <row r="42" spans="1:13" x14ac:dyDescent="0.15">
      <c r="A42" s="1694">
        <v>2015</v>
      </c>
      <c r="B42" s="1687">
        <f t="shared" si="12"/>
        <v>1502</v>
      </c>
      <c r="C42" s="1687">
        <f t="shared" si="12"/>
        <v>12944541298</v>
      </c>
      <c r="D42" s="1687">
        <f t="shared" si="12"/>
        <v>205</v>
      </c>
      <c r="E42" s="1687">
        <f t="shared" si="12"/>
        <v>1443410898.21</v>
      </c>
      <c r="F42" s="1689">
        <v>471</v>
      </c>
      <c r="G42" s="1689">
        <v>3964822818</v>
      </c>
      <c r="H42" s="1689">
        <v>83</v>
      </c>
      <c r="I42" s="1689">
        <v>502644511.32999998</v>
      </c>
      <c r="J42" s="1689">
        <v>1031</v>
      </c>
      <c r="K42" s="1689">
        <v>8979718480</v>
      </c>
      <c r="L42" s="1689">
        <v>122</v>
      </c>
      <c r="M42" s="1689">
        <v>940766386.88</v>
      </c>
    </row>
    <row r="43" spans="1:13" ht="12" customHeight="1" x14ac:dyDescent="0.15">
      <c r="A43" s="2985"/>
      <c r="B43" s="3478"/>
      <c r="C43" s="3478"/>
      <c r="D43" s="3478"/>
      <c r="E43" s="3478"/>
      <c r="F43" s="3478"/>
      <c r="G43" s="3478"/>
      <c r="H43" s="3478"/>
      <c r="I43" s="3478"/>
      <c r="J43" s="3478"/>
      <c r="K43" s="3478"/>
      <c r="L43" s="3478"/>
      <c r="M43" s="3478"/>
    </row>
    <row r="44" spans="1:13" s="946" customFormat="1" x14ac:dyDescent="0.15">
      <c r="A44" s="2985" t="s">
        <v>1634</v>
      </c>
      <c r="B44" s="2986"/>
      <c r="C44" s="2986"/>
      <c r="D44" s="2986"/>
      <c r="E44" s="2986"/>
      <c r="F44" s="2986"/>
      <c r="G44" s="2986"/>
      <c r="H44" s="2986"/>
      <c r="I44" s="2986"/>
      <c r="J44" s="2986"/>
      <c r="K44" s="2986"/>
      <c r="L44" s="2986"/>
      <c r="M44" s="2986"/>
    </row>
    <row r="45" spans="1:13" s="946" customFormat="1" x14ac:dyDescent="0.15"/>
  </sheetData>
  <mergeCells count="14">
    <mergeCell ref="J5:K5"/>
    <mergeCell ref="L5:M5"/>
    <mergeCell ref="A43:M43"/>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pageSetUpPr fitToPage="1"/>
  </sheetPr>
  <dimension ref="A1:H31"/>
  <sheetViews>
    <sheetView zoomScaleNormal="100" workbookViewId="0">
      <selection activeCell="D34" sqref="D34"/>
    </sheetView>
  </sheetViews>
  <sheetFormatPr baseColWidth="10" defaultRowHeight="10.5" x14ac:dyDescent="0.15"/>
  <cols>
    <col min="1" max="1" width="40.42578125" style="2246" bestFit="1" customWidth="1"/>
    <col min="2" max="2" width="16.42578125" style="2246" customWidth="1"/>
    <col min="3" max="3" width="24.85546875" style="2246" customWidth="1"/>
    <col min="4" max="4" width="24.28515625" style="2246" customWidth="1"/>
    <col min="5" max="5" width="21.85546875" style="2246" customWidth="1"/>
    <col min="6" max="6" width="16.85546875" style="2246" customWidth="1"/>
    <col min="7" max="7" width="43.42578125" style="2246" bestFit="1" customWidth="1"/>
    <col min="8" max="16384" width="11.42578125" style="2246"/>
  </cols>
  <sheetData>
    <row r="1" spans="1:8" ht="7.5" customHeight="1" x14ac:dyDescent="0.15"/>
    <row r="2" spans="1:8" ht="26.25" customHeight="1" x14ac:dyDescent="0.15">
      <c r="A2" s="3485" t="s">
        <v>3526</v>
      </c>
      <c r="B2" s="3485"/>
      <c r="C2" s="3485"/>
      <c r="D2" s="3485"/>
      <c r="E2" s="3485"/>
      <c r="F2" s="2247"/>
      <c r="G2" s="2247"/>
    </row>
    <row r="3" spans="1:8" ht="14.25" customHeight="1" x14ac:dyDescent="0.15">
      <c r="A3" s="3486"/>
      <c r="B3" s="3486"/>
      <c r="C3" s="3486"/>
      <c r="D3" s="3486"/>
      <c r="E3" s="3486"/>
      <c r="F3" s="3486"/>
    </row>
    <row r="4" spans="1:8" ht="32.25" x14ac:dyDescent="0.15">
      <c r="A4" s="2248" t="s">
        <v>3527</v>
      </c>
      <c r="B4" s="2248" t="s">
        <v>3528</v>
      </c>
      <c r="C4" s="2248" t="s">
        <v>4288</v>
      </c>
      <c r="D4" s="2248" t="s">
        <v>3529</v>
      </c>
      <c r="E4" s="2248" t="s">
        <v>4289</v>
      </c>
    </row>
    <row r="5" spans="1:8" ht="11.25" x14ac:dyDescent="0.15">
      <c r="A5" s="2249" t="s">
        <v>4290</v>
      </c>
      <c r="B5" s="2250">
        <v>517721.33333333331</v>
      </c>
      <c r="C5" s="2251">
        <v>1</v>
      </c>
      <c r="D5" s="2250">
        <v>5647982.333333334</v>
      </c>
      <c r="E5" s="2251">
        <v>1</v>
      </c>
      <c r="G5" s="2252"/>
    </row>
    <row r="6" spans="1:8" ht="11.25" x14ac:dyDescent="0.15">
      <c r="A6" s="2249" t="s">
        <v>4291</v>
      </c>
      <c r="B6" s="2250">
        <v>15811</v>
      </c>
      <c r="C6" s="2253">
        <v>3.0539595303522359E-2</v>
      </c>
      <c r="D6" s="2250">
        <v>120617.99999999923</v>
      </c>
      <c r="E6" s="2253">
        <v>2.1355944987315981E-2</v>
      </c>
    </row>
    <row r="7" spans="1:8" ht="11.25" x14ac:dyDescent="0.15">
      <c r="A7" s="2254" t="s">
        <v>4292</v>
      </c>
      <c r="B7" s="2255">
        <v>116</v>
      </c>
      <c r="C7" s="2256">
        <v>2.2405876005367108E-4</v>
      </c>
      <c r="D7" s="2255">
        <v>1926.6666666666667</v>
      </c>
      <c r="E7" s="2256">
        <v>3.4112476862681405E-4</v>
      </c>
    </row>
    <row r="8" spans="1:8" ht="11.25" x14ac:dyDescent="0.15">
      <c r="A8" s="2254" t="s">
        <v>4293</v>
      </c>
      <c r="B8" s="2255">
        <v>820</v>
      </c>
      <c r="C8" s="2256">
        <v>1.5838636486552613E-3</v>
      </c>
      <c r="D8" s="2255">
        <v>1265.5000000000014</v>
      </c>
      <c r="E8" s="2256">
        <v>2.2406231558679945E-4</v>
      </c>
    </row>
    <row r="9" spans="1:8" ht="11.25" x14ac:dyDescent="0.15">
      <c r="A9" s="2254" t="s">
        <v>4294</v>
      </c>
      <c r="B9" s="2255">
        <v>684</v>
      </c>
      <c r="C9" s="2256">
        <v>1.3211740679026814E-3</v>
      </c>
      <c r="D9" s="2255">
        <v>4608.7500000000009</v>
      </c>
      <c r="E9" s="2256">
        <v>8.1599936543710872E-4</v>
      </c>
    </row>
    <row r="10" spans="1:8" ht="11.25" x14ac:dyDescent="0.15">
      <c r="A10" s="2254" t="s">
        <v>4295</v>
      </c>
      <c r="B10" s="2255">
        <v>210</v>
      </c>
      <c r="C10" s="2256">
        <v>4.0562361733854251E-4</v>
      </c>
      <c r="D10" s="2255">
        <v>2365.1666666666674</v>
      </c>
      <c r="E10" s="2256">
        <v>4.1876311345874734E-4</v>
      </c>
    </row>
    <row r="11" spans="1:8" ht="11.25" x14ac:dyDescent="0.15">
      <c r="A11" s="2254" t="s">
        <v>4296</v>
      </c>
      <c r="B11" s="2255">
        <v>894</v>
      </c>
      <c r="C11" s="2256">
        <v>1.7267976852412238E-3</v>
      </c>
      <c r="D11" s="2255">
        <v>5525.5833333333303</v>
      </c>
      <c r="E11" s="2256">
        <v>9.7832872116514463E-4</v>
      </c>
    </row>
    <row r="12" spans="1:8" ht="11.25" x14ac:dyDescent="0.15">
      <c r="A12" s="2254" t="s">
        <v>4297</v>
      </c>
      <c r="B12" s="2255">
        <v>1892</v>
      </c>
      <c r="C12" s="2256">
        <v>3.6544756381167733E-3</v>
      </c>
      <c r="D12" s="2255">
        <v>17659.916666666624</v>
      </c>
      <c r="E12" s="2256">
        <v>3.1267655641274059E-3</v>
      </c>
    </row>
    <row r="13" spans="1:8" ht="11.25" x14ac:dyDescent="0.15">
      <c r="A13" s="2254" t="s">
        <v>4298</v>
      </c>
      <c r="B13" s="2255">
        <v>1133</v>
      </c>
      <c r="C13" s="2256">
        <v>2.1884359925931842E-3</v>
      </c>
      <c r="D13" s="2255">
        <v>15562.333333333338</v>
      </c>
      <c r="E13" s="2256">
        <v>2.7553792513633339E-3</v>
      </c>
    </row>
    <row r="14" spans="1:8" ht="11.25" x14ac:dyDescent="0.15">
      <c r="A14" s="2254" t="s">
        <v>4299</v>
      </c>
      <c r="B14" s="2255">
        <v>6554</v>
      </c>
      <c r="C14" s="2256">
        <v>1.2659319943032417E-2</v>
      </c>
      <c r="D14" s="2255">
        <v>48861.166666667021</v>
      </c>
      <c r="E14" s="2256">
        <v>8.6510834813164281E-3</v>
      </c>
    </row>
    <row r="15" spans="1:8" ht="11.25" x14ac:dyDescent="0.15">
      <c r="A15" s="2254" t="s">
        <v>4300</v>
      </c>
      <c r="B15" s="2255">
        <v>2667</v>
      </c>
      <c r="C15" s="2256">
        <v>5.1514199401994894E-3</v>
      </c>
      <c r="D15" s="2255">
        <v>13501.833333333347</v>
      </c>
      <c r="E15" s="2256">
        <v>2.3905587051234307E-3</v>
      </c>
    </row>
    <row r="16" spans="1:8" ht="11.25" x14ac:dyDescent="0.15">
      <c r="A16" s="2254" t="s">
        <v>4301</v>
      </c>
      <c r="B16" s="2255">
        <v>841</v>
      </c>
      <c r="C16" s="2256">
        <v>1.6244260103891153E-3</v>
      </c>
      <c r="D16" s="2255">
        <v>9341.0833333333339</v>
      </c>
      <c r="E16" s="2256">
        <v>1.6538797011109629E-3</v>
      </c>
      <c r="G16" s="2250"/>
      <c r="H16" s="2250"/>
    </row>
    <row r="18" spans="1:6" ht="15" customHeight="1" x14ac:dyDescent="0.15">
      <c r="A18" s="3487" t="s">
        <v>4302</v>
      </c>
      <c r="B18" s="3487"/>
      <c r="C18" s="3487"/>
      <c r="D18" s="3487"/>
      <c r="E18" s="3487"/>
      <c r="F18" s="2257"/>
    </row>
    <row r="19" spans="1:6" ht="22.5" customHeight="1" x14ac:dyDescent="0.15">
      <c r="A19" s="3487" t="s">
        <v>4303</v>
      </c>
      <c r="B19" s="3487"/>
      <c r="C19" s="3487"/>
      <c r="D19" s="3487"/>
      <c r="E19" s="3487"/>
      <c r="F19" s="2257"/>
    </row>
    <row r="20" spans="1:6" ht="52.5" customHeight="1" x14ac:dyDescent="0.15">
      <c r="A20" s="3488" t="s">
        <v>4304</v>
      </c>
      <c r="B20" s="3488"/>
      <c r="C20" s="3488"/>
      <c r="D20" s="3488"/>
      <c r="E20" s="3488"/>
      <c r="F20" s="2257"/>
    </row>
    <row r="21" spans="1:6" ht="15" customHeight="1" x14ac:dyDescent="0.15">
      <c r="A21" s="3484" t="s">
        <v>4305</v>
      </c>
      <c r="B21" s="3484"/>
      <c r="C21" s="3484"/>
      <c r="D21" s="3484"/>
      <c r="E21" s="3484"/>
      <c r="F21" s="2257"/>
    </row>
    <row r="22" spans="1:6" ht="15" customHeight="1" x14ac:dyDescent="0.15">
      <c r="A22" s="3488" t="s">
        <v>4306</v>
      </c>
      <c r="B22" s="3488"/>
      <c r="C22" s="3488"/>
      <c r="D22" s="3488"/>
      <c r="E22" s="3488"/>
      <c r="F22" s="2257"/>
    </row>
    <row r="23" spans="1:6" ht="41.25" customHeight="1" x14ac:dyDescent="0.15">
      <c r="A23" s="3488" t="s">
        <v>4307</v>
      </c>
      <c r="B23" s="3488"/>
      <c r="C23" s="3488"/>
      <c r="D23" s="3488"/>
      <c r="E23" s="3488"/>
      <c r="F23" s="2257"/>
    </row>
    <row r="24" spans="1:6" ht="22.5" customHeight="1" x14ac:dyDescent="0.15">
      <c r="A24" s="3488" t="s">
        <v>4308</v>
      </c>
      <c r="B24" s="3488"/>
      <c r="C24" s="3488"/>
      <c r="D24" s="3488"/>
      <c r="E24" s="3488"/>
      <c r="F24" s="2257"/>
    </row>
    <row r="25" spans="1:6" ht="52.5" customHeight="1" x14ac:dyDescent="0.15">
      <c r="A25" s="3488" t="s">
        <v>4309</v>
      </c>
      <c r="B25" s="3488"/>
      <c r="C25" s="3488"/>
      <c r="D25" s="3488"/>
      <c r="E25" s="3488"/>
      <c r="F25" s="2258"/>
    </row>
    <row r="26" spans="1:6" ht="33.75" customHeight="1" x14ac:dyDescent="0.15">
      <c r="A26" s="3488" t="s">
        <v>4310</v>
      </c>
      <c r="B26" s="3488"/>
      <c r="C26" s="3488"/>
      <c r="D26" s="3488"/>
      <c r="E26" s="3488"/>
      <c r="F26" s="2257"/>
    </row>
    <row r="27" spans="1:6" ht="63.75" customHeight="1" x14ac:dyDescent="0.15">
      <c r="A27" s="3488" t="s">
        <v>4311</v>
      </c>
      <c r="B27" s="3488"/>
      <c r="C27" s="3488"/>
      <c r="D27" s="3488"/>
      <c r="E27" s="3488"/>
      <c r="F27" s="2257"/>
    </row>
    <row r="28" spans="1:6" ht="22.5" customHeight="1" x14ac:dyDescent="0.15">
      <c r="A28" s="3488" t="s">
        <v>4312</v>
      </c>
      <c r="B28" s="3488"/>
      <c r="C28" s="3488"/>
      <c r="D28" s="3488"/>
      <c r="E28" s="3488"/>
      <c r="F28" s="2257"/>
    </row>
    <row r="29" spans="1:6" ht="22.5" customHeight="1" x14ac:dyDescent="0.15">
      <c r="A29" s="3488" t="s">
        <v>4313</v>
      </c>
      <c r="B29" s="3488"/>
      <c r="C29" s="3488"/>
      <c r="D29" s="3488"/>
      <c r="E29" s="3488"/>
      <c r="F29" s="2257"/>
    </row>
    <row r="30" spans="1:6" ht="22.5" customHeight="1" x14ac:dyDescent="0.15">
      <c r="A30" s="3488" t="s">
        <v>4314</v>
      </c>
      <c r="B30" s="3488"/>
      <c r="C30" s="3488"/>
      <c r="D30" s="3488"/>
      <c r="E30" s="3488"/>
      <c r="F30" s="2257"/>
    </row>
    <row r="31" spans="1:6" ht="33.75" customHeight="1" x14ac:dyDescent="0.15">
      <c r="A31" s="3489" t="s">
        <v>3530</v>
      </c>
      <c r="B31" s="3489"/>
      <c r="C31" s="3489"/>
      <c r="D31" s="3489"/>
      <c r="E31" s="3489"/>
      <c r="F31" s="2257"/>
    </row>
  </sheetData>
  <mergeCells count="16">
    <mergeCell ref="A28:E28"/>
    <mergeCell ref="A29:E29"/>
    <mergeCell ref="A30:E30"/>
    <mergeCell ref="A31:E31"/>
    <mergeCell ref="A22:E22"/>
    <mergeCell ref="A23:E23"/>
    <mergeCell ref="A24:E24"/>
    <mergeCell ref="A25:E25"/>
    <mergeCell ref="A26:E26"/>
    <mergeCell ref="A27:E27"/>
    <mergeCell ref="A21:E21"/>
    <mergeCell ref="A2:E2"/>
    <mergeCell ref="A3:F3"/>
    <mergeCell ref="A18:E18"/>
    <mergeCell ref="A19:E19"/>
    <mergeCell ref="A20:E20"/>
  </mergeCells>
  <pageMargins left="0.70866141732283472" right="0.70866141732283472" top="0.74803149606299213" bottom="0.74803149606299213" header="0.31496062992125984" footer="0.31496062992125984"/>
  <pageSetup paperSize="9"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pageSetUpPr fitToPage="1"/>
  </sheetPr>
  <dimension ref="A2:K47"/>
  <sheetViews>
    <sheetView zoomScaleNormal="100" workbookViewId="0">
      <selection activeCell="G48" sqref="G48"/>
    </sheetView>
  </sheetViews>
  <sheetFormatPr baseColWidth="10" defaultRowHeight="10.5" x14ac:dyDescent="0.15"/>
  <cols>
    <col min="1" max="1" width="35" style="2262" customWidth="1"/>
    <col min="2" max="2" width="13.85546875" style="2262" customWidth="1"/>
    <col min="3" max="3" width="27" style="2262" customWidth="1"/>
    <col min="4" max="4" width="24.28515625" style="2262" customWidth="1"/>
    <col min="5" max="5" width="19" style="2262" customWidth="1"/>
    <col min="6" max="6" width="13.5703125" style="2262" bestFit="1" customWidth="1"/>
    <col min="7" max="7" width="43.42578125" style="2262" bestFit="1" customWidth="1"/>
    <col min="8" max="8" width="13.5703125" style="2262" bestFit="1" customWidth="1"/>
    <col min="9" max="16384" width="11.42578125" style="2262"/>
  </cols>
  <sheetData>
    <row r="2" spans="1:6" ht="37.5" customHeight="1" x14ac:dyDescent="0.15">
      <c r="A2" s="3494" t="s">
        <v>3531</v>
      </c>
      <c r="B2" s="3494"/>
      <c r="C2" s="3494"/>
      <c r="D2" s="3494"/>
      <c r="E2" s="3494"/>
    </row>
    <row r="3" spans="1:6" ht="9.75" customHeight="1" x14ac:dyDescent="0.15">
      <c r="A3" s="2263"/>
      <c r="B3" s="2263"/>
      <c r="C3" s="2263"/>
      <c r="D3" s="2263"/>
      <c r="E3" s="2263"/>
    </row>
    <row r="4" spans="1:6" ht="26.25" customHeight="1" x14ac:dyDescent="0.15">
      <c r="A4" s="2264" t="s">
        <v>2858</v>
      </c>
      <c r="B4" s="2264" t="s">
        <v>4315</v>
      </c>
      <c r="C4" s="2264" t="s">
        <v>4316</v>
      </c>
      <c r="D4" s="2264" t="s">
        <v>3532</v>
      </c>
      <c r="E4" s="2264" t="s">
        <v>4317</v>
      </c>
    </row>
    <row r="5" spans="1:6" x14ac:dyDescent="0.15">
      <c r="A5" s="2265" t="s">
        <v>141</v>
      </c>
      <c r="B5" s="2266">
        <v>15811</v>
      </c>
      <c r="C5" s="2266">
        <v>120617.99999999945</v>
      </c>
      <c r="D5" s="2267">
        <v>7.6287394851685182</v>
      </c>
      <c r="E5" s="2266">
        <v>669890.67274646868</v>
      </c>
    </row>
    <row r="6" spans="1:6" x14ac:dyDescent="0.15">
      <c r="A6" s="2265" t="s">
        <v>2906</v>
      </c>
      <c r="B6" s="2266">
        <v>116</v>
      </c>
      <c r="C6" s="2266">
        <v>1926.6666666666667</v>
      </c>
      <c r="D6" s="2267">
        <v>16.609195402298852</v>
      </c>
      <c r="E6" s="2266">
        <v>619000.38819204143</v>
      </c>
      <c r="F6" s="2268"/>
    </row>
    <row r="7" spans="1:6" x14ac:dyDescent="0.15">
      <c r="A7" s="2269" t="s">
        <v>2906</v>
      </c>
      <c r="B7" s="2270">
        <v>116</v>
      </c>
      <c r="C7" s="2270">
        <v>1926.6666666666667</v>
      </c>
      <c r="D7" s="2271">
        <v>16.609195402298852</v>
      </c>
      <c r="E7" s="2270">
        <v>619000.38819204143</v>
      </c>
    </row>
    <row r="8" spans="1:6" x14ac:dyDescent="0.15">
      <c r="A8" s="2265" t="s">
        <v>3533</v>
      </c>
      <c r="B8" s="2266">
        <v>820</v>
      </c>
      <c r="C8" s="2266">
        <v>1265.5000000000014</v>
      </c>
      <c r="D8" s="2267">
        <v>1.543292682926831</v>
      </c>
      <c r="E8" s="2266">
        <v>331180.87659686501</v>
      </c>
      <c r="F8" s="2268"/>
    </row>
    <row r="9" spans="1:6" x14ac:dyDescent="0.15">
      <c r="A9" s="2269" t="s">
        <v>1199</v>
      </c>
      <c r="B9" s="2270">
        <v>820</v>
      </c>
      <c r="C9" s="2270">
        <v>1265.5000000000014</v>
      </c>
      <c r="D9" s="2271">
        <v>1.543292682926831</v>
      </c>
      <c r="E9" s="2270">
        <v>331180.87659686501</v>
      </c>
    </row>
    <row r="10" spans="1:6" x14ac:dyDescent="0.15">
      <c r="A10" s="2265" t="s">
        <v>2851</v>
      </c>
      <c r="B10" s="2266">
        <v>684</v>
      </c>
      <c r="C10" s="2266">
        <v>4608.7500000000064</v>
      </c>
      <c r="D10" s="2267">
        <v>6.7379385964912375</v>
      </c>
      <c r="E10" s="2266">
        <v>566376.50691619143</v>
      </c>
      <c r="F10" s="2268"/>
    </row>
    <row r="11" spans="1:6" x14ac:dyDescent="0.15">
      <c r="A11" s="2269" t="s">
        <v>2851</v>
      </c>
      <c r="B11" s="2270">
        <v>132</v>
      </c>
      <c r="C11" s="2270">
        <v>474.83333333333371</v>
      </c>
      <c r="D11" s="2271">
        <v>3.597222222222225</v>
      </c>
      <c r="E11" s="2270">
        <v>624453.55896805844</v>
      </c>
    </row>
    <row r="12" spans="1:6" x14ac:dyDescent="0.15">
      <c r="A12" s="2269" t="s">
        <v>3534</v>
      </c>
      <c r="B12" s="2270">
        <v>23</v>
      </c>
      <c r="C12" s="2270">
        <v>1081.0833333333337</v>
      </c>
      <c r="D12" s="2271">
        <v>47.003623188405811</v>
      </c>
      <c r="E12" s="2270">
        <v>706126.03198951669</v>
      </c>
    </row>
    <row r="13" spans="1:6" x14ac:dyDescent="0.15">
      <c r="A13" s="2269" t="s">
        <v>2881</v>
      </c>
      <c r="B13" s="2270">
        <v>529</v>
      </c>
      <c r="C13" s="2270">
        <v>3052.8333333333312</v>
      </c>
      <c r="D13" s="2271">
        <v>5.7709514807813447</v>
      </c>
      <c r="E13" s="2270">
        <v>507854.54285636311</v>
      </c>
    </row>
    <row r="14" spans="1:6" x14ac:dyDescent="0.15">
      <c r="A14" s="2265" t="s">
        <v>2870</v>
      </c>
      <c r="B14" s="2266">
        <v>210</v>
      </c>
      <c r="C14" s="2266">
        <v>2365.1666666666661</v>
      </c>
      <c r="D14" s="2267">
        <v>11.262698412698409</v>
      </c>
      <c r="E14" s="2266">
        <v>955761.54368966259</v>
      </c>
      <c r="F14" s="2268"/>
    </row>
    <row r="15" spans="1:6" x14ac:dyDescent="0.15">
      <c r="A15" s="2269" t="s">
        <v>2871</v>
      </c>
      <c r="B15" s="2270">
        <v>22</v>
      </c>
      <c r="C15" s="2270">
        <v>120.91666666666664</v>
      </c>
      <c r="D15" s="2271">
        <v>5.4962121212121202</v>
      </c>
      <c r="E15" s="2270">
        <v>223525.6099241903</v>
      </c>
    </row>
    <row r="16" spans="1:6" x14ac:dyDescent="0.15">
      <c r="A16" s="2269" t="s">
        <v>2872</v>
      </c>
      <c r="B16" s="2270">
        <v>23</v>
      </c>
      <c r="C16" s="2270">
        <v>18.166666666666668</v>
      </c>
      <c r="D16" s="2271">
        <v>0.78985507246376818</v>
      </c>
      <c r="E16" s="2270">
        <v>284625.16972477059</v>
      </c>
    </row>
    <row r="17" spans="1:6" x14ac:dyDescent="0.15">
      <c r="A17" s="2269" t="s">
        <v>2673</v>
      </c>
      <c r="B17" s="2270">
        <v>165</v>
      </c>
      <c r="C17" s="2270">
        <v>2226.083333333333</v>
      </c>
      <c r="D17" s="2271">
        <v>13.49141414141414</v>
      </c>
      <c r="E17" s="2270">
        <v>1001012.2481937637</v>
      </c>
    </row>
    <row r="18" spans="1:6" x14ac:dyDescent="0.15">
      <c r="A18" s="2265" t="s">
        <v>3535</v>
      </c>
      <c r="B18" s="2266">
        <v>894</v>
      </c>
      <c r="C18" s="2266">
        <v>5525.5833333333294</v>
      </c>
      <c r="D18" s="2267">
        <v>6.180741983594328</v>
      </c>
      <c r="E18" s="2266">
        <v>701997.0068921838</v>
      </c>
      <c r="F18" s="2268"/>
    </row>
    <row r="19" spans="1:6" x14ac:dyDescent="0.15">
      <c r="A19" s="2269" t="s">
        <v>3534</v>
      </c>
      <c r="B19" s="2270">
        <v>16</v>
      </c>
      <c r="C19" s="2270">
        <v>34.666666666666664</v>
      </c>
      <c r="D19" s="2271">
        <v>2.1666666666666665</v>
      </c>
      <c r="E19" s="2270">
        <v>331254.70432692306</v>
      </c>
    </row>
    <row r="20" spans="1:6" x14ac:dyDescent="0.15">
      <c r="A20" s="2269" t="s">
        <v>2540</v>
      </c>
      <c r="B20" s="2270">
        <v>878</v>
      </c>
      <c r="C20" s="2270">
        <v>5490.9166666666624</v>
      </c>
      <c r="D20" s="2271">
        <v>6.2538914198936926</v>
      </c>
      <c r="E20" s="2270">
        <v>704337.67250459129</v>
      </c>
    </row>
    <row r="21" spans="1:6" x14ac:dyDescent="0.15">
      <c r="A21" s="2265" t="s">
        <v>3536</v>
      </c>
      <c r="B21" s="2266">
        <v>1892</v>
      </c>
      <c r="C21" s="2266">
        <v>17659.916666666701</v>
      </c>
      <c r="D21" s="2267">
        <v>9.3339940098661209</v>
      </c>
      <c r="E21" s="2266">
        <v>753622.45668391965</v>
      </c>
      <c r="F21" s="2268"/>
    </row>
    <row r="22" spans="1:6" x14ac:dyDescent="0.15">
      <c r="A22" s="2269" t="s">
        <v>3537</v>
      </c>
      <c r="B22" s="2270">
        <v>1327</v>
      </c>
      <c r="C22" s="2270">
        <v>12558.416666666695</v>
      </c>
      <c r="D22" s="2271">
        <v>9.4637653855815334</v>
      </c>
      <c r="E22" s="2270">
        <v>696913.30370070285</v>
      </c>
    </row>
    <row r="23" spans="1:6" x14ac:dyDescent="0.15">
      <c r="A23" s="2269" t="s">
        <v>3538</v>
      </c>
      <c r="B23" s="2270">
        <v>334</v>
      </c>
      <c r="C23" s="2270">
        <v>2158.2500000000009</v>
      </c>
      <c r="D23" s="2271">
        <v>6.4618263473053918</v>
      </c>
      <c r="E23" s="2270">
        <v>690283.50608131569</v>
      </c>
    </row>
    <row r="24" spans="1:6" x14ac:dyDescent="0.15">
      <c r="A24" s="2269" t="s">
        <v>3539</v>
      </c>
      <c r="B24" s="2270">
        <v>231</v>
      </c>
      <c r="C24" s="2270">
        <v>2943.25</v>
      </c>
      <c r="D24" s="2271">
        <v>12.741341991341992</v>
      </c>
      <c r="E24" s="2270">
        <v>1042037.8009853048</v>
      </c>
    </row>
    <row r="25" spans="1:6" x14ac:dyDescent="0.15">
      <c r="A25" s="2265" t="s">
        <v>3540</v>
      </c>
      <c r="B25" s="2266">
        <v>1133</v>
      </c>
      <c r="C25" s="2266">
        <v>15562.333333333321</v>
      </c>
      <c r="D25" s="2267">
        <v>13.735510444248298</v>
      </c>
      <c r="E25" s="2266">
        <v>725402.14422644454</v>
      </c>
      <c r="F25" s="2268"/>
    </row>
    <row r="26" spans="1:6" x14ac:dyDescent="0.15">
      <c r="A26" s="2269" t="s">
        <v>2416</v>
      </c>
      <c r="B26" s="2270">
        <v>408</v>
      </c>
      <c r="C26" s="2270">
        <v>5710.1666666666597</v>
      </c>
      <c r="D26" s="2271">
        <v>13.995506535947696</v>
      </c>
      <c r="E26" s="2270">
        <v>555193.95138787641</v>
      </c>
    </row>
    <row r="27" spans="1:6" x14ac:dyDescent="0.15">
      <c r="A27" s="2269" t="s">
        <v>3534</v>
      </c>
      <c r="B27" s="2270">
        <v>25</v>
      </c>
      <c r="C27" s="2270">
        <v>689.33333333333348</v>
      </c>
      <c r="D27" s="2271">
        <v>27.573333333333338</v>
      </c>
      <c r="E27" s="2270">
        <v>664882.2267891682</v>
      </c>
    </row>
    <row r="28" spans="1:6" x14ac:dyDescent="0.15">
      <c r="A28" s="2269" t="s">
        <v>3541</v>
      </c>
      <c r="B28" s="2270">
        <v>111</v>
      </c>
      <c r="C28" s="2270">
        <v>378.99999999999989</v>
      </c>
      <c r="D28" s="2271">
        <v>3.4144144144144133</v>
      </c>
      <c r="E28" s="2270">
        <v>545976.24648197019</v>
      </c>
    </row>
    <row r="29" spans="1:6" x14ac:dyDescent="0.15">
      <c r="A29" s="2269" t="s">
        <v>1644</v>
      </c>
      <c r="B29" s="2270">
        <v>308</v>
      </c>
      <c r="C29" s="2270">
        <v>1645.5000000000014</v>
      </c>
      <c r="D29" s="2271">
        <v>5.3425324675324717</v>
      </c>
      <c r="E29" s="2270">
        <v>531786.43669603998</v>
      </c>
    </row>
    <row r="30" spans="1:6" x14ac:dyDescent="0.15">
      <c r="A30" s="2269" t="s">
        <v>1645</v>
      </c>
      <c r="B30" s="2270">
        <v>281</v>
      </c>
      <c r="C30" s="2270">
        <v>7138.3333333333321</v>
      </c>
      <c r="D30" s="2271">
        <v>25.403321470937126</v>
      </c>
      <c r="E30" s="2270">
        <v>921558.94192154997</v>
      </c>
    </row>
    <row r="31" spans="1:6" x14ac:dyDescent="0.15">
      <c r="A31" s="2265" t="s">
        <v>3542</v>
      </c>
      <c r="B31" s="2266">
        <v>6554</v>
      </c>
      <c r="C31" s="2266">
        <v>48861.166666666904</v>
      </c>
      <c r="D31" s="2267">
        <v>7.4551673278405408</v>
      </c>
      <c r="E31" s="2266">
        <v>540054.67428291379</v>
      </c>
      <c r="F31" s="2268"/>
    </row>
    <row r="32" spans="1:6" x14ac:dyDescent="0.15">
      <c r="A32" s="2269" t="s">
        <v>2866</v>
      </c>
      <c r="B32" s="2270">
        <v>2399</v>
      </c>
      <c r="C32" s="2270">
        <v>4676.7500000000109</v>
      </c>
      <c r="D32" s="2271">
        <v>1.949458107544815</v>
      </c>
      <c r="E32" s="2270">
        <v>895485.37800466781</v>
      </c>
    </row>
    <row r="33" spans="1:11" x14ac:dyDescent="0.15">
      <c r="A33" s="2269" t="s">
        <v>2867</v>
      </c>
      <c r="B33" s="2270">
        <v>607</v>
      </c>
      <c r="C33" s="2270">
        <v>2158.6666666666679</v>
      </c>
      <c r="D33" s="2271">
        <v>3.5562877539813309</v>
      </c>
      <c r="E33" s="2270">
        <v>593224.67738573172</v>
      </c>
    </row>
    <row r="34" spans="1:11" x14ac:dyDescent="0.15">
      <c r="A34" s="2269" t="s">
        <v>2543</v>
      </c>
      <c r="B34" s="2270">
        <v>3548</v>
      </c>
      <c r="C34" s="2270">
        <v>42025.750000000204</v>
      </c>
      <c r="D34" s="2271">
        <v>11.844912626832075</v>
      </c>
      <c r="E34" s="2270">
        <v>497770.197337344</v>
      </c>
    </row>
    <row r="35" spans="1:11" x14ac:dyDescent="0.15">
      <c r="A35" s="2265" t="s">
        <v>3543</v>
      </c>
      <c r="B35" s="2266">
        <v>2667</v>
      </c>
      <c r="C35" s="2266">
        <v>13501.833333333347</v>
      </c>
      <c r="D35" s="2267">
        <v>5.0625546806649222</v>
      </c>
      <c r="E35" s="2266">
        <v>908696.51962079108</v>
      </c>
      <c r="F35" s="2268"/>
    </row>
    <row r="36" spans="1:11" x14ac:dyDescent="0.15">
      <c r="A36" s="2269" t="s">
        <v>3544</v>
      </c>
      <c r="B36" s="2270">
        <v>2667</v>
      </c>
      <c r="C36" s="2270">
        <v>13501.833333333347</v>
      </c>
      <c r="D36" s="2271">
        <v>5.0625546806649222</v>
      </c>
      <c r="E36" s="2270">
        <v>908696.51962079108</v>
      </c>
    </row>
    <row r="37" spans="1:11" x14ac:dyDescent="0.15">
      <c r="A37" s="2265" t="s">
        <v>2883</v>
      </c>
      <c r="B37" s="2266">
        <v>841</v>
      </c>
      <c r="C37" s="2266">
        <v>9341.0833333333339</v>
      </c>
      <c r="D37" s="2267">
        <v>11.10711454617519</v>
      </c>
      <c r="E37" s="2266">
        <v>769157.05630146316</v>
      </c>
      <c r="F37" s="2268"/>
    </row>
    <row r="38" spans="1:11" x14ac:dyDescent="0.15">
      <c r="A38" s="2269" t="s">
        <v>2042</v>
      </c>
      <c r="B38" s="2270">
        <v>841</v>
      </c>
      <c r="C38" s="2270">
        <v>9341.0833333333339</v>
      </c>
      <c r="D38" s="2271">
        <v>11.10711454617519</v>
      </c>
      <c r="E38" s="2270">
        <v>769157.05630146316</v>
      </c>
    </row>
    <row r="39" spans="1:11" x14ac:dyDescent="0.15">
      <c r="A39" s="2269"/>
      <c r="B39" s="2270"/>
      <c r="C39" s="2270"/>
      <c r="D39" s="2271"/>
      <c r="E39" s="2270"/>
    </row>
    <row r="40" spans="1:11" ht="24" customHeight="1" x14ac:dyDescent="0.15">
      <c r="A40" s="3492" t="s">
        <v>4318</v>
      </c>
      <c r="B40" s="3495"/>
      <c r="C40" s="3495"/>
      <c r="D40" s="3495"/>
      <c r="E40" s="3495"/>
    </row>
    <row r="41" spans="1:11" ht="33" customHeight="1" x14ac:dyDescent="0.15">
      <c r="A41" s="3492" t="s">
        <v>4319</v>
      </c>
      <c r="B41" s="3495"/>
      <c r="C41" s="3495"/>
      <c r="D41" s="3495"/>
      <c r="E41" s="3495"/>
    </row>
    <row r="42" spans="1:11" ht="45" customHeight="1" x14ac:dyDescent="0.15">
      <c r="A42" s="3492" t="s">
        <v>4320</v>
      </c>
      <c r="B42" s="3495"/>
      <c r="C42" s="3495"/>
      <c r="D42" s="3495"/>
      <c r="E42" s="3495"/>
      <c r="G42" s="3490"/>
      <c r="H42" s="3491"/>
      <c r="I42" s="3491"/>
      <c r="J42" s="3491"/>
      <c r="K42" s="3491"/>
    </row>
    <row r="43" spans="1:11" ht="36" customHeight="1" x14ac:dyDescent="0.15">
      <c r="A43" s="3492" t="s">
        <v>3545</v>
      </c>
      <c r="B43" s="3492"/>
      <c r="C43" s="3492"/>
      <c r="D43" s="3492"/>
      <c r="E43" s="3493"/>
      <c r="G43" s="2259"/>
      <c r="H43" s="2272"/>
    </row>
    <row r="44" spans="1:11" x14ac:dyDescent="0.15">
      <c r="G44" s="2259"/>
      <c r="H44" s="2272"/>
    </row>
    <row r="45" spans="1:11" x14ac:dyDescent="0.15">
      <c r="G45" s="2259"/>
      <c r="H45" s="2260"/>
    </row>
    <row r="46" spans="1:11" x14ac:dyDescent="0.15">
      <c r="G46" s="2259"/>
      <c r="H46" s="2260"/>
    </row>
    <row r="47" spans="1:11" x14ac:dyDescent="0.15">
      <c r="G47" s="2259"/>
      <c r="H47" s="2261"/>
    </row>
  </sheetData>
  <mergeCells count="6">
    <mergeCell ref="G42:K42"/>
    <mergeCell ref="A43:E43"/>
    <mergeCell ref="A2:E2"/>
    <mergeCell ref="A40:E40"/>
    <mergeCell ref="A41:E41"/>
    <mergeCell ref="A42:E42"/>
  </mergeCells>
  <pageMargins left="0.70866141732283472" right="0.70866141732283472" top="0.74803149606299213" bottom="0.74803149606299213" header="0.31496062992125984" footer="0.31496062992125984"/>
  <pageSetup paperSize="9" scale="69" fitToHeight="2"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2:K25"/>
  <sheetViews>
    <sheetView zoomScaleNormal="100" workbookViewId="0">
      <selection activeCell="J25" sqref="J25"/>
    </sheetView>
  </sheetViews>
  <sheetFormatPr baseColWidth="10" defaultRowHeight="10.5" x14ac:dyDescent="0.15"/>
  <cols>
    <col min="1" max="1" width="20.5703125" style="775" customWidth="1"/>
    <col min="2" max="2" width="17" style="775" customWidth="1"/>
    <col min="3" max="3" width="21.42578125" style="775" customWidth="1"/>
    <col min="4" max="4" width="23.5703125" style="775" customWidth="1"/>
    <col min="5" max="5" width="19.7109375" style="775" customWidth="1"/>
    <col min="6" max="6" width="19" style="775" customWidth="1"/>
    <col min="7" max="10" width="11.42578125" style="775"/>
    <col min="11" max="11" width="22.7109375" style="775" customWidth="1"/>
    <col min="12" max="16384" width="11.42578125" style="775"/>
  </cols>
  <sheetData>
    <row r="2" spans="1:6" ht="27.75" customHeight="1" x14ac:dyDescent="0.15">
      <c r="A2" s="3496" t="s">
        <v>3546</v>
      </c>
      <c r="B2" s="3496"/>
      <c r="C2" s="3496"/>
      <c r="D2" s="3496"/>
      <c r="E2" s="3496"/>
      <c r="F2" s="1887"/>
    </row>
    <row r="3" spans="1:6" x14ac:dyDescent="0.15">
      <c r="A3" s="2273"/>
      <c r="B3" s="2273"/>
      <c r="C3" s="2273"/>
      <c r="D3" s="2273"/>
      <c r="E3" s="2273"/>
      <c r="F3" s="1887"/>
    </row>
    <row r="4" spans="1:6" ht="32.25" x14ac:dyDescent="0.15">
      <c r="A4" s="2274" t="s">
        <v>3547</v>
      </c>
      <c r="B4" s="2275" t="s">
        <v>4321</v>
      </c>
      <c r="C4" s="2274" t="s">
        <v>4322</v>
      </c>
      <c r="D4" s="2274" t="s">
        <v>3548</v>
      </c>
      <c r="E4" s="2274" t="s">
        <v>4323</v>
      </c>
    </row>
    <row r="5" spans="1:6" x14ac:dyDescent="0.15">
      <c r="A5" s="2276" t="s">
        <v>141</v>
      </c>
      <c r="B5" s="2277">
        <v>15811</v>
      </c>
      <c r="C5" s="2277">
        <v>120617.99999999905</v>
      </c>
      <c r="D5" s="2277">
        <v>7.6287394851684933</v>
      </c>
      <c r="E5" s="2277">
        <v>669890.67274647788</v>
      </c>
    </row>
    <row r="6" spans="1:6" x14ac:dyDescent="0.15">
      <c r="A6" s="2278" t="s">
        <v>5</v>
      </c>
      <c r="B6" s="2279">
        <v>134</v>
      </c>
      <c r="C6" s="2279">
        <v>348.25000000000006</v>
      </c>
      <c r="D6" s="2279">
        <v>2.5988805970149258</v>
      </c>
      <c r="E6" s="2279">
        <v>435109.14309643459</v>
      </c>
    </row>
    <row r="7" spans="1:6" x14ac:dyDescent="0.15">
      <c r="A7" s="2278" t="s">
        <v>6</v>
      </c>
      <c r="B7" s="2279">
        <v>223</v>
      </c>
      <c r="C7" s="2279">
        <v>622.00000000000034</v>
      </c>
      <c r="D7" s="2279">
        <v>2.7892376681614364</v>
      </c>
      <c r="E7" s="2279">
        <v>503913.12767952844</v>
      </c>
    </row>
    <row r="8" spans="1:6" x14ac:dyDescent="0.15">
      <c r="A8" s="2278" t="s">
        <v>7</v>
      </c>
      <c r="B8" s="2279">
        <v>356</v>
      </c>
      <c r="C8" s="2279">
        <v>1193.7499999999998</v>
      </c>
      <c r="D8" s="2279">
        <v>3.3532303370786511</v>
      </c>
      <c r="E8" s="2279">
        <v>624392.5979755685</v>
      </c>
    </row>
    <row r="9" spans="1:6" x14ac:dyDescent="0.15">
      <c r="A9" s="2278" t="s">
        <v>8</v>
      </c>
      <c r="B9" s="2279">
        <v>147</v>
      </c>
      <c r="C9" s="2279">
        <v>319.41666666666669</v>
      </c>
      <c r="D9" s="2279">
        <v>2.172902494331066</v>
      </c>
      <c r="E9" s="2279">
        <v>460309.69006000523</v>
      </c>
    </row>
    <row r="10" spans="1:6" x14ac:dyDescent="0.15">
      <c r="A10" s="2278" t="s">
        <v>9</v>
      </c>
      <c r="B10" s="2279">
        <v>345</v>
      </c>
      <c r="C10" s="2279">
        <v>1064.0000000000005</v>
      </c>
      <c r="D10" s="2279">
        <v>3.0840579710144942</v>
      </c>
      <c r="E10" s="2279">
        <v>630092.18812656682</v>
      </c>
    </row>
    <row r="11" spans="1:6" x14ac:dyDescent="0.15">
      <c r="A11" s="2278" t="s">
        <v>10</v>
      </c>
      <c r="B11" s="2279">
        <v>1273</v>
      </c>
      <c r="C11" s="2279">
        <v>3614.8333333333358</v>
      </c>
      <c r="D11" s="2279">
        <v>2.8396177009688417</v>
      </c>
      <c r="E11" s="2279">
        <v>546327.32415049057</v>
      </c>
    </row>
    <row r="12" spans="1:6" x14ac:dyDescent="0.15">
      <c r="A12" s="2278" t="s">
        <v>11</v>
      </c>
      <c r="B12" s="2279">
        <v>9761</v>
      </c>
      <c r="C12" s="2279">
        <v>102159.41666666607</v>
      </c>
      <c r="D12" s="2279">
        <v>10.466081002629451</v>
      </c>
      <c r="E12" s="2279">
        <v>697040.91083870071</v>
      </c>
    </row>
    <row r="13" spans="1:6" x14ac:dyDescent="0.15">
      <c r="A13" s="2278" t="s">
        <v>12</v>
      </c>
      <c r="B13" s="2279">
        <v>469</v>
      </c>
      <c r="C13" s="2279">
        <v>1010.9166666666671</v>
      </c>
      <c r="D13" s="2279">
        <v>2.1554726368159214</v>
      </c>
      <c r="E13" s="2279">
        <v>465541.2791196102</v>
      </c>
    </row>
    <row r="14" spans="1:6" x14ac:dyDescent="0.15">
      <c r="A14" s="2278" t="s">
        <v>13</v>
      </c>
      <c r="B14" s="2279">
        <v>594</v>
      </c>
      <c r="C14" s="2279">
        <v>1500.499999999998</v>
      </c>
      <c r="D14" s="2279">
        <v>2.5260942760942728</v>
      </c>
      <c r="E14" s="2279">
        <v>416625.51904920634</v>
      </c>
    </row>
    <row r="15" spans="1:6" x14ac:dyDescent="0.15">
      <c r="A15" s="2278" t="s">
        <v>14</v>
      </c>
      <c r="B15" s="2279">
        <v>1059</v>
      </c>
      <c r="C15" s="2279">
        <v>4556.9166666666724</v>
      </c>
      <c r="D15" s="2279">
        <v>4.3030374567201815</v>
      </c>
      <c r="E15" s="2279">
        <v>516422.20728562842</v>
      </c>
    </row>
    <row r="16" spans="1:6" x14ac:dyDescent="0.15">
      <c r="A16" s="2278" t="s">
        <v>350</v>
      </c>
      <c r="B16" s="2279">
        <v>548</v>
      </c>
      <c r="C16" s="2279">
        <v>1640.2499999999993</v>
      </c>
      <c r="D16" s="2279">
        <v>2.993156934306568</v>
      </c>
      <c r="E16" s="2279">
        <v>488442.3316567592</v>
      </c>
    </row>
    <row r="17" spans="1:11" x14ac:dyDescent="0.15">
      <c r="A17" s="2278" t="s">
        <v>301</v>
      </c>
      <c r="B17" s="2279">
        <v>187</v>
      </c>
      <c r="C17" s="2279">
        <v>540.41666666666652</v>
      </c>
      <c r="D17" s="2279">
        <v>2.8899286987522275</v>
      </c>
      <c r="E17" s="2279">
        <v>555262.23130300688</v>
      </c>
    </row>
    <row r="18" spans="1:11" x14ac:dyDescent="0.15">
      <c r="A18" s="2278" t="s">
        <v>303</v>
      </c>
      <c r="B18" s="2279">
        <v>475</v>
      </c>
      <c r="C18" s="2279">
        <v>1296.2500000000005</v>
      </c>
      <c r="D18" s="2279">
        <v>2.7289473684210535</v>
      </c>
      <c r="E18" s="2279">
        <v>467330.31108968181</v>
      </c>
    </row>
    <row r="19" spans="1:11" x14ac:dyDescent="0.15">
      <c r="A19" s="2278" t="s">
        <v>18</v>
      </c>
      <c r="B19" s="2279">
        <v>71</v>
      </c>
      <c r="C19" s="2279">
        <v>165.58333333333331</v>
      </c>
      <c r="D19" s="2279">
        <v>2.3321596244131451</v>
      </c>
      <c r="E19" s="2279">
        <v>478424.67991947656</v>
      </c>
    </row>
    <row r="20" spans="1:11" x14ac:dyDescent="0.15">
      <c r="A20" s="2278" t="s">
        <v>19</v>
      </c>
      <c r="B20" s="2279">
        <v>169</v>
      </c>
      <c r="C20" s="2279">
        <v>585.49999999999989</v>
      </c>
      <c r="D20" s="2279">
        <v>3.4644970414201177</v>
      </c>
      <c r="E20" s="2279">
        <v>603963.23683461477</v>
      </c>
    </row>
    <row r="21" spans="1:11" x14ac:dyDescent="0.15">
      <c r="B21" s="2280"/>
    </row>
    <row r="22" spans="1:11" ht="33.75" customHeight="1" x14ac:dyDescent="0.15">
      <c r="A22" s="3497" t="s">
        <v>4324</v>
      </c>
      <c r="B22" s="3497"/>
      <c r="C22" s="3497"/>
      <c r="D22" s="3497"/>
      <c r="E22" s="3497"/>
      <c r="F22" s="1910"/>
    </row>
    <row r="23" spans="1:11" ht="37.5" customHeight="1" x14ac:dyDescent="0.15">
      <c r="A23" s="3497" t="s">
        <v>4325</v>
      </c>
      <c r="B23" s="3497"/>
      <c r="C23" s="3497"/>
      <c r="D23" s="3497"/>
      <c r="E23" s="3497"/>
      <c r="F23" s="1910"/>
    </row>
    <row r="24" spans="1:11" ht="48" customHeight="1" x14ac:dyDescent="0.15">
      <c r="A24" s="3497" t="s">
        <v>4320</v>
      </c>
      <c r="B24" s="3498"/>
      <c r="C24" s="3498"/>
      <c r="D24" s="3498"/>
      <c r="E24" s="3498"/>
      <c r="F24" s="1887"/>
      <c r="G24" s="1910"/>
      <c r="H24" s="1910"/>
      <c r="I24" s="1910"/>
      <c r="J24" s="1910"/>
      <c r="K24" s="1910"/>
    </row>
    <row r="25" spans="1:11" ht="36" customHeight="1" x14ac:dyDescent="0.15">
      <c r="A25" s="3497" t="s">
        <v>3545</v>
      </c>
      <c r="B25" s="3497"/>
      <c r="C25" s="3497"/>
      <c r="D25" s="3497"/>
      <c r="E25" s="3497"/>
      <c r="F25" s="1887"/>
    </row>
  </sheetData>
  <mergeCells count="5">
    <mergeCell ref="A2:E2"/>
    <mergeCell ref="A22:E22"/>
    <mergeCell ref="A23:E23"/>
    <mergeCell ref="A24:E24"/>
    <mergeCell ref="A25:E25"/>
  </mergeCell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Q44"/>
  <sheetViews>
    <sheetView zoomScaleNormal="100" workbookViewId="0">
      <selection activeCell="I13" sqref="I13"/>
    </sheetView>
  </sheetViews>
  <sheetFormatPr baseColWidth="10" defaultRowHeight="10.5" x14ac:dyDescent="0.15"/>
  <cols>
    <col min="1" max="1" width="41.42578125" style="2281" customWidth="1"/>
    <col min="2" max="2" width="12.140625" style="2281" customWidth="1"/>
    <col min="3" max="3" width="14.42578125" style="2281" customWidth="1"/>
    <col min="4" max="4" width="13.7109375" style="2281" customWidth="1"/>
    <col min="5" max="6" width="12.5703125" style="2281" customWidth="1"/>
    <col min="7" max="7" width="20.140625" style="2281" customWidth="1"/>
    <col min="8" max="8" width="19.42578125" style="2281" customWidth="1"/>
    <col min="9" max="9" width="11.42578125" style="2281"/>
    <col min="10" max="10" width="11.42578125" style="2281" customWidth="1"/>
    <col min="11" max="13" width="11.42578125" style="2281"/>
    <col min="14" max="14" width="69.42578125" style="2281" customWidth="1"/>
    <col min="15" max="16384" width="11.42578125" style="2281"/>
  </cols>
  <sheetData>
    <row r="2" spans="1:17" ht="28.5" customHeight="1" x14ac:dyDescent="0.15">
      <c r="A2" s="3501" t="s">
        <v>3549</v>
      </c>
      <c r="B2" s="3501"/>
      <c r="C2" s="3501"/>
      <c r="D2" s="3501"/>
      <c r="E2" s="3501"/>
      <c r="F2" s="3501"/>
      <c r="G2" s="3501"/>
      <c r="H2" s="3501"/>
    </row>
    <row r="3" spans="1:17" ht="11.25" customHeight="1" x14ac:dyDescent="0.15">
      <c r="A3" s="2262"/>
      <c r="B3" s="2262"/>
      <c r="C3" s="2262"/>
      <c r="D3" s="2262"/>
      <c r="E3" s="2262"/>
      <c r="F3" s="2262"/>
      <c r="G3" s="2262"/>
      <c r="H3" s="2262"/>
    </row>
    <row r="4" spans="1:17" ht="42" x14ac:dyDescent="0.15">
      <c r="A4" s="2282" t="s">
        <v>3550</v>
      </c>
      <c r="B4" s="2274" t="s">
        <v>4321</v>
      </c>
      <c r="C4" s="2283" t="s">
        <v>4326</v>
      </c>
      <c r="D4" s="2283" t="s">
        <v>4327</v>
      </c>
      <c r="E4" s="2283" t="s">
        <v>3551</v>
      </c>
      <c r="F4" s="2283" t="s">
        <v>3552</v>
      </c>
      <c r="G4" s="2283" t="s">
        <v>4328</v>
      </c>
      <c r="H4" s="2283" t="s">
        <v>4329</v>
      </c>
    </row>
    <row r="5" spans="1:17" x14ac:dyDescent="0.15">
      <c r="A5" s="2268" t="s">
        <v>4</v>
      </c>
      <c r="B5" s="2284">
        <v>15811</v>
      </c>
      <c r="C5" s="2284">
        <v>71782.916666666715</v>
      </c>
      <c r="D5" s="2284">
        <v>48558.750000000102</v>
      </c>
      <c r="E5" s="2285">
        <v>4.540061771340631</v>
      </c>
      <c r="F5" s="2285">
        <v>3.0712004300803302</v>
      </c>
      <c r="G5" s="2266">
        <v>721888.54497878463</v>
      </c>
      <c r="H5" s="2266">
        <v>594878.49816287833</v>
      </c>
      <c r="J5" s="2286"/>
      <c r="K5" s="2286"/>
      <c r="L5" s="2286"/>
      <c r="M5" s="2286"/>
      <c r="N5" s="2286"/>
      <c r="O5" s="2286"/>
      <c r="P5" s="2286"/>
      <c r="Q5" s="2286"/>
    </row>
    <row r="6" spans="1:17" x14ac:dyDescent="0.15">
      <c r="A6" s="2268" t="s">
        <v>2906</v>
      </c>
      <c r="B6" s="2284">
        <v>116</v>
      </c>
      <c r="C6" s="2284">
        <v>1238.6666666666661</v>
      </c>
      <c r="D6" s="2284">
        <v>687.99999999999989</v>
      </c>
      <c r="E6" s="2285">
        <v>10.678160919540225</v>
      </c>
      <c r="F6" s="2285">
        <v>5.9310344827586201</v>
      </c>
      <c r="G6" s="2266">
        <v>562721.73963939771</v>
      </c>
      <c r="H6" s="2266">
        <v>720323.76901647309</v>
      </c>
      <c r="J6" s="2286"/>
      <c r="K6" s="2286"/>
      <c r="L6" s="2286"/>
      <c r="M6" s="2286"/>
      <c r="N6" s="2286"/>
      <c r="O6" s="2286"/>
      <c r="P6" s="2286"/>
      <c r="Q6" s="2286"/>
    </row>
    <row r="7" spans="1:17" x14ac:dyDescent="0.15">
      <c r="A7" s="2262" t="s">
        <v>2906</v>
      </c>
      <c r="B7" s="2287">
        <v>116</v>
      </c>
      <c r="C7" s="2287">
        <v>1238.6666666666661</v>
      </c>
      <c r="D7" s="2287">
        <v>687.99999999999989</v>
      </c>
      <c r="E7" s="2288">
        <v>10.678160919540225</v>
      </c>
      <c r="F7" s="2288">
        <v>5.9310344827586201</v>
      </c>
      <c r="G7" s="2270">
        <v>562721.73963939771</v>
      </c>
      <c r="H7" s="2270">
        <v>720323.76901647309</v>
      </c>
      <c r="J7" s="2286"/>
      <c r="K7" s="2286"/>
      <c r="L7" s="2286"/>
      <c r="M7" s="2286"/>
      <c r="N7" s="2286"/>
      <c r="O7" s="2286"/>
      <c r="P7" s="2286"/>
      <c r="Q7" s="2286"/>
    </row>
    <row r="8" spans="1:17" x14ac:dyDescent="0.15">
      <c r="A8" s="2268" t="s">
        <v>3533</v>
      </c>
      <c r="B8" s="2284">
        <v>820</v>
      </c>
      <c r="C8" s="2284">
        <v>421.91666666666691</v>
      </c>
      <c r="D8" s="2284">
        <v>843.58333333333314</v>
      </c>
      <c r="E8" s="2285">
        <v>0.51453252032520358</v>
      </c>
      <c r="F8" s="2285">
        <v>1.0287601626016258</v>
      </c>
      <c r="G8" s="2266">
        <v>343490.85384159576</v>
      </c>
      <c r="H8" s="2266">
        <v>325024.06391385989</v>
      </c>
      <c r="J8" s="2286"/>
      <c r="K8" s="2286"/>
      <c r="L8" s="2286"/>
      <c r="M8" s="2286"/>
      <c r="N8" s="2289"/>
      <c r="O8" s="2286"/>
      <c r="P8" s="2286"/>
      <c r="Q8" s="2286"/>
    </row>
    <row r="9" spans="1:17" x14ac:dyDescent="0.15">
      <c r="A9" s="2262" t="s">
        <v>1199</v>
      </c>
      <c r="B9" s="2287">
        <v>820</v>
      </c>
      <c r="C9" s="2287">
        <v>421.91666666666691</v>
      </c>
      <c r="D9" s="2287">
        <v>843.58333333333314</v>
      </c>
      <c r="E9" s="2288">
        <v>0.51453252032520358</v>
      </c>
      <c r="F9" s="2288">
        <v>1.0287601626016258</v>
      </c>
      <c r="G9" s="2270">
        <v>343490.85384159576</v>
      </c>
      <c r="H9" s="2270">
        <v>325024.06391385989</v>
      </c>
      <c r="J9" s="2286"/>
      <c r="K9" s="2286"/>
      <c r="L9" s="2286"/>
      <c r="M9" s="2286"/>
      <c r="N9" s="2286"/>
      <c r="O9" s="2286"/>
      <c r="P9" s="2286"/>
      <c r="Q9" s="2286"/>
    </row>
    <row r="10" spans="1:17" x14ac:dyDescent="0.15">
      <c r="A10" s="2268" t="s">
        <v>2851</v>
      </c>
      <c r="B10" s="2284">
        <v>684</v>
      </c>
      <c r="C10" s="2284">
        <v>1788.5000000000011</v>
      </c>
      <c r="D10" s="2284">
        <v>2819.2500000000005</v>
      </c>
      <c r="E10" s="2285">
        <v>2.6147660818713465</v>
      </c>
      <c r="F10" s="2285">
        <v>4.1217105263157903</v>
      </c>
      <c r="G10" s="2266">
        <v>653617.58871493745</v>
      </c>
      <c r="H10" s="2266">
        <v>510585.42298483715</v>
      </c>
      <c r="J10" s="2286"/>
      <c r="K10" s="2286"/>
      <c r="L10" s="2286"/>
      <c r="M10" s="2286"/>
      <c r="N10" s="2286"/>
      <c r="O10" s="2286"/>
      <c r="P10" s="2286"/>
      <c r="Q10" s="2286"/>
    </row>
    <row r="11" spans="1:17" x14ac:dyDescent="0.15">
      <c r="A11" s="2262" t="s">
        <v>2851</v>
      </c>
      <c r="B11" s="2287">
        <v>132</v>
      </c>
      <c r="C11" s="2287">
        <v>286.08333333333314</v>
      </c>
      <c r="D11" s="2287">
        <v>188.74999999999997</v>
      </c>
      <c r="E11" s="2288">
        <v>2.1672979797979783</v>
      </c>
      <c r="F11" s="2288">
        <v>1.4299242424242422</v>
      </c>
      <c r="G11" s="2270">
        <v>639457.69181474019</v>
      </c>
      <c r="H11" s="2270">
        <v>601712.19558498915</v>
      </c>
      <c r="J11" s="2286"/>
      <c r="K11" s="2286"/>
      <c r="L11" s="2286"/>
      <c r="M11" s="2286"/>
      <c r="N11" s="2286"/>
      <c r="O11" s="2286"/>
      <c r="P11" s="2286"/>
      <c r="Q11" s="2286"/>
    </row>
    <row r="12" spans="1:17" x14ac:dyDescent="0.15">
      <c r="A12" s="2262" t="s">
        <v>3534</v>
      </c>
      <c r="B12" s="2287">
        <v>23</v>
      </c>
      <c r="C12" s="2287">
        <v>303.75</v>
      </c>
      <c r="D12" s="2287">
        <v>777.33333333333326</v>
      </c>
      <c r="E12" s="2288">
        <v>13.206521739130435</v>
      </c>
      <c r="F12" s="2288">
        <v>33.79710144927536</v>
      </c>
      <c r="G12" s="2270">
        <v>859207.53004115249</v>
      </c>
      <c r="H12" s="2270">
        <v>646308.05810463126</v>
      </c>
      <c r="J12" s="2286"/>
      <c r="K12" s="2286"/>
      <c r="L12" s="2286"/>
      <c r="M12" s="2286"/>
      <c r="N12" s="2286"/>
      <c r="O12" s="2286"/>
      <c r="P12" s="2286"/>
      <c r="Q12" s="2286"/>
    </row>
    <row r="13" spans="1:17" x14ac:dyDescent="0.15">
      <c r="A13" s="2262" t="s">
        <v>2881</v>
      </c>
      <c r="B13" s="2287">
        <v>529</v>
      </c>
      <c r="C13" s="2287">
        <v>1198.6666666666661</v>
      </c>
      <c r="D13" s="2287">
        <v>1853.1666666666661</v>
      </c>
      <c r="E13" s="2288">
        <v>2.2659105229993686</v>
      </c>
      <c r="F13" s="2288">
        <v>3.5031505986137357</v>
      </c>
      <c r="G13" s="2270">
        <v>604899.26209677546</v>
      </c>
      <c r="H13" s="2270">
        <v>444373.40390322823</v>
      </c>
      <c r="J13" s="2286"/>
      <c r="K13" s="2286"/>
      <c r="L13" s="2286"/>
      <c r="M13" s="2286"/>
      <c r="N13" s="2286"/>
      <c r="O13" s="2286"/>
      <c r="P13" s="2286"/>
      <c r="Q13" s="2286"/>
    </row>
    <row r="14" spans="1:17" x14ac:dyDescent="0.15">
      <c r="A14" s="2268" t="s">
        <v>2870</v>
      </c>
      <c r="B14" s="2284">
        <v>210</v>
      </c>
      <c r="C14" s="2284">
        <v>1597.4166666666665</v>
      </c>
      <c r="D14" s="2284">
        <v>767.74999999999966</v>
      </c>
      <c r="E14" s="2285">
        <v>7.6067460317460309</v>
      </c>
      <c r="F14" s="2285">
        <v>3.6559523809523795</v>
      </c>
      <c r="G14" s="2266">
        <v>958999.69847149041</v>
      </c>
      <c r="H14" s="2266">
        <v>949024.08694236493</v>
      </c>
      <c r="J14" s="2286"/>
      <c r="K14" s="2286"/>
      <c r="L14" s="2286"/>
      <c r="M14" s="2286"/>
      <c r="N14" s="2286"/>
      <c r="O14" s="2286"/>
      <c r="P14" s="2286"/>
      <c r="Q14" s="2286"/>
    </row>
    <row r="15" spans="1:17" x14ac:dyDescent="0.15">
      <c r="A15" s="2262" t="s">
        <v>2871</v>
      </c>
      <c r="B15" s="2287">
        <v>22</v>
      </c>
      <c r="C15" s="2287">
        <v>92.416666666666657</v>
      </c>
      <c r="D15" s="2287">
        <v>28.5</v>
      </c>
      <c r="E15" s="2288">
        <v>4.2007575757575752</v>
      </c>
      <c r="F15" s="2288">
        <v>1.2954545454545454</v>
      </c>
      <c r="G15" s="2270">
        <v>230667.9359783589</v>
      </c>
      <c r="H15" s="2270">
        <v>200365.26023391815</v>
      </c>
      <c r="J15" s="2286"/>
      <c r="K15" s="2286"/>
      <c r="L15" s="2286"/>
      <c r="M15" s="2286"/>
      <c r="N15" s="2286"/>
      <c r="O15" s="2286"/>
      <c r="P15" s="2286"/>
      <c r="Q15" s="2286"/>
    </row>
    <row r="16" spans="1:17" x14ac:dyDescent="0.15">
      <c r="A16" s="2262" t="s">
        <v>2872</v>
      </c>
      <c r="B16" s="2287">
        <v>23</v>
      </c>
      <c r="C16" s="2287">
        <v>3.583333333333333</v>
      </c>
      <c r="D16" s="2287">
        <v>14.583333333333332</v>
      </c>
      <c r="E16" s="2288">
        <v>0.15579710144927536</v>
      </c>
      <c r="F16" s="2288">
        <v>0.63405797101449268</v>
      </c>
      <c r="G16" s="2270">
        <v>283177.27906976745</v>
      </c>
      <c r="H16" s="2270">
        <v>284980.93714285718</v>
      </c>
      <c r="J16" s="2286"/>
      <c r="K16" s="2286"/>
      <c r="L16" s="2286"/>
      <c r="M16" s="2286"/>
      <c r="N16" s="2286"/>
      <c r="O16" s="2286"/>
      <c r="P16" s="2286"/>
      <c r="Q16" s="2286"/>
    </row>
    <row r="17" spans="1:17" x14ac:dyDescent="0.15">
      <c r="A17" s="2262" t="s">
        <v>2673</v>
      </c>
      <c r="B17" s="2287">
        <v>165</v>
      </c>
      <c r="C17" s="2287">
        <v>1501.4166666666663</v>
      </c>
      <c r="D17" s="2287">
        <v>724.66666666666629</v>
      </c>
      <c r="E17" s="2288">
        <v>9.0994949494949466</v>
      </c>
      <c r="F17" s="2288">
        <v>4.3919191919191896</v>
      </c>
      <c r="G17" s="2270">
        <v>1005443.6285730146</v>
      </c>
      <c r="H17" s="2270">
        <v>991830.99471021246</v>
      </c>
      <c r="J17" s="2286"/>
      <c r="K17" s="2286"/>
      <c r="L17" s="2286"/>
      <c r="M17" s="2286"/>
      <c r="N17" s="2286"/>
      <c r="O17" s="2286"/>
      <c r="P17" s="2286"/>
      <c r="Q17" s="2286"/>
    </row>
    <row r="18" spans="1:17" x14ac:dyDescent="0.15">
      <c r="A18" s="2268" t="s">
        <v>3535</v>
      </c>
      <c r="B18" s="2284">
        <v>894</v>
      </c>
      <c r="C18" s="2284">
        <v>2668.833333333333</v>
      </c>
      <c r="D18" s="2284">
        <v>2852.75</v>
      </c>
      <c r="E18" s="2285">
        <v>2.9852721849366142</v>
      </c>
      <c r="F18" s="2285">
        <v>3.1909955257270695</v>
      </c>
      <c r="G18" s="2266">
        <v>725651.62980078708</v>
      </c>
      <c r="H18" s="2266">
        <v>680318.66351181641</v>
      </c>
      <c r="J18" s="2286"/>
      <c r="K18" s="2286"/>
      <c r="L18" s="2286"/>
      <c r="M18" s="2286"/>
      <c r="N18" s="2286"/>
      <c r="O18" s="2286"/>
      <c r="P18" s="2286"/>
      <c r="Q18" s="2286"/>
    </row>
    <row r="19" spans="1:17" x14ac:dyDescent="0.15">
      <c r="A19" s="2262" t="s">
        <v>3534</v>
      </c>
      <c r="B19" s="2287">
        <v>16</v>
      </c>
      <c r="C19" s="2287">
        <v>28.083333333333336</v>
      </c>
      <c r="D19" s="2287">
        <v>6.583333333333333</v>
      </c>
      <c r="E19" s="2288">
        <v>1.7552083333333335</v>
      </c>
      <c r="F19" s="2288">
        <v>0.41145833333333331</v>
      </c>
      <c r="G19" s="2270">
        <v>316192.49851632054</v>
      </c>
      <c r="H19" s="2270">
        <v>395507.40506329102</v>
      </c>
      <c r="J19" s="2286"/>
      <c r="K19" s="2286"/>
      <c r="L19" s="2286"/>
      <c r="M19" s="2286"/>
      <c r="N19" s="2286"/>
      <c r="O19" s="2286"/>
      <c r="P19" s="2286"/>
      <c r="Q19" s="2286"/>
    </row>
    <row r="20" spans="1:17" x14ac:dyDescent="0.15">
      <c r="A20" s="2262" t="s">
        <v>2540</v>
      </c>
      <c r="B20" s="2287">
        <v>878</v>
      </c>
      <c r="C20" s="2287">
        <v>2640.7499999999995</v>
      </c>
      <c r="D20" s="2287">
        <v>2846.166666666667</v>
      </c>
      <c r="E20" s="2288">
        <v>3.0076879271070611</v>
      </c>
      <c r="F20" s="2288">
        <v>3.2416476841306001</v>
      </c>
      <c r="G20" s="2270">
        <v>730006.06595348578</v>
      </c>
      <c r="H20" s="2270">
        <v>680977.4469461852</v>
      </c>
      <c r="J20" s="2286"/>
      <c r="K20" s="2286"/>
      <c r="L20" s="2286"/>
      <c r="M20" s="2286"/>
      <c r="N20" s="2286"/>
      <c r="O20" s="2286"/>
      <c r="P20" s="2286"/>
      <c r="Q20" s="2286"/>
    </row>
    <row r="21" spans="1:17" x14ac:dyDescent="0.15">
      <c r="A21" s="2268" t="s">
        <v>3536</v>
      </c>
      <c r="B21" s="2284">
        <v>1892</v>
      </c>
      <c r="C21" s="2284">
        <v>11647.33333333333</v>
      </c>
      <c r="D21" s="2284">
        <v>6004.8333333333403</v>
      </c>
      <c r="E21" s="2285">
        <v>6.1560958421423519</v>
      </c>
      <c r="F21" s="2285">
        <v>3.1738019732205816</v>
      </c>
      <c r="G21" s="2266">
        <v>777865.71630129858</v>
      </c>
      <c r="H21" s="2266">
        <v>706940.82354492077</v>
      </c>
      <c r="J21" s="2286"/>
      <c r="K21" s="2286"/>
      <c r="L21" s="2286"/>
      <c r="M21" s="2286"/>
      <c r="N21" s="2286"/>
      <c r="O21" s="2286"/>
      <c r="P21" s="2286"/>
      <c r="Q21" s="2286"/>
    </row>
    <row r="22" spans="1:17" x14ac:dyDescent="0.15">
      <c r="A22" s="2262" t="s">
        <v>3537</v>
      </c>
      <c r="B22" s="2287">
        <v>1327</v>
      </c>
      <c r="C22" s="2287">
        <v>8287.6666666666624</v>
      </c>
      <c r="D22" s="2287">
        <v>4266.0833333333376</v>
      </c>
      <c r="E22" s="2288">
        <v>6.2454157246922852</v>
      </c>
      <c r="F22" s="2288">
        <v>3.2148329565435851</v>
      </c>
      <c r="G22" s="2270">
        <v>727521.65362184728</v>
      </c>
      <c r="H22" s="2270">
        <v>637837.70744046918</v>
      </c>
      <c r="J22" s="2286"/>
      <c r="K22" s="2286"/>
      <c r="L22" s="2286"/>
      <c r="M22" s="2286"/>
      <c r="N22" s="2286"/>
      <c r="O22" s="2286"/>
      <c r="P22" s="2286"/>
      <c r="Q22" s="2286"/>
    </row>
    <row r="23" spans="1:17" x14ac:dyDescent="0.15">
      <c r="A23" s="2262" t="s">
        <v>3538</v>
      </c>
      <c r="B23" s="2287">
        <v>334</v>
      </c>
      <c r="C23" s="2287">
        <v>1505.7500000000002</v>
      </c>
      <c r="D23" s="2287">
        <v>652.5</v>
      </c>
      <c r="E23" s="2288">
        <v>4.5082335329341321</v>
      </c>
      <c r="F23" s="2288">
        <v>1.9535928143712575</v>
      </c>
      <c r="G23" s="2270">
        <v>696146.77248325862</v>
      </c>
      <c r="H23" s="2270">
        <v>676753.06411238783</v>
      </c>
      <c r="J23" s="2286"/>
      <c r="K23" s="2286"/>
      <c r="L23" s="2286"/>
      <c r="M23" s="2286"/>
      <c r="N23" s="2286"/>
      <c r="O23" s="2286"/>
      <c r="P23" s="2286"/>
      <c r="Q23" s="2286"/>
    </row>
    <row r="24" spans="1:17" x14ac:dyDescent="0.15">
      <c r="A24" s="2262" t="s">
        <v>3539</v>
      </c>
      <c r="B24" s="2287">
        <v>231</v>
      </c>
      <c r="C24" s="2287">
        <v>1853.9166666666665</v>
      </c>
      <c r="D24" s="2287">
        <v>1086.2500000000002</v>
      </c>
      <c r="E24" s="2288">
        <v>8.0256132756132743</v>
      </c>
      <c r="F24" s="2288">
        <v>4.7023809523809534</v>
      </c>
      <c r="G24" s="2270">
        <v>1069293.6534364182</v>
      </c>
      <c r="H24" s="2270">
        <v>996466.40690448729</v>
      </c>
      <c r="J24" s="2286"/>
      <c r="K24" s="2286"/>
      <c r="L24" s="2286"/>
      <c r="M24" s="2286"/>
      <c r="N24" s="2286"/>
      <c r="O24" s="2286"/>
      <c r="P24" s="2286"/>
      <c r="Q24" s="2286"/>
    </row>
    <row r="25" spans="1:17" x14ac:dyDescent="0.15">
      <c r="A25" s="2268" t="s">
        <v>3540</v>
      </c>
      <c r="B25" s="2284">
        <v>1133</v>
      </c>
      <c r="C25" s="2284">
        <v>9692.9166666666806</v>
      </c>
      <c r="D25" s="2284">
        <v>5850.5833333333385</v>
      </c>
      <c r="E25" s="2285">
        <v>8.5550897322742099</v>
      </c>
      <c r="F25" s="2285">
        <v>5.1637981759341027</v>
      </c>
      <c r="G25" s="2266">
        <v>773183.84950350225</v>
      </c>
      <c r="H25" s="2266">
        <v>646955.60154970211</v>
      </c>
      <c r="J25" s="2286"/>
      <c r="K25" s="2286"/>
      <c r="L25" s="2286"/>
      <c r="M25" s="2286"/>
      <c r="N25" s="2286"/>
      <c r="O25" s="2286"/>
      <c r="P25" s="2286"/>
      <c r="Q25" s="2286"/>
    </row>
    <row r="26" spans="1:17" x14ac:dyDescent="0.15">
      <c r="A26" s="2262" t="s">
        <v>2416</v>
      </c>
      <c r="B26" s="2287">
        <v>408</v>
      </c>
      <c r="C26" s="2287">
        <v>3094.5833333333348</v>
      </c>
      <c r="D26" s="2287">
        <v>2615.5833333333348</v>
      </c>
      <c r="E26" s="2288">
        <v>7.5847630718954289</v>
      </c>
      <c r="F26" s="2288">
        <v>6.4107434640522909</v>
      </c>
      <c r="G26" s="2270">
        <v>599605.05094923894</v>
      </c>
      <c r="H26" s="2270">
        <v>502649.70752222207</v>
      </c>
      <c r="J26" s="2286"/>
      <c r="K26" s="2286"/>
      <c r="L26" s="2286"/>
      <c r="M26" s="2286"/>
      <c r="N26" s="2286"/>
      <c r="O26" s="2286"/>
      <c r="P26" s="2286"/>
      <c r="Q26" s="2286"/>
    </row>
    <row r="27" spans="1:17" x14ac:dyDescent="0.15">
      <c r="A27" s="2262" t="s">
        <v>3534</v>
      </c>
      <c r="B27" s="2287">
        <v>25</v>
      </c>
      <c r="C27" s="2287">
        <v>502.91666666666669</v>
      </c>
      <c r="D27" s="2287">
        <v>186.41666666666666</v>
      </c>
      <c r="E27" s="2288">
        <v>20.116666666666667</v>
      </c>
      <c r="F27" s="2288">
        <v>7.4566666666666661</v>
      </c>
      <c r="G27" s="2270">
        <v>720908.09776304895</v>
      </c>
      <c r="H27" s="2270">
        <v>513735.0961108628</v>
      </c>
      <c r="J27" s="2286"/>
      <c r="K27" s="2286"/>
      <c r="L27" s="2286"/>
      <c r="M27" s="2286"/>
      <c r="N27" s="2286"/>
      <c r="O27" s="2286"/>
      <c r="P27" s="2286"/>
      <c r="Q27" s="2286"/>
    </row>
    <row r="28" spans="1:17" x14ac:dyDescent="0.15">
      <c r="A28" s="2262" t="s">
        <v>3541</v>
      </c>
      <c r="B28" s="2287">
        <v>111</v>
      </c>
      <c r="C28" s="2287">
        <v>215.33333333333343</v>
      </c>
      <c r="D28" s="2287">
        <v>163.66666666666666</v>
      </c>
      <c r="E28" s="2288">
        <v>1.9399399399399408</v>
      </c>
      <c r="F28" s="2288">
        <v>1.4744744744744744</v>
      </c>
      <c r="G28" s="2270">
        <v>678020.54953560338</v>
      </c>
      <c r="H28" s="2270">
        <v>372247.89663951122</v>
      </c>
      <c r="J28" s="2286"/>
      <c r="K28" s="2286"/>
      <c r="L28" s="2286"/>
      <c r="M28" s="2286"/>
      <c r="N28" s="2286"/>
      <c r="O28" s="2286"/>
      <c r="P28" s="2286"/>
      <c r="Q28" s="2286"/>
    </row>
    <row r="29" spans="1:17" x14ac:dyDescent="0.15">
      <c r="A29" s="2262" t="s">
        <v>1644</v>
      </c>
      <c r="B29" s="2287">
        <v>308</v>
      </c>
      <c r="C29" s="2287">
        <v>1118.2499999999998</v>
      </c>
      <c r="D29" s="2287">
        <v>508.41666666666669</v>
      </c>
      <c r="E29" s="2288">
        <v>3.6306818181818175</v>
      </c>
      <c r="F29" s="2288">
        <v>1.6507034632034632</v>
      </c>
      <c r="G29" s="2270">
        <v>531430.69923243218</v>
      </c>
      <c r="H29" s="2270">
        <v>533630.25225372904</v>
      </c>
      <c r="J29" s="2286"/>
      <c r="K29" s="2286"/>
      <c r="L29" s="2286"/>
      <c r="M29" s="2286"/>
      <c r="N29" s="2286"/>
      <c r="O29" s="2286"/>
      <c r="P29" s="2286"/>
      <c r="Q29" s="2286"/>
    </row>
    <row r="30" spans="1:17" x14ac:dyDescent="0.15">
      <c r="A30" s="2262" t="s">
        <v>1645</v>
      </c>
      <c r="B30" s="2287">
        <v>281</v>
      </c>
      <c r="C30" s="2287">
        <v>4761.833333333333</v>
      </c>
      <c r="D30" s="2287">
        <v>2376.4999999999995</v>
      </c>
      <c r="E30" s="2288">
        <v>16.946026097271648</v>
      </c>
      <c r="F30" s="2288">
        <v>8.4572953736654792</v>
      </c>
      <c r="G30" s="2270">
        <v>952584.64640719595</v>
      </c>
      <c r="H30" s="2270">
        <v>859392.21193632099</v>
      </c>
      <c r="J30" s="2286"/>
      <c r="K30" s="2286"/>
      <c r="L30" s="2286"/>
      <c r="M30" s="2286"/>
      <c r="N30" s="2286"/>
      <c r="O30" s="2286"/>
      <c r="P30" s="2286"/>
      <c r="Q30" s="2286"/>
    </row>
    <row r="31" spans="1:17" x14ac:dyDescent="0.15">
      <c r="A31" s="2268" t="s">
        <v>3542</v>
      </c>
      <c r="B31" s="2284">
        <v>6554</v>
      </c>
      <c r="C31" s="2284">
        <v>28585.91666666661</v>
      </c>
      <c r="D31" s="2284">
        <v>20031.833333333263</v>
      </c>
      <c r="E31" s="2285">
        <v>4.3615985149018321</v>
      </c>
      <c r="F31" s="2285">
        <v>3.0564286440850266</v>
      </c>
      <c r="G31" s="2266">
        <v>573817.04805396718</v>
      </c>
      <c r="H31" s="2266">
        <v>494559.86829296831</v>
      </c>
      <c r="J31" s="2286"/>
      <c r="K31" s="2286"/>
      <c r="L31" s="2286"/>
      <c r="M31" s="2286"/>
      <c r="N31" s="2286"/>
      <c r="O31" s="2286"/>
      <c r="P31" s="2286"/>
      <c r="Q31" s="2286"/>
    </row>
    <row r="32" spans="1:17" x14ac:dyDescent="0.15">
      <c r="A32" s="2262" t="s">
        <v>2866</v>
      </c>
      <c r="B32" s="2287">
        <v>2399</v>
      </c>
      <c r="C32" s="2287">
        <v>2987.1666666666761</v>
      </c>
      <c r="D32" s="2287">
        <v>1689.5833333333296</v>
      </c>
      <c r="E32" s="2288">
        <v>1.2451715992774806</v>
      </c>
      <c r="F32" s="2288">
        <v>0.70428650826733208</v>
      </c>
      <c r="G32" s="2270">
        <v>929663.11292752146</v>
      </c>
      <c r="H32" s="2270">
        <v>835059.4798027142</v>
      </c>
      <c r="J32" s="2286"/>
      <c r="K32" s="2286"/>
      <c r="L32" s="2286"/>
      <c r="M32" s="2286"/>
      <c r="N32" s="2286"/>
      <c r="O32" s="2286"/>
      <c r="P32" s="2286"/>
      <c r="Q32" s="2286"/>
    </row>
    <row r="33" spans="1:17" x14ac:dyDescent="0.15">
      <c r="A33" s="2262" t="s">
        <v>2867</v>
      </c>
      <c r="B33" s="2287">
        <v>607</v>
      </c>
      <c r="C33" s="2287">
        <v>1254.7499999999989</v>
      </c>
      <c r="D33" s="2287">
        <v>903.91666666666674</v>
      </c>
      <c r="E33" s="2288">
        <v>2.0671334431630952</v>
      </c>
      <c r="F33" s="2288">
        <v>1.4891543108182319</v>
      </c>
      <c r="G33" s="2270">
        <v>617490.12147174135</v>
      </c>
      <c r="H33" s="2270">
        <v>559541.18963768776</v>
      </c>
      <c r="J33" s="2286"/>
      <c r="K33" s="2286"/>
      <c r="L33" s="2286"/>
      <c r="M33" s="2286"/>
      <c r="N33" s="2286"/>
      <c r="O33" s="2286"/>
      <c r="P33" s="2286"/>
      <c r="Q33" s="2286"/>
    </row>
    <row r="34" spans="1:17" x14ac:dyDescent="0.15">
      <c r="A34" s="2262" t="s">
        <v>2543</v>
      </c>
      <c r="B34" s="2287">
        <v>3548</v>
      </c>
      <c r="C34" s="2287">
        <v>24343.999999999913</v>
      </c>
      <c r="D34" s="2287">
        <v>17438.333333333292</v>
      </c>
      <c r="E34" s="2288">
        <v>6.8613303269447332</v>
      </c>
      <c r="F34" s="2288">
        <v>4.9149755730928106</v>
      </c>
      <c r="G34" s="2270">
        <v>527901.41001889808</v>
      </c>
      <c r="H34" s="2270">
        <v>458200.87939883576</v>
      </c>
      <c r="J34" s="2286"/>
      <c r="K34" s="2286"/>
      <c r="L34" s="2286"/>
      <c r="M34" s="2286"/>
      <c r="N34" s="2286"/>
      <c r="O34" s="2286"/>
      <c r="P34" s="2286"/>
      <c r="Q34" s="2286"/>
    </row>
    <row r="35" spans="1:17" x14ac:dyDescent="0.15">
      <c r="A35" s="2268" t="s">
        <v>3543</v>
      </c>
      <c r="B35" s="2284">
        <v>2667</v>
      </c>
      <c r="C35" s="2284">
        <v>9288.8333333333412</v>
      </c>
      <c r="D35" s="2284">
        <v>4211.6666666666752</v>
      </c>
      <c r="E35" s="2285">
        <v>3.4828771403574583</v>
      </c>
      <c r="F35" s="2285">
        <v>1.5791776027996531</v>
      </c>
      <c r="G35" s="2266">
        <v>997246.11878061446</v>
      </c>
      <c r="H35" s="2266">
        <v>713505.26325682481</v>
      </c>
      <c r="J35" s="2286"/>
      <c r="K35" s="2286"/>
      <c r="L35" s="2286"/>
      <c r="M35" s="2286"/>
      <c r="N35" s="2286"/>
      <c r="O35" s="2286"/>
      <c r="P35" s="2286"/>
      <c r="Q35" s="2286"/>
    </row>
    <row r="36" spans="1:17" x14ac:dyDescent="0.15">
      <c r="A36" s="2262" t="s">
        <v>3544</v>
      </c>
      <c r="B36" s="2287">
        <v>2667</v>
      </c>
      <c r="C36" s="2287">
        <v>9288.8333333333412</v>
      </c>
      <c r="D36" s="2287">
        <v>4211.6666666666752</v>
      </c>
      <c r="E36" s="2288">
        <v>3.4828771403574583</v>
      </c>
      <c r="F36" s="2288">
        <v>1.5791776027996531</v>
      </c>
      <c r="G36" s="2270">
        <v>997246.11878061446</v>
      </c>
      <c r="H36" s="2270">
        <v>713505.26325682481</v>
      </c>
      <c r="J36" s="2286"/>
      <c r="K36" s="2286"/>
      <c r="L36" s="2286"/>
      <c r="M36" s="2286"/>
      <c r="N36" s="2286"/>
      <c r="O36" s="2286"/>
      <c r="P36" s="2286"/>
      <c r="Q36" s="2286"/>
    </row>
    <row r="37" spans="1:17" x14ac:dyDescent="0.15">
      <c r="A37" s="2268" t="s">
        <v>2883</v>
      </c>
      <c r="B37" s="2284">
        <v>841</v>
      </c>
      <c r="C37" s="2284">
        <v>4852.5833333333303</v>
      </c>
      <c r="D37" s="2284">
        <v>4488.5000000000009</v>
      </c>
      <c r="E37" s="2285">
        <v>5.7700158541418913</v>
      </c>
      <c r="F37" s="2285">
        <v>5.3370986920332948</v>
      </c>
      <c r="G37" s="2266">
        <v>848815.60488399817</v>
      </c>
      <c r="H37" s="2266">
        <v>683037.02840592549</v>
      </c>
      <c r="J37" s="2286"/>
      <c r="K37" s="2286"/>
      <c r="L37" s="2286"/>
      <c r="M37" s="2286"/>
      <c r="N37" s="2286"/>
      <c r="O37" s="2286"/>
      <c r="P37" s="2286"/>
      <c r="Q37" s="2286"/>
    </row>
    <row r="38" spans="1:17" x14ac:dyDescent="0.15">
      <c r="A38" s="2262" t="s">
        <v>2042</v>
      </c>
      <c r="B38" s="2287">
        <v>841</v>
      </c>
      <c r="C38" s="2287">
        <v>4852.5833333333303</v>
      </c>
      <c r="D38" s="2287">
        <v>4488.5000000000009</v>
      </c>
      <c r="E38" s="2288">
        <v>5.7700158541418913</v>
      </c>
      <c r="F38" s="2288">
        <v>5.3370986920332948</v>
      </c>
      <c r="G38" s="2270">
        <v>848815.60488399817</v>
      </c>
      <c r="H38" s="2270">
        <v>683037.02840592549</v>
      </c>
      <c r="J38" s="2286"/>
      <c r="K38" s="2286"/>
      <c r="L38" s="2286"/>
      <c r="M38" s="2286"/>
      <c r="N38" s="2286"/>
      <c r="O38" s="2286"/>
      <c r="P38" s="2286"/>
      <c r="Q38" s="2286"/>
    </row>
    <row r="39" spans="1:17" x14ac:dyDescent="0.15">
      <c r="A39" s="2262"/>
      <c r="B39" s="2262"/>
      <c r="C39" s="2262"/>
      <c r="D39" s="2290"/>
      <c r="E39" s="2262"/>
      <c r="F39" s="2262"/>
      <c r="G39" s="2262"/>
      <c r="H39" s="2262"/>
    </row>
    <row r="40" spans="1:17" ht="24" customHeight="1" x14ac:dyDescent="0.15">
      <c r="A40" s="3492" t="s">
        <v>4330</v>
      </c>
      <c r="B40" s="3502"/>
      <c r="C40" s="3502"/>
      <c r="D40" s="3502"/>
      <c r="E40" s="3502"/>
      <c r="F40" s="3503"/>
      <c r="G40" s="3503"/>
      <c r="H40" s="3503"/>
    </row>
    <row r="41" spans="1:17" ht="33.75" customHeight="1" x14ac:dyDescent="0.15">
      <c r="A41" s="3492" t="s">
        <v>4331</v>
      </c>
      <c r="B41" s="3502"/>
      <c r="C41" s="3502"/>
      <c r="D41" s="3502"/>
      <c r="E41" s="3502"/>
      <c r="F41" s="3503"/>
      <c r="G41" s="3503"/>
      <c r="H41" s="3503"/>
    </row>
    <row r="42" spans="1:17" ht="23.25" customHeight="1" x14ac:dyDescent="0.15">
      <c r="A42" s="3497" t="s">
        <v>4332</v>
      </c>
      <c r="B42" s="3497"/>
      <c r="C42" s="3497"/>
      <c r="D42" s="3497"/>
      <c r="E42" s="3497"/>
      <c r="F42" s="3497"/>
      <c r="G42" s="3497"/>
      <c r="H42" s="3497"/>
    </row>
    <row r="43" spans="1:17" ht="35.25" customHeight="1" x14ac:dyDescent="0.15">
      <c r="A43" s="3497" t="s">
        <v>4333</v>
      </c>
      <c r="B43" s="3497"/>
      <c r="C43" s="3497"/>
      <c r="D43" s="3497"/>
      <c r="E43" s="3497"/>
      <c r="F43" s="3497"/>
      <c r="G43" s="3497"/>
      <c r="H43" s="3497"/>
      <c r="J43" s="3492"/>
      <c r="K43" s="3499"/>
      <c r="L43" s="3499"/>
      <c r="M43" s="3499"/>
      <c r="N43" s="3499"/>
      <c r="O43" s="3499"/>
      <c r="P43" s="3499"/>
      <c r="Q43" s="3499"/>
    </row>
    <row r="44" spans="1:17" ht="24" customHeight="1" x14ac:dyDescent="0.15">
      <c r="A44" s="3492" t="s">
        <v>3545</v>
      </c>
      <c r="B44" s="3492"/>
      <c r="C44" s="3492"/>
      <c r="D44" s="3492"/>
      <c r="E44" s="3500"/>
      <c r="F44" s="3500"/>
      <c r="G44" s="3500"/>
      <c r="H44" s="3500"/>
    </row>
  </sheetData>
  <mergeCells count="7">
    <mergeCell ref="J43:Q43"/>
    <mergeCell ref="A44:H44"/>
    <mergeCell ref="A2:H2"/>
    <mergeCell ref="A40:H40"/>
    <mergeCell ref="A41:H41"/>
    <mergeCell ref="A42:H42"/>
    <mergeCell ref="A43:H43"/>
  </mergeCells>
  <pageMargins left="0.7" right="0.7" top="0.75" bottom="0.75" header="0.3" footer="0.3"/>
  <pageSetup paperSize="9" orientation="portrait" verticalDpi="0"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2:L29"/>
  <sheetViews>
    <sheetView workbookViewId="0">
      <selection activeCell="C30" sqref="C30"/>
    </sheetView>
  </sheetViews>
  <sheetFormatPr baseColWidth="10" defaultRowHeight="10.5" x14ac:dyDescent="0.15"/>
  <cols>
    <col min="1" max="1" width="40" style="2099" customWidth="1"/>
    <col min="2" max="5" width="21.42578125" style="2099" customWidth="1"/>
    <col min="6" max="7" width="11.42578125" style="2099"/>
    <col min="8" max="8" width="11.42578125" style="2099" customWidth="1"/>
    <col min="9" max="9" width="15.42578125" style="2099" bestFit="1" customWidth="1"/>
    <col min="10" max="10" width="11.85546875" style="2099" bestFit="1" customWidth="1"/>
    <col min="11" max="11" width="11.42578125" style="2099"/>
    <col min="12" max="12" width="11.85546875" style="2099" bestFit="1" customWidth="1"/>
    <col min="13" max="16384" width="11.42578125" style="2099"/>
  </cols>
  <sheetData>
    <row r="2" spans="1:12" ht="12.75" customHeight="1" x14ac:dyDescent="0.15">
      <c r="A2" s="1869" t="s">
        <v>3869</v>
      </c>
      <c r="B2" s="1870"/>
      <c r="C2" s="1870"/>
      <c r="D2" s="1870"/>
      <c r="E2" s="1870"/>
    </row>
    <row r="3" spans="1:12" ht="11.25" customHeight="1" x14ac:dyDescent="0.15"/>
    <row r="4" spans="1:12" ht="31.5" x14ac:dyDescent="0.15">
      <c r="A4" s="2101" t="s">
        <v>3527</v>
      </c>
      <c r="B4" s="2102" t="s">
        <v>3870</v>
      </c>
      <c r="C4" s="2102" t="s">
        <v>3871</v>
      </c>
      <c r="D4" s="2102" t="s">
        <v>3872</v>
      </c>
      <c r="E4" s="2102" t="s">
        <v>3873</v>
      </c>
    </row>
    <row r="5" spans="1:12" ht="11.25" x14ac:dyDescent="0.15">
      <c r="A5" s="268" t="s">
        <v>3874</v>
      </c>
      <c r="B5" s="1646">
        <v>62038753463.399597</v>
      </c>
      <c r="C5" s="1871">
        <f t="shared" ref="C5:C15" si="0">B5/B$5</f>
        <v>1</v>
      </c>
      <c r="D5" s="1646">
        <v>57329163423.959198</v>
      </c>
      <c r="E5" s="1871">
        <f t="shared" ref="E5:E15" si="1">D5/D$5</f>
        <v>1</v>
      </c>
    </row>
    <row r="6" spans="1:12" x14ac:dyDescent="0.15">
      <c r="A6" s="1872" t="s">
        <v>3875</v>
      </c>
      <c r="B6" s="1646">
        <f>SUM(B7:B15)</f>
        <v>169890601.13</v>
      </c>
      <c r="C6" s="1871">
        <f t="shared" si="0"/>
        <v>2.7384592959339314E-3</v>
      </c>
      <c r="D6" s="1646">
        <f>SUM(D7:D15)</f>
        <v>3105905311.2199969</v>
      </c>
      <c r="E6" s="1871">
        <f t="shared" si="1"/>
        <v>5.4176707381045901E-2</v>
      </c>
    </row>
    <row r="7" spans="1:12" x14ac:dyDescent="0.15">
      <c r="A7" s="1380" t="s">
        <v>3542</v>
      </c>
      <c r="B7" s="17">
        <v>20256287.070000004</v>
      </c>
      <c r="C7" s="1873">
        <f t="shared" si="0"/>
        <v>3.2651022045358162E-4</v>
      </c>
      <c r="D7" s="17">
        <v>25961244.109999985</v>
      </c>
      <c r="E7" s="1873">
        <f t="shared" si="1"/>
        <v>4.5284533315115798E-4</v>
      </c>
      <c r="L7" s="1874"/>
    </row>
    <row r="8" spans="1:12" x14ac:dyDescent="0.15">
      <c r="A8" s="1380" t="s">
        <v>2870</v>
      </c>
      <c r="B8" s="17">
        <v>0</v>
      </c>
      <c r="C8" s="1873">
        <f t="shared" si="0"/>
        <v>0</v>
      </c>
      <c r="D8" s="17">
        <v>187430.71</v>
      </c>
      <c r="E8" s="1873">
        <f t="shared" si="1"/>
        <v>3.2693780757607971E-6</v>
      </c>
    </row>
    <row r="9" spans="1:12" x14ac:dyDescent="0.15">
      <c r="A9" s="1380" t="s">
        <v>2873</v>
      </c>
      <c r="B9" s="17">
        <v>42960982.949999996</v>
      </c>
      <c r="C9" s="1873">
        <f t="shared" si="0"/>
        <v>6.9248623725725353E-4</v>
      </c>
      <c r="D9" s="17">
        <v>377403212.15000045</v>
      </c>
      <c r="E9" s="1873">
        <f t="shared" si="1"/>
        <v>6.5830929601926619E-3</v>
      </c>
      <c r="K9" s="1874"/>
    </row>
    <row r="10" spans="1:12" x14ac:dyDescent="0.15">
      <c r="A10" s="1380" t="s">
        <v>2875</v>
      </c>
      <c r="B10" s="17">
        <v>2085837.8500000006</v>
      </c>
      <c r="C10" s="1873">
        <f t="shared" si="0"/>
        <v>3.3621530632954483E-5</v>
      </c>
      <c r="D10" s="17">
        <v>125262983.77</v>
      </c>
      <c r="E10" s="1873">
        <f t="shared" si="1"/>
        <v>2.184978399975215E-3</v>
      </c>
    </row>
    <row r="11" spans="1:12" x14ac:dyDescent="0.15">
      <c r="A11" s="1380" t="s">
        <v>2880</v>
      </c>
      <c r="B11" s="17">
        <v>4707148.3599999994</v>
      </c>
      <c r="C11" s="1873">
        <f t="shared" si="0"/>
        <v>7.58743220522158E-5</v>
      </c>
      <c r="D11" s="17">
        <v>143994103.70999977</v>
      </c>
      <c r="E11" s="1873">
        <f t="shared" si="1"/>
        <v>2.5117077436685787E-3</v>
      </c>
    </row>
    <row r="12" spans="1:12" x14ac:dyDescent="0.15">
      <c r="A12" s="1380" t="s">
        <v>2882</v>
      </c>
      <c r="B12" s="17">
        <v>63892756.700000048</v>
      </c>
      <c r="C12" s="1873">
        <f t="shared" si="0"/>
        <v>1.0298845984662512E-3</v>
      </c>
      <c r="D12" s="17">
        <v>139570813.60000032</v>
      </c>
      <c r="E12" s="1873">
        <f t="shared" si="1"/>
        <v>2.4345517231404499E-3</v>
      </c>
    </row>
    <row r="13" spans="1:12" x14ac:dyDescent="0.15">
      <c r="A13" s="1380" t="s">
        <v>3543</v>
      </c>
      <c r="B13" s="17">
        <v>26904671.339999981</v>
      </c>
      <c r="C13" s="1873">
        <f t="shared" si="0"/>
        <v>4.336752406844001E-4</v>
      </c>
      <c r="D13" s="17">
        <v>1536928902.2999959</v>
      </c>
      <c r="E13" s="1873">
        <f t="shared" si="1"/>
        <v>2.6808849292534371E-2</v>
      </c>
    </row>
    <row r="14" spans="1:12" x14ac:dyDescent="0.15">
      <c r="A14" s="1380" t="s">
        <v>2901</v>
      </c>
      <c r="B14" s="17">
        <v>8506602.9699999988</v>
      </c>
      <c r="C14" s="1873">
        <f t="shared" si="0"/>
        <v>1.3711756757038256E-4</v>
      </c>
      <c r="D14" s="17">
        <v>745945687.16000044</v>
      </c>
      <c r="E14" s="1873">
        <f t="shared" si="1"/>
        <v>1.3011626938345525E-2</v>
      </c>
    </row>
    <row r="15" spans="1:12" x14ac:dyDescent="0.15">
      <c r="A15" s="1380" t="s">
        <v>2906</v>
      </c>
      <c r="B15" s="17">
        <v>576313.89</v>
      </c>
      <c r="C15" s="1873">
        <f t="shared" si="0"/>
        <v>9.2895788168922893E-6</v>
      </c>
      <c r="D15" s="17">
        <v>10650933.709999997</v>
      </c>
      <c r="E15" s="1873">
        <f t="shared" si="1"/>
        <v>1.8578561196217844E-4</v>
      </c>
    </row>
    <row r="16" spans="1:12" x14ac:dyDescent="0.15">
      <c r="A16" s="268" t="s">
        <v>3876</v>
      </c>
      <c r="B16" s="1646">
        <v>1054882652.29</v>
      </c>
      <c r="C16" s="1871">
        <f t="shared" ref="C16:C22" si="2">B16/B$16</f>
        <v>1</v>
      </c>
      <c r="D16" s="1646" t="s">
        <v>181</v>
      </c>
      <c r="E16" s="1646" t="s">
        <v>181</v>
      </c>
    </row>
    <row r="17" spans="1:5" x14ac:dyDescent="0.15">
      <c r="A17" s="1872" t="s">
        <v>3877</v>
      </c>
      <c r="B17" s="1646">
        <f>SUM(B18:B22)</f>
        <v>236735772.83999994</v>
      </c>
      <c r="C17" s="1871">
        <f t="shared" si="2"/>
        <v>0.22441905962343803</v>
      </c>
      <c r="D17" s="1646" t="s">
        <v>181</v>
      </c>
      <c r="E17" s="1646" t="s">
        <v>181</v>
      </c>
    </row>
    <row r="18" spans="1:5" x14ac:dyDescent="0.15">
      <c r="A18" s="1380" t="s">
        <v>2875</v>
      </c>
      <c r="B18" s="17">
        <v>13000</v>
      </c>
      <c r="C18" s="1873">
        <f t="shared" si="2"/>
        <v>1.2323645641322143E-5</v>
      </c>
      <c r="D18" s="1652" t="s">
        <v>181</v>
      </c>
      <c r="E18" s="1652" t="s">
        <v>181</v>
      </c>
    </row>
    <row r="19" spans="1:5" x14ac:dyDescent="0.15">
      <c r="A19" s="1380" t="s">
        <v>2873</v>
      </c>
      <c r="B19" s="17">
        <v>7209696.9899999993</v>
      </c>
      <c r="C19" s="1873">
        <f t="shared" si="2"/>
        <v>6.8345962220051435E-3</v>
      </c>
      <c r="D19" s="1652" t="s">
        <v>181</v>
      </c>
      <c r="E19" s="1652" t="s">
        <v>181</v>
      </c>
    </row>
    <row r="20" spans="1:5" x14ac:dyDescent="0.15">
      <c r="A20" s="1380" t="s">
        <v>2901</v>
      </c>
      <c r="B20" s="17">
        <v>10911405.17</v>
      </c>
      <c r="C20" s="1873">
        <f t="shared" si="2"/>
        <v>1.0343714674151568E-2</v>
      </c>
      <c r="D20" s="1652" t="s">
        <v>181</v>
      </c>
      <c r="E20" s="1652" t="s">
        <v>181</v>
      </c>
    </row>
    <row r="21" spans="1:5" x14ac:dyDescent="0.15">
      <c r="A21" s="1380" t="s">
        <v>3542</v>
      </c>
      <c r="B21" s="17">
        <v>25758427.709999997</v>
      </c>
      <c r="C21" s="1873">
        <f t="shared" si="2"/>
        <v>2.4418287336588691E-2</v>
      </c>
      <c r="D21" s="1652" t="s">
        <v>181</v>
      </c>
      <c r="E21" s="1652" t="s">
        <v>181</v>
      </c>
    </row>
    <row r="22" spans="1:5" x14ac:dyDescent="0.15">
      <c r="A22" s="1380" t="s">
        <v>3543</v>
      </c>
      <c r="B22" s="17">
        <v>192843242.96999994</v>
      </c>
      <c r="C22" s="1873">
        <f t="shared" si="2"/>
        <v>0.18281013774505128</v>
      </c>
      <c r="D22" s="1652" t="s">
        <v>181</v>
      </c>
      <c r="E22" s="1652" t="s">
        <v>181</v>
      </c>
    </row>
    <row r="24" spans="1:5" ht="22.5" customHeight="1" x14ac:dyDescent="0.15">
      <c r="A24" s="2557" t="s">
        <v>3878</v>
      </c>
      <c r="B24" s="2557"/>
      <c r="C24" s="2557"/>
      <c r="D24" s="2557"/>
      <c r="E24" s="2557"/>
    </row>
    <row r="25" spans="1:5" x14ac:dyDescent="0.15">
      <c r="A25" s="2557" t="s">
        <v>3879</v>
      </c>
      <c r="B25" s="2557"/>
      <c r="C25" s="2557"/>
      <c r="D25" s="2557"/>
      <c r="E25" s="2557"/>
    </row>
    <row r="26" spans="1:5" x14ac:dyDescent="0.15">
      <c r="A26" s="3504" t="s">
        <v>20</v>
      </c>
      <c r="B26" s="3504"/>
      <c r="C26" s="3504"/>
      <c r="D26" s="3504"/>
      <c r="E26" s="3504"/>
    </row>
    <row r="27" spans="1:5" x14ac:dyDescent="0.15">
      <c r="A27" s="3504" t="s">
        <v>184</v>
      </c>
      <c r="B27" s="3504"/>
      <c r="C27" s="3504"/>
      <c r="D27" s="3504"/>
      <c r="E27" s="3504"/>
    </row>
    <row r="28" spans="1:5" x14ac:dyDescent="0.15">
      <c r="A28" s="3504" t="s">
        <v>3880</v>
      </c>
      <c r="B28" s="3504"/>
      <c r="C28" s="3504"/>
      <c r="D28" s="3504"/>
      <c r="E28" s="3504"/>
    </row>
    <row r="29" spans="1:5" ht="22.5" customHeight="1" x14ac:dyDescent="0.15">
      <c r="A29" s="2557" t="s">
        <v>3881</v>
      </c>
      <c r="B29" s="2557"/>
      <c r="C29" s="2557"/>
      <c r="D29" s="2557"/>
      <c r="E29" s="2557"/>
    </row>
  </sheetData>
  <mergeCells count="6">
    <mergeCell ref="A29:E29"/>
    <mergeCell ref="A24:E24"/>
    <mergeCell ref="A25:E25"/>
    <mergeCell ref="A26:E26"/>
    <mergeCell ref="A27:E27"/>
    <mergeCell ref="A28:E28"/>
  </mergeCells>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dimension ref="A2:H98"/>
  <sheetViews>
    <sheetView zoomScaleNormal="100" workbookViewId="0">
      <selection activeCell="A3" sqref="A3"/>
    </sheetView>
  </sheetViews>
  <sheetFormatPr baseColWidth="10" defaultRowHeight="10.5" x14ac:dyDescent="0.15"/>
  <cols>
    <col min="1" max="1" width="40" style="214" customWidth="1"/>
    <col min="2" max="7" width="21.28515625" style="214" customWidth="1"/>
    <col min="8" max="8" width="6.28515625" style="214" customWidth="1"/>
    <col min="9" max="16384" width="11.42578125" style="214"/>
  </cols>
  <sheetData>
    <row r="2" spans="1:7" ht="18.75" customHeight="1" x14ac:dyDescent="0.15">
      <c r="A2" s="3273" t="s">
        <v>3882</v>
      </c>
      <c r="B2" s="3273"/>
      <c r="C2" s="3273"/>
      <c r="D2" s="3444"/>
      <c r="E2" s="3444"/>
      <c r="F2" s="3444"/>
      <c r="G2" s="3444"/>
    </row>
    <row r="3" spans="1:7" ht="10.5" customHeight="1" x14ac:dyDescent="0.15"/>
    <row r="4" spans="1:7" ht="15" customHeight="1" x14ac:dyDescent="0.15">
      <c r="A4" s="2521" t="s">
        <v>3883</v>
      </c>
      <c r="B4" s="2521">
        <v>2013</v>
      </c>
      <c r="C4" s="2521"/>
      <c r="D4" s="2521">
        <v>2014</v>
      </c>
      <c r="E4" s="2521"/>
      <c r="F4" s="2512">
        <v>2015</v>
      </c>
      <c r="G4" s="2512"/>
    </row>
    <row r="5" spans="1:7" ht="18.75" customHeight="1" x14ac:dyDescent="0.15">
      <c r="A5" s="2521"/>
      <c r="B5" s="1875" t="s">
        <v>3884</v>
      </c>
      <c r="C5" s="231" t="s">
        <v>3885</v>
      </c>
      <c r="D5" s="231" t="s">
        <v>3884</v>
      </c>
      <c r="E5" s="231" t="s">
        <v>3885</v>
      </c>
      <c r="F5" s="231" t="s">
        <v>3884</v>
      </c>
      <c r="G5" s="231" t="s">
        <v>3885</v>
      </c>
    </row>
    <row r="6" spans="1:7" ht="11.25" customHeight="1" x14ac:dyDescent="0.15">
      <c r="A6" s="1876" t="s">
        <v>141</v>
      </c>
      <c r="B6" s="1877">
        <f>SUM(B7,B11,B13,B16,B18,B21,B23,B25,B29)</f>
        <v>3871384304.6500006</v>
      </c>
      <c r="C6" s="1877">
        <f>SUM(C7,C11,C13,C16,C18,C21,C23,C25,C29)</f>
        <v>221264938.97999999</v>
      </c>
      <c r="D6" s="1878">
        <f>+D7+D11+D13+D16+D18+D21+D23+D25+D29</f>
        <v>3254648308.3499913</v>
      </c>
      <c r="E6" s="1878">
        <f>+E7+E11+E13+E16+E18+E21+E23+E25+E29</f>
        <v>221496327.27000007</v>
      </c>
      <c r="F6" s="1878">
        <f>+F7+F11+F13+F16+F18+F21+F23+F25+F29</f>
        <v>3105905311.2199969</v>
      </c>
      <c r="G6" s="1878">
        <f>+G7+G11+G13+G16+G18+G21+G23+G25+G29</f>
        <v>169890601.13</v>
      </c>
    </row>
    <row r="7" spans="1:7" ht="11.25" customHeight="1" x14ac:dyDescent="0.15">
      <c r="A7" s="1869" t="s">
        <v>3542</v>
      </c>
      <c r="B7" s="192">
        <f>SUM(B8:B10)</f>
        <v>28604690.240000002</v>
      </c>
      <c r="C7" s="192">
        <f>SUM(C8:C10)</f>
        <v>23277827.580000002</v>
      </c>
      <c r="D7" s="200">
        <f t="shared" ref="D7:F7" si="0">+SUM(D8:D10)</f>
        <v>26057246.699999996</v>
      </c>
      <c r="E7" s="200">
        <f t="shared" si="0"/>
        <v>23175385.540000021</v>
      </c>
      <c r="F7" s="200">
        <f t="shared" si="0"/>
        <v>25961244.109999985</v>
      </c>
      <c r="G7" s="200">
        <f>+SUM(G8:G10)</f>
        <v>20256287.070000004</v>
      </c>
    </row>
    <row r="8" spans="1:7" ht="11.25" customHeight="1" x14ac:dyDescent="0.15">
      <c r="A8" s="1879" t="s">
        <v>3886</v>
      </c>
      <c r="B8" s="1880">
        <v>79491.710000000006</v>
      </c>
      <c r="C8" s="1880">
        <v>9215.7099999999991</v>
      </c>
      <c r="D8" s="17">
        <v>66539.39</v>
      </c>
      <c r="E8" s="17">
        <v>1000</v>
      </c>
      <c r="F8" s="17">
        <v>53678.579999999994</v>
      </c>
      <c r="G8" s="17">
        <v>20654.5</v>
      </c>
    </row>
    <row r="9" spans="1:7" ht="11.25" customHeight="1" x14ac:dyDescent="0.15">
      <c r="A9" s="1879" t="s">
        <v>3887</v>
      </c>
      <c r="B9" s="1880">
        <v>2432588.27</v>
      </c>
      <c r="C9" s="1880">
        <v>1401631.73</v>
      </c>
      <c r="D9" s="17">
        <v>2493304.8200000003</v>
      </c>
      <c r="E9" s="17">
        <v>1344557.26</v>
      </c>
      <c r="F9" s="17">
        <v>2654748.0800000015</v>
      </c>
      <c r="G9" s="17">
        <v>1092025.3499999999</v>
      </c>
    </row>
    <row r="10" spans="1:7" ht="11.25" customHeight="1" x14ac:dyDescent="0.15">
      <c r="A10" s="1879" t="s">
        <v>3888</v>
      </c>
      <c r="B10" s="1880">
        <v>26092610.260000002</v>
      </c>
      <c r="C10" s="1880">
        <v>21866980.140000001</v>
      </c>
      <c r="D10" s="17">
        <v>23497402.489999995</v>
      </c>
      <c r="E10" s="17">
        <v>21829828.28000002</v>
      </c>
      <c r="F10" s="17">
        <v>23252817.449999984</v>
      </c>
      <c r="G10" s="17">
        <v>19143607.220000003</v>
      </c>
    </row>
    <row r="11" spans="1:7" ht="11.25" customHeight="1" x14ac:dyDescent="0.15">
      <c r="A11" s="1869" t="s">
        <v>2870</v>
      </c>
      <c r="B11" s="192">
        <f>SUM(B12)</f>
        <v>115576.68</v>
      </c>
      <c r="C11" s="192">
        <f>SUM(C12)</f>
        <v>5000</v>
      </c>
      <c r="D11" s="200">
        <f t="shared" ref="D11:F11" si="1">+D12</f>
        <v>143181.29</v>
      </c>
      <c r="E11" s="200">
        <f t="shared" si="1"/>
        <v>0</v>
      </c>
      <c r="F11" s="200">
        <f t="shared" si="1"/>
        <v>187430.71</v>
      </c>
      <c r="G11" s="200">
        <f>+G12</f>
        <v>0</v>
      </c>
    </row>
    <row r="12" spans="1:7" ht="11.25" customHeight="1" x14ac:dyDescent="0.15">
      <c r="A12" s="1879" t="s">
        <v>3889</v>
      </c>
      <c r="B12" s="1880">
        <v>115576.68</v>
      </c>
      <c r="C12" s="1880">
        <v>5000</v>
      </c>
      <c r="D12" s="17">
        <v>143181.29</v>
      </c>
      <c r="E12" s="17">
        <v>0</v>
      </c>
      <c r="F12" s="17">
        <v>187430.71</v>
      </c>
      <c r="G12" s="17">
        <v>0</v>
      </c>
    </row>
    <row r="13" spans="1:7" ht="11.25" customHeight="1" x14ac:dyDescent="0.15">
      <c r="A13" s="1869" t="s">
        <v>2873</v>
      </c>
      <c r="B13" s="192">
        <f>SUM(B14:B15)</f>
        <v>501583258.14000005</v>
      </c>
      <c r="C13" s="192">
        <f>SUM(C14:C15)</f>
        <v>81056488.800000012</v>
      </c>
      <c r="D13" s="200">
        <f t="shared" ref="D13:F13" si="2">+SUM(D14:D15)</f>
        <v>395548419.02000034</v>
      </c>
      <c r="E13" s="200">
        <f t="shared" si="2"/>
        <v>48061358.029999979</v>
      </c>
      <c r="F13" s="200">
        <f t="shared" si="2"/>
        <v>377403212.15000045</v>
      </c>
      <c r="G13" s="200">
        <f>+SUM(G14:G15)</f>
        <v>42960982.949999996</v>
      </c>
    </row>
    <row r="14" spans="1:7" ht="11.25" customHeight="1" x14ac:dyDescent="0.15">
      <c r="A14" s="1879" t="s">
        <v>3890</v>
      </c>
      <c r="B14" s="1880">
        <v>7397846.5099999998</v>
      </c>
      <c r="C14" s="1880">
        <v>65867151.70000001</v>
      </c>
      <c r="D14" s="17">
        <v>8664072.4600000009</v>
      </c>
      <c r="E14" s="17">
        <v>37027992.149999976</v>
      </c>
      <c r="F14" s="17">
        <v>8024981.7800000012</v>
      </c>
      <c r="G14" s="17">
        <v>34097117.339999996</v>
      </c>
    </row>
    <row r="15" spans="1:7" ht="11.25" customHeight="1" x14ac:dyDescent="0.15">
      <c r="A15" s="1879" t="s">
        <v>3891</v>
      </c>
      <c r="B15" s="1880">
        <v>494185411.63000005</v>
      </c>
      <c r="C15" s="1880">
        <v>15189337.100000001</v>
      </c>
      <c r="D15" s="17">
        <v>386884346.56000036</v>
      </c>
      <c r="E15" s="17">
        <v>11033365.880000005</v>
      </c>
      <c r="F15" s="17">
        <v>369378230.37000048</v>
      </c>
      <c r="G15" s="17">
        <v>8863865.6099999975</v>
      </c>
    </row>
    <row r="16" spans="1:7" ht="11.25" customHeight="1" x14ac:dyDescent="0.15">
      <c r="A16" s="1869" t="s">
        <v>2875</v>
      </c>
      <c r="B16" s="192">
        <f>SUM(B17)</f>
        <v>145503361.35999998</v>
      </c>
      <c r="C16" s="192">
        <f>SUM(C17)</f>
        <v>2206193.4299999997</v>
      </c>
      <c r="D16" s="200">
        <f t="shared" ref="D16:F16" si="3">+D17</f>
        <v>130990063.03999987</v>
      </c>
      <c r="E16" s="200">
        <f t="shared" si="3"/>
        <v>5842735.0099999998</v>
      </c>
      <c r="F16" s="200">
        <f t="shared" si="3"/>
        <v>125262983.77</v>
      </c>
      <c r="G16" s="200">
        <f>+G17</f>
        <v>2085837.8500000006</v>
      </c>
    </row>
    <row r="17" spans="1:8" ht="11.25" customHeight="1" x14ac:dyDescent="0.15">
      <c r="A17" s="1879" t="s">
        <v>3892</v>
      </c>
      <c r="B17" s="1880">
        <v>145503361.35999998</v>
      </c>
      <c r="C17" s="1880">
        <v>2206193.4299999997</v>
      </c>
      <c r="D17" s="17">
        <v>130990063.03999987</v>
      </c>
      <c r="E17" s="17">
        <v>5842735.0099999998</v>
      </c>
      <c r="F17" s="17">
        <v>125262983.77</v>
      </c>
      <c r="G17" s="17">
        <v>2085837.8500000006</v>
      </c>
    </row>
    <row r="18" spans="1:8" ht="11.25" customHeight="1" x14ac:dyDescent="0.15">
      <c r="A18" s="1869" t="s">
        <v>2880</v>
      </c>
      <c r="B18" s="192">
        <f>SUM(B19:B20)</f>
        <v>195644362.46000004</v>
      </c>
      <c r="C18" s="192">
        <f>SUM(C19:C20)</f>
        <v>6314607.5299999993</v>
      </c>
      <c r="D18" s="200">
        <f t="shared" ref="D18:F18" si="4">+SUM(D19:D20)</f>
        <v>160609218.33999994</v>
      </c>
      <c r="E18" s="200">
        <f t="shared" si="4"/>
        <v>4864045.41</v>
      </c>
      <c r="F18" s="200">
        <f t="shared" si="4"/>
        <v>143994103.70999977</v>
      </c>
      <c r="G18" s="200">
        <f>+SUM(G19:G20)</f>
        <v>4707148.3599999994</v>
      </c>
    </row>
    <row r="19" spans="1:8" ht="11.25" customHeight="1" x14ac:dyDescent="0.15">
      <c r="A19" s="1879" t="s">
        <v>3893</v>
      </c>
      <c r="B19" s="1880">
        <v>23461141.120000001</v>
      </c>
      <c r="C19" s="1880">
        <v>1954007.5799999996</v>
      </c>
      <c r="D19" s="17">
        <v>25393836.230000008</v>
      </c>
      <c r="E19" s="17">
        <v>1456862.8100000003</v>
      </c>
      <c r="F19" s="17">
        <v>26203746.339999977</v>
      </c>
      <c r="G19" s="17">
        <v>1572641.07</v>
      </c>
    </row>
    <row r="20" spans="1:8" ht="11.25" customHeight="1" x14ac:dyDescent="0.15">
      <c r="A20" s="1879" t="s">
        <v>3894</v>
      </c>
      <c r="B20" s="1880">
        <v>172183221.34000003</v>
      </c>
      <c r="C20" s="1880">
        <v>4360599.9499999993</v>
      </c>
      <c r="D20" s="17">
        <v>135215382.10999992</v>
      </c>
      <c r="E20" s="17">
        <v>3407182.6</v>
      </c>
      <c r="F20" s="17">
        <v>117790357.36999978</v>
      </c>
      <c r="G20" s="17">
        <v>3134507.2899999991</v>
      </c>
    </row>
    <row r="21" spans="1:8" ht="11.25" customHeight="1" x14ac:dyDescent="0.15">
      <c r="A21" s="1869" t="s">
        <v>2882</v>
      </c>
      <c r="B21" s="192">
        <f>SUM(B22)</f>
        <v>130667787.18000001</v>
      </c>
      <c r="C21" s="192">
        <f>SUM(C22)</f>
        <v>58961659.039999999</v>
      </c>
      <c r="D21" s="200">
        <f t="shared" ref="D21:F21" si="5">+D22</f>
        <v>137107869.47999951</v>
      </c>
      <c r="E21" s="200">
        <f t="shared" si="5"/>
        <v>81508967.660000026</v>
      </c>
      <c r="F21" s="200">
        <f t="shared" si="5"/>
        <v>139570813.60000032</v>
      </c>
      <c r="G21" s="200">
        <f>+G22</f>
        <v>63892756.700000048</v>
      </c>
    </row>
    <row r="22" spans="1:8" ht="11.25" customHeight="1" x14ac:dyDescent="0.15">
      <c r="A22" s="1879" t="s">
        <v>3895</v>
      </c>
      <c r="B22" s="1880">
        <v>130667787.18000001</v>
      </c>
      <c r="C22" s="1880">
        <v>58961659.039999999</v>
      </c>
      <c r="D22" s="17">
        <v>137107869.47999951</v>
      </c>
      <c r="E22" s="17">
        <v>81508967.660000026</v>
      </c>
      <c r="F22" s="17">
        <v>139570813.60000032</v>
      </c>
      <c r="G22" s="17">
        <v>63892756.700000048</v>
      </c>
    </row>
    <row r="23" spans="1:8" ht="11.25" customHeight="1" x14ac:dyDescent="0.15">
      <c r="A23" s="1869" t="s">
        <v>3543</v>
      </c>
      <c r="B23" s="192">
        <f>SUM(B24)</f>
        <v>1846862636.49</v>
      </c>
      <c r="C23" s="192">
        <f>SUM(C24)</f>
        <v>36823451.719999999</v>
      </c>
      <c r="D23" s="200">
        <f t="shared" ref="D23:F23" si="6">+D24</f>
        <v>1482537466.3799939</v>
      </c>
      <c r="E23" s="200">
        <f t="shared" si="6"/>
        <v>45303484.890000053</v>
      </c>
      <c r="F23" s="200">
        <f t="shared" si="6"/>
        <v>1536928902.2999959</v>
      </c>
      <c r="G23" s="200">
        <f>+G24</f>
        <v>26904671.339999981</v>
      </c>
    </row>
    <row r="24" spans="1:8" ht="11.25" customHeight="1" x14ac:dyDescent="0.15">
      <c r="A24" s="1879" t="s">
        <v>3544</v>
      </c>
      <c r="B24" s="1880">
        <v>1846862636.49</v>
      </c>
      <c r="C24" s="1880">
        <v>36823451.719999999</v>
      </c>
      <c r="D24" s="17">
        <v>1482537466.3799939</v>
      </c>
      <c r="E24" s="17">
        <v>45303484.890000053</v>
      </c>
      <c r="F24" s="17">
        <v>1536928902.2999959</v>
      </c>
      <c r="G24" s="17">
        <v>26904671.339999981</v>
      </c>
    </row>
    <row r="25" spans="1:8" ht="11.25" customHeight="1" x14ac:dyDescent="0.15">
      <c r="A25" s="1869" t="s">
        <v>2901</v>
      </c>
      <c r="B25" s="192">
        <f>SUM(B26:B28)</f>
        <v>1009747159.34</v>
      </c>
      <c r="C25" s="192">
        <f>SUM(C26:C28)</f>
        <v>12244439.680000002</v>
      </c>
      <c r="D25" s="200">
        <f t="shared" ref="D25:F25" si="7">+SUM(D26:D28)</f>
        <v>911321599.28999829</v>
      </c>
      <c r="E25" s="200">
        <f t="shared" si="7"/>
        <v>12230164.780000009</v>
      </c>
      <c r="F25" s="200">
        <f t="shared" si="7"/>
        <v>745945687.16000044</v>
      </c>
      <c r="G25" s="200">
        <f>+SUM(G26:G28)</f>
        <v>8506602.9699999988</v>
      </c>
    </row>
    <row r="26" spans="1:8" ht="11.25" customHeight="1" x14ac:dyDescent="0.15">
      <c r="A26" s="1879" t="s">
        <v>3896</v>
      </c>
      <c r="B26" s="1880">
        <v>77665065.50999999</v>
      </c>
      <c r="C26" s="1880">
        <v>1736217.79</v>
      </c>
      <c r="D26" s="17">
        <v>62896274.100000016</v>
      </c>
      <c r="E26" s="17">
        <v>2076439.3399999999</v>
      </c>
      <c r="F26" s="17">
        <v>48858679.65000008</v>
      </c>
      <c r="G26" s="17">
        <v>1072586.17</v>
      </c>
    </row>
    <row r="27" spans="1:8" ht="11.25" customHeight="1" x14ac:dyDescent="0.15">
      <c r="A27" s="1879" t="s">
        <v>3897</v>
      </c>
      <c r="B27" s="1880">
        <v>853080997.61000001</v>
      </c>
      <c r="C27" s="1880">
        <v>9949557.8100000024</v>
      </c>
      <c r="D27" s="17">
        <v>766042663.66999841</v>
      </c>
      <c r="E27" s="17">
        <v>9381274.3700000085</v>
      </c>
      <c r="F27" s="17">
        <v>645405241.42000031</v>
      </c>
      <c r="G27" s="17">
        <v>7217148.7499999991</v>
      </c>
    </row>
    <row r="28" spans="1:8" ht="11.25" customHeight="1" x14ac:dyDescent="0.15">
      <c r="A28" s="1879" t="s">
        <v>3898</v>
      </c>
      <c r="B28" s="1880">
        <v>79001096.220000014</v>
      </c>
      <c r="C28" s="1880">
        <v>558664.07999999996</v>
      </c>
      <c r="D28" s="17">
        <v>82382661.519999921</v>
      </c>
      <c r="E28" s="17">
        <v>772451.07</v>
      </c>
      <c r="F28" s="17">
        <v>51681766.090000011</v>
      </c>
      <c r="G28" s="17">
        <v>216868.05000000002</v>
      </c>
    </row>
    <row r="29" spans="1:8" ht="11.25" customHeight="1" x14ac:dyDescent="0.15">
      <c r="A29" s="1869" t="s">
        <v>2906</v>
      </c>
      <c r="B29" s="192">
        <f>SUM(B30)</f>
        <v>12655472.760000002</v>
      </c>
      <c r="C29" s="192">
        <f>SUM(C30)</f>
        <v>375271.19999999995</v>
      </c>
      <c r="D29" s="200">
        <f t="shared" ref="D29:F29" si="8">+D30</f>
        <v>10333244.810000001</v>
      </c>
      <c r="E29" s="200">
        <f t="shared" si="8"/>
        <v>510185.95</v>
      </c>
      <c r="F29" s="200">
        <f t="shared" si="8"/>
        <v>10650933.709999997</v>
      </c>
      <c r="G29" s="200">
        <f>+G30</f>
        <v>576313.89</v>
      </c>
    </row>
    <row r="30" spans="1:8" ht="11.25" customHeight="1" x14ac:dyDescent="0.15">
      <c r="A30" s="1879" t="s">
        <v>3899</v>
      </c>
      <c r="B30" s="1880">
        <v>12655472.760000002</v>
      </c>
      <c r="C30" s="1880">
        <v>375271.19999999995</v>
      </c>
      <c r="D30" s="17">
        <v>10333244.810000001</v>
      </c>
      <c r="E30" s="17">
        <v>510185.95</v>
      </c>
      <c r="F30" s="17">
        <v>10650933.709999997</v>
      </c>
      <c r="G30" s="17">
        <v>576313.89</v>
      </c>
    </row>
    <row r="31" spans="1:8" x14ac:dyDescent="0.15">
      <c r="D31" s="17"/>
      <c r="E31" s="17"/>
      <c r="F31" s="17"/>
      <c r="G31" s="17"/>
    </row>
    <row r="32" spans="1:8" ht="22.5" customHeight="1" x14ac:dyDescent="0.15">
      <c r="A32" s="3507" t="s">
        <v>3900</v>
      </c>
      <c r="B32" s="3507"/>
      <c r="C32" s="3507"/>
      <c r="D32" s="3507"/>
      <c r="E32" s="3507"/>
      <c r="F32" s="3507"/>
      <c r="G32" s="3507"/>
      <c r="H32" s="1881"/>
    </row>
    <row r="33" spans="1:8" ht="15" customHeight="1" x14ac:dyDescent="0.15">
      <c r="A33" s="3507" t="s">
        <v>3901</v>
      </c>
      <c r="B33" s="3507"/>
      <c r="C33" s="3507"/>
      <c r="D33" s="3507"/>
      <c r="E33" s="3507"/>
      <c r="F33" s="3507"/>
      <c r="G33" s="3507"/>
      <c r="H33" s="1881"/>
    </row>
    <row r="34" spans="1:8" ht="15" customHeight="1" x14ac:dyDescent="0.15">
      <c r="A34" s="3507" t="s">
        <v>3902</v>
      </c>
      <c r="B34" s="3507"/>
      <c r="C34" s="3507"/>
      <c r="D34" s="3507"/>
      <c r="E34" s="3507"/>
      <c r="F34" s="3507"/>
      <c r="G34" s="3507"/>
      <c r="H34" s="1881"/>
    </row>
    <row r="35" spans="1:8" ht="15" customHeight="1" x14ac:dyDescent="0.15">
      <c r="A35" s="3507" t="s">
        <v>3903</v>
      </c>
      <c r="B35" s="3507"/>
      <c r="C35" s="3507"/>
      <c r="D35" s="3507"/>
      <c r="E35" s="3507"/>
      <c r="F35" s="3507"/>
      <c r="G35" s="3507"/>
      <c r="H35" s="1881"/>
    </row>
    <row r="36" spans="1:8" ht="15" customHeight="1" x14ac:dyDescent="0.15">
      <c r="A36" s="3507" t="s">
        <v>3904</v>
      </c>
      <c r="B36" s="3507"/>
      <c r="C36" s="3507"/>
      <c r="D36" s="3507"/>
      <c r="E36" s="3507"/>
      <c r="F36" s="3507"/>
      <c r="G36" s="3507"/>
      <c r="H36" s="1881"/>
    </row>
    <row r="37" spans="1:8" ht="67.5" customHeight="1" x14ac:dyDescent="0.15">
      <c r="A37" s="3507" t="s">
        <v>3905</v>
      </c>
      <c r="B37" s="3507"/>
      <c r="C37" s="3507"/>
      <c r="D37" s="3507"/>
      <c r="E37" s="3507"/>
      <c r="F37" s="3507"/>
      <c r="G37" s="3507"/>
      <c r="H37" s="1881"/>
    </row>
    <row r="38" spans="1:8" ht="93.75" customHeight="1" x14ac:dyDescent="0.15">
      <c r="A38" s="3507" t="s">
        <v>3906</v>
      </c>
      <c r="B38" s="3507"/>
      <c r="C38" s="3507"/>
      <c r="D38" s="3507"/>
      <c r="E38" s="3507"/>
      <c r="F38" s="3507"/>
      <c r="G38" s="3507"/>
      <c r="H38" s="1881"/>
    </row>
    <row r="39" spans="1:8" ht="45" customHeight="1" x14ac:dyDescent="0.15">
      <c r="A39" s="3507" t="s">
        <v>3907</v>
      </c>
      <c r="B39" s="3507"/>
      <c r="C39" s="3507"/>
      <c r="D39" s="3507"/>
      <c r="E39" s="3507"/>
      <c r="F39" s="3507"/>
      <c r="G39" s="3507"/>
      <c r="H39" s="1881"/>
    </row>
    <row r="40" spans="1:8" ht="45" customHeight="1" x14ac:dyDescent="0.15">
      <c r="A40" s="3507" t="s">
        <v>3908</v>
      </c>
      <c r="B40" s="3507"/>
      <c r="C40" s="3507"/>
      <c r="D40" s="3507"/>
      <c r="E40" s="3507"/>
      <c r="F40" s="3507"/>
      <c r="G40" s="3507"/>
      <c r="H40" s="1881"/>
    </row>
    <row r="41" spans="1:8" ht="85.5" customHeight="1" x14ac:dyDescent="0.15">
      <c r="A41" s="3507" t="s">
        <v>3909</v>
      </c>
      <c r="B41" s="3507"/>
      <c r="C41" s="3507"/>
      <c r="D41" s="3507"/>
      <c r="E41" s="3507"/>
      <c r="F41" s="3507"/>
      <c r="G41" s="3507"/>
      <c r="H41" s="1881"/>
    </row>
    <row r="42" spans="1:8" ht="22.5" customHeight="1" x14ac:dyDescent="0.15">
      <c r="A42" s="3507" t="s">
        <v>3910</v>
      </c>
      <c r="B42" s="3507"/>
      <c r="C42" s="3507"/>
      <c r="D42" s="3507"/>
      <c r="E42" s="3507"/>
      <c r="F42" s="3507"/>
      <c r="G42" s="3507"/>
      <c r="H42" s="1881"/>
    </row>
    <row r="43" spans="1:8" ht="32.25" customHeight="1" x14ac:dyDescent="0.15">
      <c r="A43" s="3507" t="s">
        <v>3911</v>
      </c>
      <c r="B43" s="3507"/>
      <c r="C43" s="3507"/>
      <c r="D43" s="3507"/>
      <c r="E43" s="3507"/>
      <c r="F43" s="3507"/>
      <c r="G43" s="3507"/>
      <c r="H43" s="1881"/>
    </row>
    <row r="44" spans="1:8" ht="22.5" customHeight="1" x14ac:dyDescent="0.15">
      <c r="A44" s="3507" t="s">
        <v>3912</v>
      </c>
      <c r="B44" s="3507"/>
      <c r="C44" s="3507"/>
      <c r="D44" s="3507"/>
      <c r="E44" s="3507"/>
      <c r="F44" s="3507"/>
      <c r="G44" s="3507"/>
      <c r="H44" s="1881"/>
    </row>
    <row r="45" spans="1:8" ht="15" customHeight="1" x14ac:dyDescent="0.15">
      <c r="A45" s="3505" t="s">
        <v>20</v>
      </c>
      <c r="B45" s="3505"/>
      <c r="C45" s="3505"/>
      <c r="D45" s="3505"/>
      <c r="E45" s="3505"/>
      <c r="F45" s="3505"/>
      <c r="G45" s="3505"/>
      <c r="H45" s="1881"/>
    </row>
    <row r="46" spans="1:8" ht="15" customHeight="1" x14ac:dyDescent="0.15">
      <c r="A46" s="3506" t="s">
        <v>3881</v>
      </c>
      <c r="B46" s="3506"/>
      <c r="C46" s="3506"/>
      <c r="D46" s="3506"/>
      <c r="E46" s="3506"/>
      <c r="F46" s="3506"/>
      <c r="G46" s="3506"/>
    </row>
    <row r="48" spans="1:8" ht="13.5" customHeight="1" x14ac:dyDescent="0.15"/>
    <row r="49" spans="8:8" ht="13.5" customHeight="1" x14ac:dyDescent="0.15"/>
    <row r="50" spans="8:8" ht="13.5" customHeight="1" x14ac:dyDescent="0.15"/>
    <row r="51" spans="8:8" ht="13.5" customHeight="1" x14ac:dyDescent="0.15"/>
    <row r="52" spans="8:8" ht="13.5" customHeight="1" x14ac:dyDescent="0.15"/>
    <row r="53" spans="8:8" ht="13.5" customHeight="1" x14ac:dyDescent="0.15"/>
    <row r="54" spans="8:8" ht="13.5" customHeight="1" x14ac:dyDescent="0.15"/>
    <row r="55" spans="8:8" ht="13.5" customHeight="1" x14ac:dyDescent="0.15">
      <c r="H55" s="1632"/>
    </row>
    <row r="56" spans="8:8" ht="13.5" customHeight="1" x14ac:dyDescent="0.15"/>
    <row r="57" spans="8:8" ht="13.5" customHeight="1" x14ac:dyDescent="0.15"/>
    <row r="58" spans="8:8" ht="13.5" customHeight="1" x14ac:dyDescent="0.15"/>
    <row r="59" spans="8:8" ht="13.5" customHeight="1" x14ac:dyDescent="0.15"/>
    <row r="60" spans="8:8" ht="13.5" customHeight="1" x14ac:dyDescent="0.15"/>
    <row r="61" spans="8:8" ht="13.5" customHeight="1" x14ac:dyDescent="0.15"/>
    <row r="62" spans="8:8" ht="13.5" customHeight="1" x14ac:dyDescent="0.15"/>
    <row r="63" spans="8:8" ht="13.5" customHeight="1" x14ac:dyDescent="0.15"/>
    <row r="64" spans="8:8"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mergeCells count="20">
    <mergeCell ref="A38:G38"/>
    <mergeCell ref="A2:G2"/>
    <mergeCell ref="A4:A5"/>
    <mergeCell ref="B4:C4"/>
    <mergeCell ref="D4:E4"/>
    <mergeCell ref="F4:G4"/>
    <mergeCell ref="A32:G32"/>
    <mergeCell ref="A33:G33"/>
    <mergeCell ref="A34:G34"/>
    <mergeCell ref="A35:G35"/>
    <mergeCell ref="A36:G36"/>
    <mergeCell ref="A37:G37"/>
    <mergeCell ref="A45:G45"/>
    <mergeCell ref="A46:G46"/>
    <mergeCell ref="A39:G39"/>
    <mergeCell ref="A40:G40"/>
    <mergeCell ref="A41:G41"/>
    <mergeCell ref="A42:G42"/>
    <mergeCell ref="A43:G43"/>
    <mergeCell ref="A44:G44"/>
  </mergeCells>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dimension ref="A2:G37"/>
  <sheetViews>
    <sheetView zoomScaleNormal="100" workbookViewId="0">
      <selection activeCell="E24" sqref="E24"/>
    </sheetView>
  </sheetViews>
  <sheetFormatPr baseColWidth="10" defaultRowHeight="10.5" x14ac:dyDescent="0.15"/>
  <cols>
    <col min="1" max="1" width="40" style="214" customWidth="1"/>
    <col min="2" max="7" width="19.5703125" style="214" customWidth="1"/>
    <col min="8" max="8" width="4.5703125" style="214" customWidth="1"/>
    <col min="9" max="16384" width="11.42578125" style="214"/>
  </cols>
  <sheetData>
    <row r="2" spans="1:7" ht="30" customHeight="1" x14ac:dyDescent="0.15">
      <c r="A2" s="3438" t="s">
        <v>4208</v>
      </c>
      <c r="B2" s="3438"/>
      <c r="C2" s="3438"/>
      <c r="D2" s="3438"/>
      <c r="E2" s="3438"/>
      <c r="F2" s="3438"/>
      <c r="G2" s="3438"/>
    </row>
    <row r="4" spans="1:7" ht="11.25" x14ac:dyDescent="0.15">
      <c r="A4" s="2521" t="s">
        <v>3883</v>
      </c>
      <c r="B4" s="2512" t="s">
        <v>2239</v>
      </c>
      <c r="C4" s="2512"/>
      <c r="D4" s="2512" t="s">
        <v>2211</v>
      </c>
      <c r="E4" s="2512"/>
      <c r="F4" s="2512" t="s">
        <v>54</v>
      </c>
      <c r="G4" s="2512"/>
    </row>
    <row r="5" spans="1:7" ht="15" customHeight="1" x14ac:dyDescent="0.15">
      <c r="A5" s="2521"/>
      <c r="B5" s="240" t="s">
        <v>3913</v>
      </c>
      <c r="C5" s="240" t="s">
        <v>3885</v>
      </c>
      <c r="D5" s="240" t="s">
        <v>3884</v>
      </c>
      <c r="E5" s="240" t="s">
        <v>3885</v>
      </c>
      <c r="F5" s="240" t="s">
        <v>3884</v>
      </c>
      <c r="G5" s="240" t="s">
        <v>3885</v>
      </c>
    </row>
    <row r="6" spans="1:7" x14ac:dyDescent="0.15">
      <c r="A6" s="1876" t="s">
        <v>141</v>
      </c>
      <c r="B6" s="1877">
        <f>SUM(B7,B11,B13,B16,B18,B21,B23,B25,B29)</f>
        <v>2027676243403.4841</v>
      </c>
      <c r="C6" s="1877">
        <f>SUM(C7,C11,C13,C16,C18,C21,C23,C25,C29)</f>
        <v>115889724440.16483</v>
      </c>
      <c r="D6" s="1878">
        <f>+D7+D11+D13+D16+D18+D21+D23+D25+D29</f>
        <v>1976808289525.6182</v>
      </c>
      <c r="E6" s="1878">
        <f>+E7+E11+E13+E16+E18+E21+E23+E25+E29</f>
        <v>134532439257.25266</v>
      </c>
      <c r="F6" s="1878">
        <f>+F7+F11+F13+F16+F18+F21+F23+F25+F29</f>
        <v>2196931062838.3525</v>
      </c>
      <c r="G6" s="1878">
        <f>+G7+G11+G13+G16+G18+G21+G23+G25+G29</f>
        <v>120170417803.29425</v>
      </c>
    </row>
    <row r="7" spans="1:7" x14ac:dyDescent="0.15">
      <c r="A7" s="197" t="s">
        <v>3542</v>
      </c>
      <c r="B7" s="192">
        <f>SUM(B8:B10)</f>
        <v>14981992560.102402</v>
      </c>
      <c r="C7" s="192">
        <f>SUM(C8:C10)</f>
        <v>12191994973.3008</v>
      </c>
      <c r="D7" s="200">
        <f t="shared" ref="D7:F7" si="0">+SUM(D8:D10)</f>
        <v>15826650500.645996</v>
      </c>
      <c r="E7" s="200">
        <f t="shared" si="0"/>
        <v>14076265669.285212</v>
      </c>
      <c r="F7" s="200">
        <f t="shared" si="0"/>
        <v>18363426408.767391</v>
      </c>
      <c r="G7" s="200">
        <f>+SUM(G8:G10)</f>
        <v>14328082096.093801</v>
      </c>
    </row>
    <row r="8" spans="1:7" x14ac:dyDescent="0.15">
      <c r="A8" s="1380" t="s">
        <v>2866</v>
      </c>
      <c r="B8" s="17">
        <f>+'24.2'!B8*523.76</f>
        <v>41634578.029600002</v>
      </c>
      <c r="C8" s="17">
        <f>+'24.2'!C8*523.76</f>
        <v>4826820.2695999993</v>
      </c>
      <c r="D8" s="17">
        <f>+'24.2'!D8*607.38</f>
        <v>40414694.698200002</v>
      </c>
      <c r="E8" s="17">
        <f>+'24.2'!E8*607.38</f>
        <v>607380</v>
      </c>
      <c r="F8" s="17">
        <f>+'24.2'!F8*707.34</f>
        <v>37969006.777199998</v>
      </c>
      <c r="G8" s="17">
        <f>+'24.2'!G8*707.34</f>
        <v>14609754.030000001</v>
      </c>
    </row>
    <row r="9" spans="1:7" x14ac:dyDescent="0.15">
      <c r="A9" s="1380" t="s">
        <v>2867</v>
      </c>
      <c r="B9" s="17">
        <f>+'24.2'!B9*523.76</f>
        <v>1274092432.2951999</v>
      </c>
      <c r="C9" s="17">
        <f>+'24.2'!C9*523.76</f>
        <v>734118634.90479994</v>
      </c>
      <c r="D9" s="17">
        <f>+'24.2'!D9*607.38</f>
        <v>1514383481.5716002</v>
      </c>
      <c r="E9" s="17">
        <f>+'24.2'!E9*607.38</f>
        <v>816657188.57879996</v>
      </c>
      <c r="F9" s="17">
        <f>+'24.2'!F9*707.34</f>
        <v>1877809506.9072011</v>
      </c>
      <c r="G9" s="17">
        <f>+'24.2'!G9*707.34</f>
        <v>772433211.06899989</v>
      </c>
    </row>
    <row r="10" spans="1:7" x14ac:dyDescent="0.15">
      <c r="A10" s="1380" t="s">
        <v>2543</v>
      </c>
      <c r="B10" s="17">
        <f>+'24.2'!B10*523.76</f>
        <v>13666265549.777601</v>
      </c>
      <c r="C10" s="17">
        <f>+'24.2'!C10*523.76</f>
        <v>11453049518.1264</v>
      </c>
      <c r="D10" s="17">
        <f>+'24.2'!D10*607.38</f>
        <v>14271852324.376196</v>
      </c>
      <c r="E10" s="17">
        <f>+'24.2'!E10*607.38</f>
        <v>13259001100.706411</v>
      </c>
      <c r="F10" s="17">
        <f>+'24.2'!F10*707.34</f>
        <v>16447647895.082989</v>
      </c>
      <c r="G10" s="17">
        <f>+'24.2'!G10*707.34</f>
        <v>13541039130.994802</v>
      </c>
    </row>
    <row r="11" spans="1:7" x14ac:dyDescent="0.15">
      <c r="A11" s="197" t="s">
        <v>2870</v>
      </c>
      <c r="B11" s="200">
        <f>SUM(B12)</f>
        <v>60534441.916799992</v>
      </c>
      <c r="C11" s="200">
        <f>SUM(C12)</f>
        <v>2618800</v>
      </c>
      <c r="D11" s="200">
        <f t="shared" ref="D11:F11" si="1">+D12</f>
        <v>86965451.920200005</v>
      </c>
      <c r="E11" s="200">
        <f t="shared" si="1"/>
        <v>0</v>
      </c>
      <c r="F11" s="200">
        <f t="shared" si="1"/>
        <v>132577238.41140001</v>
      </c>
      <c r="G11" s="200">
        <f>+G12</f>
        <v>0</v>
      </c>
    </row>
    <row r="12" spans="1:7" x14ac:dyDescent="0.15">
      <c r="A12" s="1380" t="s">
        <v>2871</v>
      </c>
      <c r="B12" s="17">
        <f>+'24.2'!B12*523.76</f>
        <v>60534441.916799992</v>
      </c>
      <c r="C12" s="17">
        <f>+'24.2'!C12*523.76</f>
        <v>2618800</v>
      </c>
      <c r="D12" s="17">
        <f>+'24.2'!D12*607.38</f>
        <v>86965451.920200005</v>
      </c>
      <c r="E12" s="17">
        <f>+'24.2'!E12*607.38</f>
        <v>0</v>
      </c>
      <c r="F12" s="17">
        <f>+'24.2'!F12*707.34</f>
        <v>132577238.41140001</v>
      </c>
      <c r="G12" s="17">
        <f>+'24.2'!G12*707.34</f>
        <v>0</v>
      </c>
    </row>
    <row r="13" spans="1:7" x14ac:dyDescent="0.15">
      <c r="A13" s="197" t="s">
        <v>2873</v>
      </c>
      <c r="B13" s="200">
        <f>SUM(B14:B15)</f>
        <v>262709247283.40643</v>
      </c>
      <c r="C13" s="200">
        <f>SUM(C14:C15)</f>
        <v>42454146573.888008</v>
      </c>
      <c r="D13" s="200">
        <f t="shared" ref="D13:F13" si="2">+SUM(D14:D15)</f>
        <v>240248198744.3678</v>
      </c>
      <c r="E13" s="200">
        <f t="shared" si="2"/>
        <v>29191507640.261391</v>
      </c>
      <c r="F13" s="200">
        <f t="shared" si="2"/>
        <v>266952388082.18134</v>
      </c>
      <c r="G13" s="200">
        <f>+SUM(G14:G15)</f>
        <v>30388021679.852997</v>
      </c>
    </row>
    <row r="14" spans="1:7" x14ac:dyDescent="0.15">
      <c r="A14" s="1380" t="s">
        <v>3914</v>
      </c>
      <c r="B14" s="17">
        <f>+'24.2'!B14*523.76</f>
        <v>3874696088.0776</v>
      </c>
      <c r="C14" s="17">
        <f>+'24.2'!C14*523.76</f>
        <v>34498579374.392006</v>
      </c>
      <c r="D14" s="17">
        <f>+'24.2'!D14*607.38</f>
        <v>5262384330.7548008</v>
      </c>
      <c r="E14" s="17">
        <f>+'24.2'!E14*607.38</f>
        <v>22490061872.066986</v>
      </c>
      <c r="F14" s="17">
        <f>+'24.2'!F14*707.34</f>
        <v>5676390612.2652016</v>
      </c>
      <c r="G14" s="17">
        <f>+'24.2'!G14*707.34</f>
        <v>24118254979.275597</v>
      </c>
    </row>
    <row r="15" spans="1:7" x14ac:dyDescent="0.15">
      <c r="A15" s="1380" t="s">
        <v>2874</v>
      </c>
      <c r="B15" s="17">
        <f>+'24.2'!B15*523.76</f>
        <v>258834551195.32883</v>
      </c>
      <c r="C15" s="17">
        <f>+'24.2'!C15*523.76</f>
        <v>7955567199.4960003</v>
      </c>
      <c r="D15" s="17">
        <f>+'24.2'!D15*607.38</f>
        <v>234985814413.61301</v>
      </c>
      <c r="E15" s="17">
        <f>+'24.2'!E15*607.38</f>
        <v>6701445768.1944027</v>
      </c>
      <c r="F15" s="17">
        <f>+'24.2'!F15*707.34</f>
        <v>261275997469.91614</v>
      </c>
      <c r="G15" s="17">
        <f>+'24.2'!G15*707.34</f>
        <v>6269766700.5773983</v>
      </c>
    </row>
    <row r="16" spans="1:7" x14ac:dyDescent="0.15">
      <c r="A16" s="197" t="s">
        <v>2875</v>
      </c>
      <c r="B16" s="200">
        <f>SUM(B17)</f>
        <v>76208840545.913589</v>
      </c>
      <c r="C16" s="200">
        <f>SUM(C17)</f>
        <v>1155515870.8967998</v>
      </c>
      <c r="D16" s="200">
        <f t="shared" ref="D16:F16" si="3">+D17</f>
        <v>79560744489.235123</v>
      </c>
      <c r="E16" s="200">
        <f t="shared" si="3"/>
        <v>3548760390.3737998</v>
      </c>
      <c r="F16" s="200">
        <f t="shared" si="3"/>
        <v>88603518939.871796</v>
      </c>
      <c r="G16" s="200">
        <f>+G17</f>
        <v>1475396544.8190005</v>
      </c>
    </row>
    <row r="17" spans="1:7" x14ac:dyDescent="0.15">
      <c r="A17" s="1380" t="s">
        <v>2540</v>
      </c>
      <c r="B17" s="17">
        <f>+'24.2'!B17*523.76</f>
        <v>76208840545.913589</v>
      </c>
      <c r="C17" s="17">
        <f>+'24.2'!C17*523.76</f>
        <v>1155515870.8967998</v>
      </c>
      <c r="D17" s="17">
        <f>+'24.2'!D17*607.38</f>
        <v>79560744489.235123</v>
      </c>
      <c r="E17" s="17">
        <f>+'24.2'!E17*607.38</f>
        <v>3548760390.3737998</v>
      </c>
      <c r="F17" s="17">
        <f>+'24.2'!F17*707.34</f>
        <v>88603518939.871796</v>
      </c>
      <c r="G17" s="17">
        <f>+'24.2'!G17*707.34</f>
        <v>1475396544.8190005</v>
      </c>
    </row>
    <row r="18" spans="1:7" x14ac:dyDescent="0.15">
      <c r="A18" s="197" t="s">
        <v>2880</v>
      </c>
      <c r="B18" s="200">
        <f>SUM(B19:B20)</f>
        <v>102470691282.04962</v>
      </c>
      <c r="C18" s="200">
        <f>SUM(C19:C20)</f>
        <v>3307338839.9127998</v>
      </c>
      <c r="D18" s="200">
        <f t="shared" ref="D18:F18" si="4">+SUM(D19:D20)</f>
        <v>97550827035.349167</v>
      </c>
      <c r="E18" s="200">
        <f t="shared" si="4"/>
        <v>2954323901.1258001</v>
      </c>
      <c r="F18" s="200">
        <f t="shared" si="4"/>
        <v>101852789318.23123</v>
      </c>
      <c r="G18" s="200">
        <f>+SUM(G19:G20)</f>
        <v>3329554320.9623995</v>
      </c>
    </row>
    <row r="19" spans="1:7" x14ac:dyDescent="0.15">
      <c r="A19" s="1380" t="s">
        <v>2851</v>
      </c>
      <c r="B19" s="17">
        <f>+'24.2'!B19*523.76</f>
        <v>12288007273.0112</v>
      </c>
      <c r="C19" s="17">
        <f>+'24.2'!C19*523.76</f>
        <v>1023431010.1007998</v>
      </c>
      <c r="D19" s="17">
        <f>+'24.2'!D19*607.38</f>
        <v>15423708249.377405</v>
      </c>
      <c r="E19" s="17">
        <f>+'24.2'!E19*607.38</f>
        <v>884869333.53780019</v>
      </c>
      <c r="F19" s="17">
        <f>+'24.2'!F19*707.34</f>
        <v>18534957936.135586</v>
      </c>
      <c r="G19" s="17">
        <f>+'24.2'!G19*707.34</f>
        <v>1112391934.4538002</v>
      </c>
    </row>
    <row r="20" spans="1:7" x14ac:dyDescent="0.15">
      <c r="A20" s="1380" t="s">
        <v>2881</v>
      </c>
      <c r="B20" s="17">
        <f>+'24.2'!B20*523.76</f>
        <v>90182684009.038422</v>
      </c>
      <c r="C20" s="17">
        <f>+'24.2'!C20*523.76</f>
        <v>2283907829.8119998</v>
      </c>
      <c r="D20" s="17">
        <f>+'24.2'!D20*607.38</f>
        <v>82127118785.971756</v>
      </c>
      <c r="E20" s="17">
        <f>+'24.2'!E20*607.38</f>
        <v>2069454567.5880001</v>
      </c>
      <c r="F20" s="17">
        <f>+'24.2'!F20*707.34</f>
        <v>83317831382.095642</v>
      </c>
      <c r="G20" s="17">
        <f>+'24.2'!G20*707.34</f>
        <v>2217162386.5085993</v>
      </c>
    </row>
    <row r="21" spans="1:7" x14ac:dyDescent="0.15">
      <c r="A21" s="197" t="s">
        <v>2882</v>
      </c>
      <c r="B21" s="200">
        <f>SUM(B22)</f>
        <v>68438560213.396805</v>
      </c>
      <c r="C21" s="200">
        <f>SUM(C22)</f>
        <v>30881758538.790398</v>
      </c>
      <c r="D21" s="200">
        <f t="shared" ref="D21:F21" si="5">+D22</f>
        <v>83276577764.7621</v>
      </c>
      <c r="E21" s="200">
        <f t="shared" si="5"/>
        <v>49506916777.330818</v>
      </c>
      <c r="F21" s="200">
        <f t="shared" si="5"/>
        <v>98724019291.824234</v>
      </c>
      <c r="G21" s="200">
        <f>+G22</f>
        <v>45193902524.17804</v>
      </c>
    </row>
    <row r="22" spans="1:7" x14ac:dyDescent="0.15">
      <c r="A22" s="1380" t="s">
        <v>2882</v>
      </c>
      <c r="B22" s="17">
        <f>+'24.2'!B22*523.76</f>
        <v>68438560213.396805</v>
      </c>
      <c r="C22" s="17">
        <f>+'24.2'!C22*523.76</f>
        <v>30881758538.790398</v>
      </c>
      <c r="D22" s="17">
        <f>+'24.2'!D22*607.38</f>
        <v>83276577764.7621</v>
      </c>
      <c r="E22" s="17">
        <f>+'24.2'!E22*607.38</f>
        <v>49506916777.330818</v>
      </c>
      <c r="F22" s="17">
        <f>+'24.2'!F22*707.34</f>
        <v>98724019291.824234</v>
      </c>
      <c r="G22" s="17">
        <f>+'24.2'!G22*707.34</f>
        <v>45193902524.17804</v>
      </c>
    </row>
    <row r="23" spans="1:7" x14ac:dyDescent="0.15">
      <c r="A23" s="197" t="s">
        <v>3543</v>
      </c>
      <c r="B23" s="200">
        <f>SUM(B24)</f>
        <v>967312774488.00244</v>
      </c>
      <c r="C23" s="200">
        <f>SUM(C24)</f>
        <v>19286651072.867199</v>
      </c>
      <c r="D23" s="200">
        <f t="shared" ref="D23:F23" si="6">+D24</f>
        <v>900463606329.88074</v>
      </c>
      <c r="E23" s="200">
        <f t="shared" si="6"/>
        <v>27516430652.488232</v>
      </c>
      <c r="F23" s="200">
        <f t="shared" si="6"/>
        <v>1087131289752.8792</v>
      </c>
      <c r="G23" s="200">
        <f>+G24</f>
        <v>19030750225.635586</v>
      </c>
    </row>
    <row r="24" spans="1:7" x14ac:dyDescent="0.15">
      <c r="A24" s="1380" t="s">
        <v>3544</v>
      </c>
      <c r="B24" s="17">
        <f>+'24.2'!B24*523.76</f>
        <v>967312774488.00244</v>
      </c>
      <c r="C24" s="17">
        <f>+'24.2'!C24*523.76</f>
        <v>19286651072.867199</v>
      </c>
      <c r="D24" s="17">
        <f>+'24.2'!D24*607.38</f>
        <v>900463606329.88074</v>
      </c>
      <c r="E24" s="17">
        <f>+'24.2'!E24*607.38</f>
        <v>27516430652.488232</v>
      </c>
      <c r="F24" s="17">
        <f>+'24.2'!F24*707.34</f>
        <v>1087131289752.8792</v>
      </c>
      <c r="G24" s="17">
        <f>+'24.2'!G24*707.34</f>
        <v>19030750225.635586</v>
      </c>
    </row>
    <row r="25" spans="1:7" x14ac:dyDescent="0.15">
      <c r="A25" s="197" t="s">
        <v>2901</v>
      </c>
      <c r="B25" s="200">
        <f>SUM(B26:B28)</f>
        <v>528865172175.9184</v>
      </c>
      <c r="C25" s="200">
        <f>SUM(C26:C28)</f>
        <v>6413147726.7968016</v>
      </c>
      <c r="D25" s="200">
        <f t="shared" ref="D25:F25" si="7">+SUM(D26:D28)</f>
        <v>553518512976.75916</v>
      </c>
      <c r="E25" s="200">
        <f t="shared" si="7"/>
        <v>7428357484.0764046</v>
      </c>
      <c r="F25" s="200">
        <f t="shared" si="7"/>
        <v>527637222355.7547</v>
      </c>
      <c r="G25" s="200">
        <f>+SUM(G26:G28)</f>
        <v>6017060544.7997999</v>
      </c>
    </row>
    <row r="26" spans="1:7" x14ac:dyDescent="0.15">
      <c r="A26" s="1380" t="s">
        <v>2416</v>
      </c>
      <c r="B26" s="17">
        <f>+'24.2'!B26*523.76</f>
        <v>40677854711.517593</v>
      </c>
      <c r="C26" s="17">
        <f>+'24.2'!C26*523.76</f>
        <v>909361429.6904</v>
      </c>
      <c r="D26" s="17">
        <f>+'24.2'!D26*607.38</f>
        <v>38201938962.858009</v>
      </c>
      <c r="E26" s="17">
        <f>+'24.2'!E26*607.38</f>
        <v>1261187726.3291998</v>
      </c>
      <c r="F26" s="17">
        <f>+'24.2'!F26*707.34</f>
        <v>34559698463.631058</v>
      </c>
      <c r="G26" s="17">
        <f>+'24.2'!G26*707.34</f>
        <v>758683101.4878</v>
      </c>
    </row>
    <row r="27" spans="1:7" x14ac:dyDescent="0.15">
      <c r="A27" s="1380" t="s">
        <v>3915</v>
      </c>
      <c r="B27" s="17">
        <f>+'24.2'!B27*523.76</f>
        <v>446809703308.21362</v>
      </c>
      <c r="C27" s="17">
        <f>+'24.2'!C27*523.76</f>
        <v>5211180398.5656013</v>
      </c>
      <c r="D27" s="17">
        <f>+'24.2'!D27*607.38</f>
        <v>465278993059.88361</v>
      </c>
      <c r="E27" s="17">
        <f>+'24.2'!E27*607.38</f>
        <v>5697998426.850605</v>
      </c>
      <c r="F27" s="17">
        <f>+'24.2'!F27*707.34</f>
        <v>456520943466.02307</v>
      </c>
      <c r="G27" s="17">
        <f>+'24.2'!G27*707.34</f>
        <v>5104977996.8249998</v>
      </c>
    </row>
    <row r="28" spans="1:7" x14ac:dyDescent="0.15">
      <c r="A28" s="1380" t="s">
        <v>3898</v>
      </c>
      <c r="B28" s="17">
        <f>+'24.2'!B28*523.76</f>
        <v>41377614156.18721</v>
      </c>
      <c r="C28" s="17">
        <f>+'24.2'!C28*523.76</f>
        <v>292605898.54079998</v>
      </c>
      <c r="D28" s="17">
        <f>+'24.2'!D28*607.38</f>
        <v>50037580954.017555</v>
      </c>
      <c r="E28" s="17">
        <f>+'24.2'!E28*607.38</f>
        <v>469171330.89659995</v>
      </c>
      <c r="F28" s="17">
        <f>+'24.2'!F28*707.34</f>
        <v>36556580426.100609</v>
      </c>
      <c r="G28" s="17">
        <f>+'24.2'!G28*707.34</f>
        <v>153399446.48700002</v>
      </c>
    </row>
    <row r="29" spans="1:7" x14ac:dyDescent="0.15">
      <c r="A29" s="197" t="s">
        <v>2906</v>
      </c>
      <c r="B29" s="200">
        <f>SUM(B30)</f>
        <v>6628430412.7776003</v>
      </c>
      <c r="C29" s="200">
        <f>SUM(C30)</f>
        <v>196552043.71199998</v>
      </c>
      <c r="D29" s="200">
        <f t="shared" ref="D29:F29" si="8">+D30</f>
        <v>6276206232.6978006</v>
      </c>
      <c r="E29" s="200">
        <f t="shared" si="8"/>
        <v>309876742.31099999</v>
      </c>
      <c r="F29" s="200">
        <f t="shared" si="8"/>
        <v>7533831450.4313984</v>
      </c>
      <c r="G29" s="200">
        <f>+G30</f>
        <v>407649866.9526</v>
      </c>
    </row>
    <row r="30" spans="1:7" x14ac:dyDescent="0.15">
      <c r="A30" s="1380" t="s">
        <v>2906</v>
      </c>
      <c r="B30" s="17">
        <f>+'24.2'!B30*523.76</f>
        <v>6628430412.7776003</v>
      </c>
      <c r="C30" s="17">
        <f>+'24.2'!C30*523.76</f>
        <v>196552043.71199998</v>
      </c>
      <c r="D30" s="17">
        <f>+'24.2'!D30*607.38</f>
        <v>6276206232.6978006</v>
      </c>
      <c r="E30" s="17">
        <f>+'24.2'!E30*607.38</f>
        <v>309876742.31099999</v>
      </c>
      <c r="F30" s="17">
        <f>+'24.2'!F30*707.34</f>
        <v>7533831450.4313984</v>
      </c>
      <c r="G30" s="17">
        <f>+'24.2'!G30*707.34</f>
        <v>407649866.9526</v>
      </c>
    </row>
    <row r="32" spans="1:7" ht="15" customHeight="1" x14ac:dyDescent="0.15">
      <c r="A32" s="214" t="s">
        <v>3916</v>
      </c>
    </row>
    <row r="33" spans="1:7" ht="15" customHeight="1" x14ac:dyDescent="0.15">
      <c r="A33" s="242" t="s">
        <v>3917</v>
      </c>
    </row>
    <row r="34" spans="1:7" ht="15" customHeight="1" x14ac:dyDescent="0.15">
      <c r="A34" s="242" t="s">
        <v>3918</v>
      </c>
      <c r="B34" s="242"/>
      <c r="C34" s="242"/>
      <c r="D34" s="265"/>
      <c r="E34" s="265"/>
      <c r="F34" s="265"/>
      <c r="G34" s="265"/>
    </row>
    <row r="35" spans="1:7" ht="15" customHeight="1" x14ac:dyDescent="0.15">
      <c r="A35" s="242" t="s">
        <v>3919</v>
      </c>
      <c r="B35" s="242"/>
      <c r="C35" s="242"/>
      <c r="D35" s="656"/>
      <c r="E35" s="656"/>
      <c r="F35" s="656"/>
      <c r="G35" s="656"/>
    </row>
    <row r="36" spans="1:7" ht="15" customHeight="1" x14ac:dyDescent="0.15">
      <c r="A36" s="3505" t="s">
        <v>20</v>
      </c>
      <c r="B36" s="3505"/>
      <c r="C36" s="3505"/>
      <c r="D36" s="3505"/>
      <c r="E36" s="3505"/>
      <c r="F36" s="656"/>
      <c r="G36" s="656"/>
    </row>
    <row r="37" spans="1:7" ht="15" customHeight="1" x14ac:dyDescent="0.15">
      <c r="A37" s="2557" t="s">
        <v>3881</v>
      </c>
      <c r="B37" s="2557"/>
      <c r="C37" s="2557"/>
      <c r="D37" s="2557"/>
      <c r="E37" s="2557"/>
      <c r="F37" s="2557"/>
      <c r="G37" s="2557"/>
    </row>
  </sheetData>
  <mergeCells count="7">
    <mergeCell ref="A37:G37"/>
    <mergeCell ref="A2:G2"/>
    <mergeCell ref="A4:A5"/>
    <mergeCell ref="B4:C4"/>
    <mergeCell ref="D4:E4"/>
    <mergeCell ref="F4:G4"/>
    <mergeCell ref="A36:E36"/>
  </mergeCell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dimension ref="A2:M39"/>
  <sheetViews>
    <sheetView workbookViewId="0">
      <selection activeCell="G34" sqref="G34"/>
    </sheetView>
  </sheetViews>
  <sheetFormatPr baseColWidth="10" defaultRowHeight="10.5" x14ac:dyDescent="0.15"/>
  <cols>
    <col min="1" max="1" width="40" style="214" customWidth="1"/>
    <col min="2" max="7" width="20" style="214" customWidth="1"/>
    <col min="8" max="8" width="11.42578125" style="214"/>
    <col min="9" max="9" width="13.5703125" style="214" bestFit="1" customWidth="1"/>
    <col min="10" max="10" width="20.42578125" style="214" bestFit="1" customWidth="1"/>
    <col min="11" max="11" width="11.42578125" style="214"/>
    <col min="12" max="12" width="19.7109375" style="214" bestFit="1" customWidth="1"/>
    <col min="13" max="13" width="18" style="214" bestFit="1" customWidth="1"/>
    <col min="14" max="16384" width="11.42578125" style="214"/>
  </cols>
  <sheetData>
    <row r="2" spans="1:13" ht="29.25" customHeight="1" x14ac:dyDescent="0.15">
      <c r="A2" s="2503" t="s">
        <v>4209</v>
      </c>
      <c r="B2" s="2503"/>
      <c r="C2" s="2503"/>
      <c r="D2" s="2503"/>
      <c r="E2" s="2503"/>
      <c r="F2" s="2503"/>
      <c r="G2" s="2503"/>
    </row>
    <row r="3" spans="1:13" ht="10.5" customHeight="1" x14ac:dyDescent="0.15"/>
    <row r="4" spans="1:13" ht="15" customHeight="1" x14ac:dyDescent="0.15">
      <c r="A4" s="2521" t="s">
        <v>3883</v>
      </c>
      <c r="B4" s="2521" t="s">
        <v>2239</v>
      </c>
      <c r="C4" s="2521"/>
      <c r="D4" s="2512" t="s">
        <v>2211</v>
      </c>
      <c r="E4" s="2512"/>
      <c r="F4" s="2512">
        <v>2015</v>
      </c>
      <c r="G4" s="2512"/>
    </row>
    <row r="5" spans="1:13" ht="22.5" customHeight="1" x14ac:dyDescent="0.15">
      <c r="A5" s="2521"/>
      <c r="B5" s="240" t="s">
        <v>3884</v>
      </c>
      <c r="C5" s="240" t="s">
        <v>3885</v>
      </c>
      <c r="D5" s="240" t="s">
        <v>3884</v>
      </c>
      <c r="E5" s="240" t="s">
        <v>3885</v>
      </c>
      <c r="F5" s="240" t="s">
        <v>3884</v>
      </c>
      <c r="G5" s="240" t="s">
        <v>3885</v>
      </c>
    </row>
    <row r="6" spans="1:13" x14ac:dyDescent="0.15">
      <c r="A6" s="1876" t="s">
        <v>141</v>
      </c>
      <c r="B6" s="1878">
        <f t="shared" ref="B6:C6" si="0">+B7+B11+B13+B16+B18+B21+B23+B25+B29</f>
        <v>2228032359823.0352</v>
      </c>
      <c r="C6" s="1878">
        <f t="shared" si="0"/>
        <v>127340869659.87187</v>
      </c>
      <c r="D6" s="1878">
        <f>+D7+D11+D13+D16+D18+D21+D23+D25+D29</f>
        <v>2054835318392.1367</v>
      </c>
      <c r="E6" s="1878">
        <f>+E7+E11+E13+E16+E18+E21+E23+E25+E29</f>
        <v>139842598354.13092</v>
      </c>
      <c r="F6" s="1878">
        <f>+F7+F11+F13+F16+F18+F21+F23+F25+F29</f>
        <v>2196931062838.3525</v>
      </c>
      <c r="G6" s="1878">
        <f>+G7+G11+G13+G16+G18+G21+G23+G25+G29</f>
        <v>120170417803.29425</v>
      </c>
      <c r="J6" s="1882"/>
      <c r="L6" s="17"/>
      <c r="M6" s="17"/>
    </row>
    <row r="7" spans="1:13" x14ac:dyDescent="0.15">
      <c r="A7" s="197" t="s">
        <v>3542</v>
      </c>
      <c r="B7" s="200">
        <f t="shared" ref="B7:F7" si="1">+SUM(B8:B10)</f>
        <v>16462373787.299835</v>
      </c>
      <c r="C7" s="200">
        <f t="shared" si="1"/>
        <v>13396694575.717142</v>
      </c>
      <c r="D7" s="200">
        <f t="shared" si="1"/>
        <v>16451347656.165592</v>
      </c>
      <c r="E7" s="200">
        <f t="shared" si="1"/>
        <v>14631873005.378323</v>
      </c>
      <c r="F7" s="200">
        <f t="shared" si="1"/>
        <v>18363426408.767391</v>
      </c>
      <c r="G7" s="200">
        <f>+SUM(G8:G10)</f>
        <v>14328082096.093801</v>
      </c>
      <c r="J7" s="1882"/>
      <c r="L7" s="17"/>
      <c r="M7" s="17"/>
    </row>
    <row r="8" spans="1:13" x14ac:dyDescent="0.15">
      <c r="A8" s="1380" t="s">
        <v>2866</v>
      </c>
      <c r="B8" s="17">
        <f>+('24.3'!B8*(9.8810703666997+100))/100</f>
        <v>45748519.981583267</v>
      </c>
      <c r="C8" s="17">
        <f>+('24.3'!C8*(9.8810703666997+100))/100</f>
        <v>5303761.7769132992</v>
      </c>
      <c r="D8" s="17">
        <f>+('24.3'!D8*(3.94712169510596+100))/100</f>
        <v>42009911.880643494</v>
      </c>
      <c r="E8" s="17">
        <f>+('24.3'!E8*(3.94712169510596+100))/100</f>
        <v>631354.0277517346</v>
      </c>
      <c r="F8" s="17">
        <f>+'24.3'!F8</f>
        <v>37969006.777199998</v>
      </c>
      <c r="G8" s="17">
        <f>+'24.3'!G8</f>
        <v>14609754.030000001</v>
      </c>
      <c r="I8" s="1883"/>
      <c r="J8" s="1882"/>
      <c r="L8" s="17"/>
      <c r="M8" s="17"/>
    </row>
    <row r="9" spans="1:13" x14ac:dyDescent="0.15">
      <c r="A9" s="1380" t="s">
        <v>2867</v>
      </c>
      <c r="B9" s="17">
        <f>+('24.3'!B9*(9.8810703666997+100))/100</f>
        <v>1399986402.0670843</v>
      </c>
      <c r="C9" s="17">
        <f>+('24.3'!C9*(9.8810703666997+100))/100</f>
        <v>806657413.79479837</v>
      </c>
      <c r="D9" s="17">
        <f>+('24.3'!D9*(3.94712169510596+100))/100</f>
        <v>1574158040.5198138</v>
      </c>
      <c r="E9" s="17">
        <f>+('24.3'!E9*(3.94712169510596+100))/100</f>
        <v>848891641.64383626</v>
      </c>
      <c r="F9" s="17">
        <f>+'24.3'!F9</f>
        <v>1877809506.9072011</v>
      </c>
      <c r="G9" s="17">
        <f>+'24.3'!G9</f>
        <v>772433211.06899989</v>
      </c>
      <c r="J9" s="1882"/>
      <c r="L9" s="17"/>
      <c r="M9" s="17"/>
    </row>
    <row r="10" spans="1:13" x14ac:dyDescent="0.15">
      <c r="A10" s="1380" t="s">
        <v>2543</v>
      </c>
      <c r="B10" s="17">
        <f>+('24.3'!B10*(9.8810703666997+100))/100</f>
        <v>15016638865.251167</v>
      </c>
      <c r="C10" s="17">
        <f>+('24.3'!C10*(9.8810703666997+100))/100</f>
        <v>12584733400.14543</v>
      </c>
      <c r="D10" s="17">
        <f>+('24.3'!D10*(3.94712169510596+100))/100</f>
        <v>14835179703.765135</v>
      </c>
      <c r="E10" s="17">
        <f>+('24.3'!E10*(3.94712169510596+100))/100</f>
        <v>13782350009.706734</v>
      </c>
      <c r="F10" s="17">
        <f>+'24.3'!F10</f>
        <v>16447647895.082989</v>
      </c>
      <c r="G10" s="17">
        <f>+'24.3'!G10</f>
        <v>13541039130.994802</v>
      </c>
      <c r="J10" s="1882"/>
      <c r="L10" s="17"/>
      <c r="M10" s="17"/>
    </row>
    <row r="11" spans="1:13" x14ac:dyDescent="0.15">
      <c r="A11" s="197" t="s">
        <v>2870</v>
      </c>
      <c r="B11" s="200">
        <f t="shared" ref="B11:F11" si="2">+B12</f>
        <v>66515892.718687966</v>
      </c>
      <c r="C11" s="200">
        <f t="shared" si="2"/>
        <v>2877565.470763132</v>
      </c>
      <c r="D11" s="200">
        <f t="shared" si="2"/>
        <v>90398084.140189171</v>
      </c>
      <c r="E11" s="200">
        <f t="shared" si="2"/>
        <v>0</v>
      </c>
      <c r="F11" s="200">
        <f t="shared" si="2"/>
        <v>132577238.41140001</v>
      </c>
      <c r="G11" s="200">
        <f>+G12</f>
        <v>0</v>
      </c>
      <c r="J11" s="1882"/>
      <c r="L11" s="17"/>
      <c r="M11" s="17"/>
    </row>
    <row r="12" spans="1:13" x14ac:dyDescent="0.15">
      <c r="A12" s="1380" t="s">
        <v>2871</v>
      </c>
      <c r="B12" s="17">
        <f>+('24.3'!B12*(9.8810703666997+100))/100</f>
        <v>66515892.718687966</v>
      </c>
      <c r="C12" s="17">
        <f>+('24.3'!C12*(9.8810703666997+100))/100</f>
        <v>2877565.470763132</v>
      </c>
      <c r="D12" s="17">
        <f>+('24.3'!D12*(3.94712169510596+100))/100</f>
        <v>90398084.140189171</v>
      </c>
      <c r="E12" s="17">
        <f>+('24.3'!E12*(3.94712169510596+100))/100</f>
        <v>0</v>
      </c>
      <c r="F12" s="17">
        <f>+'24.3'!F12</f>
        <v>132577238.41140001</v>
      </c>
      <c r="G12" s="17">
        <f>+'24.3'!G12</f>
        <v>0</v>
      </c>
      <c r="J12" s="1882"/>
      <c r="L12" s="17"/>
      <c r="M12" s="17"/>
    </row>
    <row r="13" spans="1:13" x14ac:dyDescent="0.15">
      <c r="A13" s="197" t="s">
        <v>2873</v>
      </c>
      <c r="B13" s="200">
        <f t="shared" ref="B13:E13" si="3">+SUM(B14:B15)</f>
        <v>288667732867.30695</v>
      </c>
      <c r="C13" s="200">
        <f t="shared" si="3"/>
        <v>46649070670.435707</v>
      </c>
      <c r="D13" s="200">
        <f t="shared" si="3"/>
        <v>249731087519.10806</v>
      </c>
      <c r="E13" s="200">
        <f t="shared" si="3"/>
        <v>30343731971.458656</v>
      </c>
      <c r="F13" s="200">
        <f t="shared" ref="F13" si="4">+SUM(F14:F15)</f>
        <v>266952388082.18134</v>
      </c>
      <c r="G13" s="200">
        <f>+SUM(G14:G15)</f>
        <v>30388021679.852997</v>
      </c>
      <c r="J13" s="1882"/>
      <c r="L13" s="17"/>
      <c r="M13" s="17"/>
    </row>
    <row r="14" spans="1:13" x14ac:dyDescent="0.15">
      <c r="A14" s="1380" t="s">
        <v>3914</v>
      </c>
      <c r="B14" s="17">
        <f>+('24.3'!B14*(9.8810703666997+100))/100</f>
        <v>4257557535.0363088</v>
      </c>
      <c r="C14" s="17">
        <f>+('24.3'!C14*(9.8810703666997+100))/100</f>
        <v>37907408277.887428</v>
      </c>
      <c r="D14" s="17">
        <f>+('24.3'!D14*(3.94712169510596+100))/100</f>
        <v>5470097044.3538799</v>
      </c>
      <c r="E14" s="17">
        <f>+('24.3'!E14*(3.94712169510596+100))/100</f>
        <v>23377771983.462093</v>
      </c>
      <c r="F14" s="17">
        <f>+'24.3'!F14</f>
        <v>5676390612.2652016</v>
      </c>
      <c r="G14" s="17">
        <f>+'24.3'!G14</f>
        <v>24118254979.275597</v>
      </c>
      <c r="J14" s="1882"/>
      <c r="L14" s="17"/>
      <c r="M14" s="17"/>
    </row>
    <row r="15" spans="1:13" x14ac:dyDescent="0.15">
      <c r="A15" s="1380" t="s">
        <v>2874</v>
      </c>
      <c r="B15" s="17">
        <f>+('24.3'!B15*(9.8810703666997+100))/100</f>
        <v>284410175332.27063</v>
      </c>
      <c r="C15" s="17">
        <f>+('24.3'!C15*(9.8810703666997+100))/100</f>
        <v>8741662392.5482807</v>
      </c>
      <c r="D15" s="17">
        <f>+('24.3'!D15*(3.94712169510596+100))/100</f>
        <v>244260990474.75418</v>
      </c>
      <c r="E15" s="17">
        <f>+('24.3'!E15*(3.94712169510596+100))/100</f>
        <v>6965959987.9965649</v>
      </c>
      <c r="F15" s="17">
        <f>+'24.3'!F15</f>
        <v>261275997469.91614</v>
      </c>
      <c r="G15" s="17">
        <f>+'24.3'!G15</f>
        <v>6269766700.5773983</v>
      </c>
      <c r="J15" s="1882"/>
      <c r="L15" s="17"/>
      <c r="M15" s="17"/>
    </row>
    <row r="16" spans="1:13" x14ac:dyDescent="0.15">
      <c r="A16" s="197" t="s">
        <v>2875</v>
      </c>
      <c r="B16" s="200">
        <f t="shared" ref="B16:F16" si="5">+B17</f>
        <v>83739089705.901291</v>
      </c>
      <c r="C16" s="200">
        <f t="shared" si="5"/>
        <v>1269693207.1984954</v>
      </c>
      <c r="D16" s="200">
        <f t="shared" si="5"/>
        <v>82701103895.757553</v>
      </c>
      <c r="E16" s="200">
        <f t="shared" si="5"/>
        <v>3688834281.6495709</v>
      </c>
      <c r="F16" s="200">
        <f t="shared" si="5"/>
        <v>88603518939.871796</v>
      </c>
      <c r="G16" s="200">
        <f>+G17</f>
        <v>1475396544.8190005</v>
      </c>
      <c r="J16" s="1882"/>
      <c r="L16" s="17"/>
      <c r="M16" s="17"/>
    </row>
    <row r="17" spans="1:13" x14ac:dyDescent="0.15">
      <c r="A17" s="1380" t="s">
        <v>2540</v>
      </c>
      <c r="B17" s="17">
        <f>+('24.3'!B17*(9.8810703666997+100))/100</f>
        <v>83739089705.901291</v>
      </c>
      <c r="C17" s="17">
        <f>+('24.3'!C17*(9.8810703666997+100))/100</f>
        <v>1269693207.1984954</v>
      </c>
      <c r="D17" s="17">
        <f>+('24.3'!D17*(3.94712169510596+100))/100</f>
        <v>82701103895.757553</v>
      </c>
      <c r="E17" s="17">
        <f>+('24.3'!E17*(3.94712169510596+100))/100</f>
        <v>3688834281.6495709</v>
      </c>
      <c r="F17" s="17">
        <f>+'24.3'!F17</f>
        <v>88603518939.871796</v>
      </c>
      <c r="G17" s="17">
        <f>+'24.3'!G17</f>
        <v>1475396544.8190005</v>
      </c>
      <c r="J17" s="1882"/>
      <c r="L17" s="17"/>
      <c r="M17" s="17"/>
    </row>
    <row r="18" spans="1:13" x14ac:dyDescent="0.15">
      <c r="A18" s="197" t="s">
        <v>2880</v>
      </c>
      <c r="B18" s="200">
        <f t="shared" ref="B18:E18" si="6">+SUM(B19:B20)</f>
        <v>112595892392.87256</v>
      </c>
      <c r="C18" s="200">
        <f t="shared" si="6"/>
        <v>3634139317.9497728</v>
      </c>
      <c r="D18" s="200">
        <f t="shared" si="6"/>
        <v>101401276893.01672</v>
      </c>
      <c r="E18" s="200">
        <f t="shared" si="6"/>
        <v>3070934660.7708378</v>
      </c>
      <c r="F18" s="200">
        <f t="shared" ref="F18" si="7">+SUM(F19:F20)</f>
        <v>101852789318.23123</v>
      </c>
      <c r="G18" s="200">
        <f>+SUM(G19:G20)</f>
        <v>3329554320.9623995</v>
      </c>
      <c r="J18" s="1882"/>
      <c r="L18" s="17"/>
      <c r="M18" s="17"/>
    </row>
    <row r="19" spans="1:13" x14ac:dyDescent="0.15">
      <c r="A19" s="1380" t="s">
        <v>2851</v>
      </c>
      <c r="B19" s="17">
        <f>+('24.3'!B19*(9.8810703666997+100))/100</f>
        <v>13502193918.322615</v>
      </c>
      <c r="C19" s="17">
        <f>+('24.3'!C19*(9.8810703666997+100))/100</f>
        <v>1124556948.3634853</v>
      </c>
      <c r="D19" s="17">
        <f>+('24.3'!D19*(3.94712169510596+100))/100</f>
        <v>16032500783.878428</v>
      </c>
      <c r="E19" s="17">
        <f>+('24.3'!E19*(3.94712169510596+100))/100</f>
        <v>919796202.97521031</v>
      </c>
      <c r="F19" s="17">
        <f>+'24.3'!F19</f>
        <v>18534957936.135586</v>
      </c>
      <c r="G19" s="17">
        <f>+'24.3'!G19</f>
        <v>1112391934.4538002</v>
      </c>
      <c r="J19" s="1882"/>
      <c r="L19" s="17"/>
      <c r="M19" s="17"/>
    </row>
    <row r="20" spans="1:13" x14ac:dyDescent="0.15">
      <c r="A20" s="1380" t="s">
        <v>2881</v>
      </c>
      <c r="B20" s="17">
        <f>+('24.3'!B20*(9.8810703666997+100))/100</f>
        <v>99093698474.549942</v>
      </c>
      <c r="C20" s="17">
        <f>+('24.3'!C20*(9.8810703666997+100))/100</f>
        <v>2509582369.5862875</v>
      </c>
      <c r="D20" s="17">
        <f>+('24.3'!D20*(3.94712169510596+100))/100</f>
        <v>85368776109.13829</v>
      </c>
      <c r="E20" s="17">
        <f>+('24.3'!E20*(3.94712169510596+100))/100</f>
        <v>2151138457.7956276</v>
      </c>
      <c r="F20" s="17">
        <f>+'24.3'!F20</f>
        <v>83317831382.095642</v>
      </c>
      <c r="G20" s="17">
        <f>+'24.3'!G20</f>
        <v>2217162386.5085993</v>
      </c>
      <c r="J20" s="1882"/>
      <c r="L20" s="17"/>
      <c r="M20" s="17"/>
    </row>
    <row r="21" spans="1:13" x14ac:dyDescent="0.15">
      <c r="A21" s="197" t="s">
        <v>2882</v>
      </c>
      <c r="B21" s="200">
        <f t="shared" ref="B21:F21" si="8">+B22</f>
        <v>75201022506.038696</v>
      </c>
      <c r="C21" s="200">
        <f t="shared" si="8"/>
        <v>33933206830.482567</v>
      </c>
      <c r="D21" s="200">
        <f t="shared" si="8"/>
        <v>86563605632.656815</v>
      </c>
      <c r="E21" s="200">
        <f t="shared" si="8"/>
        <v>51461015030.026894</v>
      </c>
      <c r="F21" s="200">
        <f t="shared" si="8"/>
        <v>98724019291.824234</v>
      </c>
      <c r="G21" s="200">
        <f>+G22</f>
        <v>45193902524.17804</v>
      </c>
      <c r="J21" s="1882"/>
      <c r="L21" s="17"/>
      <c r="M21" s="17"/>
    </row>
    <row r="22" spans="1:13" x14ac:dyDescent="0.15">
      <c r="A22" s="1380" t="s">
        <v>2882</v>
      </c>
      <c r="B22" s="17">
        <f>+('24.3'!B22*(9.8810703666997+100))/100</f>
        <v>75201022506.038696</v>
      </c>
      <c r="C22" s="17">
        <f>+('24.3'!C22*(9.8810703666997+100))/100</f>
        <v>33933206830.482567</v>
      </c>
      <c r="D22" s="17">
        <f>+('24.3'!D22*(3.94712169510596+100))/100</f>
        <v>86563605632.656815</v>
      </c>
      <c r="E22" s="17">
        <f>+('24.3'!E22*(3.94712169510596+100))/100</f>
        <v>51461015030.026894</v>
      </c>
      <c r="F22" s="17">
        <f>+'24.3'!F22</f>
        <v>98724019291.824234</v>
      </c>
      <c r="G22" s="17">
        <f>+'24.3'!G22</f>
        <v>45193902524.17804</v>
      </c>
      <c r="J22" s="1882"/>
      <c r="L22" s="17"/>
      <c r="M22" s="17"/>
    </row>
    <row r="23" spans="1:13" x14ac:dyDescent="0.15">
      <c r="A23" s="197" t="s">
        <v>3543</v>
      </c>
      <c r="B23" s="200">
        <f t="shared" ref="B23:F23" si="9">+B24</f>
        <v>1062893630401.2372</v>
      </c>
      <c r="C23" s="200">
        <f t="shared" si="9"/>
        <v>21192378636.75705</v>
      </c>
      <c r="D23" s="200">
        <f t="shared" si="9"/>
        <v>936006000691.86096</v>
      </c>
      <c r="E23" s="200">
        <f t="shared" si="9"/>
        <v>28602537656.491383</v>
      </c>
      <c r="F23" s="200">
        <f t="shared" si="9"/>
        <v>1087131289752.8792</v>
      </c>
      <c r="G23" s="200">
        <f>+G24</f>
        <v>19030750225.635586</v>
      </c>
      <c r="J23" s="1882"/>
      <c r="L23" s="17"/>
      <c r="M23" s="17"/>
    </row>
    <row r="24" spans="1:13" x14ac:dyDescent="0.15">
      <c r="A24" s="1380" t="s">
        <v>3544</v>
      </c>
      <c r="B24" s="17">
        <f>+('24.3'!B24*(9.8810703666997+100))/100</f>
        <v>1062893630401.2372</v>
      </c>
      <c r="C24" s="17">
        <f>+('24.3'!C24*(9.8810703666997+100))/100</f>
        <v>21192378636.75705</v>
      </c>
      <c r="D24" s="17">
        <f>+('24.3'!D24*(3.94712169510596+100))/100</f>
        <v>936006000691.86096</v>
      </c>
      <c r="E24" s="17">
        <f>+('24.3'!E24*(3.94712169510596+100))/100</f>
        <v>28602537656.491383</v>
      </c>
      <c r="F24" s="17">
        <f>+'24.3'!F24</f>
        <v>1087131289752.8792</v>
      </c>
      <c r="G24" s="17">
        <f>+'24.3'!G24</f>
        <v>19030750225.635586</v>
      </c>
      <c r="J24" s="1882"/>
      <c r="L24" s="17"/>
      <c r="M24" s="17"/>
    </row>
    <row r="25" spans="1:13" x14ac:dyDescent="0.15">
      <c r="A25" s="197" t="s">
        <v>2901</v>
      </c>
      <c r="B25" s="200">
        <f t="shared" ref="B25:E25" si="10">+SUM(B26:B28)</f>
        <v>581122711983.5885</v>
      </c>
      <c r="C25" s="200">
        <f t="shared" si="10"/>
        <v>7046835366.4019947</v>
      </c>
      <c r="D25" s="200">
        <f t="shared" si="10"/>
        <v>575366562288.89282</v>
      </c>
      <c r="E25" s="200">
        <f t="shared" si="10"/>
        <v>7721563793.9204121</v>
      </c>
      <c r="F25" s="200">
        <f t="shared" ref="F25" si="11">+SUM(F26:F28)</f>
        <v>527637222355.7547</v>
      </c>
      <c r="G25" s="200">
        <f>+SUM(G26:G28)</f>
        <v>6017060544.7997999</v>
      </c>
      <c r="J25" s="1882"/>
      <c r="L25" s="17"/>
      <c r="M25" s="17"/>
    </row>
    <row r="26" spans="1:13" x14ac:dyDescent="0.15">
      <c r="A26" s="1380" t="s">
        <v>2416</v>
      </c>
      <c r="B26" s="17">
        <f>+('24.3'!B26*(9.8810703666997+100))/100</f>
        <v>44697262159.226517</v>
      </c>
      <c r="C26" s="17">
        <f>+('24.3'!C26*(9.8810703666997+100))/100</f>
        <v>999216072.44573486</v>
      </c>
      <c r="D26" s="17">
        <f>+('24.3'!D26*(3.94712169510596+100))/100</f>
        <v>39709815983.612114</v>
      </c>
      <c r="E26" s="17">
        <f>+('24.3'!E26*(3.94712169510596+100))/100</f>
        <v>1310968340.6911533</v>
      </c>
      <c r="F26" s="17">
        <f>+'24.3'!F26</f>
        <v>34559698463.631058</v>
      </c>
      <c r="G26" s="17">
        <f>+'24.3'!G26</f>
        <v>758683101.4878</v>
      </c>
      <c r="J26" s="1882"/>
      <c r="L26" s="17"/>
      <c r="M26" s="17"/>
    </row>
    <row r="27" spans="1:13" x14ac:dyDescent="0.15">
      <c r="A27" s="1380" t="s">
        <v>3915</v>
      </c>
      <c r="B27" s="17">
        <f>+('24.3'!B27*(9.8810703666997+100))/100</f>
        <v>490959284497.34039</v>
      </c>
      <c r="C27" s="17">
        <f>+('24.3'!C27*(9.8810703666997+100))/100</f>
        <v>5726100800.6835299</v>
      </c>
      <c r="D27" s="17">
        <f>+('24.3'!D27*(3.94712169510596+100))/100</f>
        <v>483644121137.72089</v>
      </c>
      <c r="E27" s="17">
        <f>+('24.3'!E27*(3.94712169510596+100))/100</f>
        <v>5922905358.9436216</v>
      </c>
      <c r="F27" s="17">
        <f>+'24.3'!F27</f>
        <v>456520943466.02307</v>
      </c>
      <c r="G27" s="17">
        <f>+'24.3'!G27</f>
        <v>5104977996.8249998</v>
      </c>
      <c r="J27" s="1882"/>
      <c r="L27" s="17"/>
      <c r="M27" s="17"/>
    </row>
    <row r="28" spans="1:13" x14ac:dyDescent="0.15">
      <c r="A28" s="1380" t="s">
        <v>3898</v>
      </c>
      <c r="B28" s="17">
        <f>+('24.3'!B28*(9.8810703666997+100))/100</f>
        <v>45466165327.021561</v>
      </c>
      <c r="C28" s="17">
        <f>+('24.3'!C28*(9.8810703666997+100))/100</f>
        <v>321518493.27273035</v>
      </c>
      <c r="D28" s="17">
        <f>+('24.3'!D28*(3.94712169510596+100))/100</f>
        <v>52012625167.559792</v>
      </c>
      <c r="E28" s="17">
        <f>+('24.3'!E28*(3.94712169510596+100))/100</f>
        <v>487690094.28563708</v>
      </c>
      <c r="F28" s="17">
        <f>+'24.3'!F28</f>
        <v>36556580426.100609</v>
      </c>
      <c r="G28" s="17">
        <f>+'24.3'!G28</f>
        <v>153399446.48700002</v>
      </c>
      <c r="J28" s="1882"/>
      <c r="L28" s="17"/>
      <c r="M28" s="17"/>
    </row>
    <row r="29" spans="1:13" x14ac:dyDescent="0.15">
      <c r="A29" s="197" t="s">
        <v>2906</v>
      </c>
      <c r="B29" s="200">
        <f t="shared" ref="B29:F29" si="12">+B30</f>
        <v>7283390286.0718784</v>
      </c>
      <c r="C29" s="200">
        <f t="shared" si="12"/>
        <v>215973489.45836908</v>
      </c>
      <c r="D29" s="200">
        <f t="shared" si="12"/>
        <v>6523935730.538208</v>
      </c>
      <c r="E29" s="200">
        <f t="shared" si="12"/>
        <v>322107954.43484509</v>
      </c>
      <c r="F29" s="200">
        <f t="shared" si="12"/>
        <v>7533831450.4313984</v>
      </c>
      <c r="G29" s="200">
        <f>+G30</f>
        <v>407649866.9526</v>
      </c>
      <c r="J29" s="1882"/>
      <c r="L29" s="17"/>
      <c r="M29" s="17"/>
    </row>
    <row r="30" spans="1:13" x14ac:dyDescent="0.15">
      <c r="A30" s="1380" t="s">
        <v>2906</v>
      </c>
      <c r="B30" s="17">
        <f>+('24.3'!B30*(9.8810703666997+100))/100</f>
        <v>7283390286.0718784</v>
      </c>
      <c r="C30" s="17">
        <f>+('24.3'!C30*(9.8810703666997+100))/100</f>
        <v>215973489.45836908</v>
      </c>
      <c r="D30" s="17">
        <f>+('24.3'!D30*(3.94712169510596+100))/100</f>
        <v>6523935730.538208</v>
      </c>
      <c r="E30" s="17">
        <f>+('24.3'!E30*(3.94712169510596+100))/100</f>
        <v>322107954.43484509</v>
      </c>
      <c r="F30" s="17">
        <f>+'24.3'!F30</f>
        <v>7533831450.4313984</v>
      </c>
      <c r="G30" s="17">
        <f>+'24.3'!G30</f>
        <v>407649866.9526</v>
      </c>
      <c r="J30" s="1882"/>
      <c r="L30" s="17"/>
      <c r="M30" s="17"/>
    </row>
    <row r="32" spans="1:13" ht="12.75" customHeight="1" x14ac:dyDescent="0.15">
      <c r="A32" s="2557" t="s">
        <v>3920</v>
      </c>
      <c r="B32" s="2557"/>
      <c r="C32" s="2557"/>
      <c r="D32" s="2557"/>
      <c r="E32" s="2557"/>
      <c r="F32" s="2557"/>
      <c r="G32" s="2557"/>
    </row>
    <row r="33" spans="1:7" ht="12.75" customHeight="1" x14ac:dyDescent="0.15">
      <c r="A33" s="242" t="s">
        <v>3921</v>
      </c>
      <c r="B33" s="295"/>
      <c r="C33" s="295"/>
      <c r="D33" s="295"/>
      <c r="E33" s="295"/>
      <c r="F33" s="295"/>
      <c r="G33" s="295"/>
    </row>
    <row r="34" spans="1:7" ht="12.75" customHeight="1" x14ac:dyDescent="0.15">
      <c r="A34" s="242" t="s">
        <v>3922</v>
      </c>
      <c r="B34" s="242"/>
      <c r="C34" s="242"/>
      <c r="D34" s="242"/>
      <c r="E34" s="242"/>
      <c r="F34" s="242"/>
      <c r="G34" s="242"/>
    </row>
    <row r="35" spans="1:7" ht="12.75" customHeight="1" x14ac:dyDescent="0.15">
      <c r="A35" s="644" t="s">
        <v>20</v>
      </c>
      <c r="B35" s="644"/>
      <c r="C35" s="644"/>
      <c r="D35" s="644"/>
      <c r="E35" s="242"/>
      <c r="F35" s="242"/>
      <c r="G35" s="242"/>
    </row>
    <row r="36" spans="1:7" ht="12.75" customHeight="1" x14ac:dyDescent="0.15">
      <c r="A36" s="2557" t="s">
        <v>3923</v>
      </c>
      <c r="B36" s="2557"/>
      <c r="C36" s="2557"/>
      <c r="D36" s="2557"/>
      <c r="E36" s="2557"/>
      <c r="F36" s="2557"/>
      <c r="G36" s="2557"/>
    </row>
    <row r="39" spans="1:7" ht="15.75" x14ac:dyDescent="0.25">
      <c r="A39" s="1884"/>
      <c r="B39" s="1885"/>
    </row>
  </sheetData>
  <mergeCells count="7">
    <mergeCell ref="A36:G36"/>
    <mergeCell ref="A2:G2"/>
    <mergeCell ref="A4:A5"/>
    <mergeCell ref="B4:C4"/>
    <mergeCell ref="D4:E4"/>
    <mergeCell ref="F4:G4"/>
    <mergeCell ref="A32:G32"/>
  </mergeCells>
  <pageMargins left="0.70866141732283472" right="0.70866141732283472" top="0.74803149606299213" bottom="0.74803149606299213" header="0.31496062992125984" footer="0.31496062992125984"/>
  <pageSetup paperSize="9" scale="75"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I25"/>
  <sheetViews>
    <sheetView workbookViewId="0">
      <selection activeCell="A2" sqref="A2:I2"/>
    </sheetView>
  </sheetViews>
  <sheetFormatPr baseColWidth="10" defaultRowHeight="10.5" x14ac:dyDescent="0.15"/>
  <cols>
    <col min="1" max="1" width="45.28515625" style="97" customWidth="1"/>
    <col min="2" max="2" width="7.28515625" style="97" customWidth="1"/>
    <col min="3" max="3" width="10.85546875" style="97" customWidth="1"/>
    <col min="4" max="5" width="11.42578125" style="97"/>
    <col min="6" max="6" width="8.5703125" style="97" customWidth="1"/>
    <col min="7" max="16384" width="11.42578125" style="97"/>
  </cols>
  <sheetData>
    <row r="1" spans="1:9" ht="15.75" customHeight="1" x14ac:dyDescent="0.15"/>
    <row r="2" spans="1:9" ht="25.5" customHeight="1" x14ac:dyDescent="0.15">
      <c r="A2" s="2441" t="s">
        <v>4342</v>
      </c>
      <c r="B2" s="2441"/>
      <c r="C2" s="2441"/>
      <c r="D2" s="2441"/>
      <c r="E2" s="2441"/>
      <c r="F2" s="2441"/>
      <c r="G2" s="2441"/>
      <c r="H2" s="2441"/>
      <c r="I2" s="2441"/>
    </row>
    <row r="3" spans="1:9" ht="8.25" customHeight="1" x14ac:dyDescent="0.15">
      <c r="A3" s="2442"/>
      <c r="B3" s="2442"/>
      <c r="C3" s="2442"/>
      <c r="D3" s="2442"/>
      <c r="E3" s="2442"/>
    </row>
    <row r="4" spans="1:9" ht="19.5" customHeight="1" x14ac:dyDescent="0.15">
      <c r="A4" s="2443" t="s">
        <v>356</v>
      </c>
      <c r="B4" s="2446">
        <v>2014</v>
      </c>
      <c r="C4" s="2447"/>
      <c r="D4" s="2447"/>
      <c r="E4" s="2448"/>
      <c r="F4" s="2449">
        <v>2015</v>
      </c>
      <c r="G4" s="2450"/>
      <c r="H4" s="2450"/>
      <c r="I4" s="2451"/>
    </row>
    <row r="5" spans="1:9" ht="19.5" customHeight="1" x14ac:dyDescent="0.15">
      <c r="A5" s="2444"/>
      <c r="B5" s="2452" t="s">
        <v>141</v>
      </c>
      <c r="C5" s="2453" t="s">
        <v>357</v>
      </c>
      <c r="D5" s="2453"/>
      <c r="E5" s="2453"/>
      <c r="F5" s="2453" t="s">
        <v>4</v>
      </c>
      <c r="G5" s="2454" t="s">
        <v>358</v>
      </c>
      <c r="H5" s="2455"/>
      <c r="I5" s="2456"/>
    </row>
    <row r="6" spans="1:9" ht="19.5" customHeight="1" x14ac:dyDescent="0.15">
      <c r="A6" s="2445"/>
      <c r="B6" s="2452"/>
      <c r="C6" s="2" t="s">
        <v>359</v>
      </c>
      <c r="D6" s="2" t="s">
        <v>360</v>
      </c>
      <c r="E6" s="2" t="s">
        <v>361</v>
      </c>
      <c r="F6" s="2453"/>
      <c r="G6" s="2" t="s">
        <v>359</v>
      </c>
      <c r="H6" s="2" t="s">
        <v>360</v>
      </c>
      <c r="I6" s="2" t="s">
        <v>361</v>
      </c>
    </row>
    <row r="7" spans="1:9" ht="15.75" customHeight="1" x14ac:dyDescent="0.15">
      <c r="A7" s="158" t="s">
        <v>362</v>
      </c>
      <c r="B7" s="159">
        <f>SUM(B8:B9)</f>
        <v>58</v>
      </c>
      <c r="C7" s="159">
        <f>SUM(C8:C9)</f>
        <v>13</v>
      </c>
      <c r="D7" s="159">
        <f t="shared" ref="D7:I7" si="0">SUM(D8:D9)</f>
        <v>19</v>
      </c>
      <c r="E7" s="159">
        <f t="shared" si="0"/>
        <v>26</v>
      </c>
      <c r="F7" s="159">
        <f t="shared" si="0"/>
        <v>56</v>
      </c>
      <c r="G7" s="159">
        <f t="shared" si="0"/>
        <v>21</v>
      </c>
      <c r="H7" s="159">
        <f t="shared" si="0"/>
        <v>14</v>
      </c>
      <c r="I7" s="159">
        <f t="shared" si="0"/>
        <v>21</v>
      </c>
    </row>
    <row r="8" spans="1:9" ht="18.75" customHeight="1" x14ac:dyDescent="0.15">
      <c r="A8" s="1978" t="s">
        <v>363</v>
      </c>
      <c r="B8" s="160">
        <f>SUM(C8:E8)</f>
        <v>51</v>
      </c>
      <c r="C8" s="160">
        <f>SUM(C11,C14,C17,C20)</f>
        <v>13</v>
      </c>
      <c r="D8" s="160">
        <f>SUM(D11,D14,D17,D20)</f>
        <v>15</v>
      </c>
      <c r="E8" s="160">
        <f t="shared" ref="E8" si="1">SUM(E11,E14,E17,E20)</f>
        <v>23</v>
      </c>
      <c r="F8" s="160">
        <f>SUM(G8:I8)</f>
        <v>48</v>
      </c>
      <c r="G8" s="160">
        <f>SUM(G11,G14,G17,G20)</f>
        <v>21</v>
      </c>
      <c r="H8" s="160">
        <f t="shared" ref="H8:I9" si="2">SUM(H11,H14,H17,H20)</f>
        <v>10</v>
      </c>
      <c r="I8" s="160">
        <f t="shared" si="2"/>
        <v>17</v>
      </c>
    </row>
    <row r="9" spans="1:9" s="161" customFormat="1" ht="22.5" customHeight="1" x14ac:dyDescent="0.15">
      <c r="A9" s="1978" t="s">
        <v>364</v>
      </c>
      <c r="B9" s="160">
        <f>SUM(C9:E9)</f>
        <v>7</v>
      </c>
      <c r="C9" s="160">
        <f>SUM(C12,C15,C18,C21)</f>
        <v>0</v>
      </c>
      <c r="D9" s="160">
        <f t="shared" ref="D9:E9" si="3">SUM(D12,D15,D18,D21)</f>
        <v>4</v>
      </c>
      <c r="E9" s="160">
        <f t="shared" si="3"/>
        <v>3</v>
      </c>
      <c r="F9" s="160">
        <f>SUM(G9:I9)</f>
        <v>8</v>
      </c>
      <c r="G9" s="160">
        <f>SUM(G12,G15,G18,G21)</f>
        <v>0</v>
      </c>
      <c r="H9" s="160">
        <f t="shared" si="2"/>
        <v>4</v>
      </c>
      <c r="I9" s="160">
        <f t="shared" si="2"/>
        <v>4</v>
      </c>
    </row>
    <row r="10" spans="1:9" s="161" customFormat="1" ht="22.5" customHeight="1" x14ac:dyDescent="0.15">
      <c r="A10" s="162" t="s">
        <v>333</v>
      </c>
      <c r="B10" s="160">
        <f t="shared" ref="B10:B21" si="4">SUM(C10:E10)</f>
        <v>11</v>
      </c>
      <c r="C10" s="163">
        <f>SUM(C11:C12)</f>
        <v>3</v>
      </c>
      <c r="D10" s="163">
        <f t="shared" ref="D10:I10" si="5">SUM(D11:D12)</f>
        <v>3</v>
      </c>
      <c r="E10" s="163">
        <f t="shared" si="5"/>
        <v>5</v>
      </c>
      <c r="F10" s="160">
        <f t="shared" ref="F10:F21" si="6">SUM(G10:I10)</f>
        <v>8</v>
      </c>
      <c r="G10" s="163">
        <f t="shared" si="5"/>
        <v>3</v>
      </c>
      <c r="H10" s="163">
        <f t="shared" si="5"/>
        <v>3</v>
      </c>
      <c r="I10" s="163">
        <f t="shared" si="5"/>
        <v>2</v>
      </c>
    </row>
    <row r="11" spans="1:9" s="161" customFormat="1" x14ac:dyDescent="0.15">
      <c r="A11" s="164" t="s">
        <v>365</v>
      </c>
      <c r="B11" s="160">
        <f t="shared" si="4"/>
        <v>9</v>
      </c>
      <c r="C11" s="165">
        <v>3</v>
      </c>
      <c r="D11" s="165">
        <v>2</v>
      </c>
      <c r="E11" s="165">
        <v>4</v>
      </c>
      <c r="F11" s="160">
        <f t="shared" si="6"/>
        <v>6</v>
      </c>
      <c r="G11" s="166">
        <v>3</v>
      </c>
      <c r="H11" s="166">
        <v>2</v>
      </c>
      <c r="I11" s="166">
        <v>1</v>
      </c>
    </row>
    <row r="12" spans="1:9" s="161" customFormat="1" ht="21" x14ac:dyDescent="0.15">
      <c r="A12" s="164" t="s">
        <v>366</v>
      </c>
      <c r="B12" s="160">
        <f t="shared" si="4"/>
        <v>2</v>
      </c>
      <c r="C12" s="165">
        <v>0</v>
      </c>
      <c r="D12" s="165">
        <v>1</v>
      </c>
      <c r="E12" s="165">
        <v>1</v>
      </c>
      <c r="F12" s="160">
        <f t="shared" si="6"/>
        <v>2</v>
      </c>
      <c r="G12" s="166">
        <v>0</v>
      </c>
      <c r="H12" s="166">
        <v>1</v>
      </c>
      <c r="I12" s="166">
        <v>1</v>
      </c>
    </row>
    <row r="13" spans="1:9" s="167" customFormat="1" x14ac:dyDescent="0.15">
      <c r="A13" s="162" t="s">
        <v>367</v>
      </c>
      <c r="B13" s="160">
        <f t="shared" si="4"/>
        <v>21</v>
      </c>
      <c r="C13" s="163">
        <f>SUM(C14:C15)</f>
        <v>5</v>
      </c>
      <c r="D13" s="163">
        <f t="shared" ref="D13:E13" si="7">SUM(D14:D15)</f>
        <v>7</v>
      </c>
      <c r="E13" s="163">
        <f t="shared" si="7"/>
        <v>9</v>
      </c>
      <c r="F13" s="160">
        <f t="shared" si="6"/>
        <v>19</v>
      </c>
      <c r="G13" s="163">
        <f t="shared" ref="G13:I13" si="8">SUM(G14:G15)</f>
        <v>7</v>
      </c>
      <c r="H13" s="163">
        <f t="shared" si="8"/>
        <v>5</v>
      </c>
      <c r="I13" s="163">
        <f t="shared" si="8"/>
        <v>7</v>
      </c>
    </row>
    <row r="14" spans="1:9" s="167" customFormat="1" x14ac:dyDescent="0.15">
      <c r="A14" s="164" t="s">
        <v>365</v>
      </c>
      <c r="B14" s="160">
        <f t="shared" si="4"/>
        <v>18</v>
      </c>
      <c r="C14" s="165">
        <v>5</v>
      </c>
      <c r="D14" s="165">
        <v>6</v>
      </c>
      <c r="E14" s="168">
        <v>7</v>
      </c>
      <c r="F14" s="160">
        <f t="shared" si="6"/>
        <v>16</v>
      </c>
      <c r="G14" s="166">
        <v>7</v>
      </c>
      <c r="H14" s="166">
        <v>4</v>
      </c>
      <c r="I14" s="166">
        <v>5</v>
      </c>
    </row>
    <row r="15" spans="1:9" s="167" customFormat="1" ht="21" x14ac:dyDescent="0.15">
      <c r="A15" s="164" t="s">
        <v>366</v>
      </c>
      <c r="B15" s="160">
        <f t="shared" si="4"/>
        <v>3</v>
      </c>
      <c r="C15" s="165">
        <v>0</v>
      </c>
      <c r="D15" s="165">
        <v>1</v>
      </c>
      <c r="E15" s="168">
        <v>2</v>
      </c>
      <c r="F15" s="160">
        <f t="shared" si="6"/>
        <v>3</v>
      </c>
      <c r="G15" s="166">
        <v>0</v>
      </c>
      <c r="H15" s="166">
        <v>1</v>
      </c>
      <c r="I15" s="166">
        <v>2</v>
      </c>
    </row>
    <row r="16" spans="1:9" s="167" customFormat="1" x14ac:dyDescent="0.15">
      <c r="A16" s="162" t="s">
        <v>368</v>
      </c>
      <c r="B16" s="160">
        <f t="shared" si="4"/>
        <v>14</v>
      </c>
      <c r="C16" s="163">
        <f>SUM(C17:C18)</f>
        <v>4</v>
      </c>
      <c r="D16" s="163">
        <f t="shared" ref="D16:E16" si="9">SUM(D17:D18)</f>
        <v>6</v>
      </c>
      <c r="E16" s="163">
        <f t="shared" si="9"/>
        <v>4</v>
      </c>
      <c r="F16" s="160">
        <f t="shared" si="6"/>
        <v>14</v>
      </c>
      <c r="G16" s="163">
        <f t="shared" ref="G16:I16" si="10">SUM(G17:G18)</f>
        <v>5</v>
      </c>
      <c r="H16" s="163">
        <f t="shared" si="10"/>
        <v>3</v>
      </c>
      <c r="I16" s="163">
        <f t="shared" si="10"/>
        <v>6</v>
      </c>
    </row>
    <row r="17" spans="1:9" s="167" customFormat="1" x14ac:dyDescent="0.15">
      <c r="A17" s="164" t="s">
        <v>365</v>
      </c>
      <c r="B17" s="160">
        <f t="shared" si="4"/>
        <v>13</v>
      </c>
      <c r="C17" s="165">
        <v>4</v>
      </c>
      <c r="D17" s="165">
        <v>5</v>
      </c>
      <c r="E17" s="168">
        <v>4</v>
      </c>
      <c r="F17" s="160">
        <f t="shared" si="6"/>
        <v>12</v>
      </c>
      <c r="G17" s="166">
        <v>5</v>
      </c>
      <c r="H17" s="166">
        <v>2</v>
      </c>
      <c r="I17" s="166">
        <v>5</v>
      </c>
    </row>
    <row r="18" spans="1:9" s="167" customFormat="1" ht="21" x14ac:dyDescent="0.15">
      <c r="A18" s="164" t="s">
        <v>366</v>
      </c>
      <c r="B18" s="160">
        <f t="shared" si="4"/>
        <v>1</v>
      </c>
      <c r="C18" s="165">
        <v>0</v>
      </c>
      <c r="D18" s="165">
        <v>1</v>
      </c>
      <c r="E18" s="168">
        <v>0</v>
      </c>
      <c r="F18" s="160">
        <f t="shared" si="6"/>
        <v>2</v>
      </c>
      <c r="G18" s="166">
        <v>0</v>
      </c>
      <c r="H18" s="166">
        <v>1</v>
      </c>
      <c r="I18" s="166">
        <v>1</v>
      </c>
    </row>
    <row r="19" spans="1:9" s="167" customFormat="1" x14ac:dyDescent="0.15">
      <c r="A19" s="162" t="s">
        <v>338</v>
      </c>
      <c r="B19" s="160">
        <f t="shared" si="4"/>
        <v>12</v>
      </c>
      <c r="C19" s="165">
        <f>SUM(C20:C21)</f>
        <v>1</v>
      </c>
      <c r="D19" s="165">
        <f t="shared" ref="D19:I19" si="11">SUM(D20:D21)</f>
        <v>3</v>
      </c>
      <c r="E19" s="165">
        <f t="shared" si="11"/>
        <v>8</v>
      </c>
      <c r="F19" s="160">
        <f t="shared" si="6"/>
        <v>15</v>
      </c>
      <c r="G19" s="165">
        <f t="shared" si="11"/>
        <v>6</v>
      </c>
      <c r="H19" s="165">
        <f t="shared" si="11"/>
        <v>3</v>
      </c>
      <c r="I19" s="165">
        <f t="shared" si="11"/>
        <v>6</v>
      </c>
    </row>
    <row r="20" spans="1:9" s="167" customFormat="1" x14ac:dyDescent="0.15">
      <c r="A20" s="164" t="s">
        <v>365</v>
      </c>
      <c r="B20" s="160">
        <f t="shared" si="4"/>
        <v>11</v>
      </c>
      <c r="C20" s="165">
        <v>1</v>
      </c>
      <c r="D20" s="165">
        <v>2</v>
      </c>
      <c r="E20" s="168">
        <v>8</v>
      </c>
      <c r="F20" s="160">
        <f t="shared" si="6"/>
        <v>14</v>
      </c>
      <c r="G20" s="166">
        <v>6</v>
      </c>
      <c r="H20" s="166">
        <v>2</v>
      </c>
      <c r="I20" s="166">
        <v>6</v>
      </c>
    </row>
    <row r="21" spans="1:9" s="167" customFormat="1" ht="21" x14ac:dyDescent="0.15">
      <c r="A21" s="164" t="s">
        <v>366</v>
      </c>
      <c r="B21" s="160">
        <f t="shared" si="4"/>
        <v>1</v>
      </c>
      <c r="C21" s="165">
        <v>0</v>
      </c>
      <c r="D21" s="165">
        <v>1</v>
      </c>
      <c r="E21" s="168">
        <v>0</v>
      </c>
      <c r="F21" s="160">
        <f t="shared" si="6"/>
        <v>1</v>
      </c>
      <c r="G21" s="166">
        <v>0</v>
      </c>
      <c r="H21" s="166">
        <v>1</v>
      </c>
      <c r="I21" s="166">
        <v>0</v>
      </c>
    </row>
    <row r="22" spans="1:9" x14ac:dyDescent="0.15">
      <c r="C22" s="112"/>
    </row>
    <row r="23" spans="1:9" x14ac:dyDescent="0.15">
      <c r="A23" s="2437" t="s">
        <v>369</v>
      </c>
      <c r="B23" s="2437"/>
      <c r="C23" s="2437"/>
      <c r="D23" s="2437"/>
      <c r="E23" s="2437"/>
      <c r="F23" s="2437"/>
      <c r="G23" s="2437"/>
      <c r="H23" s="2437"/>
      <c r="I23" s="2437"/>
    </row>
    <row r="24" spans="1:9" x14ac:dyDescent="0.15">
      <c r="A24" s="2438" t="s">
        <v>326</v>
      </c>
      <c r="B24" s="2390"/>
      <c r="C24" s="2390"/>
      <c r="D24" s="2390"/>
      <c r="E24" s="2390"/>
      <c r="F24" s="2390"/>
      <c r="G24" s="2390"/>
      <c r="H24" s="2390"/>
      <c r="I24" s="2390"/>
    </row>
    <row r="25" spans="1:9" x14ac:dyDescent="0.15">
      <c r="A25" s="2439" t="s">
        <v>327</v>
      </c>
      <c r="B25" s="2440"/>
      <c r="C25" s="2440"/>
      <c r="D25" s="2440"/>
      <c r="E25" s="2440"/>
      <c r="F25" s="2440"/>
      <c r="G25" s="2440"/>
      <c r="H25" s="2440"/>
      <c r="I25" s="2440"/>
    </row>
  </sheetData>
  <mergeCells count="12">
    <mergeCell ref="A23:I23"/>
    <mergeCell ref="A24:I24"/>
    <mergeCell ref="A25:I25"/>
    <mergeCell ref="A2:I2"/>
    <mergeCell ref="A3:E3"/>
    <mergeCell ref="A4:A6"/>
    <mergeCell ref="B4:E4"/>
    <mergeCell ref="F4:I4"/>
    <mergeCell ref="B5:B6"/>
    <mergeCell ref="C5:E5"/>
    <mergeCell ref="F5:F6"/>
    <mergeCell ref="G5:I5"/>
  </mergeCells>
  <pageMargins left="0.75" right="0.75" top="1" bottom="1" header="0.3" footer="0.3"/>
  <pageSetup paperSize="9" orientation="portrait" verticalDpi="0"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dimension ref="A1:P37"/>
  <sheetViews>
    <sheetView workbookViewId="0">
      <selection activeCell="E24" sqref="E24"/>
    </sheetView>
  </sheetViews>
  <sheetFormatPr baseColWidth="10" defaultRowHeight="10.5" x14ac:dyDescent="0.15"/>
  <cols>
    <col min="1" max="1" width="40" style="214" customWidth="1"/>
    <col min="2" max="2" width="14.28515625" style="214" customWidth="1"/>
    <col min="3" max="4" width="15.7109375" style="214" bestFit="1" customWidth="1"/>
    <col min="5" max="5" width="17.140625" style="214" bestFit="1" customWidth="1"/>
    <col min="6" max="6" width="15.7109375" style="214" bestFit="1" customWidth="1"/>
    <col min="7" max="7" width="14.28515625" style="214" bestFit="1" customWidth="1"/>
    <col min="8" max="8" width="17.140625" style="214" bestFit="1" customWidth="1"/>
    <col min="9" max="9" width="13.85546875" style="214" bestFit="1" customWidth="1"/>
    <col min="10" max="10" width="15.28515625" style="214" bestFit="1" customWidth="1"/>
    <col min="11" max="11" width="12.5703125" style="214" bestFit="1" customWidth="1"/>
    <col min="12" max="12" width="15.7109375" style="214" bestFit="1" customWidth="1"/>
    <col min="13" max="13" width="15.28515625" style="214" bestFit="1" customWidth="1"/>
    <col min="14" max="14" width="11.85546875" style="214" bestFit="1" customWidth="1"/>
    <col min="15" max="15" width="12.5703125" style="214" bestFit="1" customWidth="1"/>
    <col min="16" max="16384" width="11.42578125" style="214"/>
  </cols>
  <sheetData>
    <row r="1" spans="1:16" s="265" customFormat="1" x14ac:dyDescent="0.15"/>
    <row r="2" spans="1:16" ht="11.25" x14ac:dyDescent="0.15">
      <c r="A2" s="1982" t="s">
        <v>4210</v>
      </c>
      <c r="B2" s="197"/>
    </row>
    <row r="4" spans="1:16" ht="11.25" x14ac:dyDescent="0.15">
      <c r="A4" s="2521" t="s">
        <v>2858</v>
      </c>
      <c r="B4" s="2521" t="s">
        <v>141</v>
      </c>
      <c r="C4" s="2512" t="s">
        <v>3924</v>
      </c>
      <c r="D4" s="2512"/>
      <c r="E4" s="2512"/>
      <c r="F4" s="2512"/>
      <c r="G4" s="2512"/>
      <c r="H4" s="2512"/>
      <c r="I4" s="2512"/>
      <c r="J4" s="2512"/>
      <c r="K4" s="2512"/>
      <c r="L4" s="2512"/>
      <c r="M4" s="2512"/>
      <c r="N4" s="2512"/>
    </row>
    <row r="5" spans="1:16" x14ac:dyDescent="0.15">
      <c r="A5" s="2521"/>
      <c r="B5" s="2521"/>
      <c r="C5" s="1886" t="s">
        <v>3925</v>
      </c>
      <c r="D5" s="1886" t="s">
        <v>3926</v>
      </c>
      <c r="E5" s="1886" t="s">
        <v>3927</v>
      </c>
      <c r="F5" s="1886" t="s">
        <v>3115</v>
      </c>
      <c r="G5" s="1886" t="s">
        <v>3928</v>
      </c>
      <c r="H5" s="1886" t="s">
        <v>3929</v>
      </c>
      <c r="I5" s="1886" t="s">
        <v>3123</v>
      </c>
      <c r="J5" s="1886" t="s">
        <v>3930</v>
      </c>
      <c r="K5" s="1886" t="s">
        <v>117</v>
      </c>
      <c r="L5" s="1886" t="s">
        <v>3931</v>
      </c>
      <c r="M5" s="1886" t="s">
        <v>3932</v>
      </c>
      <c r="N5" s="1886" t="s">
        <v>116</v>
      </c>
    </row>
    <row r="6" spans="1:16" x14ac:dyDescent="0.15">
      <c r="A6" s="1876" t="s">
        <v>141</v>
      </c>
      <c r="B6" s="1878">
        <f>+B7+B11+B14+B16+B19+B21+B23+B27</f>
        <v>169890601.13</v>
      </c>
      <c r="C6" s="1878">
        <f t="shared" ref="C6:N6" si="0">+C7+C11+C14+C16+C19+C21+C23+C27</f>
        <v>14803421.01</v>
      </c>
      <c r="D6" s="1878">
        <f t="shared" si="0"/>
        <v>1875474.5199999998</v>
      </c>
      <c r="E6" s="1878">
        <f t="shared" si="0"/>
        <v>26290194.91</v>
      </c>
      <c r="F6" s="1878">
        <f t="shared" si="0"/>
        <v>5693976.4899999993</v>
      </c>
      <c r="G6" s="1878">
        <f t="shared" si="0"/>
        <v>18483627.220000003</v>
      </c>
      <c r="H6" s="1878">
        <f t="shared" si="0"/>
        <v>50683815.840000004</v>
      </c>
      <c r="I6" s="1878">
        <f t="shared" si="0"/>
        <v>1518694.27</v>
      </c>
      <c r="J6" s="1878">
        <f t="shared" si="0"/>
        <v>26907884.340000004</v>
      </c>
      <c r="K6" s="1878">
        <f t="shared" si="0"/>
        <v>72007.520000000004</v>
      </c>
      <c r="L6" s="1878">
        <f t="shared" si="0"/>
        <v>6412052.9900000002</v>
      </c>
      <c r="M6" s="1878">
        <f t="shared" si="0"/>
        <v>17146671.789999999</v>
      </c>
      <c r="N6" s="1878">
        <f t="shared" si="0"/>
        <v>2780.23</v>
      </c>
      <c r="O6" s="1704"/>
    </row>
    <row r="7" spans="1:16" s="197" customFormat="1" x14ac:dyDescent="0.15">
      <c r="A7" s="197" t="s">
        <v>3542</v>
      </c>
      <c r="B7" s="200">
        <f>+SUM(B8:B10)</f>
        <v>20256287.070000004</v>
      </c>
      <c r="C7" s="200">
        <f t="shared" ref="C7:N7" si="1">+SUM(C8:C10)</f>
        <v>580048.26</v>
      </c>
      <c r="D7" s="200">
        <f t="shared" si="1"/>
        <v>428475.68</v>
      </c>
      <c r="E7" s="200">
        <f t="shared" si="1"/>
        <v>1434966.17</v>
      </c>
      <c r="F7" s="200">
        <f t="shared" si="1"/>
        <v>2054719.9</v>
      </c>
      <c r="G7" s="200">
        <f t="shared" si="1"/>
        <v>194541.23</v>
      </c>
      <c r="H7" s="200">
        <f t="shared" si="1"/>
        <v>13986247.460000001</v>
      </c>
      <c r="I7" s="200">
        <f t="shared" si="1"/>
        <v>61379.659999999989</v>
      </c>
      <c r="J7" s="200">
        <f t="shared" si="1"/>
        <v>11243.369999999999</v>
      </c>
      <c r="K7" s="200">
        <f t="shared" si="1"/>
        <v>35904.75</v>
      </c>
      <c r="L7" s="200">
        <f t="shared" si="1"/>
        <v>1468748.7899999998</v>
      </c>
      <c r="M7" s="200">
        <f t="shared" si="1"/>
        <v>0</v>
      </c>
      <c r="N7" s="200">
        <f t="shared" si="1"/>
        <v>11.799999999999999</v>
      </c>
      <c r="O7" s="1704"/>
      <c r="P7" s="214"/>
    </row>
    <row r="8" spans="1:16" x14ac:dyDescent="0.15">
      <c r="A8" s="1380" t="s">
        <v>2866</v>
      </c>
      <c r="B8" s="17">
        <f>+SUM(C8:N8)</f>
        <v>20654.5</v>
      </c>
      <c r="C8" s="17">
        <v>0</v>
      </c>
      <c r="D8" s="17">
        <v>0</v>
      </c>
      <c r="E8" s="17">
        <v>20654.5</v>
      </c>
      <c r="F8" s="17">
        <v>0</v>
      </c>
      <c r="G8" s="17">
        <v>0</v>
      </c>
      <c r="H8" s="17">
        <v>0</v>
      </c>
      <c r="I8" s="17">
        <v>0</v>
      </c>
      <c r="J8" s="17">
        <v>0</v>
      </c>
      <c r="K8" s="17">
        <v>0</v>
      </c>
      <c r="L8" s="17">
        <v>0</v>
      </c>
      <c r="M8" s="17">
        <v>0</v>
      </c>
      <c r="N8" s="17">
        <v>0</v>
      </c>
      <c r="O8" s="1704"/>
    </row>
    <row r="9" spans="1:16" x14ac:dyDescent="0.15">
      <c r="A9" s="1380" t="s">
        <v>2867</v>
      </c>
      <c r="B9" s="17">
        <f t="shared" ref="B9:B10" si="2">+SUM(C9:N9)</f>
        <v>1092025.3500000001</v>
      </c>
      <c r="C9" s="17">
        <v>418861.24</v>
      </c>
      <c r="D9" s="17">
        <v>0</v>
      </c>
      <c r="E9" s="17">
        <v>669606.46000000008</v>
      </c>
      <c r="F9" s="17">
        <v>0</v>
      </c>
      <c r="G9" s="17">
        <v>0</v>
      </c>
      <c r="H9" s="17">
        <v>3557.65</v>
      </c>
      <c r="I9" s="17">
        <v>0</v>
      </c>
      <c r="J9" s="17">
        <v>0</v>
      </c>
      <c r="K9" s="17">
        <v>0</v>
      </c>
      <c r="L9" s="17">
        <v>0</v>
      </c>
      <c r="M9" s="17">
        <v>0</v>
      </c>
      <c r="N9" s="17">
        <v>0</v>
      </c>
      <c r="O9" s="1704"/>
    </row>
    <row r="10" spans="1:16" x14ac:dyDescent="0.15">
      <c r="A10" s="1380" t="s">
        <v>2543</v>
      </c>
      <c r="B10" s="17">
        <f t="shared" si="2"/>
        <v>19143607.220000003</v>
      </c>
      <c r="C10" s="17">
        <v>161187.01999999999</v>
      </c>
      <c r="D10" s="17">
        <v>428475.68</v>
      </c>
      <c r="E10" s="17">
        <v>744705.21</v>
      </c>
      <c r="F10" s="17">
        <v>2054719.9</v>
      </c>
      <c r="G10" s="17">
        <v>194541.23</v>
      </c>
      <c r="H10" s="17">
        <v>13982689.810000001</v>
      </c>
      <c r="I10" s="17">
        <v>61379.659999999989</v>
      </c>
      <c r="J10" s="17">
        <v>11243.369999999999</v>
      </c>
      <c r="K10" s="17">
        <v>35904.75</v>
      </c>
      <c r="L10" s="17">
        <v>1468748.7899999998</v>
      </c>
      <c r="M10" s="17">
        <v>0</v>
      </c>
      <c r="N10" s="17">
        <v>11.799999999999999</v>
      </c>
      <c r="O10" s="1704"/>
    </row>
    <row r="11" spans="1:16" s="197" customFormat="1" x14ac:dyDescent="0.15">
      <c r="A11" s="197" t="s">
        <v>2873</v>
      </c>
      <c r="B11" s="200">
        <f>+SUM(B12:B13)</f>
        <v>42960982.950000003</v>
      </c>
      <c r="C11" s="200">
        <f t="shared" ref="C11:N11" si="3">+SUM(C12:C13)</f>
        <v>7278320.7600000007</v>
      </c>
      <c r="D11" s="200">
        <f t="shared" si="3"/>
        <v>837667.89</v>
      </c>
      <c r="E11" s="200">
        <f t="shared" si="3"/>
        <v>13246751.230000002</v>
      </c>
      <c r="F11" s="200">
        <f t="shared" si="3"/>
        <v>544412.05000000005</v>
      </c>
      <c r="G11" s="200">
        <f t="shared" si="3"/>
        <v>748351.32</v>
      </c>
      <c r="H11" s="200">
        <f t="shared" si="3"/>
        <v>19809498.57</v>
      </c>
      <c r="I11" s="200">
        <f t="shared" si="3"/>
        <v>174221.02000000002</v>
      </c>
      <c r="J11" s="200">
        <f t="shared" si="3"/>
        <v>59705.88</v>
      </c>
      <c r="K11" s="200">
        <f t="shared" si="3"/>
        <v>850.31</v>
      </c>
      <c r="L11" s="200">
        <f t="shared" si="3"/>
        <v>228663.22</v>
      </c>
      <c r="M11" s="200">
        <f t="shared" si="3"/>
        <v>31022.15</v>
      </c>
      <c r="N11" s="200">
        <f t="shared" si="3"/>
        <v>1518.55</v>
      </c>
      <c r="O11" s="1704"/>
      <c r="P11" s="214"/>
    </row>
    <row r="12" spans="1:16" x14ac:dyDescent="0.15">
      <c r="A12" s="1380" t="s">
        <v>3914</v>
      </c>
      <c r="B12" s="17">
        <f>+SUM(C12:N12)</f>
        <v>34097117.340000004</v>
      </c>
      <c r="C12" s="17">
        <v>6607123.4800000004</v>
      </c>
      <c r="D12" s="17">
        <v>0</v>
      </c>
      <c r="E12" s="17">
        <v>11887224.420000002</v>
      </c>
      <c r="F12" s="17">
        <v>175223.64</v>
      </c>
      <c r="G12" s="17">
        <v>22406.1</v>
      </c>
      <c r="H12" s="17">
        <v>15405139.700000001</v>
      </c>
      <c r="I12" s="17">
        <v>0</v>
      </c>
      <c r="J12" s="17">
        <v>0</v>
      </c>
      <c r="K12" s="17">
        <v>0</v>
      </c>
      <c r="L12" s="17">
        <v>0</v>
      </c>
      <c r="M12" s="17">
        <v>0</v>
      </c>
      <c r="N12" s="17">
        <v>0</v>
      </c>
      <c r="O12" s="1704"/>
    </row>
    <row r="13" spans="1:16" x14ac:dyDescent="0.15">
      <c r="A13" s="1380" t="s">
        <v>2874</v>
      </c>
      <c r="B13" s="17">
        <f>+SUM(C13:N13)</f>
        <v>8863865.6100000031</v>
      </c>
      <c r="C13" s="17">
        <v>671197.28</v>
      </c>
      <c r="D13" s="17">
        <v>837667.89</v>
      </c>
      <c r="E13" s="17">
        <v>1359526.81</v>
      </c>
      <c r="F13" s="17">
        <v>369188.41000000003</v>
      </c>
      <c r="G13" s="17">
        <v>725945.22</v>
      </c>
      <c r="H13" s="17">
        <v>4404358.87</v>
      </c>
      <c r="I13" s="17">
        <v>174221.02000000002</v>
      </c>
      <c r="J13" s="17">
        <v>59705.88</v>
      </c>
      <c r="K13" s="17">
        <v>850.31</v>
      </c>
      <c r="L13" s="17">
        <v>228663.22</v>
      </c>
      <c r="M13" s="17">
        <v>31022.15</v>
      </c>
      <c r="N13" s="17">
        <v>1518.55</v>
      </c>
      <c r="O13" s="1704"/>
    </row>
    <row r="14" spans="1:16" s="197" customFormat="1" x14ac:dyDescent="0.15">
      <c r="A14" s="197" t="s">
        <v>2875</v>
      </c>
      <c r="B14" s="200">
        <f>+B15</f>
        <v>2085837.8499999996</v>
      </c>
      <c r="C14" s="200">
        <f>SUM(C15)</f>
        <v>337723.38</v>
      </c>
      <c r="D14" s="200">
        <f t="shared" ref="D14:N14" si="4">SUM(D15)</f>
        <v>6.73</v>
      </c>
      <c r="E14" s="200">
        <f t="shared" si="4"/>
        <v>1023234.2099999996</v>
      </c>
      <c r="F14" s="200">
        <f t="shared" si="4"/>
        <v>13876.4</v>
      </c>
      <c r="G14" s="200">
        <f t="shared" si="4"/>
        <v>257719.01000000004</v>
      </c>
      <c r="H14" s="200">
        <f t="shared" si="4"/>
        <v>419484.02</v>
      </c>
      <c r="I14" s="200">
        <f t="shared" si="4"/>
        <v>1330.85</v>
      </c>
      <c r="J14" s="200">
        <f t="shared" si="4"/>
        <v>23142.25</v>
      </c>
      <c r="K14" s="200">
        <f t="shared" si="4"/>
        <v>0</v>
      </c>
      <c r="L14" s="200">
        <f t="shared" si="4"/>
        <v>9025</v>
      </c>
      <c r="M14" s="200">
        <f t="shared" si="4"/>
        <v>296</v>
      </c>
      <c r="N14" s="200">
        <f t="shared" si="4"/>
        <v>0</v>
      </c>
      <c r="O14" s="1704"/>
      <c r="P14" s="214"/>
    </row>
    <row r="15" spans="1:16" x14ac:dyDescent="0.15">
      <c r="A15" s="1380" t="s">
        <v>2540</v>
      </c>
      <c r="B15" s="17">
        <f>+SUM(C15:N15)</f>
        <v>2085837.8499999996</v>
      </c>
      <c r="C15" s="17">
        <v>337723.38</v>
      </c>
      <c r="D15" s="17">
        <v>6.73</v>
      </c>
      <c r="E15" s="17">
        <v>1023234.2099999996</v>
      </c>
      <c r="F15" s="17">
        <v>13876.4</v>
      </c>
      <c r="G15" s="17">
        <v>257719.01000000004</v>
      </c>
      <c r="H15" s="17">
        <v>419484.02</v>
      </c>
      <c r="I15" s="17">
        <v>1330.85</v>
      </c>
      <c r="J15" s="17">
        <v>23142.25</v>
      </c>
      <c r="K15" s="17">
        <v>0</v>
      </c>
      <c r="L15" s="17">
        <v>9025</v>
      </c>
      <c r="M15" s="17">
        <v>296</v>
      </c>
      <c r="N15" s="17">
        <v>0</v>
      </c>
      <c r="O15" s="1704"/>
    </row>
    <row r="16" spans="1:16" s="197" customFormat="1" x14ac:dyDescent="0.15">
      <c r="A16" s="197" t="s">
        <v>2880</v>
      </c>
      <c r="B16" s="200">
        <f>+SUM(B17:B18)</f>
        <v>4707148.3599999994</v>
      </c>
      <c r="C16" s="200">
        <f>SUM(C17:C18)</f>
        <v>519224.48999999993</v>
      </c>
      <c r="D16" s="200">
        <f t="shared" ref="D16:N16" si="5">SUM(D17:D18)</f>
        <v>81588.09</v>
      </c>
      <c r="E16" s="200">
        <f t="shared" si="5"/>
        <v>441281.02</v>
      </c>
      <c r="F16" s="200">
        <f t="shared" si="5"/>
        <v>528730.09</v>
      </c>
      <c r="G16" s="200">
        <f t="shared" si="5"/>
        <v>965453.50999999989</v>
      </c>
      <c r="H16" s="200">
        <f t="shared" si="5"/>
        <v>1977614.7699999996</v>
      </c>
      <c r="I16" s="200">
        <f t="shared" si="5"/>
        <v>54308.310000000005</v>
      </c>
      <c r="J16" s="200">
        <f t="shared" si="5"/>
        <v>131925.23000000001</v>
      </c>
      <c r="K16" s="200">
        <f t="shared" si="5"/>
        <v>590</v>
      </c>
      <c r="L16" s="200">
        <f t="shared" si="5"/>
        <v>1646.8600000000001</v>
      </c>
      <c r="M16" s="200">
        <f t="shared" si="5"/>
        <v>4785.99</v>
      </c>
      <c r="N16" s="200">
        <f t="shared" si="5"/>
        <v>0</v>
      </c>
      <c r="O16" s="1704"/>
      <c r="P16" s="214"/>
    </row>
    <row r="17" spans="1:16" x14ac:dyDescent="0.15">
      <c r="A17" s="1380" t="s">
        <v>2851</v>
      </c>
      <c r="B17" s="17">
        <f>+SUM(C17:N17)</f>
        <v>1572641.0699999996</v>
      </c>
      <c r="C17" s="17">
        <v>401915.79999999993</v>
      </c>
      <c r="D17" s="17">
        <v>0</v>
      </c>
      <c r="E17" s="17">
        <v>233590.46</v>
      </c>
      <c r="F17" s="17">
        <v>110979.13</v>
      </c>
      <c r="G17" s="17">
        <v>206677.74</v>
      </c>
      <c r="H17" s="17">
        <v>545939.83999999985</v>
      </c>
      <c r="I17" s="17">
        <v>40670.94</v>
      </c>
      <c r="J17" s="17">
        <v>32037.7</v>
      </c>
      <c r="K17" s="17">
        <v>590</v>
      </c>
      <c r="L17" s="17">
        <v>239.46</v>
      </c>
      <c r="M17" s="17">
        <v>0</v>
      </c>
      <c r="N17" s="17">
        <v>0</v>
      </c>
      <c r="O17" s="1704"/>
    </row>
    <row r="18" spans="1:16" x14ac:dyDescent="0.15">
      <c r="A18" s="1380" t="s">
        <v>2881</v>
      </c>
      <c r="B18" s="17">
        <f>+SUM(C18:N18)</f>
        <v>3134507.2899999996</v>
      </c>
      <c r="C18" s="17">
        <v>117308.69</v>
      </c>
      <c r="D18" s="17">
        <v>81588.09</v>
      </c>
      <c r="E18" s="17">
        <v>207690.56</v>
      </c>
      <c r="F18" s="17">
        <v>417750.95999999996</v>
      </c>
      <c r="G18" s="17">
        <v>758775.7699999999</v>
      </c>
      <c r="H18" s="17">
        <v>1431674.9299999997</v>
      </c>
      <c r="I18" s="17">
        <v>13637.37</v>
      </c>
      <c r="J18" s="17">
        <v>99887.53</v>
      </c>
      <c r="K18" s="17">
        <v>0</v>
      </c>
      <c r="L18" s="17">
        <v>1407.4</v>
      </c>
      <c r="M18" s="17">
        <v>4785.99</v>
      </c>
      <c r="N18" s="17">
        <v>0</v>
      </c>
      <c r="O18" s="1704"/>
    </row>
    <row r="19" spans="1:16" s="197" customFormat="1" x14ac:dyDescent="0.15">
      <c r="A19" s="197" t="s">
        <v>2882</v>
      </c>
      <c r="B19" s="200">
        <f>+B20</f>
        <v>63892756.699999988</v>
      </c>
      <c r="C19" s="200">
        <f>SUM(C20)</f>
        <v>4781141.07</v>
      </c>
      <c r="D19" s="200">
        <f t="shared" ref="D19:N19" si="6">SUM(D20)</f>
        <v>31382.21</v>
      </c>
      <c r="E19" s="200">
        <f t="shared" si="6"/>
        <v>3144394.6899999995</v>
      </c>
      <c r="F19" s="200">
        <f t="shared" si="6"/>
        <v>898472.69000000006</v>
      </c>
      <c r="G19" s="200">
        <f t="shared" si="6"/>
        <v>5844322.2000000002</v>
      </c>
      <c r="H19" s="200">
        <f t="shared" si="6"/>
        <v>4954330.4799999977</v>
      </c>
      <c r="I19" s="200">
        <f t="shared" si="6"/>
        <v>459918.04</v>
      </c>
      <c r="J19" s="200">
        <f t="shared" si="6"/>
        <v>23876835.489999998</v>
      </c>
      <c r="K19" s="200">
        <f t="shared" si="6"/>
        <v>27603.79</v>
      </c>
      <c r="L19" s="200">
        <f t="shared" si="6"/>
        <v>2887140.96</v>
      </c>
      <c r="M19" s="200">
        <f t="shared" si="6"/>
        <v>16987215.079999998</v>
      </c>
      <c r="N19" s="200">
        <f t="shared" si="6"/>
        <v>0</v>
      </c>
      <c r="O19" s="1704"/>
      <c r="P19" s="214"/>
    </row>
    <row r="20" spans="1:16" x14ac:dyDescent="0.15">
      <c r="A20" s="1380" t="s">
        <v>2882</v>
      </c>
      <c r="B20" s="17">
        <f>+SUM(C20:N20)</f>
        <v>63892756.699999988</v>
      </c>
      <c r="C20" s="17">
        <v>4781141.07</v>
      </c>
      <c r="D20" s="17">
        <v>31382.21</v>
      </c>
      <c r="E20" s="17">
        <v>3144394.6899999995</v>
      </c>
      <c r="F20" s="17">
        <v>898472.69000000006</v>
      </c>
      <c r="G20" s="17">
        <v>5844322.2000000002</v>
      </c>
      <c r="H20" s="17">
        <v>4954330.4799999977</v>
      </c>
      <c r="I20" s="17">
        <v>459918.04</v>
      </c>
      <c r="J20" s="17">
        <v>23876835.489999998</v>
      </c>
      <c r="K20" s="17">
        <v>27603.79</v>
      </c>
      <c r="L20" s="17">
        <v>2887140.96</v>
      </c>
      <c r="M20" s="17">
        <v>16987215.079999998</v>
      </c>
      <c r="N20" s="17">
        <v>0</v>
      </c>
      <c r="O20" s="1704"/>
    </row>
    <row r="21" spans="1:16" s="197" customFormat="1" x14ac:dyDescent="0.15">
      <c r="A21" s="197" t="s">
        <v>3543</v>
      </c>
      <c r="B21" s="200">
        <f>+B22</f>
        <v>26904671.340000007</v>
      </c>
      <c r="C21" s="200">
        <f>SUM(C22)</f>
        <v>1070980.5999999999</v>
      </c>
      <c r="D21" s="200">
        <f t="shared" ref="D21:N21" si="7">SUM(D22)</f>
        <v>464386.23999999987</v>
      </c>
      <c r="E21" s="200">
        <f t="shared" si="7"/>
        <v>2398950.0300000003</v>
      </c>
      <c r="F21" s="200">
        <f t="shared" si="7"/>
        <v>1392339.7699999998</v>
      </c>
      <c r="G21" s="200">
        <f t="shared" si="7"/>
        <v>9591436.9700000025</v>
      </c>
      <c r="H21" s="200">
        <f t="shared" si="7"/>
        <v>7403532.5399999972</v>
      </c>
      <c r="I21" s="200">
        <f t="shared" si="7"/>
        <v>412577.66999999993</v>
      </c>
      <c r="J21" s="200">
        <f t="shared" si="7"/>
        <v>2607890.810000001</v>
      </c>
      <c r="K21" s="200">
        <f t="shared" si="7"/>
        <v>7058.67</v>
      </c>
      <c r="L21" s="200">
        <f t="shared" si="7"/>
        <v>1483426.1700000002</v>
      </c>
      <c r="M21" s="200">
        <f t="shared" si="7"/>
        <v>72091.87000000001</v>
      </c>
      <c r="N21" s="200">
        <f t="shared" si="7"/>
        <v>0</v>
      </c>
      <c r="O21" s="1704"/>
      <c r="P21" s="214"/>
    </row>
    <row r="22" spans="1:16" x14ac:dyDescent="0.15">
      <c r="A22" s="1380" t="s">
        <v>3544</v>
      </c>
      <c r="B22" s="17">
        <f>+SUM(C22:N22)</f>
        <v>26904671.340000007</v>
      </c>
      <c r="C22" s="17">
        <v>1070980.5999999999</v>
      </c>
      <c r="D22" s="17">
        <v>464386.23999999987</v>
      </c>
      <c r="E22" s="17">
        <v>2398950.0300000003</v>
      </c>
      <c r="F22" s="17">
        <v>1392339.7699999998</v>
      </c>
      <c r="G22" s="17">
        <v>9591436.9700000025</v>
      </c>
      <c r="H22" s="17">
        <v>7403532.5399999972</v>
      </c>
      <c r="I22" s="17">
        <v>412577.66999999993</v>
      </c>
      <c r="J22" s="17">
        <v>2607890.810000001</v>
      </c>
      <c r="K22" s="17">
        <v>7058.67</v>
      </c>
      <c r="L22" s="17">
        <v>1483426.1700000002</v>
      </c>
      <c r="M22" s="17">
        <v>72091.87000000001</v>
      </c>
      <c r="N22" s="17">
        <v>0</v>
      </c>
      <c r="O22" s="1704"/>
    </row>
    <row r="23" spans="1:16" s="197" customFormat="1" x14ac:dyDescent="0.15">
      <c r="A23" s="197" t="s">
        <v>2901</v>
      </c>
      <c r="B23" s="200">
        <f>+SUM(B24:B26)</f>
        <v>8506602.9700000025</v>
      </c>
      <c r="C23" s="200">
        <f>SUM(C24:C26)</f>
        <v>235982.44999999998</v>
      </c>
      <c r="D23" s="200">
        <f t="shared" ref="D23:N23" si="8">SUM(D24:D26)</f>
        <v>31967.68</v>
      </c>
      <c r="E23" s="200">
        <f t="shared" si="8"/>
        <v>4590253.34</v>
      </c>
      <c r="F23" s="200">
        <f t="shared" si="8"/>
        <v>261425.59000000003</v>
      </c>
      <c r="G23" s="200">
        <f t="shared" si="8"/>
        <v>686066.71000000008</v>
      </c>
      <c r="H23" s="200">
        <f t="shared" si="8"/>
        <v>2126022.1700000009</v>
      </c>
      <c r="I23" s="200">
        <f t="shared" si="8"/>
        <v>52699.82</v>
      </c>
      <c r="J23" s="200">
        <f t="shared" si="8"/>
        <v>136272.64000000001</v>
      </c>
      <c r="K23" s="200">
        <f t="shared" si="8"/>
        <v>0</v>
      </c>
      <c r="L23" s="200">
        <f t="shared" si="8"/>
        <v>333401.99</v>
      </c>
      <c r="M23" s="200">
        <f t="shared" si="8"/>
        <v>51260.7</v>
      </c>
      <c r="N23" s="200">
        <f t="shared" si="8"/>
        <v>1249.8800000000001</v>
      </c>
      <c r="O23" s="1704"/>
      <c r="P23" s="214"/>
    </row>
    <row r="24" spans="1:16" x14ac:dyDescent="0.15">
      <c r="A24" s="1380" t="s">
        <v>2416</v>
      </c>
      <c r="B24" s="17">
        <f>+SUM(C24:N24)</f>
        <v>1072586.17</v>
      </c>
      <c r="C24" s="17">
        <v>45000</v>
      </c>
      <c r="D24" s="17">
        <v>18229.84</v>
      </c>
      <c r="E24" s="17">
        <v>626272.47</v>
      </c>
      <c r="F24" s="17">
        <v>3747.1000000000004</v>
      </c>
      <c r="G24" s="17">
        <v>105477.47999999998</v>
      </c>
      <c r="H24" s="17">
        <v>174617.83000000002</v>
      </c>
      <c r="I24" s="17">
        <v>39947.5</v>
      </c>
      <c r="J24" s="17">
        <v>47437.18</v>
      </c>
      <c r="K24" s="17">
        <v>0</v>
      </c>
      <c r="L24" s="17">
        <v>11856.77</v>
      </c>
      <c r="M24" s="17">
        <v>0</v>
      </c>
      <c r="N24" s="17">
        <v>0</v>
      </c>
      <c r="O24" s="1704"/>
    </row>
    <row r="25" spans="1:16" x14ac:dyDescent="0.15">
      <c r="A25" s="1380" t="s">
        <v>3915</v>
      </c>
      <c r="B25" s="17">
        <f t="shared" ref="B25:B26" si="9">+SUM(C25:N25)</f>
        <v>7217148.7500000019</v>
      </c>
      <c r="C25" s="17">
        <v>138674.04999999999</v>
      </c>
      <c r="D25" s="17">
        <v>13737.84</v>
      </c>
      <c r="E25" s="17">
        <v>3960500.88</v>
      </c>
      <c r="F25" s="17">
        <v>116354.1</v>
      </c>
      <c r="G25" s="17">
        <v>566295.2300000001</v>
      </c>
      <c r="H25" s="17">
        <v>1946654.4800000009</v>
      </c>
      <c r="I25" s="17">
        <v>12752.32</v>
      </c>
      <c r="J25" s="17">
        <v>88124.05</v>
      </c>
      <c r="K25" s="17">
        <v>0</v>
      </c>
      <c r="L25" s="17">
        <v>321545.21999999997</v>
      </c>
      <c r="M25" s="17">
        <v>51260.7</v>
      </c>
      <c r="N25" s="17">
        <v>1249.8800000000001</v>
      </c>
      <c r="O25" s="1704"/>
    </row>
    <row r="26" spans="1:16" x14ac:dyDescent="0.15">
      <c r="A26" s="1380" t="s">
        <v>3898</v>
      </c>
      <c r="B26" s="17">
        <f t="shared" si="9"/>
        <v>216868.05000000002</v>
      </c>
      <c r="C26" s="17">
        <v>52308.4</v>
      </c>
      <c r="D26" s="17">
        <v>0</v>
      </c>
      <c r="E26" s="17">
        <v>3479.99</v>
      </c>
      <c r="F26" s="17">
        <v>141324.39000000001</v>
      </c>
      <c r="G26" s="17">
        <v>14294</v>
      </c>
      <c r="H26" s="17">
        <v>4749.8600000000006</v>
      </c>
      <c r="I26" s="17">
        <v>0</v>
      </c>
      <c r="J26" s="17">
        <v>711.41</v>
      </c>
      <c r="K26" s="17">
        <v>0</v>
      </c>
      <c r="L26" s="17">
        <v>0</v>
      </c>
      <c r="M26" s="17">
        <v>0</v>
      </c>
      <c r="N26" s="17">
        <v>0</v>
      </c>
      <c r="O26" s="1704"/>
    </row>
    <row r="27" spans="1:16" s="197" customFormat="1" x14ac:dyDescent="0.15">
      <c r="A27" s="197" t="s">
        <v>2906</v>
      </c>
      <c r="B27" s="200">
        <f>+B28</f>
        <v>576313.89</v>
      </c>
      <c r="C27" s="200">
        <f>SUM(C28)</f>
        <v>0</v>
      </c>
      <c r="D27" s="200">
        <f t="shared" ref="D27:N27" si="10">SUM(D28)</f>
        <v>0</v>
      </c>
      <c r="E27" s="200">
        <f t="shared" si="10"/>
        <v>10364.219999999999</v>
      </c>
      <c r="F27" s="200">
        <f t="shared" si="10"/>
        <v>0</v>
      </c>
      <c r="G27" s="200">
        <f t="shared" si="10"/>
        <v>195736.27</v>
      </c>
      <c r="H27" s="200">
        <f t="shared" si="10"/>
        <v>7085.83</v>
      </c>
      <c r="I27" s="200">
        <f t="shared" si="10"/>
        <v>302258.90000000002</v>
      </c>
      <c r="J27" s="200">
        <f t="shared" si="10"/>
        <v>60868.67</v>
      </c>
      <c r="K27" s="200">
        <f t="shared" si="10"/>
        <v>0</v>
      </c>
      <c r="L27" s="200">
        <f t="shared" si="10"/>
        <v>0</v>
      </c>
      <c r="M27" s="200">
        <f t="shared" si="10"/>
        <v>0</v>
      </c>
      <c r="N27" s="200">
        <f t="shared" si="10"/>
        <v>0</v>
      </c>
      <c r="O27" s="1704"/>
      <c r="P27" s="214"/>
    </row>
    <row r="28" spans="1:16" x14ac:dyDescent="0.15">
      <c r="A28" s="1380" t="s">
        <v>2906</v>
      </c>
      <c r="B28" s="17">
        <f>+SUM(C28:N28)</f>
        <v>576313.89</v>
      </c>
      <c r="C28" s="17">
        <v>0</v>
      </c>
      <c r="D28" s="17">
        <v>0</v>
      </c>
      <c r="E28" s="17">
        <v>10364.219999999999</v>
      </c>
      <c r="F28" s="17">
        <v>0</v>
      </c>
      <c r="G28" s="17">
        <v>195736.27</v>
      </c>
      <c r="H28" s="17">
        <v>7085.83</v>
      </c>
      <c r="I28" s="17">
        <v>302258.90000000002</v>
      </c>
      <c r="J28" s="17">
        <v>60868.67</v>
      </c>
      <c r="K28" s="17">
        <v>0</v>
      </c>
      <c r="L28" s="17">
        <v>0</v>
      </c>
      <c r="M28" s="17">
        <v>0</v>
      </c>
      <c r="N28" s="17">
        <v>0</v>
      </c>
      <c r="O28" s="1704"/>
    </row>
    <row r="30" spans="1:16" ht="11.25" customHeight="1" x14ac:dyDescent="0.15">
      <c r="A30" s="1887" t="s">
        <v>3933</v>
      </c>
      <c r="B30" s="265"/>
      <c r="C30" s="265"/>
      <c r="D30" s="265"/>
      <c r="E30" s="265"/>
      <c r="F30" s="265"/>
      <c r="G30" s="265"/>
      <c r="H30" s="265"/>
      <c r="I30" s="265"/>
    </row>
    <row r="31" spans="1:16" ht="11.25" customHeight="1" x14ac:dyDescent="0.15">
      <c r="A31" s="1888" t="s">
        <v>3934</v>
      </c>
      <c r="B31" s="265"/>
      <c r="C31" s="265"/>
      <c r="D31" s="265"/>
      <c r="E31" s="265"/>
      <c r="F31" s="265"/>
      <c r="G31" s="265"/>
      <c r="H31" s="265"/>
      <c r="I31" s="265"/>
    </row>
    <row r="32" spans="1:16" ht="11.25" customHeight="1" x14ac:dyDescent="0.15">
      <c r="A32" s="1889" t="s">
        <v>20</v>
      </c>
      <c r="B32" s="265"/>
      <c r="C32" s="265"/>
      <c r="D32" s="265"/>
      <c r="E32" s="265"/>
      <c r="F32" s="265"/>
      <c r="G32" s="265"/>
      <c r="H32" s="265"/>
      <c r="I32" s="265"/>
    </row>
    <row r="33" spans="1:9" ht="11.25" customHeight="1" x14ac:dyDescent="0.15">
      <c r="A33" s="263" t="s">
        <v>1183</v>
      </c>
      <c r="B33" s="265"/>
      <c r="C33" s="265"/>
      <c r="D33" s="265"/>
      <c r="E33" s="265"/>
      <c r="F33" s="265"/>
      <c r="G33" s="265"/>
      <c r="H33" s="265"/>
      <c r="I33" s="265"/>
    </row>
    <row r="37" spans="1:9" x14ac:dyDescent="0.15">
      <c r="H37" s="1704"/>
    </row>
  </sheetData>
  <mergeCells count="3">
    <mergeCell ref="A4:A5"/>
    <mergeCell ref="B4:B5"/>
    <mergeCell ref="C4:N4"/>
  </mergeCell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0"/>
  <dimension ref="A2:O35"/>
  <sheetViews>
    <sheetView zoomScaleNormal="100" workbookViewId="0">
      <selection activeCell="E24" sqref="E24"/>
    </sheetView>
  </sheetViews>
  <sheetFormatPr baseColWidth="10" defaultRowHeight="10.5" x14ac:dyDescent="0.15"/>
  <cols>
    <col min="1" max="1" width="40" style="214" customWidth="1"/>
    <col min="2" max="2" width="17.85546875" style="214" customWidth="1"/>
    <col min="3" max="4" width="14.140625" style="214" bestFit="1" customWidth="1"/>
    <col min="5" max="5" width="13.140625" style="214" bestFit="1" customWidth="1"/>
    <col min="6" max="7" width="15.140625" style="214" bestFit="1" customWidth="1"/>
    <col min="8" max="8" width="17.140625" style="214" customWidth="1"/>
    <col min="9" max="9" width="14.140625" style="214" bestFit="1" customWidth="1"/>
    <col min="10" max="10" width="17.140625" style="214" customWidth="1"/>
    <col min="11" max="11" width="16.42578125" style="214" customWidth="1"/>
    <col min="12" max="12" width="15.140625" style="214" bestFit="1" customWidth="1"/>
    <col min="13" max="13" width="13.140625" style="214" bestFit="1" customWidth="1"/>
    <col min="14" max="14" width="11.5703125" style="214" customWidth="1"/>
    <col min="15" max="15" width="14.140625" style="214" bestFit="1" customWidth="1"/>
    <col min="16" max="16" width="10" style="214" customWidth="1"/>
    <col min="17" max="16384" width="11.42578125" style="214"/>
  </cols>
  <sheetData>
    <row r="2" spans="1:15" ht="11.25" x14ac:dyDescent="0.15">
      <c r="A2" s="3508" t="s">
        <v>4211</v>
      </c>
      <c r="B2" s="3508"/>
      <c r="C2" s="3508"/>
      <c r="D2" s="3508"/>
      <c r="E2" s="3508"/>
      <c r="F2" s="3508"/>
      <c r="G2" s="3508"/>
      <c r="H2" s="3508"/>
      <c r="I2" s="3508"/>
    </row>
    <row r="3" spans="1:15" x14ac:dyDescent="0.15">
      <c r="A3" s="197"/>
      <c r="B3" s="197"/>
    </row>
    <row r="4" spans="1:15" ht="15" customHeight="1" x14ac:dyDescent="0.15">
      <c r="A4" s="3509" t="s">
        <v>2858</v>
      </c>
      <c r="B4" s="2521" t="s">
        <v>141</v>
      </c>
      <c r="C4" s="2512" t="s">
        <v>3924</v>
      </c>
      <c r="D4" s="2512"/>
      <c r="E4" s="2512"/>
      <c r="F4" s="2512"/>
      <c r="G4" s="2512"/>
      <c r="H4" s="2512"/>
      <c r="I4" s="2512"/>
      <c r="J4" s="2512"/>
      <c r="K4" s="2512"/>
      <c r="L4" s="2512"/>
      <c r="M4" s="2512"/>
      <c r="N4" s="2512"/>
      <c r="O4" s="2512"/>
    </row>
    <row r="5" spans="1:15" x14ac:dyDescent="0.15">
      <c r="A5" s="3510"/>
      <c r="B5" s="2521"/>
      <c r="C5" s="1886" t="s">
        <v>3925</v>
      </c>
      <c r="D5" s="1886" t="s">
        <v>3926</v>
      </c>
      <c r="E5" s="1886" t="s">
        <v>3927</v>
      </c>
      <c r="F5" s="1886" t="s">
        <v>3115</v>
      </c>
      <c r="G5" s="1886" t="s">
        <v>3928</v>
      </c>
      <c r="H5" s="1886" t="s">
        <v>3929</v>
      </c>
      <c r="I5" s="1886" t="s">
        <v>3123</v>
      </c>
      <c r="J5" s="1886" t="s">
        <v>3930</v>
      </c>
      <c r="K5" s="1886" t="s">
        <v>3932</v>
      </c>
      <c r="L5" s="1886" t="s">
        <v>3931</v>
      </c>
      <c r="M5" s="1886" t="s">
        <v>117</v>
      </c>
      <c r="N5" s="1886" t="s">
        <v>116</v>
      </c>
      <c r="O5" s="1886" t="s">
        <v>3935</v>
      </c>
    </row>
    <row r="6" spans="1:15" x14ac:dyDescent="0.15">
      <c r="A6" s="1876" t="s">
        <v>141</v>
      </c>
      <c r="B6" s="1878">
        <f>+B7+B11+B13+B16+B18+B21+B23+B25+B29</f>
        <v>3105905311.2199998</v>
      </c>
      <c r="C6" s="200">
        <f>SUM(C7,C11,C13,C16,C18,C21,C23,C25,C29)</f>
        <v>24742687.270000003</v>
      </c>
      <c r="D6" s="200">
        <f t="shared" ref="D6:O6" si="0">SUM(D7,D11,D13,D16,D18,D21,D23,D25,D29)</f>
        <v>104792439.74999994</v>
      </c>
      <c r="E6" s="200">
        <f t="shared" si="0"/>
        <v>14350393.74</v>
      </c>
      <c r="F6" s="200">
        <f t="shared" si="0"/>
        <v>451096656.84000009</v>
      </c>
      <c r="G6" s="200">
        <f t="shared" si="0"/>
        <v>464067358.9799996</v>
      </c>
      <c r="H6" s="200">
        <f t="shared" si="0"/>
        <v>37486638.520000003</v>
      </c>
      <c r="I6" s="200">
        <f t="shared" si="0"/>
        <v>52374752.840000004</v>
      </c>
      <c r="J6" s="200">
        <f t="shared" si="0"/>
        <v>215994772.4299998</v>
      </c>
      <c r="K6" s="200">
        <f t="shared" si="0"/>
        <v>1357314621.6100001</v>
      </c>
      <c r="L6" s="200">
        <f t="shared" si="0"/>
        <v>283440649.4799999</v>
      </c>
      <c r="M6" s="200">
        <f t="shared" si="0"/>
        <v>6604548</v>
      </c>
      <c r="N6" s="200">
        <f t="shared" si="0"/>
        <v>955245.07000000007</v>
      </c>
      <c r="O6" s="200">
        <f t="shared" si="0"/>
        <v>92684546.690000013</v>
      </c>
    </row>
    <row r="7" spans="1:15" s="197" customFormat="1" x14ac:dyDescent="0.15">
      <c r="A7" s="197" t="s">
        <v>3542</v>
      </c>
      <c r="B7" s="200">
        <f>SUM(B8:B10)</f>
        <v>25961244.109999996</v>
      </c>
      <c r="C7" s="200">
        <f>SUM(C8:C10)</f>
        <v>1747179.9</v>
      </c>
      <c r="D7" s="200">
        <f t="shared" ref="D7:O7" si="1">SUM(D8:D10)</f>
        <v>397950.41999999993</v>
      </c>
      <c r="E7" s="200">
        <f t="shared" si="1"/>
        <v>5682191.1000000006</v>
      </c>
      <c r="F7" s="200">
        <f t="shared" si="1"/>
        <v>1178471.04</v>
      </c>
      <c r="G7" s="200">
        <f t="shared" si="1"/>
        <v>5674278.1400000025</v>
      </c>
      <c r="H7" s="200">
        <f t="shared" si="1"/>
        <v>1565340.4199999997</v>
      </c>
      <c r="I7" s="200">
        <f t="shared" si="1"/>
        <v>1183394.1900000002</v>
      </c>
      <c r="J7" s="200">
        <f t="shared" si="1"/>
        <v>3824045.7299999986</v>
      </c>
      <c r="K7" s="200">
        <f t="shared" si="1"/>
        <v>2448925.6199999992</v>
      </c>
      <c r="L7" s="200">
        <f t="shared" si="1"/>
        <v>1916609.8399999999</v>
      </c>
      <c r="M7" s="200">
        <f t="shared" si="1"/>
        <v>20202.080000000002</v>
      </c>
      <c r="N7" s="200">
        <f t="shared" si="1"/>
        <v>8213.4500000000007</v>
      </c>
      <c r="O7" s="200">
        <f t="shared" si="1"/>
        <v>314442.18</v>
      </c>
    </row>
    <row r="8" spans="1:15" x14ac:dyDescent="0.15">
      <c r="A8" s="1380" t="s">
        <v>2866</v>
      </c>
      <c r="B8" s="17">
        <f>+SUM(C8:O8)</f>
        <v>53678.580000000009</v>
      </c>
      <c r="C8" s="17">
        <v>0</v>
      </c>
      <c r="D8" s="17">
        <v>0</v>
      </c>
      <c r="E8" s="17">
        <v>0</v>
      </c>
      <c r="F8" s="17">
        <v>298.33</v>
      </c>
      <c r="G8" s="17">
        <v>12765.3</v>
      </c>
      <c r="H8" s="17">
        <v>1462.93</v>
      </c>
      <c r="I8" s="17">
        <v>10672.48</v>
      </c>
      <c r="J8" s="17">
        <v>8629.73</v>
      </c>
      <c r="K8" s="17">
        <v>3373.2499999999995</v>
      </c>
      <c r="L8" s="17">
        <v>14440.8</v>
      </c>
      <c r="M8" s="17">
        <v>0</v>
      </c>
      <c r="N8" s="17">
        <v>0</v>
      </c>
      <c r="O8" s="17">
        <v>2035.76</v>
      </c>
    </row>
    <row r="9" spans="1:15" x14ac:dyDescent="0.15">
      <c r="A9" s="1380" t="s">
        <v>2867</v>
      </c>
      <c r="B9" s="17">
        <f t="shared" ref="B9:B10" si="2">+SUM(C9:O9)</f>
        <v>2654748.0799999996</v>
      </c>
      <c r="C9" s="17">
        <v>162647.63</v>
      </c>
      <c r="D9" s="17">
        <v>1113.1899999999998</v>
      </c>
      <c r="E9" s="17">
        <v>0</v>
      </c>
      <c r="F9" s="17">
        <v>0</v>
      </c>
      <c r="G9" s="17">
        <v>516715.89</v>
      </c>
      <c r="H9" s="17">
        <v>3593.55</v>
      </c>
      <c r="I9" s="17">
        <v>153477.69999999998</v>
      </c>
      <c r="J9" s="17">
        <v>1103659.6299999997</v>
      </c>
      <c r="K9" s="17">
        <v>165745.4</v>
      </c>
      <c r="L9" s="17">
        <v>538361.28999999992</v>
      </c>
      <c r="M9" s="17">
        <v>0</v>
      </c>
      <c r="N9" s="17">
        <v>0</v>
      </c>
      <c r="O9" s="17">
        <v>9433.7999999999993</v>
      </c>
    </row>
    <row r="10" spans="1:15" x14ac:dyDescent="0.15">
      <c r="A10" s="1380" t="s">
        <v>2543</v>
      </c>
      <c r="B10" s="17">
        <f t="shared" si="2"/>
        <v>23252817.449999996</v>
      </c>
      <c r="C10" s="17">
        <v>1584532.2699999998</v>
      </c>
      <c r="D10" s="17">
        <v>396837.22999999992</v>
      </c>
      <c r="E10" s="17">
        <v>5682191.1000000006</v>
      </c>
      <c r="F10" s="17">
        <v>1178172.71</v>
      </c>
      <c r="G10" s="17">
        <v>5144796.950000002</v>
      </c>
      <c r="H10" s="17">
        <v>1560283.9399999997</v>
      </c>
      <c r="I10" s="17">
        <v>1019244.0100000002</v>
      </c>
      <c r="J10" s="17">
        <v>2711756.3699999992</v>
      </c>
      <c r="K10" s="17">
        <v>2279806.9699999993</v>
      </c>
      <c r="L10" s="17">
        <v>1363807.75</v>
      </c>
      <c r="M10" s="17">
        <v>20202.080000000002</v>
      </c>
      <c r="N10" s="17">
        <v>8213.4500000000007</v>
      </c>
      <c r="O10" s="17">
        <v>302972.62</v>
      </c>
    </row>
    <row r="11" spans="1:15" s="197" customFormat="1" x14ac:dyDescent="0.15">
      <c r="A11" s="197" t="s">
        <v>2870</v>
      </c>
      <c r="B11" s="200">
        <f>SUM(B12)</f>
        <v>187430.71</v>
      </c>
      <c r="C11" s="200">
        <f>SUM(C12)</f>
        <v>0</v>
      </c>
      <c r="D11" s="200">
        <f t="shared" ref="D11:O11" si="3">SUM(D12)</f>
        <v>0</v>
      </c>
      <c r="E11" s="200">
        <f t="shared" si="3"/>
        <v>0</v>
      </c>
      <c r="F11" s="200">
        <f t="shared" si="3"/>
        <v>187009.81</v>
      </c>
      <c r="G11" s="200">
        <f t="shared" si="3"/>
        <v>0</v>
      </c>
      <c r="H11" s="200">
        <f t="shared" si="3"/>
        <v>0</v>
      </c>
      <c r="I11" s="200">
        <f t="shared" si="3"/>
        <v>0</v>
      </c>
      <c r="J11" s="200">
        <f t="shared" si="3"/>
        <v>420.9</v>
      </c>
      <c r="K11" s="200">
        <f t="shared" si="3"/>
        <v>0</v>
      </c>
      <c r="L11" s="200">
        <f t="shared" si="3"/>
        <v>0</v>
      </c>
      <c r="M11" s="200">
        <f t="shared" si="3"/>
        <v>0</v>
      </c>
      <c r="N11" s="200">
        <f t="shared" si="3"/>
        <v>0</v>
      </c>
      <c r="O11" s="200">
        <f t="shared" si="3"/>
        <v>0</v>
      </c>
    </row>
    <row r="12" spans="1:15" x14ac:dyDescent="0.15">
      <c r="A12" s="1380" t="s">
        <v>2871</v>
      </c>
      <c r="B12" s="17">
        <f>+SUM(C12:O12)</f>
        <v>187430.71</v>
      </c>
      <c r="C12" s="17">
        <v>0</v>
      </c>
      <c r="D12" s="17">
        <v>0</v>
      </c>
      <c r="E12" s="17">
        <v>0</v>
      </c>
      <c r="F12" s="17">
        <v>187009.81</v>
      </c>
      <c r="G12" s="17">
        <v>0</v>
      </c>
      <c r="H12" s="17">
        <v>0</v>
      </c>
      <c r="I12" s="17">
        <v>0</v>
      </c>
      <c r="J12" s="17">
        <v>420.9</v>
      </c>
      <c r="K12" s="17">
        <v>0</v>
      </c>
      <c r="L12" s="17">
        <v>0</v>
      </c>
      <c r="M12" s="17">
        <v>0</v>
      </c>
      <c r="N12" s="17">
        <v>0</v>
      </c>
      <c r="O12" s="17">
        <v>0</v>
      </c>
    </row>
    <row r="13" spans="1:15" s="197" customFormat="1" x14ac:dyDescent="0.15">
      <c r="A13" s="197" t="s">
        <v>2873</v>
      </c>
      <c r="B13" s="200">
        <f>SUM(B14:B15)</f>
        <v>377403212.1499998</v>
      </c>
      <c r="C13" s="200">
        <f>SUM(C14:C15)</f>
        <v>15823945.450000005</v>
      </c>
      <c r="D13" s="200">
        <f t="shared" ref="D13:O13" si="4">SUM(D14:D15)</f>
        <v>88119549.149999931</v>
      </c>
      <c r="E13" s="200">
        <f t="shared" si="4"/>
        <v>2575282.08</v>
      </c>
      <c r="F13" s="200">
        <f t="shared" si="4"/>
        <v>4020366.8599999994</v>
      </c>
      <c r="G13" s="200">
        <f t="shared" si="4"/>
        <v>44805012.969999999</v>
      </c>
      <c r="H13" s="200">
        <f t="shared" si="4"/>
        <v>11601697.220000006</v>
      </c>
      <c r="I13" s="200">
        <f t="shared" si="4"/>
        <v>37450251.139999993</v>
      </c>
      <c r="J13" s="200">
        <f t="shared" si="4"/>
        <v>116123126.58999987</v>
      </c>
      <c r="K13" s="200">
        <f t="shared" si="4"/>
        <v>23238636.610000003</v>
      </c>
      <c r="L13" s="200">
        <f t="shared" si="4"/>
        <v>25150607.070000015</v>
      </c>
      <c r="M13" s="200">
        <f t="shared" si="4"/>
        <v>4527205.6899999995</v>
      </c>
      <c r="N13" s="200">
        <f t="shared" si="4"/>
        <v>313324.34000000003</v>
      </c>
      <c r="O13" s="200">
        <f t="shared" si="4"/>
        <v>3654206.9799999986</v>
      </c>
    </row>
    <row r="14" spans="1:15" x14ac:dyDescent="0.15">
      <c r="A14" s="1380" t="s">
        <v>3914</v>
      </c>
      <c r="B14" s="17">
        <f>+SUM(C14:O14)</f>
        <v>8024981.7800000021</v>
      </c>
      <c r="C14" s="17">
        <v>407805.6700000001</v>
      </c>
      <c r="D14" s="17">
        <v>10827.77</v>
      </c>
      <c r="E14" s="17">
        <v>474778.41000000003</v>
      </c>
      <c r="F14" s="17">
        <v>285859.23</v>
      </c>
      <c r="G14" s="17">
        <v>4645264.5300000012</v>
      </c>
      <c r="H14" s="17">
        <v>1400275.06</v>
      </c>
      <c r="I14" s="17">
        <v>344946.19999999984</v>
      </c>
      <c r="J14" s="17">
        <v>281374.16999999987</v>
      </c>
      <c r="K14" s="17">
        <v>11669.189999999999</v>
      </c>
      <c r="L14" s="17">
        <v>100876.79000000001</v>
      </c>
      <c r="M14" s="17">
        <v>315.41000000000003</v>
      </c>
      <c r="N14" s="17">
        <v>2604.14</v>
      </c>
      <c r="O14" s="17">
        <v>58385.209999999992</v>
      </c>
    </row>
    <row r="15" spans="1:15" x14ac:dyDescent="0.15">
      <c r="A15" s="1380" t="s">
        <v>2874</v>
      </c>
      <c r="B15" s="17">
        <f>+SUM(C15:O15)</f>
        <v>369378230.36999977</v>
      </c>
      <c r="C15" s="17">
        <v>15416139.780000005</v>
      </c>
      <c r="D15" s="17">
        <v>88108721.379999936</v>
      </c>
      <c r="E15" s="17">
        <v>2100503.67</v>
      </c>
      <c r="F15" s="17">
        <v>3734507.6299999994</v>
      </c>
      <c r="G15" s="17">
        <v>40159748.439999998</v>
      </c>
      <c r="H15" s="17">
        <v>10201422.160000006</v>
      </c>
      <c r="I15" s="17">
        <v>37105304.93999999</v>
      </c>
      <c r="J15" s="17">
        <v>115841752.41999987</v>
      </c>
      <c r="K15" s="17">
        <v>23226967.420000002</v>
      </c>
      <c r="L15" s="17">
        <v>25049730.280000016</v>
      </c>
      <c r="M15" s="17">
        <v>4526890.2799999993</v>
      </c>
      <c r="N15" s="17">
        <v>310720.2</v>
      </c>
      <c r="O15" s="17">
        <v>3595821.7699999986</v>
      </c>
    </row>
    <row r="16" spans="1:15" s="197" customFormat="1" x14ac:dyDescent="0.15">
      <c r="A16" s="197" t="s">
        <v>2875</v>
      </c>
      <c r="B16" s="200">
        <f>SUM(B17)</f>
        <v>125262983.76999995</v>
      </c>
      <c r="C16" s="200">
        <f>SUM(C17)</f>
        <v>621476.67000000004</v>
      </c>
      <c r="D16" s="200">
        <f t="shared" ref="D16:O16" si="5">SUM(D17)</f>
        <v>266300.96999999997</v>
      </c>
      <c r="E16" s="200">
        <f t="shared" si="5"/>
        <v>85090.41</v>
      </c>
      <c r="F16" s="200">
        <f t="shared" si="5"/>
        <v>2092278.5199999998</v>
      </c>
      <c r="G16" s="200">
        <f t="shared" si="5"/>
        <v>16587374.889999995</v>
      </c>
      <c r="H16" s="200">
        <f t="shared" si="5"/>
        <v>709565.17000000027</v>
      </c>
      <c r="I16" s="200">
        <f t="shared" si="5"/>
        <v>961628.98999999976</v>
      </c>
      <c r="J16" s="200">
        <f t="shared" si="5"/>
        <v>6386337.9499999955</v>
      </c>
      <c r="K16" s="200">
        <f t="shared" si="5"/>
        <v>82730590.169999957</v>
      </c>
      <c r="L16" s="200">
        <f t="shared" si="5"/>
        <v>7051575.8999999966</v>
      </c>
      <c r="M16" s="200">
        <f t="shared" si="5"/>
        <v>328961.73000000004</v>
      </c>
      <c r="N16" s="200">
        <f t="shared" si="5"/>
        <v>5961.11</v>
      </c>
      <c r="O16" s="200">
        <f t="shared" si="5"/>
        <v>7435841.29</v>
      </c>
    </row>
    <row r="17" spans="1:15" x14ac:dyDescent="0.15">
      <c r="A17" s="1380" t="s">
        <v>2540</v>
      </c>
      <c r="B17" s="17">
        <f>+SUM(C17:O17)</f>
        <v>125262983.76999995</v>
      </c>
      <c r="C17" s="17">
        <v>621476.67000000004</v>
      </c>
      <c r="D17" s="17">
        <v>266300.96999999997</v>
      </c>
      <c r="E17" s="17">
        <v>85090.41</v>
      </c>
      <c r="F17" s="17">
        <v>2092278.5199999998</v>
      </c>
      <c r="G17" s="17">
        <v>16587374.889999995</v>
      </c>
      <c r="H17" s="17">
        <v>709565.17000000027</v>
      </c>
      <c r="I17" s="17">
        <v>961628.98999999976</v>
      </c>
      <c r="J17" s="17">
        <v>6386337.9499999955</v>
      </c>
      <c r="K17" s="17">
        <v>82730590.169999957</v>
      </c>
      <c r="L17" s="17">
        <v>7051575.8999999966</v>
      </c>
      <c r="M17" s="17">
        <v>328961.73000000004</v>
      </c>
      <c r="N17" s="17">
        <v>5961.11</v>
      </c>
      <c r="O17" s="17">
        <v>7435841.29</v>
      </c>
    </row>
    <row r="18" spans="1:15" s="197" customFormat="1" x14ac:dyDescent="0.15">
      <c r="A18" s="197" t="s">
        <v>2880</v>
      </c>
      <c r="B18" s="200">
        <f>+SUM(B19:B20)</f>
        <v>143994103.70999998</v>
      </c>
      <c r="C18" s="200">
        <f>SUM(C19:C20)</f>
        <v>517556.6399999999</v>
      </c>
      <c r="D18" s="200">
        <f t="shared" ref="D18:O18" si="6">SUM(D19:D20)</f>
        <v>4810622.8600000013</v>
      </c>
      <c r="E18" s="200">
        <f t="shared" si="6"/>
        <v>491475.22000000009</v>
      </c>
      <c r="F18" s="200">
        <f t="shared" si="6"/>
        <v>802790.54</v>
      </c>
      <c r="G18" s="200">
        <f t="shared" si="6"/>
        <v>19356301.490000013</v>
      </c>
      <c r="H18" s="200">
        <f t="shared" si="6"/>
        <v>1765111.68</v>
      </c>
      <c r="I18" s="200">
        <f t="shared" si="6"/>
        <v>1047051.5899999999</v>
      </c>
      <c r="J18" s="200">
        <f t="shared" si="6"/>
        <v>18002935.799999997</v>
      </c>
      <c r="K18" s="200">
        <f t="shared" si="6"/>
        <v>57341088.600000009</v>
      </c>
      <c r="L18" s="200">
        <f t="shared" si="6"/>
        <v>28896415.289999966</v>
      </c>
      <c r="M18" s="200">
        <f t="shared" si="6"/>
        <v>128372.51000000001</v>
      </c>
      <c r="N18" s="200">
        <f t="shared" si="6"/>
        <v>17497.109999999997</v>
      </c>
      <c r="O18" s="200">
        <f t="shared" si="6"/>
        <v>10816884.380000001</v>
      </c>
    </row>
    <row r="19" spans="1:15" x14ac:dyDescent="0.15">
      <c r="A19" s="1380" t="s">
        <v>2851</v>
      </c>
      <c r="B19" s="17">
        <f>+SUM(C19:O19)</f>
        <v>26203746.340000004</v>
      </c>
      <c r="C19" s="17">
        <v>373817.41999999993</v>
      </c>
      <c r="D19" s="17">
        <v>2486702.3900000011</v>
      </c>
      <c r="E19" s="17">
        <v>415650.97000000009</v>
      </c>
      <c r="F19" s="17">
        <v>594039.00000000012</v>
      </c>
      <c r="G19" s="17">
        <v>1975387.1900000013</v>
      </c>
      <c r="H19" s="17">
        <v>211672.51</v>
      </c>
      <c r="I19" s="17">
        <v>379824.02000000008</v>
      </c>
      <c r="J19" s="17">
        <v>4364190.3999999985</v>
      </c>
      <c r="K19" s="17">
        <v>13351489.040000003</v>
      </c>
      <c r="L19" s="17">
        <v>1051777.2899999998</v>
      </c>
      <c r="M19" s="17">
        <v>47171.450000000004</v>
      </c>
      <c r="N19" s="17">
        <v>1059.98</v>
      </c>
      <c r="O19" s="17">
        <v>950964.67999999959</v>
      </c>
    </row>
    <row r="20" spans="1:15" x14ac:dyDescent="0.15">
      <c r="A20" s="1380" t="s">
        <v>2881</v>
      </c>
      <c r="B20" s="17">
        <f>+SUM(C20:O20)</f>
        <v>117790357.36999999</v>
      </c>
      <c r="C20" s="17">
        <v>143739.22</v>
      </c>
      <c r="D20" s="17">
        <v>2323920.4700000002</v>
      </c>
      <c r="E20" s="17">
        <v>75824.25</v>
      </c>
      <c r="F20" s="17">
        <v>208751.53999999995</v>
      </c>
      <c r="G20" s="17">
        <v>17380914.300000012</v>
      </c>
      <c r="H20" s="17">
        <v>1553439.17</v>
      </c>
      <c r="I20" s="17">
        <v>667227.56999999972</v>
      </c>
      <c r="J20" s="17">
        <v>13638745.399999997</v>
      </c>
      <c r="K20" s="17">
        <v>43989599.560000002</v>
      </c>
      <c r="L20" s="17">
        <v>27844637.999999966</v>
      </c>
      <c r="M20" s="17">
        <v>81201.06</v>
      </c>
      <c r="N20" s="17">
        <v>16437.129999999997</v>
      </c>
      <c r="O20" s="17">
        <v>9865919.7000000011</v>
      </c>
    </row>
    <row r="21" spans="1:15" s="197" customFormat="1" x14ac:dyDescent="0.15">
      <c r="A21" s="197" t="s">
        <v>2882</v>
      </c>
      <c r="B21" s="200">
        <f>SUM(B22)</f>
        <v>139570813.59999996</v>
      </c>
      <c r="C21" s="200">
        <f>SUM(C22)</f>
        <v>4636114.0699999984</v>
      </c>
      <c r="D21" s="200">
        <f t="shared" ref="D21:O21" si="7">SUM(D22)</f>
        <v>1750206.8800000006</v>
      </c>
      <c r="E21" s="200">
        <f t="shared" si="7"/>
        <v>4046316.8200000003</v>
      </c>
      <c r="F21" s="200">
        <f t="shared" si="7"/>
        <v>1698827.82</v>
      </c>
      <c r="G21" s="200">
        <f t="shared" si="7"/>
        <v>8051846.6899999976</v>
      </c>
      <c r="H21" s="200">
        <f t="shared" si="7"/>
        <v>5482756.3600000003</v>
      </c>
      <c r="I21" s="200">
        <f t="shared" si="7"/>
        <v>7083769.2400000002</v>
      </c>
      <c r="J21" s="200">
        <f t="shared" si="7"/>
        <v>20104858.639999989</v>
      </c>
      <c r="K21" s="200">
        <f t="shared" si="7"/>
        <v>61058440</v>
      </c>
      <c r="L21" s="200">
        <f t="shared" si="7"/>
        <v>22304981.63000001</v>
      </c>
      <c r="M21" s="200">
        <f t="shared" si="7"/>
        <v>121607.00000000001</v>
      </c>
      <c r="N21" s="200">
        <f t="shared" si="7"/>
        <v>204944.39</v>
      </c>
      <c r="O21" s="200">
        <f t="shared" si="7"/>
        <v>3026144.0600000015</v>
      </c>
    </row>
    <row r="22" spans="1:15" x14ac:dyDescent="0.15">
      <c r="A22" s="1380" t="s">
        <v>2882</v>
      </c>
      <c r="B22" s="17">
        <f>+SUM(C22:O22)</f>
        <v>139570813.59999996</v>
      </c>
      <c r="C22" s="17">
        <v>4636114.0699999984</v>
      </c>
      <c r="D22" s="17">
        <v>1750206.8800000006</v>
      </c>
      <c r="E22" s="17">
        <v>4046316.8200000003</v>
      </c>
      <c r="F22" s="17">
        <v>1698827.82</v>
      </c>
      <c r="G22" s="17">
        <v>8051846.6899999976</v>
      </c>
      <c r="H22" s="17">
        <v>5482756.3600000003</v>
      </c>
      <c r="I22" s="17">
        <v>7083769.2400000002</v>
      </c>
      <c r="J22" s="17">
        <v>20104858.639999989</v>
      </c>
      <c r="K22" s="17">
        <v>61058440</v>
      </c>
      <c r="L22" s="17">
        <v>22304981.63000001</v>
      </c>
      <c r="M22" s="17">
        <v>121607.00000000001</v>
      </c>
      <c r="N22" s="17">
        <v>204944.39</v>
      </c>
      <c r="O22" s="17">
        <v>3026144.0600000015</v>
      </c>
    </row>
    <row r="23" spans="1:15" s="197" customFormat="1" x14ac:dyDescent="0.15">
      <c r="A23" s="197" t="s">
        <v>3543</v>
      </c>
      <c r="B23" s="200">
        <f>SUM(B24)</f>
        <v>1536928902.2999997</v>
      </c>
      <c r="C23" s="200">
        <f>SUM(C24)</f>
        <v>775033.52</v>
      </c>
      <c r="D23" s="200">
        <f t="shared" ref="D23:O23" si="8">SUM(D24)</f>
        <v>8503517.7599999998</v>
      </c>
      <c r="E23" s="200">
        <f t="shared" si="8"/>
        <v>246823.05999999994</v>
      </c>
      <c r="F23" s="200">
        <f t="shared" si="8"/>
        <v>113403799.37000005</v>
      </c>
      <c r="G23" s="200">
        <f t="shared" si="8"/>
        <v>341191858.1699996</v>
      </c>
      <c r="H23" s="200">
        <f t="shared" si="8"/>
        <v>12497737.330000002</v>
      </c>
      <c r="I23" s="200">
        <f t="shared" si="8"/>
        <v>3634828.66</v>
      </c>
      <c r="J23" s="200">
        <f t="shared" si="8"/>
        <v>42965827.289999954</v>
      </c>
      <c r="K23" s="200">
        <f t="shared" si="8"/>
        <v>799695474.6400001</v>
      </c>
      <c r="L23" s="200">
        <f t="shared" si="8"/>
        <v>152796303.15999997</v>
      </c>
      <c r="M23" s="200">
        <f t="shared" si="8"/>
        <v>1271786.2800000005</v>
      </c>
      <c r="N23" s="200">
        <f t="shared" si="8"/>
        <v>363249.38999999996</v>
      </c>
      <c r="O23" s="200">
        <f t="shared" si="8"/>
        <v>59582663.670000017</v>
      </c>
    </row>
    <row r="24" spans="1:15" x14ac:dyDescent="0.15">
      <c r="A24" s="1380" t="s">
        <v>3544</v>
      </c>
      <c r="B24" s="17">
        <f>+SUM(C24:O24)</f>
        <v>1536928902.2999997</v>
      </c>
      <c r="C24" s="17">
        <v>775033.52</v>
      </c>
      <c r="D24" s="17">
        <v>8503517.7599999998</v>
      </c>
      <c r="E24" s="17">
        <v>246823.05999999994</v>
      </c>
      <c r="F24" s="17">
        <v>113403799.37000005</v>
      </c>
      <c r="G24" s="17">
        <v>341191858.1699996</v>
      </c>
      <c r="H24" s="17">
        <v>12497737.330000002</v>
      </c>
      <c r="I24" s="17">
        <v>3634828.66</v>
      </c>
      <c r="J24" s="17">
        <v>42965827.289999954</v>
      </c>
      <c r="K24" s="17">
        <v>799695474.6400001</v>
      </c>
      <c r="L24" s="17">
        <v>152796303.15999997</v>
      </c>
      <c r="M24" s="17">
        <v>1271786.2800000005</v>
      </c>
      <c r="N24" s="17">
        <v>363249.38999999996</v>
      </c>
      <c r="O24" s="17">
        <v>59582663.670000017</v>
      </c>
    </row>
    <row r="25" spans="1:15" s="197" customFormat="1" x14ac:dyDescent="0.15">
      <c r="A25" s="197" t="s">
        <v>2901</v>
      </c>
      <c r="B25" s="200">
        <f>+SUM(B26:B28)</f>
        <v>745945687.16000021</v>
      </c>
      <c r="C25" s="200">
        <f>SUM(C26:C28)</f>
        <v>493960.86</v>
      </c>
      <c r="D25" s="200">
        <f t="shared" ref="D25:O25" si="9">SUM(D26:D28)</f>
        <v>943296.26</v>
      </c>
      <c r="E25" s="200">
        <f t="shared" si="9"/>
        <v>1151423.7600000002</v>
      </c>
      <c r="F25" s="200">
        <f t="shared" si="9"/>
        <v>327703786.18000007</v>
      </c>
      <c r="G25" s="200">
        <f t="shared" si="9"/>
        <v>28099518.130000003</v>
      </c>
      <c r="H25" s="200">
        <f t="shared" si="9"/>
        <v>3837777.6499999985</v>
      </c>
      <c r="I25" s="200">
        <f t="shared" si="9"/>
        <v>803327.19000000006</v>
      </c>
      <c r="J25" s="200">
        <f t="shared" si="9"/>
        <v>7988183.3500000015</v>
      </c>
      <c r="K25" s="200">
        <f t="shared" si="9"/>
        <v>321801078.97000015</v>
      </c>
      <c r="L25" s="200">
        <f t="shared" si="9"/>
        <v>45100534.309999973</v>
      </c>
      <c r="M25" s="200">
        <f t="shared" si="9"/>
        <v>206412.71</v>
      </c>
      <c r="N25" s="200">
        <f t="shared" si="9"/>
        <v>18722.509999999998</v>
      </c>
      <c r="O25" s="200">
        <f t="shared" si="9"/>
        <v>7797665.2799999993</v>
      </c>
    </row>
    <row r="26" spans="1:15" x14ac:dyDescent="0.15">
      <c r="A26" s="1380" t="s">
        <v>2416</v>
      </c>
      <c r="B26" s="17">
        <f>+SUM(C26:O26)</f>
        <v>48858679.650000006</v>
      </c>
      <c r="C26" s="17">
        <v>87841.840000000011</v>
      </c>
      <c r="D26" s="17">
        <v>69791.28</v>
      </c>
      <c r="E26" s="17">
        <v>19821.55</v>
      </c>
      <c r="F26" s="17">
        <v>262934.32</v>
      </c>
      <c r="G26" s="17">
        <v>5867272.200000002</v>
      </c>
      <c r="H26" s="17">
        <v>613225.57999999984</v>
      </c>
      <c r="I26" s="17">
        <v>192160.94</v>
      </c>
      <c r="J26" s="17">
        <v>2732457.9100000011</v>
      </c>
      <c r="K26" s="17">
        <v>28953899.090000004</v>
      </c>
      <c r="L26" s="17">
        <v>8968449.7399999965</v>
      </c>
      <c r="M26" s="17">
        <v>34393.86</v>
      </c>
      <c r="N26" s="17">
        <v>0</v>
      </c>
      <c r="O26" s="17">
        <v>1056431.3399999999</v>
      </c>
    </row>
    <row r="27" spans="1:15" x14ac:dyDescent="0.15">
      <c r="A27" s="1380" t="s">
        <v>3915</v>
      </c>
      <c r="B27" s="17">
        <f t="shared" ref="B27:B28" si="10">+SUM(C27:O27)</f>
        <v>645405241.4200002</v>
      </c>
      <c r="C27" s="17">
        <v>275648.26999999996</v>
      </c>
      <c r="D27" s="17">
        <v>873504.98</v>
      </c>
      <c r="E27" s="17">
        <v>1131280.1400000001</v>
      </c>
      <c r="F27" s="17">
        <v>327436991.91000009</v>
      </c>
      <c r="G27" s="17">
        <v>17230011.190000001</v>
      </c>
      <c r="H27" s="17">
        <v>3208577.2299999991</v>
      </c>
      <c r="I27" s="17">
        <v>602710.60000000009</v>
      </c>
      <c r="J27" s="17">
        <v>5222176.8100000005</v>
      </c>
      <c r="K27" s="17">
        <v>246739673.48000014</v>
      </c>
      <c r="L27" s="17">
        <v>35947779.209999979</v>
      </c>
      <c r="M27" s="17">
        <v>171051.94999999998</v>
      </c>
      <c r="N27" s="17">
        <v>18722.509999999998</v>
      </c>
      <c r="O27" s="17">
        <v>6547113.1399999997</v>
      </c>
    </row>
    <row r="28" spans="1:15" x14ac:dyDescent="0.15">
      <c r="A28" s="1380" t="s">
        <v>3898</v>
      </c>
      <c r="B28" s="17">
        <f t="shared" si="10"/>
        <v>51681766.090000004</v>
      </c>
      <c r="C28" s="17">
        <v>130470.75</v>
      </c>
      <c r="D28" s="17">
        <v>0</v>
      </c>
      <c r="E28" s="17">
        <v>322.07</v>
      </c>
      <c r="F28" s="17">
        <v>3859.95</v>
      </c>
      <c r="G28" s="17">
        <v>5002234.7399999993</v>
      </c>
      <c r="H28" s="17">
        <v>15974.840000000002</v>
      </c>
      <c r="I28" s="17">
        <v>8455.65</v>
      </c>
      <c r="J28" s="17">
        <v>33548.630000000005</v>
      </c>
      <c r="K28" s="17">
        <v>46107506.400000006</v>
      </c>
      <c r="L28" s="17">
        <v>184305.36</v>
      </c>
      <c r="M28" s="17">
        <v>966.9</v>
      </c>
      <c r="N28" s="17">
        <v>0</v>
      </c>
      <c r="O28" s="17">
        <v>194120.80000000002</v>
      </c>
    </row>
    <row r="29" spans="1:15" s="197" customFormat="1" x14ac:dyDescent="0.15">
      <c r="A29" s="197" t="s">
        <v>2906</v>
      </c>
      <c r="B29" s="200">
        <f>SUM(B30)</f>
        <v>10650933.709999999</v>
      </c>
      <c r="C29" s="200">
        <f>SUM(C30)</f>
        <v>127420.16</v>
      </c>
      <c r="D29" s="200">
        <f t="shared" ref="D29:O29" si="11">SUM(D30)</f>
        <v>995.45</v>
      </c>
      <c r="E29" s="200">
        <f t="shared" si="11"/>
        <v>71791.289999999994</v>
      </c>
      <c r="F29" s="200">
        <f t="shared" si="11"/>
        <v>9326.6999999999989</v>
      </c>
      <c r="G29" s="200">
        <f t="shared" si="11"/>
        <v>301168.50000000006</v>
      </c>
      <c r="H29" s="200">
        <f t="shared" si="11"/>
        <v>26652.69</v>
      </c>
      <c r="I29" s="200">
        <f t="shared" si="11"/>
        <v>210501.84</v>
      </c>
      <c r="J29" s="200">
        <f t="shared" si="11"/>
        <v>599036.17999999993</v>
      </c>
      <c r="K29" s="200">
        <f t="shared" si="11"/>
        <v>9000387</v>
      </c>
      <c r="L29" s="200">
        <f t="shared" si="11"/>
        <v>223622.28</v>
      </c>
      <c r="M29" s="200">
        <f t="shared" si="11"/>
        <v>0</v>
      </c>
      <c r="N29" s="200">
        <f t="shared" si="11"/>
        <v>23332.77</v>
      </c>
      <c r="O29" s="200">
        <f t="shared" si="11"/>
        <v>56698.85</v>
      </c>
    </row>
    <row r="30" spans="1:15" x14ac:dyDescent="0.15">
      <c r="A30" s="1380" t="s">
        <v>2906</v>
      </c>
      <c r="B30" s="17">
        <f>+SUM(C30:O30)</f>
        <v>10650933.709999999</v>
      </c>
      <c r="C30" s="17">
        <v>127420.16</v>
      </c>
      <c r="D30" s="17">
        <v>995.45</v>
      </c>
      <c r="E30" s="17">
        <v>71791.289999999994</v>
      </c>
      <c r="F30" s="17">
        <v>9326.6999999999989</v>
      </c>
      <c r="G30" s="17">
        <v>301168.50000000006</v>
      </c>
      <c r="H30" s="17">
        <v>26652.69</v>
      </c>
      <c r="I30" s="17">
        <v>210501.84</v>
      </c>
      <c r="J30" s="17">
        <v>599036.17999999993</v>
      </c>
      <c r="K30" s="17">
        <v>9000387</v>
      </c>
      <c r="L30" s="17">
        <v>223622.28</v>
      </c>
      <c r="M30" s="17">
        <v>0</v>
      </c>
      <c r="N30" s="17">
        <v>23332.77</v>
      </c>
      <c r="O30" s="17">
        <v>56698.85</v>
      </c>
    </row>
    <row r="32" spans="1:15" x14ac:dyDescent="0.15">
      <c r="A32" s="1887" t="s">
        <v>3933</v>
      </c>
      <c r="B32" s="265"/>
      <c r="C32" s="265"/>
      <c r="D32" s="265"/>
      <c r="E32" s="265"/>
      <c r="F32" s="265"/>
      <c r="G32" s="265"/>
      <c r="H32" s="265"/>
    </row>
    <row r="33" spans="1:8" x14ac:dyDescent="0.15">
      <c r="A33" s="1888" t="s">
        <v>3934</v>
      </c>
      <c r="B33" s="265"/>
      <c r="C33" s="265"/>
      <c r="D33" s="265"/>
      <c r="E33" s="265"/>
      <c r="F33" s="265"/>
      <c r="G33" s="265"/>
      <c r="H33" s="265"/>
    </row>
    <row r="34" spans="1:8" x14ac:dyDescent="0.15">
      <c r="A34" s="1889" t="s">
        <v>20</v>
      </c>
      <c r="B34" s="265"/>
      <c r="C34" s="265"/>
      <c r="D34" s="265"/>
      <c r="E34" s="265"/>
      <c r="F34" s="265"/>
      <c r="G34" s="265"/>
      <c r="H34" s="265"/>
    </row>
    <row r="35" spans="1:8" x14ac:dyDescent="0.15">
      <c r="A35" s="263" t="s">
        <v>1183</v>
      </c>
      <c r="B35" s="265"/>
      <c r="C35" s="265"/>
      <c r="D35" s="265"/>
      <c r="E35" s="265"/>
      <c r="F35" s="265"/>
      <c r="G35" s="265"/>
      <c r="H35" s="265"/>
    </row>
  </sheetData>
  <mergeCells count="4">
    <mergeCell ref="A2:I2"/>
    <mergeCell ref="A4:A5"/>
    <mergeCell ref="B4:B5"/>
    <mergeCell ref="C4:O4"/>
  </mergeCells>
  <pageMargins left="0.7" right="0.7" top="0.75" bottom="0.75" header="0.3" footer="0.3"/>
  <pageSetup paperSize="9" orientation="portrait" verticalDpi="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1"/>
  <dimension ref="A2:G76"/>
  <sheetViews>
    <sheetView zoomScaleNormal="100" workbookViewId="0">
      <selection activeCell="E24" sqref="E24"/>
    </sheetView>
  </sheetViews>
  <sheetFormatPr baseColWidth="10" defaultRowHeight="10.5" x14ac:dyDescent="0.15"/>
  <cols>
    <col min="1" max="1" width="75" style="214" customWidth="1"/>
    <col min="2" max="3" width="21.42578125" style="214" customWidth="1"/>
    <col min="4" max="5" width="11.42578125" style="214"/>
    <col min="6" max="6" width="30.85546875" style="214" customWidth="1"/>
    <col min="7" max="7" width="14.140625" style="214" bestFit="1" customWidth="1"/>
    <col min="8" max="16384" width="11.42578125" style="214"/>
  </cols>
  <sheetData>
    <row r="2" spans="1:7" ht="22.5" customHeight="1" x14ac:dyDescent="0.15">
      <c r="A2" s="3273" t="s">
        <v>4212</v>
      </c>
      <c r="B2" s="3273"/>
      <c r="C2" s="3273"/>
    </row>
    <row r="4" spans="1:7" ht="33" customHeight="1" x14ac:dyDescent="0.15">
      <c r="A4" s="1890" t="s">
        <v>3936</v>
      </c>
      <c r="B4" s="240" t="s">
        <v>3937</v>
      </c>
      <c r="C4" s="240" t="s">
        <v>3938</v>
      </c>
      <c r="F4" s="200"/>
      <c r="G4" s="200"/>
    </row>
    <row r="5" spans="1:7" x14ac:dyDescent="0.15">
      <c r="A5" s="1371" t="s">
        <v>141</v>
      </c>
      <c r="B5" s="200">
        <f>SUM(B6,B11,B21,B27,B44,B62,B67)</f>
        <v>1019341164.2300003</v>
      </c>
      <c r="C5" s="200">
        <f>SUM(C6,C11,C21,C27,C44,C62,C67)</f>
        <v>94198898.620000005</v>
      </c>
    </row>
    <row r="6" spans="1:7" s="197" customFormat="1" x14ac:dyDescent="0.15">
      <c r="A6" s="197" t="s">
        <v>3542</v>
      </c>
      <c r="B6" s="200">
        <f>SUM(B7,B9)</f>
        <v>4405347.490000003</v>
      </c>
      <c r="C6" s="200">
        <f>SUM(C7,C9)</f>
        <v>1122387.57</v>
      </c>
    </row>
    <row r="7" spans="1:7" s="197" customFormat="1" x14ac:dyDescent="0.15">
      <c r="A7" s="1374" t="s">
        <v>2867</v>
      </c>
      <c r="B7" s="200">
        <f>SUM(B8)</f>
        <v>2654748.0800000029</v>
      </c>
      <c r="C7" s="200">
        <f>SUM(C8)</f>
        <v>1092025.3500000001</v>
      </c>
    </row>
    <row r="8" spans="1:7" x14ac:dyDescent="0.15">
      <c r="A8" s="1380" t="s">
        <v>3939</v>
      </c>
      <c r="B8" s="17">
        <v>2654748.0800000029</v>
      </c>
      <c r="C8" s="17">
        <v>1092025.3500000001</v>
      </c>
    </row>
    <row r="9" spans="1:7" s="197" customFormat="1" x14ac:dyDescent="0.15">
      <c r="A9" s="1374" t="s">
        <v>2543</v>
      </c>
      <c r="B9" s="200">
        <f>SUM(B10)</f>
        <v>1750599.4100000004</v>
      </c>
      <c r="C9" s="200">
        <f>SUM(C10)</f>
        <v>30362.22</v>
      </c>
    </row>
    <row r="10" spans="1:7" x14ac:dyDescent="0.15">
      <c r="A10" s="1380" t="s">
        <v>3940</v>
      </c>
      <c r="B10" s="17">
        <v>1750599.4100000004</v>
      </c>
      <c r="C10" s="17">
        <v>30362.22</v>
      </c>
    </row>
    <row r="11" spans="1:7" s="197" customFormat="1" x14ac:dyDescent="0.15">
      <c r="A11" s="197" t="s">
        <v>2873</v>
      </c>
      <c r="B11" s="200">
        <f>SUM(B12,B14)</f>
        <v>310419574.95999998</v>
      </c>
      <c r="C11" s="200">
        <f>SUM(C12,C14)</f>
        <v>37250195.100000001</v>
      </c>
    </row>
    <row r="12" spans="1:7" s="197" customFormat="1" x14ac:dyDescent="0.15">
      <c r="A12" s="1374" t="s">
        <v>3914</v>
      </c>
      <c r="B12" s="200">
        <f>SUM(B13)</f>
        <v>5645939.8499999987</v>
      </c>
      <c r="C12" s="200">
        <f>SUM(C13)</f>
        <v>33215656.48</v>
      </c>
    </row>
    <row r="13" spans="1:7" x14ac:dyDescent="0.15">
      <c r="A13" s="1380" t="s">
        <v>3941</v>
      </c>
      <c r="B13" s="17">
        <v>5645939.8499999987</v>
      </c>
      <c r="C13" s="17">
        <v>33215656.48</v>
      </c>
    </row>
    <row r="14" spans="1:7" s="197" customFormat="1" x14ac:dyDescent="0.15">
      <c r="A14" s="1374" t="s">
        <v>2874</v>
      </c>
      <c r="B14" s="200">
        <f>SUM(B15:B20)</f>
        <v>304773635.10999995</v>
      </c>
      <c r="C14" s="200">
        <f>SUM(C15:C20)</f>
        <v>4034538.62</v>
      </c>
    </row>
    <row r="15" spans="1:7" x14ac:dyDescent="0.15">
      <c r="A15" s="1380" t="s">
        <v>3942</v>
      </c>
      <c r="B15" s="17">
        <v>1246262.9100000001</v>
      </c>
      <c r="C15" s="17">
        <v>44010.71</v>
      </c>
    </row>
    <row r="16" spans="1:7" x14ac:dyDescent="0.15">
      <c r="A16" s="1380" t="s">
        <v>3943</v>
      </c>
      <c r="B16" s="17">
        <v>18989902.690000005</v>
      </c>
      <c r="C16" s="17">
        <v>1167605.78</v>
      </c>
    </row>
    <row r="17" spans="1:3" x14ac:dyDescent="0.15">
      <c r="A17" s="1380" t="s">
        <v>3944</v>
      </c>
      <c r="B17" s="17">
        <v>445002.19</v>
      </c>
      <c r="C17" s="17">
        <v>1455</v>
      </c>
    </row>
    <row r="18" spans="1:3" x14ac:dyDescent="0.15">
      <c r="A18" s="1380" t="s">
        <v>3945</v>
      </c>
      <c r="B18" s="17">
        <v>16904221.100000001</v>
      </c>
      <c r="C18" s="17">
        <v>672619.61</v>
      </c>
    </row>
    <row r="19" spans="1:3" x14ac:dyDescent="0.15">
      <c r="A19" s="1380" t="s">
        <v>3946</v>
      </c>
      <c r="B19" s="17">
        <v>224366265.88999999</v>
      </c>
      <c r="C19" s="17">
        <v>968051.96000000008</v>
      </c>
    </row>
    <row r="20" spans="1:3" x14ac:dyDescent="0.15">
      <c r="A20" s="1380" t="s">
        <v>3947</v>
      </c>
      <c r="B20" s="17">
        <v>42821980.329999961</v>
      </c>
      <c r="C20" s="17">
        <v>1180795.56</v>
      </c>
    </row>
    <row r="21" spans="1:3" s="197" customFormat="1" x14ac:dyDescent="0.15">
      <c r="A21" s="197" t="s">
        <v>2875</v>
      </c>
      <c r="B21" s="200">
        <f>SUM(B22)</f>
        <v>116832943.54000023</v>
      </c>
      <c r="C21" s="200">
        <f>SUM(C22)</f>
        <v>1779563.1400000004</v>
      </c>
    </row>
    <row r="22" spans="1:3" s="197" customFormat="1" x14ac:dyDescent="0.15">
      <c r="A22" s="1374" t="s">
        <v>2540</v>
      </c>
      <c r="B22" s="200">
        <f>SUM(B23:B26)</f>
        <v>116832943.54000023</v>
      </c>
      <c r="C22" s="200">
        <f>SUM(C23:C26)</f>
        <v>1779563.1400000004</v>
      </c>
    </row>
    <row r="23" spans="1:3" x14ac:dyDescent="0.15">
      <c r="A23" s="1380" t="s">
        <v>3948</v>
      </c>
      <c r="B23" s="17">
        <v>117177.04</v>
      </c>
      <c r="C23" s="17">
        <v>0</v>
      </c>
    </row>
    <row r="24" spans="1:3" x14ac:dyDescent="0.15">
      <c r="A24" s="1380" t="s">
        <v>3949</v>
      </c>
      <c r="B24" s="17">
        <v>26959290.900000036</v>
      </c>
      <c r="C24" s="17">
        <v>206837.60000000003</v>
      </c>
    </row>
    <row r="25" spans="1:3" x14ac:dyDescent="0.15">
      <c r="A25" s="1380" t="s">
        <v>3950</v>
      </c>
      <c r="B25" s="17">
        <v>5469905.21</v>
      </c>
      <c r="C25" s="17">
        <v>13562.88</v>
      </c>
    </row>
    <row r="26" spans="1:3" x14ac:dyDescent="0.15">
      <c r="A26" s="1380" t="s">
        <v>3951</v>
      </c>
      <c r="B26" s="17">
        <v>84286570.390000194</v>
      </c>
      <c r="C26" s="17">
        <v>1559162.6600000004</v>
      </c>
    </row>
    <row r="27" spans="1:3" s="197" customFormat="1" x14ac:dyDescent="0.15">
      <c r="A27" s="1374" t="s">
        <v>2851</v>
      </c>
      <c r="B27" s="200">
        <f>SUM(B28,B35)</f>
        <v>135055136.29999998</v>
      </c>
      <c r="C27" s="200">
        <f>SUM(C28,C35)</f>
        <v>4061220.5999999996</v>
      </c>
    </row>
    <row r="28" spans="1:3" s="197" customFormat="1" x14ac:dyDescent="0.15">
      <c r="A28" s="1374" t="s">
        <v>2851</v>
      </c>
      <c r="B28" s="200">
        <f>SUM(B29:B34)</f>
        <v>21951090.989999998</v>
      </c>
      <c r="C28" s="200">
        <f>SUM(C29:C34)</f>
        <v>1220351.79</v>
      </c>
    </row>
    <row r="29" spans="1:3" x14ac:dyDescent="0.15">
      <c r="A29" s="1380" t="s">
        <v>3952</v>
      </c>
      <c r="B29" s="17">
        <v>2678790.2000000007</v>
      </c>
      <c r="C29" s="17">
        <v>803929.62999999989</v>
      </c>
    </row>
    <row r="30" spans="1:3" x14ac:dyDescent="0.15">
      <c r="A30" s="1380" t="s">
        <v>3953</v>
      </c>
      <c r="B30" s="17">
        <v>424134.49999999994</v>
      </c>
      <c r="C30" s="17">
        <v>2317.91</v>
      </c>
    </row>
    <row r="31" spans="1:3" x14ac:dyDescent="0.15">
      <c r="A31" s="1380" t="s">
        <v>3954</v>
      </c>
      <c r="B31" s="17">
        <v>3367341.9400000013</v>
      </c>
      <c r="C31" s="17">
        <v>132786.04</v>
      </c>
    </row>
    <row r="32" spans="1:3" x14ac:dyDescent="0.15">
      <c r="A32" s="1380" t="s">
        <v>3955</v>
      </c>
      <c r="B32" s="17">
        <v>11927101.519999998</v>
      </c>
      <c r="C32" s="17">
        <v>186570.02000000008</v>
      </c>
    </row>
    <row r="33" spans="1:3" x14ac:dyDescent="0.15">
      <c r="A33" s="1380" t="s">
        <v>3943</v>
      </c>
      <c r="B33" s="17">
        <v>228416.37000000002</v>
      </c>
      <c r="C33" s="17">
        <v>0</v>
      </c>
    </row>
    <row r="34" spans="1:3" x14ac:dyDescent="0.15">
      <c r="A34" s="1380" t="s">
        <v>3956</v>
      </c>
      <c r="B34" s="17">
        <v>3325306.4599999981</v>
      </c>
      <c r="C34" s="17">
        <v>94748.190000000017</v>
      </c>
    </row>
    <row r="35" spans="1:3" s="197" customFormat="1" x14ac:dyDescent="0.15">
      <c r="A35" s="1374" t="s">
        <v>2881</v>
      </c>
      <c r="B35" s="200">
        <f>SUM(B36:B43)</f>
        <v>113104045.30999999</v>
      </c>
      <c r="C35" s="200">
        <f>SUM(C36:C43)</f>
        <v>2840868.8099999996</v>
      </c>
    </row>
    <row r="36" spans="1:3" x14ac:dyDescent="0.15">
      <c r="A36" s="1380" t="s">
        <v>3957</v>
      </c>
      <c r="B36" s="17">
        <v>39048981.709999993</v>
      </c>
      <c r="C36" s="17">
        <v>461890.41000000003</v>
      </c>
    </row>
    <row r="37" spans="1:3" x14ac:dyDescent="0.15">
      <c r="A37" s="1380" t="s">
        <v>3958</v>
      </c>
      <c r="B37" s="17">
        <v>10763678.380000018</v>
      </c>
      <c r="C37" s="17">
        <v>190533.07</v>
      </c>
    </row>
    <row r="38" spans="1:3" x14ac:dyDescent="0.15">
      <c r="A38" s="1380" t="s">
        <v>3959</v>
      </c>
      <c r="B38" s="17">
        <v>2365686.1599999992</v>
      </c>
      <c r="C38" s="17">
        <v>2098.3300000000004</v>
      </c>
    </row>
    <row r="39" spans="1:3" x14ac:dyDescent="0.15">
      <c r="A39" s="1380" t="s">
        <v>3960</v>
      </c>
      <c r="B39" s="17">
        <v>4882299.0100000007</v>
      </c>
      <c r="C39" s="17">
        <v>10060.61</v>
      </c>
    </row>
    <row r="40" spans="1:3" x14ac:dyDescent="0.15">
      <c r="A40" s="1380" t="s">
        <v>3961</v>
      </c>
      <c r="B40" s="17">
        <v>26235.810000000005</v>
      </c>
      <c r="C40" s="17">
        <v>4914</v>
      </c>
    </row>
    <row r="41" spans="1:3" x14ac:dyDescent="0.15">
      <c r="A41" s="1380" t="s">
        <v>3962</v>
      </c>
      <c r="B41" s="17">
        <v>16712471.230000002</v>
      </c>
      <c r="C41" s="17">
        <v>546280.42999999993</v>
      </c>
    </row>
    <row r="42" spans="1:3" x14ac:dyDescent="0.15">
      <c r="A42" s="1380" t="s">
        <v>3963</v>
      </c>
      <c r="B42" s="17">
        <v>15266926.589999998</v>
      </c>
      <c r="C42" s="17">
        <v>407563.48999999993</v>
      </c>
    </row>
    <row r="43" spans="1:3" x14ac:dyDescent="0.15">
      <c r="A43" s="1380" t="s">
        <v>3964</v>
      </c>
      <c r="B43" s="17">
        <v>24037766.419999976</v>
      </c>
      <c r="C43" s="17">
        <v>1217528.47</v>
      </c>
    </row>
    <row r="44" spans="1:3" s="197" customFormat="1" x14ac:dyDescent="0.15">
      <c r="A44" s="197" t="s">
        <v>2882</v>
      </c>
      <c r="B44" s="200">
        <f>SUM(B45)</f>
        <v>18946886.32</v>
      </c>
      <c r="C44" s="200">
        <f>SUM(C45)</f>
        <v>37200333.299999997</v>
      </c>
    </row>
    <row r="45" spans="1:3" s="197" customFormat="1" x14ac:dyDescent="0.15">
      <c r="A45" s="1374" t="s">
        <v>2882</v>
      </c>
      <c r="B45" s="200">
        <f>SUM(B46:B61)</f>
        <v>18946886.32</v>
      </c>
      <c r="C45" s="200">
        <f>SUM(C46:C61)</f>
        <v>37200333.299999997</v>
      </c>
    </row>
    <row r="46" spans="1:3" x14ac:dyDescent="0.15">
      <c r="A46" s="1380" t="s">
        <v>3965</v>
      </c>
      <c r="B46" s="17">
        <v>1938237.6299999994</v>
      </c>
      <c r="C46" s="17">
        <v>655</v>
      </c>
    </row>
    <row r="47" spans="1:3" x14ac:dyDescent="0.15">
      <c r="A47" s="1380" t="s">
        <v>3966</v>
      </c>
      <c r="B47" s="17">
        <v>4496477.54</v>
      </c>
      <c r="C47" s="17">
        <v>15383019.369999997</v>
      </c>
    </row>
    <row r="48" spans="1:3" x14ac:dyDescent="0.15">
      <c r="A48" s="1380" t="s">
        <v>3967</v>
      </c>
      <c r="B48" s="17">
        <v>116568.22999999998</v>
      </c>
      <c r="C48" s="17">
        <v>16933186.449999999</v>
      </c>
    </row>
    <row r="49" spans="1:3" x14ac:dyDescent="0.15">
      <c r="A49" s="1380" t="s">
        <v>3968</v>
      </c>
      <c r="B49" s="17">
        <v>3318.51</v>
      </c>
      <c r="C49" s="17">
        <v>1897599.9600000002</v>
      </c>
    </row>
    <row r="50" spans="1:3" x14ac:dyDescent="0.15">
      <c r="A50" s="1380" t="s">
        <v>3969</v>
      </c>
      <c r="B50" s="17">
        <v>1485268.4899999995</v>
      </c>
      <c r="C50" s="17">
        <v>90410.02</v>
      </c>
    </row>
    <row r="51" spans="1:3" x14ac:dyDescent="0.15">
      <c r="A51" s="1380" t="s">
        <v>3970</v>
      </c>
      <c r="B51" s="17">
        <v>442879.88000000006</v>
      </c>
      <c r="C51" s="17">
        <v>0</v>
      </c>
    </row>
    <row r="52" spans="1:3" x14ac:dyDescent="0.15">
      <c r="A52" s="1380" t="s">
        <v>3971</v>
      </c>
      <c r="B52" s="17">
        <v>252177.08</v>
      </c>
      <c r="C52" s="17">
        <v>167082.12</v>
      </c>
    </row>
    <row r="53" spans="1:3" x14ac:dyDescent="0.15">
      <c r="A53" s="1380" t="s">
        <v>3972</v>
      </c>
      <c r="B53" s="17">
        <v>217284.43999999997</v>
      </c>
      <c r="C53" s="17">
        <v>588649.57000000007</v>
      </c>
    </row>
    <row r="54" spans="1:3" x14ac:dyDescent="0.15">
      <c r="A54" s="1380" t="s">
        <v>3973</v>
      </c>
      <c r="B54" s="17">
        <v>3984472.5300000017</v>
      </c>
      <c r="C54" s="17">
        <v>17982.379999999997</v>
      </c>
    </row>
    <row r="55" spans="1:3" x14ac:dyDescent="0.15">
      <c r="A55" s="1380" t="s">
        <v>3974</v>
      </c>
      <c r="B55" s="17">
        <v>139288.40999999997</v>
      </c>
      <c r="C55" s="17">
        <v>212979.76</v>
      </c>
    </row>
    <row r="56" spans="1:3" x14ac:dyDescent="0.15">
      <c r="A56" s="1380" t="s">
        <v>3975</v>
      </c>
      <c r="B56" s="17">
        <v>237821.50000000006</v>
      </c>
      <c r="C56" s="17">
        <v>593496.66</v>
      </c>
    </row>
    <row r="57" spans="1:3" x14ac:dyDescent="0.15">
      <c r="A57" s="1380" t="s">
        <v>3976</v>
      </c>
      <c r="B57" s="17">
        <v>2872654.6100000003</v>
      </c>
      <c r="C57" s="17">
        <v>131314.84</v>
      </c>
    </row>
    <row r="58" spans="1:3" x14ac:dyDescent="0.15">
      <c r="A58" s="1380" t="s">
        <v>3977</v>
      </c>
      <c r="B58" s="17">
        <v>543292.36999999988</v>
      </c>
      <c r="C58" s="17">
        <v>916302.17000000016</v>
      </c>
    </row>
    <row r="59" spans="1:3" x14ac:dyDescent="0.15">
      <c r="A59" s="1380" t="s">
        <v>3978</v>
      </c>
      <c r="B59" s="17">
        <v>4938.6899999999996</v>
      </c>
      <c r="C59" s="17">
        <v>0</v>
      </c>
    </row>
    <row r="60" spans="1:3" x14ac:dyDescent="0.15">
      <c r="A60" s="1380" t="s">
        <v>3979</v>
      </c>
      <c r="B60" s="17">
        <v>1266581.0900000001</v>
      </c>
      <c r="C60" s="17">
        <v>267655</v>
      </c>
    </row>
    <row r="61" spans="1:3" x14ac:dyDescent="0.15">
      <c r="A61" s="1380" t="s">
        <v>3980</v>
      </c>
      <c r="B61" s="17">
        <v>945625.32000000007</v>
      </c>
      <c r="C61" s="17">
        <v>0</v>
      </c>
    </row>
    <row r="62" spans="1:3" s="197" customFormat="1" x14ac:dyDescent="0.15">
      <c r="A62" s="197" t="s">
        <v>3543</v>
      </c>
      <c r="B62" s="200">
        <f>SUM(B63)</f>
        <v>414599872.10000002</v>
      </c>
      <c r="C62" s="200">
        <f>SUM(C63)</f>
        <v>12486890.030000001</v>
      </c>
    </row>
    <row r="63" spans="1:3" s="197" customFormat="1" x14ac:dyDescent="0.15">
      <c r="A63" s="1374" t="s">
        <v>3544</v>
      </c>
      <c r="B63" s="200">
        <f>SUM(B64:B66)</f>
        <v>414599872.10000002</v>
      </c>
      <c r="C63" s="200">
        <f>SUM(C64:C66)</f>
        <v>12486890.030000001</v>
      </c>
    </row>
    <row r="64" spans="1:3" x14ac:dyDescent="0.15">
      <c r="A64" s="1380" t="s">
        <v>3981</v>
      </c>
      <c r="B64" s="17">
        <v>38192965.899999984</v>
      </c>
      <c r="C64" s="17">
        <v>264090.14</v>
      </c>
    </row>
    <row r="65" spans="1:3" x14ac:dyDescent="0.15">
      <c r="A65" s="1380" t="s">
        <v>3982</v>
      </c>
      <c r="B65" s="17">
        <v>49466069.849999987</v>
      </c>
      <c r="C65" s="17">
        <v>4398256.1900000013</v>
      </c>
    </row>
    <row r="66" spans="1:3" x14ac:dyDescent="0.15">
      <c r="A66" s="1380" t="s">
        <v>3943</v>
      </c>
      <c r="B66" s="17">
        <v>326940836.35000002</v>
      </c>
      <c r="C66" s="17">
        <v>7824543.7000000002</v>
      </c>
    </row>
    <row r="67" spans="1:3" s="197" customFormat="1" x14ac:dyDescent="0.15">
      <c r="A67" s="197" t="s">
        <v>2901</v>
      </c>
      <c r="B67" s="200">
        <f>SUM(B68)</f>
        <v>19081403.52</v>
      </c>
      <c r="C67" s="200">
        <f>SUM(C68)</f>
        <v>298308.87999999995</v>
      </c>
    </row>
    <row r="68" spans="1:3" s="197" customFormat="1" x14ac:dyDescent="0.15">
      <c r="A68" s="1374" t="s">
        <v>2416</v>
      </c>
      <c r="B68" s="200">
        <f>SUM(B69:B71)</f>
        <v>19081403.52</v>
      </c>
      <c r="C68" s="200">
        <f>SUM(C69:C71)</f>
        <v>298308.87999999995</v>
      </c>
    </row>
    <row r="69" spans="1:3" x14ac:dyDescent="0.15">
      <c r="A69" s="1380" t="s">
        <v>3983</v>
      </c>
      <c r="B69" s="17">
        <v>2459364.0100000007</v>
      </c>
      <c r="C69" s="17">
        <v>76760.240000000005</v>
      </c>
    </row>
    <row r="70" spans="1:3" x14ac:dyDescent="0.15">
      <c r="A70" s="1380" t="s">
        <v>3984</v>
      </c>
      <c r="B70" s="17">
        <v>16027236.449999999</v>
      </c>
      <c r="C70" s="17">
        <v>181464.47999999998</v>
      </c>
    </row>
    <row r="71" spans="1:3" x14ac:dyDescent="0.15">
      <c r="A71" s="1380" t="s">
        <v>3985</v>
      </c>
      <c r="B71" s="17">
        <v>594803.05999999982</v>
      </c>
      <c r="C71" s="17">
        <v>40084.159999999996</v>
      </c>
    </row>
    <row r="73" spans="1:3" x14ac:dyDescent="0.15">
      <c r="A73" s="3511" t="s">
        <v>3986</v>
      </c>
      <c r="B73" s="3511"/>
      <c r="C73" s="3511"/>
    </row>
    <row r="74" spans="1:3" x14ac:dyDescent="0.15">
      <c r="A74" s="3511"/>
      <c r="B74" s="3511"/>
      <c r="C74" s="3511"/>
    </row>
    <row r="75" spans="1:3" ht="11.25" customHeight="1" x14ac:dyDescent="0.15">
      <c r="A75" s="1891" t="s">
        <v>20</v>
      </c>
      <c r="B75" s="1892"/>
      <c r="C75" s="1892"/>
    </row>
    <row r="76" spans="1:3" ht="22.5" customHeight="1" x14ac:dyDescent="0.15">
      <c r="A76" s="3512" t="s">
        <v>3987</v>
      </c>
      <c r="B76" s="3513"/>
      <c r="C76" s="3513"/>
    </row>
  </sheetData>
  <mergeCells count="3">
    <mergeCell ref="A2:C2"/>
    <mergeCell ref="A73:C74"/>
    <mergeCell ref="A76:C76"/>
  </mergeCells>
  <pageMargins left="0.7" right="0.7" top="0.75" bottom="0.75" header="0.3" footer="0.3"/>
  <pageSetup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2"/>
  <dimension ref="A2:F26"/>
  <sheetViews>
    <sheetView workbookViewId="0">
      <selection activeCell="E24" sqref="E24"/>
    </sheetView>
  </sheetViews>
  <sheetFormatPr baseColWidth="10" defaultRowHeight="10.5" x14ac:dyDescent="0.15"/>
  <cols>
    <col min="1" max="1" width="55.7109375" style="214" customWidth="1"/>
    <col min="2" max="3" width="26.42578125" style="214" customWidth="1"/>
    <col min="4" max="4" width="11.42578125" style="214"/>
    <col min="5" max="5" width="57.5703125" style="214" bestFit="1" customWidth="1"/>
    <col min="6" max="16384" width="11.42578125" style="214"/>
  </cols>
  <sheetData>
    <row r="2" spans="1:3" ht="33" customHeight="1" x14ac:dyDescent="0.15">
      <c r="A2" s="3514" t="s">
        <v>4213</v>
      </c>
      <c r="B2" s="3514"/>
      <c r="C2" s="3514"/>
    </row>
    <row r="4" spans="1:3" ht="15" customHeight="1" x14ac:dyDescent="0.15">
      <c r="A4" s="1890" t="s">
        <v>3936</v>
      </c>
      <c r="B4" s="240" t="s">
        <v>3937</v>
      </c>
      <c r="C4" s="240" t="s">
        <v>3938</v>
      </c>
    </row>
    <row r="5" spans="1:3" x14ac:dyDescent="0.15">
      <c r="A5" s="1355" t="s">
        <v>141</v>
      </c>
      <c r="B5" s="1646">
        <f>SUM(B6,B9,B12,B15)</f>
        <v>1776262594.9400008</v>
      </c>
      <c r="C5" s="1646">
        <f>SUM(C6,C9,C12,C15)</f>
        <v>21018735.020000003</v>
      </c>
    </row>
    <row r="6" spans="1:3" s="197" customFormat="1" x14ac:dyDescent="0.15">
      <c r="A6" s="197" t="s">
        <v>3535</v>
      </c>
      <c r="B6" s="200">
        <f>SUM(B7)</f>
        <v>5793104.3999999994</v>
      </c>
      <c r="C6" s="200">
        <f>SUM(C7)</f>
        <v>300024.90000000002</v>
      </c>
    </row>
    <row r="7" spans="1:3" s="197" customFormat="1" x14ac:dyDescent="0.15">
      <c r="A7" s="1374" t="s">
        <v>2540</v>
      </c>
      <c r="B7" s="200">
        <f>SUM(B8)</f>
        <v>5793104.3999999994</v>
      </c>
      <c r="C7" s="200">
        <f>SUM(C8)</f>
        <v>300024.90000000002</v>
      </c>
    </row>
    <row r="8" spans="1:3" x14ac:dyDescent="0.15">
      <c r="A8" s="1380" t="s">
        <v>3948</v>
      </c>
      <c r="B8" s="17">
        <v>5793104.3999999994</v>
      </c>
      <c r="C8" s="17">
        <v>300024.90000000002</v>
      </c>
    </row>
    <row r="9" spans="1:3" s="197" customFormat="1" x14ac:dyDescent="0.15">
      <c r="A9" s="197" t="s">
        <v>2851</v>
      </c>
      <c r="B9" s="200">
        <f>SUM(B10)</f>
        <v>385690.43</v>
      </c>
      <c r="C9" s="200">
        <f>SUM(C10)</f>
        <v>0</v>
      </c>
    </row>
    <row r="10" spans="1:3" s="197" customFormat="1" x14ac:dyDescent="0.15">
      <c r="A10" s="1374" t="s">
        <v>2881</v>
      </c>
      <c r="B10" s="200">
        <f>SUM(B11)</f>
        <v>385690.43</v>
      </c>
      <c r="C10" s="200">
        <f>SUM(C11)</f>
        <v>0</v>
      </c>
    </row>
    <row r="11" spans="1:3" x14ac:dyDescent="0.15">
      <c r="A11" s="1380" t="s">
        <v>3988</v>
      </c>
      <c r="B11" s="17">
        <v>385690.43</v>
      </c>
      <c r="C11" s="17">
        <v>0</v>
      </c>
    </row>
    <row r="12" spans="1:3" s="197" customFormat="1" x14ac:dyDescent="0.15">
      <c r="A12" s="197" t="s">
        <v>3543</v>
      </c>
      <c r="B12" s="200">
        <f>SUM(B13)</f>
        <v>1043221572.4700006</v>
      </c>
      <c r="C12" s="200">
        <f>SUM(C13)</f>
        <v>12510416.030000003</v>
      </c>
    </row>
    <row r="13" spans="1:3" s="197" customFormat="1" x14ac:dyDescent="0.15">
      <c r="A13" s="1374" t="s">
        <v>3544</v>
      </c>
      <c r="B13" s="200">
        <f>SUM(B14)</f>
        <v>1043221572.4700006</v>
      </c>
      <c r="C13" s="200">
        <f>SUM(C14)</f>
        <v>12510416.030000003</v>
      </c>
    </row>
    <row r="14" spans="1:3" x14ac:dyDescent="0.15">
      <c r="A14" s="1380" t="s">
        <v>3982</v>
      </c>
      <c r="B14" s="17">
        <v>1043221572.4700006</v>
      </c>
      <c r="C14" s="17">
        <v>12510416.030000003</v>
      </c>
    </row>
    <row r="15" spans="1:3" s="197" customFormat="1" x14ac:dyDescent="0.15">
      <c r="A15" s="197" t="s">
        <v>2901</v>
      </c>
      <c r="B15" s="200">
        <f>SUM(B16,B19,B21)</f>
        <v>726862227.6400001</v>
      </c>
      <c r="C15" s="200">
        <f>SUM(C16,C19,C21)</f>
        <v>8208294.0900000008</v>
      </c>
    </row>
    <row r="16" spans="1:3" s="197" customFormat="1" x14ac:dyDescent="0.15">
      <c r="A16" s="1374" t="s">
        <v>2416</v>
      </c>
      <c r="B16" s="200">
        <f>SUM(B17:B18)</f>
        <v>29775220.130000003</v>
      </c>
      <c r="C16" s="200">
        <f>SUM(C17:C18)</f>
        <v>774277.29</v>
      </c>
    </row>
    <row r="17" spans="1:6" x14ac:dyDescent="0.15">
      <c r="A17" s="1380" t="s">
        <v>3983</v>
      </c>
      <c r="B17" s="17">
        <v>28657574.370000005</v>
      </c>
      <c r="C17" s="17">
        <v>729277.29</v>
      </c>
    </row>
    <row r="18" spans="1:6" x14ac:dyDescent="0.15">
      <c r="A18" s="1380" t="s">
        <v>3985</v>
      </c>
      <c r="B18" s="17">
        <v>1117645.7599999995</v>
      </c>
      <c r="C18" s="17">
        <v>45000</v>
      </c>
      <c r="E18" s="197"/>
    </row>
    <row r="19" spans="1:6" s="197" customFormat="1" x14ac:dyDescent="0.15">
      <c r="A19" s="1374" t="s">
        <v>3915</v>
      </c>
      <c r="B19" s="200">
        <f>SUM(B20)</f>
        <v>645405241.42000008</v>
      </c>
      <c r="C19" s="200">
        <f>SUM(C20)</f>
        <v>7217148.7500000009</v>
      </c>
    </row>
    <row r="20" spans="1:6" x14ac:dyDescent="0.15">
      <c r="A20" s="1380" t="s">
        <v>3989</v>
      </c>
      <c r="B20" s="17">
        <v>645405241.42000008</v>
      </c>
      <c r="C20" s="17">
        <v>7217148.7500000009</v>
      </c>
    </row>
    <row r="21" spans="1:6" s="197" customFormat="1" x14ac:dyDescent="0.15">
      <c r="A21" s="1374" t="s">
        <v>3898</v>
      </c>
      <c r="B21" s="200">
        <f>SUM(B22)</f>
        <v>51681766.090000004</v>
      </c>
      <c r="C21" s="200">
        <f>SUM(C22)</f>
        <v>216868.05</v>
      </c>
      <c r="E21" s="214"/>
      <c r="F21" s="214"/>
    </row>
    <row r="22" spans="1:6" x14ac:dyDescent="0.15">
      <c r="A22" s="1380" t="s">
        <v>3990</v>
      </c>
      <c r="B22" s="17">
        <v>51681766.090000004</v>
      </c>
      <c r="C22" s="17">
        <v>216868.05</v>
      </c>
      <c r="E22" s="197"/>
    </row>
    <row r="23" spans="1:6" x14ac:dyDescent="0.15">
      <c r="A23" s="1380"/>
    </row>
    <row r="24" spans="1:6" ht="22.5" customHeight="1" x14ac:dyDescent="0.15">
      <c r="A24" s="3490" t="s">
        <v>3986</v>
      </c>
      <c r="B24" s="3490"/>
      <c r="C24" s="3490"/>
    </row>
    <row r="25" spans="1:6" ht="11.25" customHeight="1" x14ac:dyDescent="0.15">
      <c r="A25" s="3515" t="s">
        <v>20</v>
      </c>
      <c r="B25" s="3515"/>
      <c r="C25" s="3515"/>
    </row>
    <row r="26" spans="1:6" ht="22.5" customHeight="1" x14ac:dyDescent="0.15">
      <c r="A26" s="3516" t="s">
        <v>3991</v>
      </c>
      <c r="B26" s="3444"/>
      <c r="C26" s="3444"/>
    </row>
  </sheetData>
  <mergeCells count="4">
    <mergeCell ref="A2:C2"/>
    <mergeCell ref="A24:C24"/>
    <mergeCell ref="A25:C25"/>
    <mergeCell ref="A26:C26"/>
  </mergeCells>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3"/>
  <dimension ref="A2:F81"/>
  <sheetViews>
    <sheetView workbookViewId="0">
      <selection activeCell="A3" sqref="A3:XFD3"/>
    </sheetView>
  </sheetViews>
  <sheetFormatPr baseColWidth="10" defaultRowHeight="10.5" x14ac:dyDescent="0.15"/>
  <cols>
    <col min="1" max="1" width="57.140625" style="214" customWidth="1"/>
    <col min="2" max="3" width="28.5703125" style="214" customWidth="1"/>
    <col min="4" max="4" width="11.42578125" style="214"/>
    <col min="5" max="5" width="9.140625" style="214" customWidth="1"/>
    <col min="6" max="16384" width="11.42578125" style="214"/>
  </cols>
  <sheetData>
    <row r="2" spans="1:3" ht="22.5" customHeight="1" x14ac:dyDescent="0.15">
      <c r="A2" s="3273" t="s">
        <v>4214</v>
      </c>
      <c r="B2" s="3273"/>
      <c r="C2" s="3273"/>
    </row>
    <row r="3" spans="1:3" ht="10.5" customHeight="1" x14ac:dyDescent="0.15">
      <c r="A3" s="1876"/>
      <c r="B3" s="1876"/>
      <c r="C3" s="1876"/>
    </row>
    <row r="4" spans="1:3" ht="18.75" customHeight="1" x14ac:dyDescent="0.15">
      <c r="A4" s="1890" t="s">
        <v>3936</v>
      </c>
      <c r="B4" s="231" t="s">
        <v>3937</v>
      </c>
      <c r="C4" s="231" t="s">
        <v>3938</v>
      </c>
    </row>
    <row r="5" spans="1:3" x14ac:dyDescent="0.15">
      <c r="A5" s="1389" t="s">
        <v>141</v>
      </c>
      <c r="B5" s="1893">
        <f>+B6+B12+B15+B30+B34+B42+B67+B70+B73</f>
        <v>310301552.04999995</v>
      </c>
      <c r="C5" s="1893">
        <f>+C6+C12+C15+C30+C34+C42+C67+C70+C73</f>
        <v>54672967.489999995</v>
      </c>
    </row>
    <row r="6" spans="1:3" s="197" customFormat="1" x14ac:dyDescent="0.15">
      <c r="A6" s="197" t="s">
        <v>3542</v>
      </c>
      <c r="B6" s="200">
        <f>SUM(B7,B9)</f>
        <v>21555896.620000038</v>
      </c>
      <c r="C6" s="200">
        <f>SUM(C7,C9)</f>
        <v>19133899.499999993</v>
      </c>
    </row>
    <row r="7" spans="1:3" s="197" customFormat="1" x14ac:dyDescent="0.15">
      <c r="A7" s="1374" t="s">
        <v>2866</v>
      </c>
      <c r="B7" s="200">
        <f>SUM(B8)</f>
        <v>53678.580000000009</v>
      </c>
      <c r="C7" s="200">
        <f>SUM(C8)</f>
        <v>20654.5</v>
      </c>
    </row>
    <row r="8" spans="1:3" x14ac:dyDescent="0.15">
      <c r="A8" s="1380" t="s">
        <v>3992</v>
      </c>
      <c r="B8" s="17">
        <v>53678.580000000009</v>
      </c>
      <c r="C8" s="17">
        <v>20654.5</v>
      </c>
    </row>
    <row r="9" spans="1:3" s="197" customFormat="1" x14ac:dyDescent="0.15">
      <c r="A9" s="1374" t="s">
        <v>2543</v>
      </c>
      <c r="B9" s="200">
        <f>SUM(B10:B11)</f>
        <v>21502218.04000004</v>
      </c>
      <c r="C9" s="200">
        <f>SUM(C10:C11)</f>
        <v>19113244.999999993</v>
      </c>
    </row>
    <row r="10" spans="1:3" x14ac:dyDescent="0.15">
      <c r="A10" s="1380" t="s">
        <v>3993</v>
      </c>
      <c r="B10" s="17">
        <v>20822807.000000041</v>
      </c>
      <c r="C10" s="17">
        <v>18971585.819999993</v>
      </c>
    </row>
    <row r="11" spans="1:3" x14ac:dyDescent="0.15">
      <c r="A11" s="1380" t="s">
        <v>3994</v>
      </c>
      <c r="B11" s="17">
        <v>679411.03999999946</v>
      </c>
      <c r="C11" s="17">
        <v>141659.18</v>
      </c>
    </row>
    <row r="12" spans="1:3" s="197" customFormat="1" x14ac:dyDescent="0.15">
      <c r="A12" s="197" t="s">
        <v>2870</v>
      </c>
      <c r="B12" s="200">
        <f>SUM(B13)</f>
        <v>187430.71</v>
      </c>
      <c r="C12" s="200">
        <f>SUM(C13)</f>
        <v>0</v>
      </c>
    </row>
    <row r="13" spans="1:3" s="197" customFormat="1" x14ac:dyDescent="0.15">
      <c r="A13" s="1374" t="s">
        <v>2871</v>
      </c>
      <c r="B13" s="200">
        <f>SUM(B14)</f>
        <v>187430.71</v>
      </c>
      <c r="C13" s="200">
        <f>SUM(C14)</f>
        <v>0</v>
      </c>
    </row>
    <row r="14" spans="1:3" x14ac:dyDescent="0.15">
      <c r="A14" s="1380" t="s">
        <v>3995</v>
      </c>
      <c r="B14" s="17">
        <v>187430.71</v>
      </c>
      <c r="C14" s="17">
        <v>0</v>
      </c>
    </row>
    <row r="15" spans="1:3" s="197" customFormat="1" x14ac:dyDescent="0.15">
      <c r="A15" s="197" t="s">
        <v>2873</v>
      </c>
      <c r="B15" s="200">
        <f>SUM(B16,B18)</f>
        <v>66983637.18999999</v>
      </c>
      <c r="C15" s="200">
        <f>SUM(C16,C18)</f>
        <v>5710787.8499999996</v>
      </c>
    </row>
    <row r="16" spans="1:3" s="197" customFormat="1" x14ac:dyDescent="0.15">
      <c r="A16" s="1374" t="s">
        <v>3914</v>
      </c>
      <c r="B16" s="200">
        <f>SUM(B17)</f>
        <v>2379041.9300000016</v>
      </c>
      <c r="C16" s="200">
        <f>SUM(C17)</f>
        <v>881460.86</v>
      </c>
    </row>
    <row r="17" spans="1:6" x14ac:dyDescent="0.15">
      <c r="A17" s="1380" t="s">
        <v>3914</v>
      </c>
      <c r="B17" s="17">
        <v>2379041.9300000016</v>
      </c>
      <c r="C17" s="17">
        <v>881460.86</v>
      </c>
    </row>
    <row r="18" spans="1:6" s="197" customFormat="1" x14ac:dyDescent="0.15">
      <c r="A18" s="1374" t="s">
        <v>2874</v>
      </c>
      <c r="B18" s="200">
        <f>SUM(B19:B29)</f>
        <v>64604595.25999999</v>
      </c>
      <c r="C18" s="200">
        <f>SUM(C19:C29)</f>
        <v>4829326.9899999993</v>
      </c>
    </row>
    <row r="19" spans="1:6" x14ac:dyDescent="0.15">
      <c r="A19" s="1380" t="s">
        <v>3996</v>
      </c>
      <c r="B19" s="17">
        <v>271917.16000000003</v>
      </c>
      <c r="C19" s="17">
        <v>246777.24</v>
      </c>
      <c r="E19" s="197"/>
    </row>
    <row r="20" spans="1:6" x14ac:dyDescent="0.15">
      <c r="A20" s="1380" t="s">
        <v>3997</v>
      </c>
      <c r="B20" s="17">
        <v>1266648.3</v>
      </c>
      <c r="C20" s="17">
        <v>245058.40000000002</v>
      </c>
    </row>
    <row r="21" spans="1:6" x14ac:dyDescent="0.15">
      <c r="A21" s="1380" t="s">
        <v>3998</v>
      </c>
      <c r="B21" s="17">
        <v>201613.27000000005</v>
      </c>
      <c r="C21" s="17">
        <v>0</v>
      </c>
    </row>
    <row r="22" spans="1:6" x14ac:dyDescent="0.15">
      <c r="A22" s="1380" t="s">
        <v>3999</v>
      </c>
      <c r="B22" s="17">
        <v>8677215.6800000053</v>
      </c>
      <c r="C22" s="17">
        <v>449818.65000000008</v>
      </c>
      <c r="E22" s="197"/>
    </row>
    <row r="23" spans="1:6" x14ac:dyDescent="0.15">
      <c r="A23" s="1380" t="s">
        <v>4000</v>
      </c>
      <c r="B23" s="17">
        <v>14075924.82</v>
      </c>
      <c r="C23" s="17">
        <v>410540.68999999994</v>
      </c>
    </row>
    <row r="24" spans="1:6" x14ac:dyDescent="0.15">
      <c r="A24" s="1380" t="s">
        <v>4001</v>
      </c>
      <c r="B24" s="17">
        <v>1921462.9399999992</v>
      </c>
      <c r="C24" s="17">
        <v>132085.95000000001</v>
      </c>
    </row>
    <row r="25" spans="1:6" x14ac:dyDescent="0.15">
      <c r="A25" s="1380" t="s">
        <v>4002</v>
      </c>
      <c r="B25" s="17">
        <v>28110390.099999987</v>
      </c>
      <c r="C25" s="17">
        <v>2117209.87</v>
      </c>
    </row>
    <row r="26" spans="1:6" x14ac:dyDescent="0.15">
      <c r="A26" s="1380" t="s">
        <v>4003</v>
      </c>
      <c r="B26" s="17">
        <v>6902269.3800000008</v>
      </c>
      <c r="C26" s="17">
        <v>734287.09</v>
      </c>
    </row>
    <row r="27" spans="1:6" x14ac:dyDescent="0.15">
      <c r="A27" s="1380" t="s">
        <v>4004</v>
      </c>
      <c r="B27" s="17">
        <v>2417650.8300000005</v>
      </c>
      <c r="C27" s="17">
        <v>172055.37999999998</v>
      </c>
    </row>
    <row r="28" spans="1:6" x14ac:dyDescent="0.15">
      <c r="A28" s="1380" t="s">
        <v>4005</v>
      </c>
      <c r="B28" s="17">
        <v>93206.099999999991</v>
      </c>
      <c r="C28" s="17">
        <v>2242.81</v>
      </c>
    </row>
    <row r="29" spans="1:6" x14ac:dyDescent="0.15">
      <c r="A29" s="1380" t="s">
        <v>4006</v>
      </c>
      <c r="B29" s="17">
        <v>666296.68000000052</v>
      </c>
      <c r="C29" s="17">
        <v>319250.91000000003</v>
      </c>
    </row>
    <row r="30" spans="1:6" s="197" customFormat="1" x14ac:dyDescent="0.15">
      <c r="A30" s="197" t="s">
        <v>3535</v>
      </c>
      <c r="B30" s="200">
        <f>SUM(B31)</f>
        <v>2636935.8300000015</v>
      </c>
      <c r="C30" s="200">
        <f>SUM(C31)</f>
        <v>6249.81</v>
      </c>
      <c r="E30" s="214"/>
      <c r="F30" s="214"/>
    </row>
    <row r="31" spans="1:6" s="197" customFormat="1" x14ac:dyDescent="0.15">
      <c r="A31" s="1374" t="s">
        <v>2540</v>
      </c>
      <c r="B31" s="200">
        <f>SUM(B32:B33)</f>
        <v>2636935.8300000015</v>
      </c>
      <c r="C31" s="200">
        <f>SUM(C32:C33)</f>
        <v>6249.81</v>
      </c>
      <c r="E31" s="214"/>
      <c r="F31" s="214"/>
    </row>
    <row r="32" spans="1:6" x14ac:dyDescent="0.15">
      <c r="A32" s="1380" t="s">
        <v>4007</v>
      </c>
      <c r="B32" s="17">
        <v>2612686.3300000015</v>
      </c>
      <c r="C32" s="17">
        <v>3599.8100000000004</v>
      </c>
    </row>
    <row r="33" spans="1:6" x14ac:dyDescent="0.15">
      <c r="A33" s="1380" t="s">
        <v>4008</v>
      </c>
      <c r="B33" s="17">
        <v>24249.5</v>
      </c>
      <c r="C33" s="17">
        <v>2650</v>
      </c>
    </row>
    <row r="34" spans="1:6" s="197" customFormat="1" x14ac:dyDescent="0.15">
      <c r="A34" s="197" t="s">
        <v>2851</v>
      </c>
      <c r="B34" s="200">
        <f>SUM(B35,B39)</f>
        <v>8553276.9799999986</v>
      </c>
      <c r="C34" s="200">
        <f>SUM(C35,C39)</f>
        <v>645927.76</v>
      </c>
    </row>
    <row r="35" spans="1:6" s="197" customFormat="1" x14ac:dyDescent="0.15">
      <c r="A35" s="1374" t="s">
        <v>2851</v>
      </c>
      <c r="B35" s="200">
        <f>SUM(B36:B38)</f>
        <v>4252655.3499999996</v>
      </c>
      <c r="C35" s="200">
        <f>SUM(C36:C38)</f>
        <v>352289.27999999997</v>
      </c>
    </row>
    <row r="36" spans="1:6" x14ac:dyDescent="0.15">
      <c r="A36" s="1380" t="s">
        <v>4009</v>
      </c>
      <c r="B36" s="17">
        <v>5134.83</v>
      </c>
      <c r="C36" s="17">
        <v>0</v>
      </c>
    </row>
    <row r="37" spans="1:6" x14ac:dyDescent="0.15">
      <c r="A37" s="1380" t="s">
        <v>4010</v>
      </c>
      <c r="B37" s="17">
        <v>13095.83</v>
      </c>
      <c r="C37" s="17">
        <v>0</v>
      </c>
    </row>
    <row r="38" spans="1:6" x14ac:dyDescent="0.15">
      <c r="A38" s="1380" t="s">
        <v>4011</v>
      </c>
      <c r="B38" s="17">
        <v>4234424.6899999995</v>
      </c>
      <c r="C38" s="17">
        <v>352289.27999999997</v>
      </c>
    </row>
    <row r="39" spans="1:6" s="197" customFormat="1" x14ac:dyDescent="0.15">
      <c r="A39" s="1374" t="s">
        <v>2881</v>
      </c>
      <c r="B39" s="200">
        <f>SUM(B40:B41)</f>
        <v>4300621.629999999</v>
      </c>
      <c r="C39" s="200">
        <f>SUM(C40:C41)</f>
        <v>293638.48</v>
      </c>
      <c r="E39" s="214"/>
      <c r="F39" s="214"/>
    </row>
    <row r="40" spans="1:6" x14ac:dyDescent="0.15">
      <c r="A40" s="1380" t="s">
        <v>4012</v>
      </c>
      <c r="B40" s="17">
        <v>4006733.5999999992</v>
      </c>
      <c r="C40" s="17">
        <v>281245.37</v>
      </c>
      <c r="E40" s="197"/>
    </row>
    <row r="41" spans="1:6" x14ac:dyDescent="0.15">
      <c r="A41" s="1380" t="s">
        <v>4013</v>
      </c>
      <c r="B41" s="17">
        <v>293888.03000000003</v>
      </c>
      <c r="C41" s="17">
        <v>12393.11</v>
      </c>
      <c r="E41" s="197"/>
    </row>
    <row r="42" spans="1:6" s="197" customFormat="1" x14ac:dyDescent="0.15">
      <c r="A42" s="197" t="s">
        <v>2882</v>
      </c>
      <c r="B42" s="200">
        <f>SUM(B43)</f>
        <v>120623927.27999996</v>
      </c>
      <c r="C42" s="200">
        <f>SUM(C43)</f>
        <v>26692423.399999999</v>
      </c>
      <c r="E42" s="214"/>
      <c r="F42" s="214"/>
    </row>
    <row r="43" spans="1:6" s="197" customFormat="1" x14ac:dyDescent="0.15">
      <c r="A43" s="1374" t="s">
        <v>2882</v>
      </c>
      <c r="B43" s="200">
        <f>SUM(B44:B66)</f>
        <v>120623927.27999996</v>
      </c>
      <c r="C43" s="200">
        <f>SUM(C44:C66)</f>
        <v>26692423.399999999</v>
      </c>
      <c r="E43" s="214"/>
      <c r="F43" s="214"/>
    </row>
    <row r="44" spans="1:6" x14ac:dyDescent="0.15">
      <c r="A44" s="1380" t="s">
        <v>4014</v>
      </c>
      <c r="B44" s="17">
        <v>1086502.8199999998</v>
      </c>
      <c r="C44" s="17">
        <v>13291.79</v>
      </c>
    </row>
    <row r="45" spans="1:6" x14ac:dyDescent="0.15">
      <c r="A45" s="1380" t="s">
        <v>4015</v>
      </c>
      <c r="B45" s="17">
        <v>3597968.6999999993</v>
      </c>
      <c r="C45" s="17">
        <v>24384.929999999997</v>
      </c>
      <c r="E45" s="197"/>
    </row>
    <row r="46" spans="1:6" x14ac:dyDescent="0.15">
      <c r="A46" s="1380" t="s">
        <v>4016</v>
      </c>
      <c r="B46" s="17">
        <v>29289395.050000012</v>
      </c>
      <c r="C46" s="17">
        <v>520217.81</v>
      </c>
    </row>
    <row r="47" spans="1:6" x14ac:dyDescent="0.15">
      <c r="A47" s="1380" t="s">
        <v>4017</v>
      </c>
      <c r="B47" s="17">
        <v>3639639.620000001</v>
      </c>
      <c r="C47" s="17">
        <v>45114.64</v>
      </c>
    </row>
    <row r="48" spans="1:6" x14ac:dyDescent="0.15">
      <c r="A48" s="1380" t="s">
        <v>4018</v>
      </c>
      <c r="B48" s="17">
        <v>7379769.8699999992</v>
      </c>
      <c r="C48" s="17">
        <v>42788.86</v>
      </c>
      <c r="E48" s="197"/>
    </row>
    <row r="49" spans="1:5" x14ac:dyDescent="0.15">
      <c r="A49" s="1380" t="s">
        <v>4019</v>
      </c>
      <c r="B49" s="17">
        <v>18853209.940000001</v>
      </c>
      <c r="C49" s="17">
        <v>1523747.5100000002</v>
      </c>
      <c r="E49" s="197"/>
    </row>
    <row r="50" spans="1:5" x14ac:dyDescent="0.15">
      <c r="A50" s="1380" t="s">
        <v>4020</v>
      </c>
      <c r="B50" s="17">
        <v>1093520.1599999997</v>
      </c>
      <c r="C50" s="17">
        <v>48512.14</v>
      </c>
    </row>
    <row r="51" spans="1:5" x14ac:dyDescent="0.15">
      <c r="A51" s="1380" t="s">
        <v>4021</v>
      </c>
      <c r="B51" s="17">
        <v>421986.56999999995</v>
      </c>
      <c r="C51" s="17">
        <v>468</v>
      </c>
    </row>
    <row r="52" spans="1:5" x14ac:dyDescent="0.15">
      <c r="A52" s="1380" t="s">
        <v>4022</v>
      </c>
      <c r="B52" s="17">
        <v>885577.88000000012</v>
      </c>
      <c r="C52" s="17">
        <v>332.91</v>
      </c>
    </row>
    <row r="53" spans="1:5" x14ac:dyDescent="0.15">
      <c r="A53" s="1380" t="s">
        <v>4023</v>
      </c>
      <c r="B53" s="17">
        <v>3976064.2900000005</v>
      </c>
      <c r="C53" s="17">
        <v>115050.83999999998</v>
      </c>
    </row>
    <row r="54" spans="1:5" x14ac:dyDescent="0.15">
      <c r="A54" s="1380" t="s">
        <v>4024</v>
      </c>
      <c r="B54" s="17">
        <v>827639.76</v>
      </c>
      <c r="C54" s="17">
        <v>7696.64</v>
      </c>
    </row>
    <row r="55" spans="1:5" x14ac:dyDescent="0.15">
      <c r="A55" s="1380" t="s">
        <v>4025</v>
      </c>
      <c r="B55" s="17">
        <v>5157179.1300000018</v>
      </c>
      <c r="C55" s="17">
        <v>132776.85999999999</v>
      </c>
    </row>
    <row r="56" spans="1:5" x14ac:dyDescent="0.15">
      <c r="A56" s="1380" t="s">
        <v>4026</v>
      </c>
      <c r="B56" s="17">
        <v>348.32</v>
      </c>
      <c r="C56" s="17">
        <v>0</v>
      </c>
    </row>
    <row r="57" spans="1:5" x14ac:dyDescent="0.15">
      <c r="A57" s="1380" t="s">
        <v>4027</v>
      </c>
      <c r="B57" s="17">
        <v>275217.92000000004</v>
      </c>
      <c r="C57" s="17">
        <v>5049.8499999999995</v>
      </c>
    </row>
    <row r="58" spans="1:5" x14ac:dyDescent="0.15">
      <c r="A58" s="1380" t="s">
        <v>4028</v>
      </c>
      <c r="B58" s="17">
        <v>2401904.7800000003</v>
      </c>
      <c r="C58" s="17">
        <v>7538.27</v>
      </c>
    </row>
    <row r="59" spans="1:5" x14ac:dyDescent="0.15">
      <c r="A59" s="1380" t="s">
        <v>4029</v>
      </c>
      <c r="B59" s="17">
        <v>3282194.8099999991</v>
      </c>
      <c r="C59" s="17">
        <v>80173.01999999999</v>
      </c>
    </row>
    <row r="60" spans="1:5" x14ac:dyDescent="0.15">
      <c r="A60" s="1380" t="s">
        <v>4030</v>
      </c>
      <c r="B60" s="17">
        <v>419098.33</v>
      </c>
      <c r="C60" s="17">
        <v>11375.6</v>
      </c>
    </row>
    <row r="61" spans="1:5" x14ac:dyDescent="0.15">
      <c r="A61" s="1380" t="s">
        <v>4031</v>
      </c>
      <c r="B61" s="17">
        <v>81815.900000000009</v>
      </c>
      <c r="C61" s="17">
        <v>149254.26</v>
      </c>
    </row>
    <row r="62" spans="1:5" x14ac:dyDescent="0.15">
      <c r="A62" s="1380" t="s">
        <v>4032</v>
      </c>
      <c r="B62" s="17">
        <v>8219.0999999999985</v>
      </c>
      <c r="C62" s="17">
        <v>0</v>
      </c>
    </row>
    <row r="63" spans="1:5" x14ac:dyDescent="0.15">
      <c r="A63" s="1380" t="s">
        <v>4033</v>
      </c>
      <c r="B63" s="17">
        <v>1790.48</v>
      </c>
      <c r="C63" s="17">
        <v>0</v>
      </c>
    </row>
    <row r="64" spans="1:5" x14ac:dyDescent="0.15">
      <c r="A64" s="1380" t="s">
        <v>4034</v>
      </c>
      <c r="B64" s="17">
        <v>1485953.3799999997</v>
      </c>
      <c r="C64" s="17">
        <v>13454483.66</v>
      </c>
    </row>
    <row r="65" spans="1:6" x14ac:dyDescent="0.15">
      <c r="A65" s="1380" t="s">
        <v>4035</v>
      </c>
      <c r="B65" s="17">
        <v>1750.3200000000002</v>
      </c>
      <c r="C65" s="17">
        <v>0</v>
      </c>
    </row>
    <row r="66" spans="1:6" x14ac:dyDescent="0.15">
      <c r="A66" s="1380" t="s">
        <v>4036</v>
      </c>
      <c r="B66" s="17">
        <v>36457180.149999946</v>
      </c>
      <c r="C66" s="17">
        <v>10510165.810000001</v>
      </c>
    </row>
    <row r="67" spans="1:6" s="197" customFormat="1" x14ac:dyDescent="0.15">
      <c r="A67" s="197" t="s">
        <v>3543</v>
      </c>
      <c r="B67" s="200">
        <f>SUM(B68)</f>
        <v>79107457.730000004</v>
      </c>
      <c r="C67" s="200">
        <f>SUM(C68)</f>
        <v>1907365.28</v>
      </c>
      <c r="E67" s="214"/>
      <c r="F67" s="214"/>
    </row>
    <row r="68" spans="1:6" s="197" customFormat="1" x14ac:dyDescent="0.15">
      <c r="A68" s="1374" t="s">
        <v>3544</v>
      </c>
      <c r="B68" s="200">
        <f>SUM(B69)</f>
        <v>79107457.730000004</v>
      </c>
      <c r="C68" s="200">
        <f>SUM(C69)</f>
        <v>1907365.28</v>
      </c>
      <c r="E68" s="214"/>
      <c r="F68" s="214"/>
    </row>
    <row r="69" spans="1:6" x14ac:dyDescent="0.15">
      <c r="A69" s="1380" t="s">
        <v>3981</v>
      </c>
      <c r="B69" s="17">
        <v>79107457.730000004</v>
      </c>
      <c r="C69" s="17">
        <v>1907365.28</v>
      </c>
    </row>
    <row r="70" spans="1:6" s="197" customFormat="1" x14ac:dyDescent="0.15">
      <c r="A70" s="197" t="s">
        <v>2901</v>
      </c>
      <c r="B70" s="200">
        <f>SUM(B71)</f>
        <v>2056</v>
      </c>
      <c r="C70" s="200">
        <f>SUM(C71)</f>
        <v>0</v>
      </c>
    </row>
    <row r="71" spans="1:6" s="197" customFormat="1" x14ac:dyDescent="0.15">
      <c r="A71" s="1374" t="s">
        <v>2416</v>
      </c>
      <c r="B71" s="200">
        <f>SUM(B72)</f>
        <v>2056</v>
      </c>
      <c r="C71" s="200">
        <f>SUM(C72)</f>
        <v>0</v>
      </c>
    </row>
    <row r="72" spans="1:6" x14ac:dyDescent="0.15">
      <c r="A72" s="1380" t="s">
        <v>4037</v>
      </c>
      <c r="B72" s="17">
        <v>2056</v>
      </c>
      <c r="C72" s="17">
        <v>0</v>
      </c>
    </row>
    <row r="73" spans="1:6" s="197" customFormat="1" x14ac:dyDescent="0.15">
      <c r="A73" s="197" t="s">
        <v>2906</v>
      </c>
      <c r="B73" s="200">
        <f>SUM(B74)</f>
        <v>10650933.709999993</v>
      </c>
      <c r="C73" s="200">
        <f>SUM(C74)</f>
        <v>576313.89</v>
      </c>
      <c r="E73" s="214"/>
      <c r="F73" s="214"/>
    </row>
    <row r="74" spans="1:6" s="197" customFormat="1" x14ac:dyDescent="0.15">
      <c r="A74" s="1374" t="s">
        <v>2906</v>
      </c>
      <c r="B74" s="200">
        <f>SUM(B75:B77)</f>
        <v>10650933.709999993</v>
      </c>
      <c r="C74" s="200">
        <f>SUM(C75:C77)</f>
        <v>576313.89</v>
      </c>
      <c r="E74" s="214"/>
      <c r="F74" s="214"/>
    </row>
    <row r="75" spans="1:6" x14ac:dyDescent="0.15">
      <c r="A75" s="1380" t="s">
        <v>4038</v>
      </c>
      <c r="B75" s="17">
        <v>558966.72</v>
      </c>
      <c r="C75" s="17">
        <v>50231.28</v>
      </c>
    </row>
    <row r="76" spans="1:6" x14ac:dyDescent="0.15">
      <c r="A76" s="1380" t="s">
        <v>4039</v>
      </c>
      <c r="B76" s="17">
        <v>9496204.5299999937</v>
      </c>
      <c r="C76" s="17">
        <v>203909.49000000002</v>
      </c>
    </row>
    <row r="77" spans="1:6" x14ac:dyDescent="0.15">
      <c r="A77" s="1380" t="s">
        <v>4040</v>
      </c>
      <c r="B77" s="17">
        <v>595762.46</v>
      </c>
      <c r="C77" s="17">
        <v>322173.12</v>
      </c>
    </row>
    <row r="79" spans="1:6" ht="22.5" customHeight="1" x14ac:dyDescent="0.15">
      <c r="A79" s="3511" t="s">
        <v>3986</v>
      </c>
      <c r="B79" s="3511"/>
      <c r="C79" s="3511"/>
    </row>
    <row r="80" spans="1:6" ht="11.25" customHeight="1" x14ac:dyDescent="0.15">
      <c r="A80" s="1891" t="s">
        <v>20</v>
      </c>
      <c r="B80" s="1892"/>
      <c r="C80" s="1892"/>
    </row>
    <row r="81" spans="1:3" ht="22.5" customHeight="1" x14ac:dyDescent="0.15">
      <c r="A81" s="3512" t="s">
        <v>4041</v>
      </c>
      <c r="B81" s="3513"/>
      <c r="C81" s="3513"/>
    </row>
  </sheetData>
  <mergeCells count="3">
    <mergeCell ref="A2:C2"/>
    <mergeCell ref="A79:C79"/>
    <mergeCell ref="A81:C81"/>
  </mergeCells>
  <pageMargins left="0.7" right="0.7" top="0.75" bottom="0.75" header="0.3" footer="0.3"/>
  <pageSetup paperSize="9" orientation="portrait" verticalDpi="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4"/>
  <dimension ref="A2:R36"/>
  <sheetViews>
    <sheetView zoomScaleNormal="100" workbookViewId="0">
      <selection activeCell="K30" sqref="K30"/>
    </sheetView>
  </sheetViews>
  <sheetFormatPr baseColWidth="10" defaultRowHeight="10.5" x14ac:dyDescent="0.15"/>
  <cols>
    <col min="1" max="1" width="34.42578125" style="214" customWidth="1"/>
    <col min="2" max="2" width="13.42578125" style="214" customWidth="1"/>
    <col min="3" max="4" width="12.5703125" style="214" bestFit="1" customWidth="1"/>
    <col min="5" max="5" width="13.140625" style="214" customWidth="1"/>
    <col min="6" max="6" width="12.5703125" style="214" bestFit="1" customWidth="1"/>
    <col min="7" max="7" width="13.85546875" style="214" bestFit="1" customWidth="1"/>
    <col min="8" max="8" width="15.7109375" style="214" bestFit="1" customWidth="1"/>
    <col min="9" max="9" width="15.7109375" style="214" customWidth="1"/>
    <col min="10" max="10" width="15.7109375" style="214" bestFit="1" customWidth="1"/>
    <col min="11" max="11" width="13.85546875" style="214" bestFit="1" customWidth="1"/>
    <col min="12" max="12" width="17.140625" style="214" bestFit="1" customWidth="1"/>
    <col min="13" max="14" width="13.85546875" style="214" bestFit="1" customWidth="1"/>
    <col min="15" max="15" width="15.7109375" style="214" bestFit="1" customWidth="1"/>
    <col min="16" max="16" width="13.85546875" style="214" bestFit="1" customWidth="1"/>
    <col min="17" max="17" width="17.140625" style="214" bestFit="1" customWidth="1"/>
    <col min="18" max="18" width="16.140625" style="214" customWidth="1"/>
    <col min="19" max="16384" width="11.42578125" style="214"/>
  </cols>
  <sheetData>
    <row r="2" spans="1:18" ht="15" customHeight="1" x14ac:dyDescent="0.15">
      <c r="A2" s="3438" t="s">
        <v>4215</v>
      </c>
      <c r="B2" s="3438"/>
      <c r="C2" s="3438"/>
      <c r="D2" s="3438"/>
      <c r="E2" s="2503"/>
      <c r="F2" s="2503"/>
      <c r="G2" s="2503"/>
      <c r="H2" s="2503"/>
      <c r="I2" s="2503"/>
      <c r="J2" s="2503"/>
      <c r="K2" s="2503"/>
      <c r="L2" s="2503"/>
      <c r="M2" s="2503"/>
      <c r="N2" s="2503"/>
      <c r="O2" s="2503"/>
      <c r="P2" s="2503"/>
      <c r="Q2" s="2503"/>
      <c r="R2" s="2503"/>
    </row>
    <row r="3" spans="1:18" x14ac:dyDescent="0.15">
      <c r="A3" s="1894"/>
      <c r="B3" s="1894"/>
      <c r="C3" s="1894"/>
      <c r="D3" s="1894"/>
      <c r="E3" s="239"/>
      <c r="F3" s="239"/>
      <c r="G3" s="239"/>
      <c r="H3" s="239"/>
      <c r="I3" s="239"/>
      <c r="J3" s="239"/>
      <c r="K3" s="239"/>
      <c r="L3" s="239"/>
      <c r="M3" s="239"/>
      <c r="N3" s="239"/>
      <c r="O3" s="239"/>
      <c r="P3" s="239"/>
      <c r="Q3" s="239"/>
      <c r="R3" s="239"/>
    </row>
    <row r="4" spans="1:18" ht="11.25" customHeight="1" x14ac:dyDescent="0.15">
      <c r="A4" s="2521" t="s">
        <v>3883</v>
      </c>
      <c r="B4" s="2521" t="s">
        <v>141</v>
      </c>
      <c r="C4" s="2521" t="s">
        <v>982</v>
      </c>
      <c r="D4" s="2521"/>
      <c r="E4" s="2521"/>
      <c r="F4" s="2521"/>
      <c r="G4" s="2521"/>
      <c r="H4" s="2521"/>
      <c r="I4" s="2521"/>
      <c r="J4" s="2521"/>
      <c r="K4" s="2521"/>
      <c r="L4" s="2521"/>
      <c r="M4" s="2521"/>
      <c r="N4" s="2521"/>
      <c r="O4" s="2521"/>
      <c r="P4" s="2521"/>
      <c r="Q4" s="2521"/>
      <c r="R4" s="2521"/>
    </row>
    <row r="5" spans="1:18" ht="37.5" customHeight="1" x14ac:dyDescent="0.15">
      <c r="A5" s="2521"/>
      <c r="B5" s="2521"/>
      <c r="C5" s="240" t="s">
        <v>5</v>
      </c>
      <c r="D5" s="240" t="s">
        <v>6</v>
      </c>
      <c r="E5" s="240" t="s">
        <v>7</v>
      </c>
      <c r="F5" s="240" t="s">
        <v>8</v>
      </c>
      <c r="G5" s="240" t="s">
        <v>9</v>
      </c>
      <c r="H5" s="240" t="s">
        <v>10</v>
      </c>
      <c r="I5" s="240" t="s">
        <v>11</v>
      </c>
      <c r="J5" s="240" t="s">
        <v>12</v>
      </c>
      <c r="K5" s="240" t="s">
        <v>13</v>
      </c>
      <c r="L5" s="240" t="s">
        <v>14</v>
      </c>
      <c r="M5" s="240" t="s">
        <v>15</v>
      </c>
      <c r="N5" s="240" t="s">
        <v>301</v>
      </c>
      <c r="O5" s="240" t="s">
        <v>303</v>
      </c>
      <c r="P5" s="240" t="s">
        <v>18</v>
      </c>
      <c r="Q5" s="240" t="s">
        <v>19</v>
      </c>
      <c r="R5" s="240" t="s">
        <v>4042</v>
      </c>
    </row>
    <row r="6" spans="1:18" ht="15" customHeight="1" x14ac:dyDescent="0.15">
      <c r="A6" s="1895" t="s">
        <v>141</v>
      </c>
      <c r="B6" s="1878">
        <f>+B7+B11+B14+B16+B19+B21+B23+B27</f>
        <v>169890601.13</v>
      </c>
      <c r="C6" s="1878">
        <f t="shared" ref="C6:R6" si="0">+C7+C11+C14+C16+C19+C21+C23+C27</f>
        <v>25636.080000000002</v>
      </c>
      <c r="D6" s="1878">
        <f t="shared" si="0"/>
        <v>44369.67</v>
      </c>
      <c r="E6" s="1878">
        <f t="shared" si="0"/>
        <v>143581.40999999997</v>
      </c>
      <c r="F6" s="1878">
        <f t="shared" si="0"/>
        <v>45071.5</v>
      </c>
      <c r="G6" s="1878">
        <f t="shared" si="0"/>
        <v>117830.54000000001</v>
      </c>
      <c r="H6" s="1878">
        <f t="shared" si="0"/>
        <v>1018662.0499999999</v>
      </c>
      <c r="I6" s="1878">
        <f t="shared" si="0"/>
        <v>52470900.690000005</v>
      </c>
      <c r="J6" s="1878">
        <f t="shared" si="0"/>
        <v>1133432.24</v>
      </c>
      <c r="K6" s="1878">
        <f t="shared" si="0"/>
        <v>104655.81999999999</v>
      </c>
      <c r="L6" s="1878">
        <f t="shared" si="0"/>
        <v>48611610.369999997</v>
      </c>
      <c r="M6" s="1878">
        <f t="shared" si="0"/>
        <v>570850.09</v>
      </c>
      <c r="N6" s="1878">
        <f t="shared" si="0"/>
        <v>651730.62</v>
      </c>
      <c r="O6" s="1878">
        <f t="shared" si="0"/>
        <v>1146825.32</v>
      </c>
      <c r="P6" s="1878">
        <f t="shared" si="0"/>
        <v>645999.01</v>
      </c>
      <c r="Q6" s="1878">
        <f t="shared" si="0"/>
        <v>29842082.02</v>
      </c>
      <c r="R6" s="1878">
        <f t="shared" si="0"/>
        <v>33317363.699999992</v>
      </c>
    </row>
    <row r="7" spans="1:18" s="197" customFormat="1" ht="21" x14ac:dyDescent="0.15">
      <c r="A7" s="656" t="s">
        <v>3542</v>
      </c>
      <c r="B7" s="200">
        <f>+SUM(B8:B10)</f>
        <v>20256287.07</v>
      </c>
      <c r="C7" s="200">
        <f t="shared" ref="C7:R7" si="1">+SUM(C8:C10)</f>
        <v>0</v>
      </c>
      <c r="D7" s="200">
        <f t="shared" si="1"/>
        <v>0</v>
      </c>
      <c r="E7" s="200">
        <f t="shared" si="1"/>
        <v>1902</v>
      </c>
      <c r="F7" s="200">
        <f t="shared" si="1"/>
        <v>0</v>
      </c>
      <c r="G7" s="200">
        <f t="shared" si="1"/>
        <v>0</v>
      </c>
      <c r="H7" s="200">
        <f t="shared" si="1"/>
        <v>480724.47</v>
      </c>
      <c r="I7" s="200">
        <f t="shared" si="1"/>
        <v>19247017.379999999</v>
      </c>
      <c r="J7" s="200">
        <f t="shared" si="1"/>
        <v>120</v>
      </c>
      <c r="K7" s="200">
        <f t="shared" si="1"/>
        <v>314.61</v>
      </c>
      <c r="L7" s="200">
        <f t="shared" si="1"/>
        <v>418861.24</v>
      </c>
      <c r="M7" s="200">
        <f t="shared" si="1"/>
        <v>210</v>
      </c>
      <c r="N7" s="200">
        <f t="shared" si="1"/>
        <v>195</v>
      </c>
      <c r="O7" s="200">
        <f t="shared" si="1"/>
        <v>0</v>
      </c>
      <c r="P7" s="200">
        <f t="shared" si="1"/>
        <v>0</v>
      </c>
      <c r="Q7" s="200">
        <f t="shared" si="1"/>
        <v>0</v>
      </c>
      <c r="R7" s="200">
        <f t="shared" si="1"/>
        <v>106942.37</v>
      </c>
    </row>
    <row r="8" spans="1:18" x14ac:dyDescent="0.15">
      <c r="A8" s="1896" t="s">
        <v>2866</v>
      </c>
      <c r="B8" s="17">
        <f>+SUM(C8:R8)</f>
        <v>20654.5</v>
      </c>
      <c r="C8" s="17">
        <v>0</v>
      </c>
      <c r="D8" s="17">
        <v>0</v>
      </c>
      <c r="E8" s="17">
        <v>0</v>
      </c>
      <c r="F8" s="17">
        <v>0</v>
      </c>
      <c r="G8" s="17">
        <v>0</v>
      </c>
      <c r="H8" s="17">
        <v>0</v>
      </c>
      <c r="I8" s="17">
        <v>20654.5</v>
      </c>
      <c r="J8" s="17">
        <v>0</v>
      </c>
      <c r="K8" s="17">
        <v>0</v>
      </c>
      <c r="L8" s="17">
        <v>0</v>
      </c>
      <c r="M8" s="17">
        <v>0</v>
      </c>
      <c r="N8" s="17">
        <v>0</v>
      </c>
      <c r="O8" s="17">
        <v>0</v>
      </c>
      <c r="P8" s="17">
        <v>0</v>
      </c>
      <c r="Q8" s="17">
        <v>0</v>
      </c>
      <c r="R8" s="17">
        <v>0</v>
      </c>
    </row>
    <row r="9" spans="1:18" x14ac:dyDescent="0.15">
      <c r="A9" s="1896" t="s">
        <v>2867</v>
      </c>
      <c r="B9" s="17">
        <f t="shared" ref="B9:B10" si="2">+SUM(C9:R9)</f>
        <v>1092025.3499999999</v>
      </c>
      <c r="C9" s="17">
        <v>0</v>
      </c>
      <c r="D9" s="17">
        <v>0</v>
      </c>
      <c r="E9" s="17">
        <v>0</v>
      </c>
      <c r="F9" s="17">
        <v>0</v>
      </c>
      <c r="G9" s="17">
        <v>0</v>
      </c>
      <c r="H9" s="17">
        <v>479659.47</v>
      </c>
      <c r="I9" s="17">
        <v>178319.44999999998</v>
      </c>
      <c r="J9" s="17">
        <v>0</v>
      </c>
      <c r="K9" s="17">
        <v>0</v>
      </c>
      <c r="L9" s="17">
        <v>418861.24</v>
      </c>
      <c r="M9" s="17">
        <v>0</v>
      </c>
      <c r="N9" s="17">
        <v>0</v>
      </c>
      <c r="O9" s="17">
        <v>0</v>
      </c>
      <c r="P9" s="17">
        <v>0</v>
      </c>
      <c r="Q9" s="17">
        <v>0</v>
      </c>
      <c r="R9" s="17">
        <v>15185.19</v>
      </c>
    </row>
    <row r="10" spans="1:18" x14ac:dyDescent="0.15">
      <c r="A10" s="1896" t="s">
        <v>2543</v>
      </c>
      <c r="B10" s="17">
        <f t="shared" si="2"/>
        <v>19143607.219999999</v>
      </c>
      <c r="C10" s="17">
        <v>0</v>
      </c>
      <c r="D10" s="17">
        <v>0</v>
      </c>
      <c r="E10" s="17">
        <v>1902</v>
      </c>
      <c r="F10" s="17">
        <v>0</v>
      </c>
      <c r="G10" s="17">
        <v>0</v>
      </c>
      <c r="H10" s="17">
        <v>1065</v>
      </c>
      <c r="I10" s="17">
        <v>19048043.43</v>
      </c>
      <c r="J10" s="17">
        <v>120</v>
      </c>
      <c r="K10" s="17">
        <v>314.61</v>
      </c>
      <c r="L10" s="17">
        <v>0</v>
      </c>
      <c r="M10" s="17">
        <v>210</v>
      </c>
      <c r="N10" s="17">
        <v>195</v>
      </c>
      <c r="O10" s="17">
        <v>0</v>
      </c>
      <c r="P10" s="17">
        <v>0</v>
      </c>
      <c r="Q10" s="17">
        <v>0</v>
      </c>
      <c r="R10" s="17">
        <v>91757.18</v>
      </c>
    </row>
    <row r="11" spans="1:18" s="197" customFormat="1" x14ac:dyDescent="0.15">
      <c r="A11" s="656" t="s">
        <v>2873</v>
      </c>
      <c r="B11" s="200">
        <f>+SUM(B12:B13)</f>
        <v>42960982.950000003</v>
      </c>
      <c r="C11" s="200">
        <f t="shared" ref="C11:R11" si="3">+SUM(C12:C13)</f>
        <v>276.48</v>
      </c>
      <c r="D11" s="200">
        <f t="shared" si="3"/>
        <v>918.89</v>
      </c>
      <c r="E11" s="200">
        <f t="shared" si="3"/>
        <v>0</v>
      </c>
      <c r="F11" s="200">
        <f t="shared" si="3"/>
        <v>1933.5</v>
      </c>
      <c r="G11" s="200">
        <f t="shared" si="3"/>
        <v>0</v>
      </c>
      <c r="H11" s="200">
        <f t="shared" si="3"/>
        <v>5757</v>
      </c>
      <c r="I11" s="200">
        <f t="shared" si="3"/>
        <v>7119030.9099999983</v>
      </c>
      <c r="J11" s="200">
        <f t="shared" si="3"/>
        <v>132348</v>
      </c>
      <c r="K11" s="200">
        <f t="shared" si="3"/>
        <v>29439.979999999996</v>
      </c>
      <c r="L11" s="200">
        <f t="shared" si="3"/>
        <v>33114245.760000002</v>
      </c>
      <c r="M11" s="200">
        <f t="shared" si="3"/>
        <v>13599</v>
      </c>
      <c r="N11" s="200">
        <f t="shared" si="3"/>
        <v>0</v>
      </c>
      <c r="O11" s="200">
        <f t="shared" si="3"/>
        <v>0</v>
      </c>
      <c r="P11" s="200">
        <f t="shared" si="3"/>
        <v>0</v>
      </c>
      <c r="Q11" s="200">
        <f t="shared" si="3"/>
        <v>4786.5</v>
      </c>
      <c r="R11" s="200">
        <f t="shared" si="3"/>
        <v>2538646.9299999997</v>
      </c>
    </row>
    <row r="12" spans="1:18" x14ac:dyDescent="0.15">
      <c r="A12" s="1896" t="s">
        <v>3914</v>
      </c>
      <c r="B12" s="17">
        <f>+SUM(C12:R12)</f>
        <v>34097117.340000004</v>
      </c>
      <c r="C12" s="17">
        <v>0</v>
      </c>
      <c r="D12" s="17">
        <v>0</v>
      </c>
      <c r="E12" s="17">
        <v>0</v>
      </c>
      <c r="F12" s="17">
        <v>1933.5</v>
      </c>
      <c r="G12" s="17">
        <v>0</v>
      </c>
      <c r="H12" s="17">
        <v>0</v>
      </c>
      <c r="I12" s="17">
        <v>753513.24</v>
      </c>
      <c r="J12" s="17">
        <v>0</v>
      </c>
      <c r="K12" s="17">
        <v>16651.349999999999</v>
      </c>
      <c r="L12" s="17">
        <v>33087062.16</v>
      </c>
      <c r="M12" s="17">
        <v>0</v>
      </c>
      <c r="N12" s="17">
        <v>0</v>
      </c>
      <c r="O12" s="17">
        <v>0</v>
      </c>
      <c r="P12" s="17">
        <v>0</v>
      </c>
      <c r="Q12" s="17">
        <v>0</v>
      </c>
      <c r="R12" s="17">
        <v>237957.09</v>
      </c>
    </row>
    <row r="13" spans="1:18" x14ac:dyDescent="0.15">
      <c r="A13" s="1896" t="s">
        <v>2874</v>
      </c>
      <c r="B13" s="17">
        <f>+SUM(C13:R13)</f>
        <v>8863865.6099999975</v>
      </c>
      <c r="C13" s="17">
        <v>276.48</v>
      </c>
      <c r="D13" s="17">
        <v>918.89</v>
      </c>
      <c r="E13" s="17">
        <v>0</v>
      </c>
      <c r="F13" s="17">
        <v>0</v>
      </c>
      <c r="G13" s="17">
        <v>0</v>
      </c>
      <c r="H13" s="17">
        <v>5757</v>
      </c>
      <c r="I13" s="17">
        <v>6365517.6699999981</v>
      </c>
      <c r="J13" s="17">
        <v>132348</v>
      </c>
      <c r="K13" s="17">
        <v>12788.63</v>
      </c>
      <c r="L13" s="17">
        <v>27183.599999999999</v>
      </c>
      <c r="M13" s="17">
        <v>13599</v>
      </c>
      <c r="N13" s="17">
        <v>0</v>
      </c>
      <c r="O13" s="17">
        <v>0</v>
      </c>
      <c r="P13" s="17">
        <v>0</v>
      </c>
      <c r="Q13" s="17">
        <v>4786.5</v>
      </c>
      <c r="R13" s="17">
        <v>2300689.84</v>
      </c>
    </row>
    <row r="14" spans="1:18" s="197" customFormat="1" x14ac:dyDescent="0.15">
      <c r="A14" s="656" t="s">
        <v>3535</v>
      </c>
      <c r="B14" s="200">
        <f>+B15</f>
        <v>2085837.85</v>
      </c>
      <c r="C14" s="200">
        <f t="shared" ref="C14:R14" si="4">+C15</f>
        <v>0</v>
      </c>
      <c r="D14" s="200">
        <f t="shared" si="4"/>
        <v>6.73</v>
      </c>
      <c r="E14" s="200">
        <f t="shared" si="4"/>
        <v>0</v>
      </c>
      <c r="F14" s="200">
        <f t="shared" si="4"/>
        <v>0</v>
      </c>
      <c r="G14" s="200">
        <f t="shared" si="4"/>
        <v>0</v>
      </c>
      <c r="H14" s="200">
        <f t="shared" si="4"/>
        <v>0</v>
      </c>
      <c r="I14" s="200">
        <f t="shared" si="4"/>
        <v>649052.51</v>
      </c>
      <c r="J14" s="200">
        <f t="shared" si="4"/>
        <v>0</v>
      </c>
      <c r="K14" s="200">
        <f t="shared" si="4"/>
        <v>0</v>
      </c>
      <c r="L14" s="200">
        <f t="shared" si="4"/>
        <v>0</v>
      </c>
      <c r="M14" s="200">
        <f t="shared" si="4"/>
        <v>0</v>
      </c>
      <c r="N14" s="200">
        <f t="shared" si="4"/>
        <v>0</v>
      </c>
      <c r="O14" s="200">
        <f t="shared" si="4"/>
        <v>78.239999999999995</v>
      </c>
      <c r="P14" s="200">
        <f t="shared" si="4"/>
        <v>0</v>
      </c>
      <c r="Q14" s="200">
        <f t="shared" si="4"/>
        <v>200</v>
      </c>
      <c r="R14" s="200">
        <f t="shared" si="4"/>
        <v>1436500.37</v>
      </c>
    </row>
    <row r="15" spans="1:18" x14ac:dyDescent="0.15">
      <c r="A15" s="1896" t="s">
        <v>2540</v>
      </c>
      <c r="B15" s="17">
        <f>+SUM(C15:R15)</f>
        <v>2085837.85</v>
      </c>
      <c r="C15" s="17">
        <v>0</v>
      </c>
      <c r="D15" s="17">
        <v>6.73</v>
      </c>
      <c r="E15" s="17">
        <v>0</v>
      </c>
      <c r="F15" s="17">
        <v>0</v>
      </c>
      <c r="G15" s="17">
        <v>0</v>
      </c>
      <c r="H15" s="17">
        <v>0</v>
      </c>
      <c r="I15" s="17">
        <v>649052.51</v>
      </c>
      <c r="J15" s="17">
        <v>0</v>
      </c>
      <c r="K15" s="17">
        <v>0</v>
      </c>
      <c r="L15" s="17">
        <v>0</v>
      </c>
      <c r="M15" s="17">
        <v>0</v>
      </c>
      <c r="N15" s="17">
        <v>0</v>
      </c>
      <c r="O15" s="17">
        <v>78.239999999999995</v>
      </c>
      <c r="P15" s="17">
        <v>0</v>
      </c>
      <c r="Q15" s="17">
        <v>200</v>
      </c>
      <c r="R15" s="17">
        <v>1436500.37</v>
      </c>
    </row>
    <row r="16" spans="1:18" s="197" customFormat="1" x14ac:dyDescent="0.15">
      <c r="A16" s="656" t="s">
        <v>2880</v>
      </c>
      <c r="B16" s="200">
        <f>+SUM(B17:B18)</f>
        <v>4707148.3599999994</v>
      </c>
      <c r="C16" s="200">
        <f t="shared" ref="C16:R16" si="5">+SUM(C17:C18)</f>
        <v>477.6</v>
      </c>
      <c r="D16" s="200">
        <f t="shared" si="5"/>
        <v>0</v>
      </c>
      <c r="E16" s="200">
        <f t="shared" si="5"/>
        <v>0</v>
      </c>
      <c r="F16" s="200">
        <f t="shared" si="5"/>
        <v>0</v>
      </c>
      <c r="G16" s="200">
        <f t="shared" si="5"/>
        <v>0</v>
      </c>
      <c r="H16" s="200">
        <f t="shared" si="5"/>
        <v>25555.75</v>
      </c>
      <c r="I16" s="200">
        <f t="shared" si="5"/>
        <v>2127932.3099999996</v>
      </c>
      <c r="J16" s="200">
        <f t="shared" si="5"/>
        <v>30750</v>
      </c>
      <c r="K16" s="200">
        <f t="shared" si="5"/>
        <v>12036.98</v>
      </c>
      <c r="L16" s="200">
        <f t="shared" si="5"/>
        <v>0</v>
      </c>
      <c r="M16" s="200">
        <f t="shared" si="5"/>
        <v>2106</v>
      </c>
      <c r="N16" s="200">
        <f t="shared" si="5"/>
        <v>0</v>
      </c>
      <c r="O16" s="200">
        <f t="shared" si="5"/>
        <v>22169.11</v>
      </c>
      <c r="P16" s="200">
        <f t="shared" si="5"/>
        <v>0</v>
      </c>
      <c r="Q16" s="200">
        <f t="shared" si="5"/>
        <v>707.5</v>
      </c>
      <c r="R16" s="200">
        <f t="shared" si="5"/>
        <v>2485413.1100000003</v>
      </c>
    </row>
    <row r="17" spans="1:18" x14ac:dyDescent="0.15">
      <c r="A17" s="1896" t="s">
        <v>2851</v>
      </c>
      <c r="B17" s="17">
        <f>+SUM(C17:R17)</f>
        <v>1572641.0699999996</v>
      </c>
      <c r="C17" s="17">
        <v>477.6</v>
      </c>
      <c r="D17" s="17">
        <v>0</v>
      </c>
      <c r="E17" s="17">
        <v>0</v>
      </c>
      <c r="F17" s="17">
        <v>0</v>
      </c>
      <c r="G17" s="17">
        <v>0</v>
      </c>
      <c r="H17" s="17">
        <v>11650.3</v>
      </c>
      <c r="I17" s="17">
        <v>921500.43999999959</v>
      </c>
      <c r="J17" s="17">
        <v>30750</v>
      </c>
      <c r="K17" s="17">
        <v>12036.98</v>
      </c>
      <c r="L17" s="17">
        <v>0</v>
      </c>
      <c r="M17" s="17">
        <v>0</v>
      </c>
      <c r="N17" s="17">
        <v>0</v>
      </c>
      <c r="O17" s="17">
        <v>0</v>
      </c>
      <c r="P17" s="17">
        <v>0</v>
      </c>
      <c r="Q17" s="17">
        <v>0</v>
      </c>
      <c r="R17" s="17">
        <v>596225.75</v>
      </c>
    </row>
    <row r="18" spans="1:18" x14ac:dyDescent="0.15">
      <c r="A18" s="1896" t="s">
        <v>2881</v>
      </c>
      <c r="B18" s="17">
        <f>+SUM(C18:R18)</f>
        <v>3134507.29</v>
      </c>
      <c r="C18" s="200">
        <v>0</v>
      </c>
      <c r="D18" s="200">
        <v>0</v>
      </c>
      <c r="E18" s="200">
        <v>0</v>
      </c>
      <c r="F18" s="200">
        <v>0</v>
      </c>
      <c r="G18" s="200">
        <v>0</v>
      </c>
      <c r="H18" s="17">
        <v>13905.45</v>
      </c>
      <c r="I18" s="17">
        <v>1206431.8699999999</v>
      </c>
      <c r="J18" s="200">
        <v>0</v>
      </c>
      <c r="K18" s="200">
        <v>0</v>
      </c>
      <c r="L18" s="200">
        <v>0</v>
      </c>
      <c r="M18" s="17">
        <v>2106</v>
      </c>
      <c r="N18" s="200">
        <v>0</v>
      </c>
      <c r="O18" s="17">
        <v>22169.11</v>
      </c>
      <c r="P18" s="200">
        <v>0</v>
      </c>
      <c r="Q18" s="17">
        <v>707.5</v>
      </c>
      <c r="R18" s="17">
        <v>1889187.36</v>
      </c>
    </row>
    <row r="19" spans="1:18" s="197" customFormat="1" x14ac:dyDescent="0.15">
      <c r="A19" s="656" t="s">
        <v>2882</v>
      </c>
      <c r="B19" s="200">
        <f>+B20</f>
        <v>63892756.699999996</v>
      </c>
      <c r="C19" s="200">
        <f t="shared" ref="C19:R19" si="6">+C20</f>
        <v>15372</v>
      </c>
      <c r="D19" s="200">
        <f t="shared" si="6"/>
        <v>0</v>
      </c>
      <c r="E19" s="200">
        <f t="shared" si="6"/>
        <v>82042.080000000002</v>
      </c>
      <c r="F19" s="200">
        <f t="shared" si="6"/>
        <v>43138</v>
      </c>
      <c r="G19" s="200">
        <f t="shared" si="6"/>
        <v>40440.54</v>
      </c>
      <c r="H19" s="200">
        <f t="shared" si="6"/>
        <v>54855.67</v>
      </c>
      <c r="I19" s="200">
        <f t="shared" si="6"/>
        <v>12997579.799999999</v>
      </c>
      <c r="J19" s="200">
        <f t="shared" si="6"/>
        <v>970214.24</v>
      </c>
      <c r="K19" s="200">
        <f t="shared" si="6"/>
        <v>62849.73</v>
      </c>
      <c r="L19" s="200">
        <f t="shared" si="6"/>
        <v>15031814.519999998</v>
      </c>
      <c r="M19" s="200">
        <f t="shared" si="6"/>
        <v>554935.09</v>
      </c>
      <c r="N19" s="200">
        <f t="shared" si="6"/>
        <v>651495.62</v>
      </c>
      <c r="O19" s="200">
        <f t="shared" si="6"/>
        <v>971920.20000000007</v>
      </c>
      <c r="P19" s="200">
        <f t="shared" si="6"/>
        <v>645999.01</v>
      </c>
      <c r="Q19" s="200">
        <f t="shared" si="6"/>
        <v>29826425.009999998</v>
      </c>
      <c r="R19" s="200">
        <f t="shared" si="6"/>
        <v>1943675.1900000002</v>
      </c>
    </row>
    <row r="20" spans="1:18" x14ac:dyDescent="0.15">
      <c r="A20" s="1896" t="s">
        <v>2882</v>
      </c>
      <c r="B20" s="17">
        <f>+SUM(C20:R20)</f>
        <v>63892756.699999996</v>
      </c>
      <c r="C20" s="17">
        <v>15372</v>
      </c>
      <c r="D20" s="200">
        <v>0</v>
      </c>
      <c r="E20" s="17">
        <v>82042.080000000002</v>
      </c>
      <c r="F20" s="17">
        <v>43138</v>
      </c>
      <c r="G20" s="17">
        <v>40440.54</v>
      </c>
      <c r="H20" s="17">
        <v>54855.67</v>
      </c>
      <c r="I20" s="17">
        <v>12997579.799999999</v>
      </c>
      <c r="J20" s="17">
        <v>970214.24</v>
      </c>
      <c r="K20" s="17">
        <v>62849.73</v>
      </c>
      <c r="L20" s="17">
        <v>15031814.519999998</v>
      </c>
      <c r="M20" s="17">
        <v>554935.09</v>
      </c>
      <c r="N20" s="17">
        <v>651495.62</v>
      </c>
      <c r="O20" s="17">
        <v>971920.20000000007</v>
      </c>
      <c r="P20" s="17">
        <v>645999.01</v>
      </c>
      <c r="Q20" s="17">
        <v>29826425.009999998</v>
      </c>
      <c r="R20" s="17">
        <v>1943675.1900000002</v>
      </c>
    </row>
    <row r="21" spans="1:18" s="197" customFormat="1" ht="15" customHeight="1" x14ac:dyDescent="0.15">
      <c r="A21" s="656" t="s">
        <v>3543</v>
      </c>
      <c r="B21" s="1897">
        <f>+B22</f>
        <v>26904671.339999996</v>
      </c>
      <c r="C21" s="1897">
        <f t="shared" ref="C21:R21" si="7">+C22</f>
        <v>0</v>
      </c>
      <c r="D21" s="1897">
        <f t="shared" si="7"/>
        <v>43356.56</v>
      </c>
      <c r="E21" s="1897">
        <f t="shared" si="7"/>
        <v>58008.84</v>
      </c>
      <c r="F21" s="1897">
        <f t="shared" si="7"/>
        <v>0</v>
      </c>
      <c r="G21" s="1897">
        <f t="shared" si="7"/>
        <v>0</v>
      </c>
      <c r="H21" s="1897">
        <f t="shared" si="7"/>
        <v>407833.53999999992</v>
      </c>
      <c r="I21" s="1897">
        <f t="shared" si="7"/>
        <v>8270725.0800000038</v>
      </c>
      <c r="J21" s="1897">
        <f t="shared" si="7"/>
        <v>0</v>
      </c>
      <c r="K21" s="1897">
        <f t="shared" si="7"/>
        <v>14.52</v>
      </c>
      <c r="L21" s="1897">
        <f t="shared" si="7"/>
        <v>46122.74</v>
      </c>
      <c r="M21" s="1897">
        <f t="shared" si="7"/>
        <v>0</v>
      </c>
      <c r="N21" s="1897">
        <f t="shared" si="7"/>
        <v>0</v>
      </c>
      <c r="O21" s="1897">
        <f t="shared" si="7"/>
        <v>151252.34</v>
      </c>
      <c r="P21" s="1897">
        <f t="shared" si="7"/>
        <v>0</v>
      </c>
      <c r="Q21" s="1897">
        <f t="shared" si="7"/>
        <v>8613.01</v>
      </c>
      <c r="R21" s="1897">
        <f t="shared" si="7"/>
        <v>17918744.709999993</v>
      </c>
    </row>
    <row r="22" spans="1:18" x14ac:dyDescent="0.15">
      <c r="A22" s="1896" t="s">
        <v>3544</v>
      </c>
      <c r="B22" s="17">
        <f>+SUM(C22:R22)</f>
        <v>26904671.339999996</v>
      </c>
      <c r="C22" s="200">
        <v>0</v>
      </c>
      <c r="D22" s="17">
        <v>43356.56</v>
      </c>
      <c r="E22" s="17">
        <v>58008.84</v>
      </c>
      <c r="F22" s="200">
        <v>0</v>
      </c>
      <c r="G22" s="200">
        <v>0</v>
      </c>
      <c r="H22" s="17">
        <v>407833.53999999992</v>
      </c>
      <c r="I22" s="17">
        <v>8270725.0800000038</v>
      </c>
      <c r="J22" s="200">
        <v>0</v>
      </c>
      <c r="K22" s="17">
        <v>14.52</v>
      </c>
      <c r="L22" s="17">
        <v>46122.74</v>
      </c>
      <c r="M22" s="17">
        <v>0</v>
      </c>
      <c r="N22" s="200">
        <v>0</v>
      </c>
      <c r="O22" s="17">
        <v>151252.34</v>
      </c>
      <c r="P22" s="200">
        <v>0</v>
      </c>
      <c r="Q22" s="17">
        <v>8613.01</v>
      </c>
      <c r="R22" s="17">
        <v>17918744.709999993</v>
      </c>
    </row>
    <row r="23" spans="1:18" s="197" customFormat="1" ht="15" customHeight="1" x14ac:dyDescent="0.15">
      <c r="A23" s="656" t="s">
        <v>2901</v>
      </c>
      <c r="B23" s="200">
        <f>+SUM(B24:B26)</f>
        <v>8506602.9700000007</v>
      </c>
      <c r="C23" s="200">
        <f t="shared" ref="C23:R23" si="8">+SUM(C24:C26)</f>
        <v>9510</v>
      </c>
      <c r="D23" s="200">
        <f t="shared" si="8"/>
        <v>87.490000000000009</v>
      </c>
      <c r="E23" s="200">
        <f t="shared" si="8"/>
        <v>1628.49</v>
      </c>
      <c r="F23" s="200">
        <f t="shared" si="8"/>
        <v>0</v>
      </c>
      <c r="G23" s="200">
        <f t="shared" si="8"/>
        <v>77390</v>
      </c>
      <c r="H23" s="200">
        <f t="shared" si="8"/>
        <v>43935.62</v>
      </c>
      <c r="I23" s="200">
        <f t="shared" si="8"/>
        <v>1731603.1100000003</v>
      </c>
      <c r="J23" s="200">
        <f t="shared" si="8"/>
        <v>0</v>
      </c>
      <c r="K23" s="200">
        <f t="shared" si="8"/>
        <v>0</v>
      </c>
      <c r="L23" s="200">
        <f t="shared" si="8"/>
        <v>566.11</v>
      </c>
      <c r="M23" s="200">
        <f t="shared" si="8"/>
        <v>0</v>
      </c>
      <c r="N23" s="200">
        <f t="shared" si="8"/>
        <v>40</v>
      </c>
      <c r="O23" s="200">
        <f t="shared" si="8"/>
        <v>1405.4299999999998</v>
      </c>
      <c r="P23" s="200">
        <f t="shared" si="8"/>
        <v>0</v>
      </c>
      <c r="Q23" s="200">
        <f t="shared" si="8"/>
        <v>950</v>
      </c>
      <c r="R23" s="200">
        <f t="shared" si="8"/>
        <v>6639486.7199999997</v>
      </c>
    </row>
    <row r="24" spans="1:18" x14ac:dyDescent="0.15">
      <c r="A24" s="1896" t="s">
        <v>2416</v>
      </c>
      <c r="B24" s="17">
        <f>+SUM(C24:R24)</f>
        <v>1072586.1699999997</v>
      </c>
      <c r="C24" s="17">
        <v>0</v>
      </c>
      <c r="D24" s="17">
        <v>53.84</v>
      </c>
      <c r="E24" s="17">
        <v>1628.49</v>
      </c>
      <c r="F24" s="17">
        <v>0</v>
      </c>
      <c r="G24" s="17">
        <v>77390</v>
      </c>
      <c r="H24" s="17">
        <v>0</v>
      </c>
      <c r="I24" s="17">
        <v>222246.79999999996</v>
      </c>
      <c r="J24" s="17">
        <v>0</v>
      </c>
      <c r="K24" s="17">
        <v>0</v>
      </c>
      <c r="L24" s="17">
        <v>0</v>
      </c>
      <c r="M24" s="17">
        <v>0</v>
      </c>
      <c r="N24" s="17">
        <v>0</v>
      </c>
      <c r="O24" s="17">
        <v>0</v>
      </c>
      <c r="P24" s="17">
        <v>0</v>
      </c>
      <c r="Q24" s="17">
        <v>0</v>
      </c>
      <c r="R24" s="17">
        <v>771267.0399999998</v>
      </c>
    </row>
    <row r="25" spans="1:18" x14ac:dyDescent="0.15">
      <c r="A25" s="1896" t="s">
        <v>3915</v>
      </c>
      <c r="B25" s="17">
        <f t="shared" ref="B25:B26" si="9">+SUM(C25:R25)</f>
        <v>7217148.75</v>
      </c>
      <c r="C25" s="17">
        <v>9510</v>
      </c>
      <c r="D25" s="17">
        <v>33.65</v>
      </c>
      <c r="E25" s="200">
        <v>0</v>
      </c>
      <c r="F25" s="200">
        <v>0</v>
      </c>
      <c r="G25" s="200">
        <v>0</v>
      </c>
      <c r="H25" s="17">
        <v>43935.62</v>
      </c>
      <c r="I25" s="17">
        <v>1491962.4500000002</v>
      </c>
      <c r="J25" s="200">
        <v>0</v>
      </c>
      <c r="K25" s="200">
        <v>0</v>
      </c>
      <c r="L25" s="17">
        <v>566.11</v>
      </c>
      <c r="M25" s="200">
        <v>0</v>
      </c>
      <c r="N25" s="17">
        <v>40</v>
      </c>
      <c r="O25" s="17">
        <v>1405.4299999999998</v>
      </c>
      <c r="P25" s="200">
        <v>0</v>
      </c>
      <c r="Q25" s="17">
        <v>950</v>
      </c>
      <c r="R25" s="17">
        <v>5668745.4899999993</v>
      </c>
    </row>
    <row r="26" spans="1:18" x14ac:dyDescent="0.15">
      <c r="A26" s="1896" t="s">
        <v>3898</v>
      </c>
      <c r="B26" s="17">
        <f t="shared" si="9"/>
        <v>216868.05</v>
      </c>
      <c r="C26" s="200">
        <v>0</v>
      </c>
      <c r="D26" s="17">
        <v>0</v>
      </c>
      <c r="E26" s="17">
        <v>0</v>
      </c>
      <c r="F26" s="200">
        <v>0</v>
      </c>
      <c r="G26" s="200">
        <v>0</v>
      </c>
      <c r="H26" s="200">
        <v>0</v>
      </c>
      <c r="I26" s="17">
        <v>17393.86</v>
      </c>
      <c r="J26" s="200">
        <v>0</v>
      </c>
      <c r="K26" s="200">
        <v>0</v>
      </c>
      <c r="L26" s="200">
        <v>0</v>
      </c>
      <c r="M26" s="200">
        <v>0</v>
      </c>
      <c r="N26" s="200">
        <v>0</v>
      </c>
      <c r="O26" s="200">
        <v>0</v>
      </c>
      <c r="P26" s="200">
        <v>0</v>
      </c>
      <c r="Q26" s="200">
        <v>0</v>
      </c>
      <c r="R26" s="17">
        <v>199474.19</v>
      </c>
    </row>
    <row r="27" spans="1:18" s="197" customFormat="1" x14ac:dyDescent="0.15">
      <c r="A27" s="656" t="s">
        <v>2906</v>
      </c>
      <c r="B27" s="200">
        <f>+B28</f>
        <v>576313.8899999999</v>
      </c>
      <c r="C27" s="200">
        <f t="shared" ref="C27:R27" si="10">+C28</f>
        <v>0</v>
      </c>
      <c r="D27" s="200">
        <f t="shared" si="10"/>
        <v>0</v>
      </c>
      <c r="E27" s="200">
        <f t="shared" si="10"/>
        <v>0</v>
      </c>
      <c r="F27" s="200">
        <f t="shared" si="10"/>
        <v>0</v>
      </c>
      <c r="G27" s="200">
        <f t="shared" si="10"/>
        <v>0</v>
      </c>
      <c r="H27" s="200">
        <f t="shared" si="10"/>
        <v>0</v>
      </c>
      <c r="I27" s="200">
        <f t="shared" si="10"/>
        <v>327959.58999999997</v>
      </c>
      <c r="J27" s="200">
        <f t="shared" si="10"/>
        <v>0</v>
      </c>
      <c r="K27" s="200">
        <f t="shared" si="10"/>
        <v>0</v>
      </c>
      <c r="L27" s="200">
        <f t="shared" si="10"/>
        <v>0</v>
      </c>
      <c r="M27" s="200">
        <f t="shared" si="10"/>
        <v>0</v>
      </c>
      <c r="N27" s="200">
        <f t="shared" si="10"/>
        <v>0</v>
      </c>
      <c r="O27" s="200">
        <f t="shared" si="10"/>
        <v>0</v>
      </c>
      <c r="P27" s="200">
        <f t="shared" si="10"/>
        <v>0</v>
      </c>
      <c r="Q27" s="200">
        <f t="shared" si="10"/>
        <v>400</v>
      </c>
      <c r="R27" s="200">
        <f t="shared" si="10"/>
        <v>247954.3</v>
      </c>
    </row>
    <row r="28" spans="1:18" x14ac:dyDescent="0.15">
      <c r="A28" s="1896" t="s">
        <v>2906</v>
      </c>
      <c r="B28" s="17">
        <f>+SUM(C28:R28)</f>
        <v>576313.8899999999</v>
      </c>
      <c r="C28" s="200">
        <v>0</v>
      </c>
      <c r="D28" s="17">
        <v>0</v>
      </c>
      <c r="E28" s="17">
        <v>0</v>
      </c>
      <c r="F28" s="200">
        <v>0</v>
      </c>
      <c r="G28" s="200">
        <v>0</v>
      </c>
      <c r="H28" s="200">
        <v>0</v>
      </c>
      <c r="I28" s="17">
        <v>327959.58999999997</v>
      </c>
      <c r="J28" s="200">
        <v>0</v>
      </c>
      <c r="K28" s="200">
        <v>0</v>
      </c>
      <c r="L28" s="200">
        <v>0</v>
      </c>
      <c r="M28" s="200">
        <v>0</v>
      </c>
      <c r="N28" s="200">
        <v>0</v>
      </c>
      <c r="O28" s="200">
        <v>0</v>
      </c>
      <c r="P28" s="200">
        <v>0</v>
      </c>
      <c r="Q28" s="17">
        <v>400</v>
      </c>
      <c r="R28" s="17">
        <v>247954.3</v>
      </c>
    </row>
    <row r="31" spans="1:18" ht="22.5" customHeight="1" x14ac:dyDescent="0.15">
      <c r="A31" s="3507" t="s">
        <v>4043</v>
      </c>
      <c r="B31" s="3507"/>
      <c r="C31" s="3507"/>
      <c r="D31" s="3507"/>
      <c r="E31" s="3507"/>
      <c r="F31" s="3507"/>
      <c r="G31" s="3507"/>
      <c r="H31" s="3507"/>
      <c r="I31" s="3507"/>
      <c r="J31" s="3507"/>
      <c r="K31" s="3507"/>
      <c r="L31" s="3507"/>
      <c r="M31" s="3507"/>
      <c r="N31" s="3507"/>
      <c r="O31" s="3507"/>
      <c r="P31" s="3507"/>
      <c r="Q31" s="3507"/>
      <c r="R31" s="3507"/>
    </row>
    <row r="32" spans="1:18" x14ac:dyDescent="0.15">
      <c r="A32" s="3517" t="s">
        <v>20</v>
      </c>
      <c r="B32" s="3517"/>
      <c r="C32" s="3517"/>
      <c r="D32" s="3517"/>
      <c r="E32" s="3517"/>
      <c r="F32" s="3517"/>
      <c r="G32" s="3517"/>
      <c r="H32" s="3517"/>
      <c r="I32" s="3517"/>
    </row>
    <row r="33" spans="1:12" ht="15" customHeight="1" x14ac:dyDescent="0.15">
      <c r="A33" s="3516" t="s">
        <v>4041</v>
      </c>
      <c r="B33" s="3516"/>
      <c r="C33" s="3516"/>
      <c r="D33" s="3516"/>
      <c r="E33" s="3516"/>
      <c r="F33" s="3516"/>
      <c r="G33" s="3516"/>
      <c r="H33" s="3516"/>
      <c r="I33" s="3516"/>
      <c r="J33" s="3516"/>
      <c r="K33" s="3516"/>
      <c r="L33" s="3516"/>
    </row>
    <row r="36" spans="1:12" ht="15" x14ac:dyDescent="0.25">
      <c r="B36" s="643"/>
    </row>
  </sheetData>
  <mergeCells count="7">
    <mergeCell ref="A33:L33"/>
    <mergeCell ref="A2:R2"/>
    <mergeCell ref="A4:A5"/>
    <mergeCell ref="B4:B5"/>
    <mergeCell ref="C4:R4"/>
    <mergeCell ref="A31:R31"/>
    <mergeCell ref="A32:I32"/>
  </mergeCells>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5"/>
  <dimension ref="A2:U120"/>
  <sheetViews>
    <sheetView zoomScale="90" zoomScaleNormal="90" workbookViewId="0">
      <selection activeCell="G25" sqref="G25"/>
    </sheetView>
  </sheetViews>
  <sheetFormatPr baseColWidth="10" defaultRowHeight="10.5" x14ac:dyDescent="0.15"/>
  <cols>
    <col min="1" max="1" width="64.28515625" style="214" customWidth="1"/>
    <col min="2" max="2" width="15" style="214" customWidth="1"/>
    <col min="3" max="4" width="14.42578125" style="214" bestFit="1" customWidth="1"/>
    <col min="5" max="5" width="12.85546875" style="214" customWidth="1"/>
    <col min="6" max="6" width="14.42578125" style="214" bestFit="1" customWidth="1"/>
    <col min="7" max="7" width="15.7109375" style="214" bestFit="1" customWidth="1"/>
    <col min="8" max="8" width="17.7109375" style="214" bestFit="1" customWidth="1"/>
    <col min="9" max="9" width="19" style="214" bestFit="1" customWidth="1"/>
    <col min="10" max="10" width="17.7109375" style="214" bestFit="1" customWidth="1"/>
    <col min="11" max="11" width="15.7109375" style="214" bestFit="1" customWidth="1"/>
    <col min="12" max="12" width="19" style="214" bestFit="1" customWidth="1"/>
    <col min="13" max="14" width="15.7109375" style="214" bestFit="1" customWidth="1"/>
    <col min="15" max="15" width="17.7109375" style="214" bestFit="1" customWidth="1"/>
    <col min="16" max="16" width="15.7109375" style="214" bestFit="1" customWidth="1"/>
    <col min="17" max="17" width="18.7109375" style="214" customWidth="1"/>
    <col min="18" max="18" width="16.42578125" style="214" customWidth="1"/>
    <col min="19" max="19" width="11.42578125" style="214"/>
    <col min="20" max="20" width="12.5703125" style="214" bestFit="1" customWidth="1"/>
    <col min="21" max="16384" width="11.42578125" style="214"/>
  </cols>
  <sheetData>
    <row r="2" spans="1:21" ht="15" customHeight="1" x14ac:dyDescent="0.15">
      <c r="A2" s="3518" t="s">
        <v>4216</v>
      </c>
      <c r="B2" s="3518"/>
      <c r="C2" s="3518"/>
      <c r="D2" s="3518"/>
      <c r="E2" s="3279"/>
      <c r="F2" s="3279"/>
      <c r="G2" s="3279"/>
      <c r="H2" s="3279"/>
      <c r="I2" s="3279"/>
      <c r="J2" s="3279"/>
      <c r="K2" s="3279"/>
      <c r="L2" s="3279"/>
      <c r="M2" s="3279"/>
      <c r="N2" s="3279"/>
      <c r="O2" s="3279"/>
      <c r="P2" s="3279"/>
      <c r="Q2" s="3279"/>
      <c r="R2" s="3279"/>
    </row>
    <row r="4" spans="1:21" x14ac:dyDescent="0.15">
      <c r="A4" s="3509" t="s">
        <v>3936</v>
      </c>
      <c r="B4" s="3509" t="s">
        <v>141</v>
      </c>
      <c r="C4" s="3519" t="s">
        <v>982</v>
      </c>
      <c r="D4" s="3520"/>
      <c r="E4" s="3520"/>
      <c r="F4" s="3520"/>
      <c r="G4" s="3520"/>
      <c r="H4" s="3520"/>
      <c r="I4" s="3520"/>
      <c r="J4" s="3520"/>
      <c r="K4" s="3520"/>
      <c r="L4" s="3520"/>
      <c r="M4" s="3520"/>
      <c r="N4" s="3520"/>
      <c r="O4" s="3520"/>
      <c r="P4" s="3520"/>
      <c r="Q4" s="3520"/>
      <c r="R4" s="3521"/>
    </row>
    <row r="5" spans="1:21" ht="30" customHeight="1" x14ac:dyDescent="0.15">
      <c r="A5" s="3510"/>
      <c r="B5" s="3510"/>
      <c r="C5" s="240" t="s">
        <v>5</v>
      </c>
      <c r="D5" s="240" t="s">
        <v>6</v>
      </c>
      <c r="E5" s="240" t="s">
        <v>7</v>
      </c>
      <c r="F5" s="240" t="s">
        <v>8</v>
      </c>
      <c r="G5" s="240" t="s">
        <v>9</v>
      </c>
      <c r="H5" s="240" t="s">
        <v>10</v>
      </c>
      <c r="I5" s="240" t="s">
        <v>11</v>
      </c>
      <c r="J5" s="240" t="s">
        <v>12</v>
      </c>
      <c r="K5" s="240" t="s">
        <v>13</v>
      </c>
      <c r="L5" s="240" t="s">
        <v>14</v>
      </c>
      <c r="M5" s="240" t="s">
        <v>15</v>
      </c>
      <c r="N5" s="240" t="s">
        <v>301</v>
      </c>
      <c r="O5" s="240" t="s">
        <v>303</v>
      </c>
      <c r="P5" s="240" t="s">
        <v>18</v>
      </c>
      <c r="Q5" s="240" t="s">
        <v>19</v>
      </c>
      <c r="R5" s="240" t="s">
        <v>4042</v>
      </c>
    </row>
    <row r="6" spans="1:21" x14ac:dyDescent="0.15">
      <c r="A6" s="1895" t="s">
        <v>141</v>
      </c>
      <c r="B6" s="1646">
        <f>+B7+B16+B37+B45+B64+B98+B103+B112</f>
        <v>169890601.13</v>
      </c>
      <c r="C6" s="1646">
        <f t="shared" ref="C6:R6" si="0">+C7+C16+C37+C45+C64+C98+C103+C112</f>
        <v>25636.080000000002</v>
      </c>
      <c r="D6" s="1646">
        <f t="shared" si="0"/>
        <v>44369.67</v>
      </c>
      <c r="E6" s="1646">
        <f t="shared" si="0"/>
        <v>143581.41</v>
      </c>
      <c r="F6" s="1646">
        <f t="shared" si="0"/>
        <v>45071.5</v>
      </c>
      <c r="G6" s="1646">
        <f t="shared" si="0"/>
        <v>117830.54000000001</v>
      </c>
      <c r="H6" s="1646">
        <f t="shared" si="0"/>
        <v>1018662.0499999999</v>
      </c>
      <c r="I6" s="1646">
        <f t="shared" si="0"/>
        <v>52470900.689999998</v>
      </c>
      <c r="J6" s="1646">
        <f t="shared" si="0"/>
        <v>1133432.24</v>
      </c>
      <c r="K6" s="1646">
        <f t="shared" si="0"/>
        <v>104655.81999999999</v>
      </c>
      <c r="L6" s="1646">
        <f t="shared" si="0"/>
        <v>48611610.369999997</v>
      </c>
      <c r="M6" s="1646">
        <f t="shared" si="0"/>
        <v>570850.09</v>
      </c>
      <c r="N6" s="1646">
        <f t="shared" si="0"/>
        <v>651730.62</v>
      </c>
      <c r="O6" s="1646">
        <f t="shared" si="0"/>
        <v>1146825.32</v>
      </c>
      <c r="P6" s="1646">
        <f t="shared" si="0"/>
        <v>645999.00999999989</v>
      </c>
      <c r="Q6" s="1646">
        <f t="shared" si="0"/>
        <v>29842082.02</v>
      </c>
      <c r="R6" s="1646">
        <f t="shared" si="0"/>
        <v>33317363.699999996</v>
      </c>
      <c r="T6" s="1704"/>
    </row>
    <row r="7" spans="1:21" s="197" customFormat="1" x14ac:dyDescent="0.15">
      <c r="A7" s="197" t="s">
        <v>3542</v>
      </c>
      <c r="B7" s="200">
        <f>+B8+B10+B12</f>
        <v>20256287.07</v>
      </c>
      <c r="C7" s="200">
        <f t="shared" ref="C7:R7" si="1">+C8+C10+C12</f>
        <v>0</v>
      </c>
      <c r="D7" s="200">
        <f t="shared" si="1"/>
        <v>0</v>
      </c>
      <c r="E7" s="200">
        <f t="shared" si="1"/>
        <v>1902</v>
      </c>
      <c r="F7" s="200">
        <f t="shared" si="1"/>
        <v>0</v>
      </c>
      <c r="G7" s="200">
        <f t="shared" si="1"/>
        <v>0</v>
      </c>
      <c r="H7" s="200">
        <f t="shared" si="1"/>
        <v>480724.47</v>
      </c>
      <c r="I7" s="200">
        <f t="shared" si="1"/>
        <v>19247017.379999999</v>
      </c>
      <c r="J7" s="200">
        <f t="shared" si="1"/>
        <v>120</v>
      </c>
      <c r="K7" s="200">
        <f t="shared" si="1"/>
        <v>314.61</v>
      </c>
      <c r="L7" s="200">
        <f t="shared" si="1"/>
        <v>418861.24</v>
      </c>
      <c r="M7" s="200">
        <f t="shared" si="1"/>
        <v>210</v>
      </c>
      <c r="N7" s="200">
        <f t="shared" si="1"/>
        <v>195</v>
      </c>
      <c r="O7" s="200">
        <f t="shared" si="1"/>
        <v>0</v>
      </c>
      <c r="P7" s="200">
        <f t="shared" si="1"/>
        <v>0</v>
      </c>
      <c r="Q7" s="200">
        <f t="shared" si="1"/>
        <v>0</v>
      </c>
      <c r="R7" s="200">
        <f t="shared" si="1"/>
        <v>106942.36999999998</v>
      </c>
      <c r="T7" s="1704"/>
      <c r="U7" s="214"/>
    </row>
    <row r="8" spans="1:21" s="197" customFormat="1" x14ac:dyDescent="0.15">
      <c r="A8" s="1374" t="s">
        <v>2866</v>
      </c>
      <c r="B8" s="200">
        <f>+SUM(B9)</f>
        <v>20654.5</v>
      </c>
      <c r="C8" s="200">
        <f t="shared" ref="C8:R8" si="2">+SUM(C9)</f>
        <v>0</v>
      </c>
      <c r="D8" s="200">
        <f t="shared" si="2"/>
        <v>0</v>
      </c>
      <c r="E8" s="200">
        <f t="shared" si="2"/>
        <v>0</v>
      </c>
      <c r="F8" s="200">
        <f t="shared" si="2"/>
        <v>0</v>
      </c>
      <c r="G8" s="200">
        <f t="shared" si="2"/>
        <v>0</v>
      </c>
      <c r="H8" s="200">
        <f t="shared" si="2"/>
        <v>0</v>
      </c>
      <c r="I8" s="200">
        <f t="shared" si="2"/>
        <v>20654.5</v>
      </c>
      <c r="J8" s="200">
        <f t="shared" si="2"/>
        <v>0</v>
      </c>
      <c r="K8" s="200">
        <f t="shared" si="2"/>
        <v>0</v>
      </c>
      <c r="L8" s="200">
        <f t="shared" si="2"/>
        <v>0</v>
      </c>
      <c r="M8" s="200">
        <f t="shared" si="2"/>
        <v>0</v>
      </c>
      <c r="N8" s="200">
        <f t="shared" si="2"/>
        <v>0</v>
      </c>
      <c r="O8" s="200">
        <f t="shared" si="2"/>
        <v>0</v>
      </c>
      <c r="P8" s="200">
        <f t="shared" si="2"/>
        <v>0</v>
      </c>
      <c r="Q8" s="200">
        <f t="shared" si="2"/>
        <v>0</v>
      </c>
      <c r="R8" s="200">
        <f t="shared" si="2"/>
        <v>0</v>
      </c>
      <c r="T8" s="1704"/>
      <c r="U8" s="214"/>
    </row>
    <row r="9" spans="1:21" x14ac:dyDescent="0.15">
      <c r="A9" s="1380" t="s">
        <v>3992</v>
      </c>
      <c r="B9" s="17">
        <f>+SUM(C9:R9)</f>
        <v>20654.5</v>
      </c>
      <c r="C9" s="17">
        <v>0</v>
      </c>
      <c r="D9" s="17">
        <v>0</v>
      </c>
      <c r="E9" s="17">
        <v>0</v>
      </c>
      <c r="F9" s="17">
        <v>0</v>
      </c>
      <c r="G9" s="17">
        <v>0</v>
      </c>
      <c r="H9" s="17">
        <v>0</v>
      </c>
      <c r="I9" s="17">
        <v>20654.5</v>
      </c>
      <c r="J9" s="17">
        <v>0</v>
      </c>
      <c r="K9" s="17">
        <v>0</v>
      </c>
      <c r="L9" s="17">
        <v>0</v>
      </c>
      <c r="M9" s="17">
        <v>0</v>
      </c>
      <c r="N9" s="17">
        <v>0</v>
      </c>
      <c r="O9" s="17">
        <v>0</v>
      </c>
      <c r="P9" s="17">
        <v>0</v>
      </c>
      <c r="Q9" s="17">
        <v>0</v>
      </c>
      <c r="R9" s="17">
        <v>0</v>
      </c>
      <c r="T9" s="1704"/>
    </row>
    <row r="10" spans="1:21" s="197" customFormat="1" x14ac:dyDescent="0.15">
      <c r="A10" s="1374" t="s">
        <v>2867</v>
      </c>
      <c r="B10" s="200">
        <f>+B11</f>
        <v>1092025.3499999999</v>
      </c>
      <c r="C10" s="200">
        <f t="shared" ref="C10:R10" si="3">+C11</f>
        <v>0</v>
      </c>
      <c r="D10" s="200">
        <f t="shared" si="3"/>
        <v>0</v>
      </c>
      <c r="E10" s="200">
        <f t="shared" si="3"/>
        <v>0</v>
      </c>
      <c r="F10" s="200">
        <f t="shared" si="3"/>
        <v>0</v>
      </c>
      <c r="G10" s="200">
        <f t="shared" si="3"/>
        <v>0</v>
      </c>
      <c r="H10" s="200">
        <f t="shared" si="3"/>
        <v>479659.47</v>
      </c>
      <c r="I10" s="200">
        <f t="shared" si="3"/>
        <v>178319.44999999998</v>
      </c>
      <c r="J10" s="200">
        <f t="shared" si="3"/>
        <v>0</v>
      </c>
      <c r="K10" s="200">
        <f t="shared" si="3"/>
        <v>0</v>
      </c>
      <c r="L10" s="200">
        <f t="shared" si="3"/>
        <v>418861.24</v>
      </c>
      <c r="M10" s="200">
        <f t="shared" si="3"/>
        <v>0</v>
      </c>
      <c r="N10" s="200">
        <f t="shared" si="3"/>
        <v>0</v>
      </c>
      <c r="O10" s="200">
        <f t="shared" si="3"/>
        <v>0</v>
      </c>
      <c r="P10" s="200">
        <f t="shared" si="3"/>
        <v>0</v>
      </c>
      <c r="Q10" s="200">
        <f t="shared" si="3"/>
        <v>0</v>
      </c>
      <c r="R10" s="200">
        <f t="shared" si="3"/>
        <v>15185.19</v>
      </c>
      <c r="T10" s="1704"/>
      <c r="U10" s="214"/>
    </row>
    <row r="11" spans="1:21" x14ac:dyDescent="0.15">
      <c r="A11" s="1380" t="s">
        <v>3939</v>
      </c>
      <c r="B11" s="17">
        <f>+SUM(C11:R11)</f>
        <v>1092025.3499999999</v>
      </c>
      <c r="C11" s="17">
        <v>0</v>
      </c>
      <c r="D11" s="17">
        <v>0</v>
      </c>
      <c r="E11" s="17">
        <v>0</v>
      </c>
      <c r="F11" s="17">
        <v>0</v>
      </c>
      <c r="G11" s="17">
        <v>0</v>
      </c>
      <c r="H11" s="17">
        <v>479659.47</v>
      </c>
      <c r="I11" s="17">
        <v>178319.44999999998</v>
      </c>
      <c r="J11" s="17">
        <v>0</v>
      </c>
      <c r="K11" s="17">
        <v>0</v>
      </c>
      <c r="L11" s="17">
        <v>418861.24</v>
      </c>
      <c r="M11" s="17">
        <v>0</v>
      </c>
      <c r="N11" s="17">
        <v>0</v>
      </c>
      <c r="O11" s="17">
        <v>0</v>
      </c>
      <c r="P11" s="17">
        <v>0</v>
      </c>
      <c r="Q11" s="17">
        <v>0</v>
      </c>
      <c r="R11" s="17">
        <v>15185.19</v>
      </c>
      <c r="T11" s="1704"/>
    </row>
    <row r="12" spans="1:21" s="197" customFormat="1" x14ac:dyDescent="0.15">
      <c r="A12" s="1374" t="s">
        <v>2543</v>
      </c>
      <c r="B12" s="200">
        <f>+SUM(B13:B15)</f>
        <v>19143607.219999999</v>
      </c>
      <c r="C12" s="200">
        <f t="shared" ref="C12:R12" si="4">+SUM(C13:C15)</f>
        <v>0</v>
      </c>
      <c r="D12" s="200">
        <f t="shared" si="4"/>
        <v>0</v>
      </c>
      <c r="E12" s="200">
        <f t="shared" si="4"/>
        <v>1902</v>
      </c>
      <c r="F12" s="200">
        <f t="shared" si="4"/>
        <v>0</v>
      </c>
      <c r="G12" s="200">
        <f t="shared" si="4"/>
        <v>0</v>
      </c>
      <c r="H12" s="200">
        <f t="shared" si="4"/>
        <v>1065</v>
      </c>
      <c r="I12" s="200">
        <f t="shared" si="4"/>
        <v>19048043.43</v>
      </c>
      <c r="J12" s="200">
        <f t="shared" si="4"/>
        <v>120</v>
      </c>
      <c r="K12" s="200">
        <f t="shared" si="4"/>
        <v>314.61</v>
      </c>
      <c r="L12" s="200">
        <f t="shared" si="4"/>
        <v>0</v>
      </c>
      <c r="M12" s="200">
        <f t="shared" si="4"/>
        <v>210</v>
      </c>
      <c r="N12" s="200">
        <f t="shared" si="4"/>
        <v>195</v>
      </c>
      <c r="O12" s="200">
        <f t="shared" si="4"/>
        <v>0</v>
      </c>
      <c r="P12" s="200">
        <f t="shared" si="4"/>
        <v>0</v>
      </c>
      <c r="Q12" s="200">
        <f t="shared" si="4"/>
        <v>0</v>
      </c>
      <c r="R12" s="200">
        <f t="shared" si="4"/>
        <v>91757.179999999978</v>
      </c>
      <c r="T12" s="1704"/>
      <c r="U12" s="214"/>
    </row>
    <row r="13" spans="1:21" x14ac:dyDescent="0.15">
      <c r="A13" s="1380" t="s">
        <v>3993</v>
      </c>
      <c r="B13" s="17">
        <f>+SUM(C13:R13)</f>
        <v>18971585.82</v>
      </c>
      <c r="C13" s="17">
        <v>0</v>
      </c>
      <c r="D13" s="17">
        <v>0</v>
      </c>
      <c r="E13" s="17">
        <v>1902</v>
      </c>
      <c r="F13" s="17">
        <v>0</v>
      </c>
      <c r="G13" s="17">
        <v>0</v>
      </c>
      <c r="H13" s="17">
        <v>1065</v>
      </c>
      <c r="I13" s="17">
        <v>18890941.390000001</v>
      </c>
      <c r="J13" s="17">
        <v>120</v>
      </c>
      <c r="K13" s="17">
        <v>314.61</v>
      </c>
      <c r="L13" s="17">
        <v>0</v>
      </c>
      <c r="M13" s="17">
        <v>210</v>
      </c>
      <c r="N13" s="17">
        <v>195</v>
      </c>
      <c r="O13" s="17">
        <v>0</v>
      </c>
      <c r="P13" s="17">
        <v>0</v>
      </c>
      <c r="Q13" s="17">
        <v>0</v>
      </c>
      <c r="R13" s="17">
        <v>76837.819999999978</v>
      </c>
      <c r="T13" s="1704"/>
    </row>
    <row r="14" spans="1:21" x14ac:dyDescent="0.15">
      <c r="A14" s="1380" t="s">
        <v>3994</v>
      </c>
      <c r="B14" s="17">
        <f t="shared" ref="B14:B15" si="5">+SUM(C14:R14)</f>
        <v>141659.18</v>
      </c>
      <c r="C14" s="200">
        <v>0</v>
      </c>
      <c r="D14" s="200">
        <v>0</v>
      </c>
      <c r="E14" s="200">
        <v>0</v>
      </c>
      <c r="F14" s="200">
        <v>0</v>
      </c>
      <c r="G14" s="200">
        <v>0</v>
      </c>
      <c r="H14" s="200">
        <v>0</v>
      </c>
      <c r="I14" s="17">
        <v>131347.63999999998</v>
      </c>
      <c r="J14" s="200">
        <v>0</v>
      </c>
      <c r="K14" s="200">
        <v>0</v>
      </c>
      <c r="L14" s="200">
        <v>0</v>
      </c>
      <c r="M14" s="200">
        <v>0</v>
      </c>
      <c r="N14" s="200">
        <v>0</v>
      </c>
      <c r="O14" s="200">
        <v>0</v>
      </c>
      <c r="P14" s="200">
        <v>0</v>
      </c>
      <c r="Q14" s="200">
        <v>0</v>
      </c>
      <c r="R14" s="17">
        <v>10311.539999999999</v>
      </c>
      <c r="T14" s="1704"/>
    </row>
    <row r="15" spans="1:21" x14ac:dyDescent="0.15">
      <c r="A15" s="1380" t="s">
        <v>3940</v>
      </c>
      <c r="B15" s="17">
        <f t="shared" si="5"/>
        <v>30362.22</v>
      </c>
      <c r="C15" s="17">
        <v>0</v>
      </c>
      <c r="D15" s="17">
        <v>0</v>
      </c>
      <c r="E15" s="17">
        <v>0</v>
      </c>
      <c r="F15" s="17">
        <v>0</v>
      </c>
      <c r="G15" s="17">
        <v>0</v>
      </c>
      <c r="H15" s="17">
        <v>0</v>
      </c>
      <c r="I15" s="17">
        <v>25754.400000000001</v>
      </c>
      <c r="J15" s="17">
        <v>0</v>
      </c>
      <c r="K15" s="17">
        <v>0</v>
      </c>
      <c r="L15" s="17">
        <v>0</v>
      </c>
      <c r="M15" s="17">
        <v>0</v>
      </c>
      <c r="N15" s="17">
        <v>0</v>
      </c>
      <c r="O15" s="17">
        <v>0</v>
      </c>
      <c r="P15" s="17">
        <v>0</v>
      </c>
      <c r="Q15" s="17">
        <v>0</v>
      </c>
      <c r="R15" s="17">
        <v>4607.8200000000006</v>
      </c>
      <c r="T15" s="1704"/>
    </row>
    <row r="16" spans="1:21" s="197" customFormat="1" x14ac:dyDescent="0.15">
      <c r="A16" s="197" t="s">
        <v>2873</v>
      </c>
      <c r="B16" s="200">
        <f>+B17+B20</f>
        <v>42960982.950000003</v>
      </c>
      <c r="C16" s="200">
        <f t="shared" ref="C16:R16" si="6">+C17+C20</f>
        <v>276.48</v>
      </c>
      <c r="D16" s="200">
        <f t="shared" si="6"/>
        <v>918.89</v>
      </c>
      <c r="E16" s="200">
        <f t="shared" si="6"/>
        <v>0</v>
      </c>
      <c r="F16" s="200">
        <f t="shared" si="6"/>
        <v>1933.5</v>
      </c>
      <c r="G16" s="200">
        <f t="shared" si="6"/>
        <v>0</v>
      </c>
      <c r="H16" s="200">
        <f t="shared" si="6"/>
        <v>5757</v>
      </c>
      <c r="I16" s="200">
        <f t="shared" si="6"/>
        <v>7119030.9100000001</v>
      </c>
      <c r="J16" s="200">
        <f t="shared" si="6"/>
        <v>132348</v>
      </c>
      <c r="K16" s="200">
        <f t="shared" si="6"/>
        <v>29439.979999999996</v>
      </c>
      <c r="L16" s="200">
        <f t="shared" si="6"/>
        <v>33114245.760000002</v>
      </c>
      <c r="M16" s="200">
        <f t="shared" si="6"/>
        <v>13599</v>
      </c>
      <c r="N16" s="200">
        <f t="shared" si="6"/>
        <v>0</v>
      </c>
      <c r="O16" s="200">
        <f t="shared" si="6"/>
        <v>0</v>
      </c>
      <c r="P16" s="200">
        <f t="shared" si="6"/>
        <v>0</v>
      </c>
      <c r="Q16" s="200">
        <f t="shared" si="6"/>
        <v>4786.5</v>
      </c>
      <c r="R16" s="200">
        <f t="shared" si="6"/>
        <v>2538646.9299999997</v>
      </c>
      <c r="T16" s="1704"/>
      <c r="U16" s="214"/>
    </row>
    <row r="17" spans="1:21" s="197" customFormat="1" x14ac:dyDescent="0.15">
      <c r="A17" s="1374" t="s">
        <v>3914</v>
      </c>
      <c r="B17" s="200">
        <f>+SUM(B18:B19)</f>
        <v>34097117.340000004</v>
      </c>
      <c r="C17" s="200">
        <f t="shared" ref="C17:R17" si="7">+SUM(C18:C19)</f>
        <v>0</v>
      </c>
      <c r="D17" s="200">
        <f t="shared" si="7"/>
        <v>0</v>
      </c>
      <c r="E17" s="200">
        <f t="shared" si="7"/>
        <v>0</v>
      </c>
      <c r="F17" s="200">
        <f t="shared" si="7"/>
        <v>1933.5</v>
      </c>
      <c r="G17" s="200">
        <f t="shared" si="7"/>
        <v>0</v>
      </c>
      <c r="H17" s="200">
        <f t="shared" si="7"/>
        <v>0</v>
      </c>
      <c r="I17" s="200">
        <f t="shared" si="7"/>
        <v>753513.24</v>
      </c>
      <c r="J17" s="200">
        <f t="shared" si="7"/>
        <v>0</v>
      </c>
      <c r="K17" s="200">
        <f t="shared" si="7"/>
        <v>16651.349999999999</v>
      </c>
      <c r="L17" s="200">
        <f t="shared" si="7"/>
        <v>33087062.16</v>
      </c>
      <c r="M17" s="200">
        <f t="shared" si="7"/>
        <v>0</v>
      </c>
      <c r="N17" s="200">
        <f t="shared" si="7"/>
        <v>0</v>
      </c>
      <c r="O17" s="200">
        <f t="shared" si="7"/>
        <v>0</v>
      </c>
      <c r="P17" s="200">
        <f t="shared" si="7"/>
        <v>0</v>
      </c>
      <c r="Q17" s="200">
        <f t="shared" si="7"/>
        <v>0</v>
      </c>
      <c r="R17" s="200">
        <f t="shared" si="7"/>
        <v>237957.09</v>
      </c>
      <c r="T17" s="1704"/>
      <c r="U17" s="214"/>
    </row>
    <row r="18" spans="1:21" x14ac:dyDescent="0.15">
      <c r="A18" s="1380" t="s">
        <v>3914</v>
      </c>
      <c r="B18" s="17">
        <f>+SUM(C18:R18)</f>
        <v>881460.86</v>
      </c>
      <c r="C18" s="200">
        <v>0</v>
      </c>
      <c r="D18" s="200">
        <v>0</v>
      </c>
      <c r="E18" s="200">
        <v>0</v>
      </c>
      <c r="F18" s="17">
        <v>1933.5</v>
      </c>
      <c r="G18" s="200">
        <v>0</v>
      </c>
      <c r="H18" s="200">
        <v>0</v>
      </c>
      <c r="I18" s="17">
        <v>641570.27</v>
      </c>
      <c r="J18" s="200">
        <v>0</v>
      </c>
      <c r="K18" s="200">
        <v>0</v>
      </c>
      <c r="L18" s="200">
        <v>0</v>
      </c>
      <c r="M18" s="200">
        <v>0</v>
      </c>
      <c r="N18" s="200">
        <v>0</v>
      </c>
      <c r="O18" s="200">
        <v>0</v>
      </c>
      <c r="P18" s="200">
        <v>0</v>
      </c>
      <c r="Q18" s="200">
        <v>0</v>
      </c>
      <c r="R18" s="17">
        <v>237957.09</v>
      </c>
      <c r="T18" s="1704"/>
    </row>
    <row r="19" spans="1:21" x14ac:dyDescent="0.15">
      <c r="A19" s="1380" t="s">
        <v>3941</v>
      </c>
      <c r="B19" s="17">
        <f>+SUM(C19:R19)</f>
        <v>33215656.48</v>
      </c>
      <c r="C19" s="200">
        <v>0</v>
      </c>
      <c r="D19" s="200">
        <v>0</v>
      </c>
      <c r="E19" s="200">
        <v>0</v>
      </c>
      <c r="F19" s="200">
        <v>0</v>
      </c>
      <c r="G19" s="200">
        <v>0</v>
      </c>
      <c r="H19" s="200">
        <v>0</v>
      </c>
      <c r="I19" s="17">
        <v>111942.97</v>
      </c>
      <c r="J19" s="200">
        <v>0</v>
      </c>
      <c r="K19" s="17">
        <v>16651.349999999999</v>
      </c>
      <c r="L19" s="17">
        <v>33087062.16</v>
      </c>
      <c r="M19" s="200">
        <v>0</v>
      </c>
      <c r="N19" s="200">
        <v>0</v>
      </c>
      <c r="O19" s="200">
        <v>0</v>
      </c>
      <c r="P19" s="200">
        <v>0</v>
      </c>
      <c r="Q19" s="200">
        <v>0</v>
      </c>
      <c r="R19" s="200">
        <v>0</v>
      </c>
      <c r="T19" s="1704"/>
    </row>
    <row r="20" spans="1:21" s="197" customFormat="1" x14ac:dyDescent="0.15">
      <c r="A20" s="1374" t="s">
        <v>2874</v>
      </c>
      <c r="B20" s="200">
        <f>+SUM(B21:B36)</f>
        <v>8863865.6099999994</v>
      </c>
      <c r="C20" s="200">
        <f t="shared" ref="C20:R20" si="8">+SUM(C21:C36)</f>
        <v>276.48</v>
      </c>
      <c r="D20" s="200">
        <f t="shared" si="8"/>
        <v>918.89</v>
      </c>
      <c r="E20" s="200">
        <f t="shared" si="8"/>
        <v>0</v>
      </c>
      <c r="F20" s="200">
        <f t="shared" si="8"/>
        <v>0</v>
      </c>
      <c r="G20" s="200">
        <f t="shared" si="8"/>
        <v>0</v>
      </c>
      <c r="H20" s="200">
        <f t="shared" si="8"/>
        <v>5757</v>
      </c>
      <c r="I20" s="200">
        <f t="shared" si="8"/>
        <v>6365517.6699999999</v>
      </c>
      <c r="J20" s="200">
        <f t="shared" si="8"/>
        <v>132348</v>
      </c>
      <c r="K20" s="200">
        <f t="shared" si="8"/>
        <v>12788.63</v>
      </c>
      <c r="L20" s="200">
        <f t="shared" si="8"/>
        <v>27183.599999999999</v>
      </c>
      <c r="M20" s="200">
        <f t="shared" si="8"/>
        <v>13599</v>
      </c>
      <c r="N20" s="200">
        <f t="shared" si="8"/>
        <v>0</v>
      </c>
      <c r="O20" s="200">
        <f t="shared" si="8"/>
        <v>0</v>
      </c>
      <c r="P20" s="200">
        <f t="shared" si="8"/>
        <v>0</v>
      </c>
      <c r="Q20" s="200">
        <f t="shared" si="8"/>
        <v>4786.5</v>
      </c>
      <c r="R20" s="200">
        <f t="shared" si="8"/>
        <v>2300689.84</v>
      </c>
      <c r="T20" s="1704"/>
      <c r="U20" s="214"/>
    </row>
    <row r="21" spans="1:21" x14ac:dyDescent="0.15">
      <c r="A21" s="1380" t="s">
        <v>3996</v>
      </c>
      <c r="B21" s="17">
        <f>+SUM(C21:R21)</f>
        <v>246777.24</v>
      </c>
      <c r="C21" s="17">
        <v>0</v>
      </c>
      <c r="D21" s="17">
        <v>0</v>
      </c>
      <c r="E21" s="17">
        <v>0</v>
      </c>
      <c r="F21" s="17">
        <v>0</v>
      </c>
      <c r="G21" s="17">
        <v>0</v>
      </c>
      <c r="H21" s="17">
        <v>0</v>
      </c>
      <c r="I21" s="17">
        <v>232144.4</v>
      </c>
      <c r="J21" s="17">
        <v>0</v>
      </c>
      <c r="K21" s="17">
        <v>12788.63</v>
      </c>
      <c r="L21" s="17">
        <v>0</v>
      </c>
      <c r="M21" s="17">
        <v>0</v>
      </c>
      <c r="N21" s="17">
        <v>0</v>
      </c>
      <c r="O21" s="17">
        <v>0</v>
      </c>
      <c r="P21" s="17">
        <v>0</v>
      </c>
      <c r="Q21" s="17">
        <v>0</v>
      </c>
      <c r="R21" s="17">
        <v>1844.2099999999998</v>
      </c>
      <c r="T21" s="1704"/>
    </row>
    <row r="22" spans="1:21" x14ac:dyDescent="0.15">
      <c r="A22" s="1380" t="s">
        <v>3997</v>
      </c>
      <c r="B22" s="17">
        <f t="shared" ref="B22:B36" si="9">+SUM(C22:R22)</f>
        <v>245058.40000000002</v>
      </c>
      <c r="C22" s="200">
        <v>0</v>
      </c>
      <c r="D22" s="200">
        <v>0</v>
      </c>
      <c r="E22" s="200">
        <v>0</v>
      </c>
      <c r="F22" s="200">
        <v>0</v>
      </c>
      <c r="G22" s="200">
        <v>0</v>
      </c>
      <c r="H22" s="200">
        <v>0</v>
      </c>
      <c r="I22" s="17">
        <v>55716.35</v>
      </c>
      <c r="J22" s="200">
        <v>0</v>
      </c>
      <c r="K22" s="200">
        <v>0</v>
      </c>
      <c r="L22" s="200">
        <v>0</v>
      </c>
      <c r="M22" s="200">
        <v>0</v>
      </c>
      <c r="N22" s="200">
        <v>0</v>
      </c>
      <c r="O22" s="200">
        <v>0</v>
      </c>
      <c r="P22" s="200">
        <v>0</v>
      </c>
      <c r="Q22" s="17">
        <v>480</v>
      </c>
      <c r="R22" s="17">
        <v>188862.05000000002</v>
      </c>
      <c r="T22" s="1704"/>
    </row>
    <row r="23" spans="1:21" x14ac:dyDescent="0.15">
      <c r="A23" s="1380" t="s">
        <v>3999</v>
      </c>
      <c r="B23" s="17">
        <f t="shared" si="9"/>
        <v>449818.65</v>
      </c>
      <c r="C23" s="200">
        <v>0</v>
      </c>
      <c r="D23" s="200">
        <v>0</v>
      </c>
      <c r="E23" s="200">
        <v>0</v>
      </c>
      <c r="F23" s="200">
        <v>0</v>
      </c>
      <c r="G23" s="200">
        <v>0</v>
      </c>
      <c r="H23" s="200">
        <v>0</v>
      </c>
      <c r="I23" s="17">
        <v>158936.93000000002</v>
      </c>
      <c r="J23" s="200">
        <v>0</v>
      </c>
      <c r="K23" s="200">
        <v>0</v>
      </c>
      <c r="L23" s="200">
        <v>0</v>
      </c>
      <c r="M23" s="200">
        <v>0</v>
      </c>
      <c r="N23" s="200">
        <v>0</v>
      </c>
      <c r="O23" s="200">
        <v>0</v>
      </c>
      <c r="P23" s="200">
        <v>0</v>
      </c>
      <c r="Q23" s="200">
        <v>0</v>
      </c>
      <c r="R23" s="17">
        <v>290881.72000000003</v>
      </c>
      <c r="T23" s="1704"/>
    </row>
    <row r="24" spans="1:21" x14ac:dyDescent="0.15">
      <c r="A24" s="1380" t="s">
        <v>4000</v>
      </c>
      <c r="B24" s="17">
        <f t="shared" si="9"/>
        <v>410540.69</v>
      </c>
      <c r="C24" s="200">
        <v>0</v>
      </c>
      <c r="D24" s="17">
        <v>74.03</v>
      </c>
      <c r="E24" s="200">
        <v>0</v>
      </c>
      <c r="F24" s="200">
        <v>0</v>
      </c>
      <c r="G24" s="200">
        <v>0</v>
      </c>
      <c r="H24" s="200">
        <v>0</v>
      </c>
      <c r="I24" s="17">
        <v>295940.07999999996</v>
      </c>
      <c r="J24" s="200">
        <v>0</v>
      </c>
      <c r="K24" s="200">
        <v>0</v>
      </c>
      <c r="L24" s="200">
        <v>0</v>
      </c>
      <c r="M24" s="200">
        <v>0</v>
      </c>
      <c r="N24" s="200">
        <v>0</v>
      </c>
      <c r="O24" s="200">
        <v>0</v>
      </c>
      <c r="P24" s="200">
        <v>0</v>
      </c>
      <c r="Q24" s="200">
        <v>0</v>
      </c>
      <c r="R24" s="17">
        <v>114526.58</v>
      </c>
      <c r="T24" s="1704"/>
    </row>
    <row r="25" spans="1:21" x14ac:dyDescent="0.15">
      <c r="A25" s="1380" t="s">
        <v>4001</v>
      </c>
      <c r="B25" s="17">
        <f t="shared" si="9"/>
        <v>132085.95000000001</v>
      </c>
      <c r="C25" s="200">
        <v>0</v>
      </c>
      <c r="D25" s="200">
        <v>0</v>
      </c>
      <c r="E25" s="200">
        <v>0</v>
      </c>
      <c r="F25" s="200">
        <v>0</v>
      </c>
      <c r="G25" s="200">
        <v>0</v>
      </c>
      <c r="H25" s="200">
        <v>0</v>
      </c>
      <c r="I25" s="17">
        <v>67675.56</v>
      </c>
      <c r="J25" s="200">
        <v>0</v>
      </c>
      <c r="K25" s="200">
        <v>0</v>
      </c>
      <c r="L25" s="200">
        <v>0</v>
      </c>
      <c r="M25" s="200">
        <v>0</v>
      </c>
      <c r="N25" s="200">
        <v>0</v>
      </c>
      <c r="O25" s="200">
        <v>0</v>
      </c>
      <c r="P25" s="200">
        <v>0</v>
      </c>
      <c r="Q25" s="200">
        <v>0</v>
      </c>
      <c r="R25" s="17">
        <v>64410.39</v>
      </c>
      <c r="T25" s="1704"/>
    </row>
    <row r="26" spans="1:21" x14ac:dyDescent="0.15">
      <c r="A26" s="1380" t="s">
        <v>4002</v>
      </c>
      <c r="B26" s="17">
        <f t="shared" si="9"/>
        <v>2117209.87</v>
      </c>
      <c r="C26" s="200">
        <v>0</v>
      </c>
      <c r="D26" s="200">
        <v>0</v>
      </c>
      <c r="E26" s="200">
        <v>0</v>
      </c>
      <c r="F26" s="200">
        <v>0</v>
      </c>
      <c r="G26" s="200">
        <v>0</v>
      </c>
      <c r="H26" s="17">
        <v>634.71</v>
      </c>
      <c r="I26" s="17">
        <v>1150638.8399999999</v>
      </c>
      <c r="J26" s="17">
        <v>2348</v>
      </c>
      <c r="K26" s="200">
        <v>0</v>
      </c>
      <c r="L26" s="200">
        <v>0</v>
      </c>
      <c r="M26" s="200">
        <v>0</v>
      </c>
      <c r="N26" s="200">
        <v>0</v>
      </c>
      <c r="O26" s="200">
        <v>0</v>
      </c>
      <c r="P26" s="200">
        <v>0</v>
      </c>
      <c r="Q26" s="200">
        <v>0</v>
      </c>
      <c r="R26" s="17">
        <v>963588.32000000007</v>
      </c>
      <c r="T26" s="1704"/>
    </row>
    <row r="27" spans="1:21" x14ac:dyDescent="0.15">
      <c r="A27" s="1380" t="s">
        <v>4003</v>
      </c>
      <c r="B27" s="17">
        <f t="shared" si="9"/>
        <v>734287.08999999985</v>
      </c>
      <c r="C27" s="200">
        <v>0</v>
      </c>
      <c r="D27" s="200">
        <v>0</v>
      </c>
      <c r="E27" s="200">
        <v>0</v>
      </c>
      <c r="F27" s="200">
        <v>0</v>
      </c>
      <c r="G27" s="200">
        <v>0</v>
      </c>
      <c r="H27" s="200">
        <v>0</v>
      </c>
      <c r="I27" s="17">
        <v>575769.74999999988</v>
      </c>
      <c r="J27" s="200">
        <v>0</v>
      </c>
      <c r="K27" s="200">
        <v>0</v>
      </c>
      <c r="L27" s="200">
        <v>0</v>
      </c>
      <c r="M27" s="200">
        <v>0</v>
      </c>
      <c r="N27" s="200">
        <v>0</v>
      </c>
      <c r="O27" s="200">
        <v>0</v>
      </c>
      <c r="P27" s="200">
        <v>0</v>
      </c>
      <c r="Q27" s="200">
        <v>0</v>
      </c>
      <c r="R27" s="17">
        <v>158517.34</v>
      </c>
      <c r="T27" s="1704"/>
    </row>
    <row r="28" spans="1:21" x14ac:dyDescent="0.15">
      <c r="A28" s="1380" t="s">
        <v>4004</v>
      </c>
      <c r="B28" s="17">
        <f t="shared" si="9"/>
        <v>172055.38</v>
      </c>
      <c r="C28" s="200">
        <v>0</v>
      </c>
      <c r="D28" s="200">
        <v>0</v>
      </c>
      <c r="E28" s="200">
        <v>0</v>
      </c>
      <c r="F28" s="200">
        <v>0</v>
      </c>
      <c r="G28" s="200">
        <v>0</v>
      </c>
      <c r="H28" s="200">
        <v>0</v>
      </c>
      <c r="I28" s="17">
        <v>167967.54</v>
      </c>
      <c r="J28" s="200">
        <v>0</v>
      </c>
      <c r="K28" s="200">
        <v>0</v>
      </c>
      <c r="L28" s="200">
        <v>0</v>
      </c>
      <c r="M28" s="200">
        <v>0</v>
      </c>
      <c r="N28" s="200">
        <v>0</v>
      </c>
      <c r="O28" s="200">
        <v>0</v>
      </c>
      <c r="P28" s="200">
        <v>0</v>
      </c>
      <c r="Q28" s="200">
        <v>0</v>
      </c>
      <c r="R28" s="17">
        <v>4087.84</v>
      </c>
      <c r="T28" s="1704"/>
    </row>
    <row r="29" spans="1:21" x14ac:dyDescent="0.15">
      <c r="A29" s="1380" t="s">
        <v>4005</v>
      </c>
      <c r="B29" s="17">
        <f t="shared" si="9"/>
        <v>2242.81</v>
      </c>
      <c r="C29" s="200">
        <v>0</v>
      </c>
      <c r="D29" s="200">
        <v>0</v>
      </c>
      <c r="E29" s="200">
        <v>0</v>
      </c>
      <c r="F29" s="200">
        <v>0</v>
      </c>
      <c r="G29" s="200">
        <v>0</v>
      </c>
      <c r="H29" s="200">
        <v>0</v>
      </c>
      <c r="I29" s="17">
        <v>2242.81</v>
      </c>
      <c r="J29" s="200">
        <v>0</v>
      </c>
      <c r="K29" s="200">
        <v>0</v>
      </c>
      <c r="L29" s="200">
        <v>0</v>
      </c>
      <c r="M29" s="200">
        <v>0</v>
      </c>
      <c r="N29" s="200">
        <v>0</v>
      </c>
      <c r="O29" s="200">
        <v>0</v>
      </c>
      <c r="P29" s="200">
        <v>0</v>
      </c>
      <c r="Q29" s="200">
        <v>0</v>
      </c>
      <c r="R29" s="200">
        <v>0</v>
      </c>
      <c r="T29" s="1704"/>
    </row>
    <row r="30" spans="1:21" x14ac:dyDescent="0.15">
      <c r="A30" s="1380" t="s">
        <v>3942</v>
      </c>
      <c r="B30" s="17">
        <f t="shared" si="9"/>
        <v>44010.710000000006</v>
      </c>
      <c r="C30" s="200">
        <v>0</v>
      </c>
      <c r="D30" s="200">
        <v>0</v>
      </c>
      <c r="E30" s="200">
        <v>0</v>
      </c>
      <c r="F30" s="200">
        <v>0</v>
      </c>
      <c r="G30" s="200">
        <v>0</v>
      </c>
      <c r="H30" s="200">
        <v>0</v>
      </c>
      <c r="I30" s="17">
        <v>18373.72</v>
      </c>
      <c r="J30" s="200">
        <v>0</v>
      </c>
      <c r="K30" s="200">
        <v>0</v>
      </c>
      <c r="L30" s="200">
        <v>0</v>
      </c>
      <c r="M30" s="200">
        <v>0</v>
      </c>
      <c r="N30" s="200">
        <v>0</v>
      </c>
      <c r="O30" s="200">
        <v>0</v>
      </c>
      <c r="P30" s="200">
        <v>0</v>
      </c>
      <c r="Q30" s="200">
        <v>0</v>
      </c>
      <c r="R30" s="17">
        <v>25636.99</v>
      </c>
      <c r="T30" s="1704"/>
    </row>
    <row r="31" spans="1:21" x14ac:dyDescent="0.15">
      <c r="A31" s="1380" t="s">
        <v>3943</v>
      </c>
      <c r="B31" s="17">
        <f t="shared" si="9"/>
        <v>1167605.7799999998</v>
      </c>
      <c r="C31" s="200">
        <v>0</v>
      </c>
      <c r="D31" s="200">
        <v>0</v>
      </c>
      <c r="E31" s="200">
        <v>0</v>
      </c>
      <c r="F31" s="200">
        <v>0</v>
      </c>
      <c r="G31" s="200">
        <v>0</v>
      </c>
      <c r="H31" s="200">
        <v>0</v>
      </c>
      <c r="I31" s="17">
        <v>958844.8899999999</v>
      </c>
      <c r="J31" s="17">
        <v>130000</v>
      </c>
      <c r="K31" s="200">
        <v>0</v>
      </c>
      <c r="L31" s="17">
        <v>4800</v>
      </c>
      <c r="M31" s="200">
        <v>0</v>
      </c>
      <c r="N31" s="200">
        <v>0</v>
      </c>
      <c r="O31" s="200">
        <v>0</v>
      </c>
      <c r="P31" s="200">
        <v>0</v>
      </c>
      <c r="Q31" s="17">
        <v>2844</v>
      </c>
      <c r="R31" s="17">
        <v>71116.89</v>
      </c>
      <c r="T31" s="1704"/>
    </row>
    <row r="32" spans="1:21" x14ac:dyDescent="0.15">
      <c r="A32" s="1380" t="s">
        <v>3944</v>
      </c>
      <c r="B32" s="17">
        <f t="shared" si="9"/>
        <v>1455</v>
      </c>
      <c r="C32" s="200">
        <v>0</v>
      </c>
      <c r="D32" s="200">
        <v>0</v>
      </c>
      <c r="E32" s="200">
        <v>0</v>
      </c>
      <c r="F32" s="200">
        <v>0</v>
      </c>
      <c r="G32" s="200">
        <v>0</v>
      </c>
      <c r="H32" s="200">
        <v>0</v>
      </c>
      <c r="I32" s="200">
        <v>0</v>
      </c>
      <c r="J32" s="200">
        <v>0</v>
      </c>
      <c r="K32" s="200">
        <v>0</v>
      </c>
      <c r="L32" s="200">
        <v>0</v>
      </c>
      <c r="M32" s="200">
        <v>0</v>
      </c>
      <c r="N32" s="200">
        <v>0</v>
      </c>
      <c r="O32" s="200">
        <v>0</v>
      </c>
      <c r="P32" s="200">
        <v>0</v>
      </c>
      <c r="Q32" s="200">
        <v>0</v>
      </c>
      <c r="R32" s="17">
        <v>1455</v>
      </c>
      <c r="T32" s="1704"/>
    </row>
    <row r="33" spans="1:21" x14ac:dyDescent="0.15">
      <c r="A33" s="1380" t="s">
        <v>3945</v>
      </c>
      <c r="B33" s="17">
        <f t="shared" si="9"/>
        <v>672619.61</v>
      </c>
      <c r="C33" s="200">
        <v>0</v>
      </c>
      <c r="D33" s="200">
        <v>0</v>
      </c>
      <c r="E33" s="200">
        <v>0</v>
      </c>
      <c r="F33" s="200">
        <v>0</v>
      </c>
      <c r="G33" s="200">
        <v>0</v>
      </c>
      <c r="H33" s="200">
        <v>0</v>
      </c>
      <c r="I33" s="17">
        <v>672619.61</v>
      </c>
      <c r="J33" s="200">
        <v>0</v>
      </c>
      <c r="K33" s="200">
        <v>0</v>
      </c>
      <c r="L33" s="200">
        <v>0</v>
      </c>
      <c r="M33" s="200">
        <v>0</v>
      </c>
      <c r="N33" s="200">
        <v>0</v>
      </c>
      <c r="O33" s="200">
        <v>0</v>
      </c>
      <c r="P33" s="200">
        <v>0</v>
      </c>
      <c r="Q33" s="200">
        <v>0</v>
      </c>
      <c r="R33" s="200">
        <v>0</v>
      </c>
      <c r="T33" s="1704"/>
    </row>
    <row r="34" spans="1:21" x14ac:dyDescent="0.15">
      <c r="A34" s="1380" t="s">
        <v>3946</v>
      </c>
      <c r="B34" s="17">
        <f t="shared" si="9"/>
        <v>968051.96</v>
      </c>
      <c r="C34" s="17">
        <v>276.48</v>
      </c>
      <c r="D34" s="200">
        <v>0</v>
      </c>
      <c r="E34" s="200">
        <v>0</v>
      </c>
      <c r="F34" s="200">
        <v>0</v>
      </c>
      <c r="G34" s="200">
        <v>0</v>
      </c>
      <c r="H34" s="17">
        <v>5122.29</v>
      </c>
      <c r="I34" s="17">
        <v>729256.02</v>
      </c>
      <c r="J34" s="200">
        <v>0</v>
      </c>
      <c r="K34" s="200">
        <v>0</v>
      </c>
      <c r="L34" s="200">
        <v>0</v>
      </c>
      <c r="M34" s="17">
        <v>13599</v>
      </c>
      <c r="N34" s="200">
        <v>0</v>
      </c>
      <c r="O34" s="200">
        <v>0</v>
      </c>
      <c r="P34" s="200">
        <v>0</v>
      </c>
      <c r="Q34" s="17">
        <v>1462.5</v>
      </c>
      <c r="R34" s="17">
        <v>218335.66999999998</v>
      </c>
      <c r="T34" s="1704"/>
    </row>
    <row r="35" spans="1:21" x14ac:dyDescent="0.15">
      <c r="A35" s="1380" t="s">
        <v>4006</v>
      </c>
      <c r="B35" s="17">
        <f t="shared" si="9"/>
        <v>319250.90999999997</v>
      </c>
      <c r="C35" s="200">
        <v>0</v>
      </c>
      <c r="D35" s="17">
        <v>844.86</v>
      </c>
      <c r="E35" s="200">
        <v>0</v>
      </c>
      <c r="F35" s="200">
        <v>0</v>
      </c>
      <c r="G35" s="200">
        <v>0</v>
      </c>
      <c r="H35" s="200">
        <v>0</v>
      </c>
      <c r="I35" s="17">
        <v>315393.83999999997</v>
      </c>
      <c r="J35" s="200">
        <v>0</v>
      </c>
      <c r="K35" s="200">
        <v>0</v>
      </c>
      <c r="L35" s="200">
        <v>0</v>
      </c>
      <c r="M35" s="200">
        <v>0</v>
      </c>
      <c r="N35" s="200">
        <v>0</v>
      </c>
      <c r="O35" s="200">
        <v>0</v>
      </c>
      <c r="P35" s="200">
        <v>0</v>
      </c>
      <c r="Q35" s="200">
        <v>0</v>
      </c>
      <c r="R35" s="17">
        <v>3012.2100000000005</v>
      </c>
      <c r="T35" s="1704"/>
    </row>
    <row r="36" spans="1:21" x14ac:dyDescent="0.15">
      <c r="A36" s="1380" t="s">
        <v>3947</v>
      </c>
      <c r="B36" s="17">
        <f t="shared" si="9"/>
        <v>1180795.56</v>
      </c>
      <c r="C36" s="200">
        <v>0</v>
      </c>
      <c r="D36" s="200">
        <v>0</v>
      </c>
      <c r="E36" s="200">
        <v>0</v>
      </c>
      <c r="F36" s="200">
        <v>0</v>
      </c>
      <c r="G36" s="200">
        <v>0</v>
      </c>
      <c r="H36" s="200">
        <v>0</v>
      </c>
      <c r="I36" s="17">
        <v>963997.33</v>
      </c>
      <c r="J36" s="200">
        <v>0</v>
      </c>
      <c r="K36" s="200">
        <v>0</v>
      </c>
      <c r="L36" s="17">
        <v>22383.599999999999</v>
      </c>
      <c r="M36" s="200">
        <v>0</v>
      </c>
      <c r="N36" s="200">
        <v>0</v>
      </c>
      <c r="O36" s="200">
        <v>0</v>
      </c>
      <c r="P36" s="200">
        <v>0</v>
      </c>
      <c r="Q36" s="200">
        <v>0</v>
      </c>
      <c r="R36" s="17">
        <v>194414.63</v>
      </c>
      <c r="T36" s="1704"/>
    </row>
    <row r="37" spans="1:21" s="197" customFormat="1" x14ac:dyDescent="0.15">
      <c r="A37" s="197" t="s">
        <v>2875</v>
      </c>
      <c r="B37" s="200">
        <f>+B38</f>
        <v>2085837.85</v>
      </c>
      <c r="C37" s="200">
        <f t="shared" ref="C37:R37" si="10">+C38</f>
        <v>0</v>
      </c>
      <c r="D37" s="200">
        <f t="shared" si="10"/>
        <v>6.73</v>
      </c>
      <c r="E37" s="200">
        <f t="shared" si="10"/>
        <v>0</v>
      </c>
      <c r="F37" s="200">
        <f t="shared" si="10"/>
        <v>0</v>
      </c>
      <c r="G37" s="200">
        <f t="shared" si="10"/>
        <v>0</v>
      </c>
      <c r="H37" s="200">
        <f t="shared" si="10"/>
        <v>0</v>
      </c>
      <c r="I37" s="200">
        <f t="shared" si="10"/>
        <v>649052.51000000013</v>
      </c>
      <c r="J37" s="200">
        <f t="shared" si="10"/>
        <v>0</v>
      </c>
      <c r="K37" s="200">
        <f t="shared" si="10"/>
        <v>0</v>
      </c>
      <c r="L37" s="200">
        <f t="shared" si="10"/>
        <v>0</v>
      </c>
      <c r="M37" s="200">
        <f t="shared" si="10"/>
        <v>0</v>
      </c>
      <c r="N37" s="200">
        <f t="shared" si="10"/>
        <v>0</v>
      </c>
      <c r="O37" s="200">
        <f t="shared" si="10"/>
        <v>78.239999999999995</v>
      </c>
      <c r="P37" s="200">
        <f t="shared" si="10"/>
        <v>0</v>
      </c>
      <c r="Q37" s="200">
        <f t="shared" si="10"/>
        <v>200</v>
      </c>
      <c r="R37" s="200">
        <f t="shared" si="10"/>
        <v>1436500.37</v>
      </c>
      <c r="T37" s="1704"/>
      <c r="U37" s="214"/>
    </row>
    <row r="38" spans="1:21" s="197" customFormat="1" x14ac:dyDescent="0.15">
      <c r="A38" s="1374" t="s">
        <v>2540</v>
      </c>
      <c r="B38" s="200">
        <f>+SUM(B39:B44)</f>
        <v>2085837.85</v>
      </c>
      <c r="C38" s="200">
        <f t="shared" ref="C38:R38" si="11">+SUM(C39:C44)</f>
        <v>0</v>
      </c>
      <c r="D38" s="200">
        <f t="shared" si="11"/>
        <v>6.73</v>
      </c>
      <c r="E38" s="200">
        <f t="shared" si="11"/>
        <v>0</v>
      </c>
      <c r="F38" s="200">
        <f t="shared" si="11"/>
        <v>0</v>
      </c>
      <c r="G38" s="200">
        <f t="shared" si="11"/>
        <v>0</v>
      </c>
      <c r="H38" s="200">
        <f t="shared" si="11"/>
        <v>0</v>
      </c>
      <c r="I38" s="200">
        <f t="shared" si="11"/>
        <v>649052.51000000013</v>
      </c>
      <c r="J38" s="200">
        <f t="shared" si="11"/>
        <v>0</v>
      </c>
      <c r="K38" s="200">
        <f t="shared" si="11"/>
        <v>0</v>
      </c>
      <c r="L38" s="200">
        <f t="shared" si="11"/>
        <v>0</v>
      </c>
      <c r="M38" s="200">
        <f t="shared" si="11"/>
        <v>0</v>
      </c>
      <c r="N38" s="200">
        <f t="shared" si="11"/>
        <v>0</v>
      </c>
      <c r="O38" s="200">
        <f t="shared" si="11"/>
        <v>78.239999999999995</v>
      </c>
      <c r="P38" s="200">
        <f t="shared" si="11"/>
        <v>0</v>
      </c>
      <c r="Q38" s="200">
        <f t="shared" si="11"/>
        <v>200</v>
      </c>
      <c r="R38" s="200">
        <f t="shared" si="11"/>
        <v>1436500.37</v>
      </c>
      <c r="T38" s="1704"/>
      <c r="U38" s="214"/>
    </row>
    <row r="39" spans="1:21" x14ac:dyDescent="0.15">
      <c r="A39" s="1380" t="s">
        <v>3948</v>
      </c>
      <c r="B39" s="17">
        <f>+SUM(C39:R39)</f>
        <v>300024.90000000002</v>
      </c>
      <c r="C39" s="200">
        <v>0</v>
      </c>
      <c r="D39" s="200">
        <v>0</v>
      </c>
      <c r="E39" s="200">
        <v>0</v>
      </c>
      <c r="F39" s="200">
        <v>0</v>
      </c>
      <c r="G39" s="200">
        <v>0</v>
      </c>
      <c r="H39" s="200">
        <v>0</v>
      </c>
      <c r="I39" s="17">
        <v>121973.57999999999</v>
      </c>
      <c r="J39" s="200">
        <v>0</v>
      </c>
      <c r="K39" s="200">
        <v>0</v>
      </c>
      <c r="L39" s="200">
        <v>0</v>
      </c>
      <c r="M39" s="200">
        <v>0</v>
      </c>
      <c r="N39" s="200">
        <v>0</v>
      </c>
      <c r="O39" s="200">
        <v>0</v>
      </c>
      <c r="P39" s="200">
        <v>0</v>
      </c>
      <c r="Q39" s="200">
        <v>0</v>
      </c>
      <c r="R39" s="17">
        <v>178051.32</v>
      </c>
      <c r="T39" s="1704"/>
    </row>
    <row r="40" spans="1:21" x14ac:dyDescent="0.15">
      <c r="A40" s="1380" t="s">
        <v>4007</v>
      </c>
      <c r="B40" s="17">
        <f t="shared" ref="B40:B44" si="12">+SUM(C40:R40)</f>
        <v>3599.8100000000004</v>
      </c>
      <c r="C40" s="200">
        <v>0</v>
      </c>
      <c r="D40" s="200">
        <v>0</v>
      </c>
      <c r="E40" s="200">
        <v>0</v>
      </c>
      <c r="F40" s="200">
        <v>0</v>
      </c>
      <c r="G40" s="200">
        <v>0</v>
      </c>
      <c r="H40" s="200">
        <v>0</v>
      </c>
      <c r="I40" s="17">
        <v>2310.0100000000002</v>
      </c>
      <c r="J40" s="200">
        <v>0</v>
      </c>
      <c r="K40" s="200">
        <v>0</v>
      </c>
      <c r="L40" s="200">
        <v>0</v>
      </c>
      <c r="M40" s="200">
        <v>0</v>
      </c>
      <c r="N40" s="200">
        <v>0</v>
      </c>
      <c r="O40" s="200">
        <v>0</v>
      </c>
      <c r="P40" s="200">
        <v>0</v>
      </c>
      <c r="Q40" s="200">
        <v>0</v>
      </c>
      <c r="R40" s="17">
        <v>1289.8</v>
      </c>
      <c r="T40" s="1704"/>
    </row>
    <row r="41" spans="1:21" x14ac:dyDescent="0.15">
      <c r="A41" s="1380" t="s">
        <v>3949</v>
      </c>
      <c r="B41" s="17">
        <f t="shared" si="12"/>
        <v>206837.60000000003</v>
      </c>
      <c r="C41" s="200">
        <v>0</v>
      </c>
      <c r="D41" s="200">
        <v>0</v>
      </c>
      <c r="E41" s="200">
        <v>0</v>
      </c>
      <c r="F41" s="200">
        <v>0</v>
      </c>
      <c r="G41" s="200">
        <v>0</v>
      </c>
      <c r="H41" s="200">
        <v>0</v>
      </c>
      <c r="I41" s="17">
        <v>110828.68000000001</v>
      </c>
      <c r="J41" s="200">
        <v>0</v>
      </c>
      <c r="K41" s="200">
        <v>0</v>
      </c>
      <c r="L41" s="200">
        <v>0</v>
      </c>
      <c r="M41" s="200">
        <v>0</v>
      </c>
      <c r="N41" s="200">
        <v>0</v>
      </c>
      <c r="O41" s="200">
        <v>0</v>
      </c>
      <c r="P41" s="200">
        <v>0</v>
      </c>
      <c r="Q41" s="17">
        <v>200</v>
      </c>
      <c r="R41" s="17">
        <v>95808.920000000013</v>
      </c>
      <c r="T41" s="1704"/>
    </row>
    <row r="42" spans="1:21" x14ac:dyDescent="0.15">
      <c r="A42" s="1380" t="s">
        <v>3950</v>
      </c>
      <c r="B42" s="17">
        <f t="shared" si="12"/>
        <v>13562.880000000001</v>
      </c>
      <c r="C42" s="200">
        <v>0</v>
      </c>
      <c r="D42" s="200">
        <v>0</v>
      </c>
      <c r="E42" s="200">
        <v>0</v>
      </c>
      <c r="F42" s="200">
        <v>0</v>
      </c>
      <c r="G42" s="200">
        <v>0</v>
      </c>
      <c r="H42" s="200">
        <v>0</v>
      </c>
      <c r="I42" s="17">
        <v>2378</v>
      </c>
      <c r="J42" s="200">
        <v>0</v>
      </c>
      <c r="K42" s="200">
        <v>0</v>
      </c>
      <c r="L42" s="200">
        <v>0</v>
      </c>
      <c r="M42" s="200">
        <v>0</v>
      </c>
      <c r="N42" s="200">
        <v>0</v>
      </c>
      <c r="O42" s="200">
        <v>0</v>
      </c>
      <c r="P42" s="200">
        <v>0</v>
      </c>
      <c r="Q42" s="200">
        <v>0</v>
      </c>
      <c r="R42" s="17">
        <v>11184.880000000001</v>
      </c>
      <c r="T42" s="1704"/>
    </row>
    <row r="43" spans="1:21" x14ac:dyDescent="0.15">
      <c r="A43" s="1380" t="s">
        <v>3951</v>
      </c>
      <c r="B43" s="17">
        <f t="shared" si="12"/>
        <v>1559162.6600000001</v>
      </c>
      <c r="C43" s="200">
        <v>0</v>
      </c>
      <c r="D43" s="17">
        <v>6.73</v>
      </c>
      <c r="E43" s="200">
        <v>0</v>
      </c>
      <c r="F43" s="200">
        <v>0</v>
      </c>
      <c r="G43" s="200">
        <v>0</v>
      </c>
      <c r="H43" s="200">
        <v>0</v>
      </c>
      <c r="I43" s="17">
        <v>411562.24000000011</v>
      </c>
      <c r="J43" s="200">
        <v>0</v>
      </c>
      <c r="K43" s="200">
        <v>0</v>
      </c>
      <c r="L43" s="200">
        <v>0</v>
      </c>
      <c r="M43" s="200">
        <v>0</v>
      </c>
      <c r="N43" s="200">
        <v>0</v>
      </c>
      <c r="O43" s="17">
        <v>78.239999999999995</v>
      </c>
      <c r="P43" s="200">
        <v>0</v>
      </c>
      <c r="Q43" s="200">
        <v>0</v>
      </c>
      <c r="R43" s="17">
        <v>1147515.45</v>
      </c>
      <c r="T43" s="1704"/>
    </row>
    <row r="44" spans="1:21" x14ac:dyDescent="0.15">
      <c r="A44" s="1380" t="s">
        <v>4008</v>
      </c>
      <c r="B44" s="17">
        <f t="shared" si="12"/>
        <v>2650</v>
      </c>
      <c r="C44" s="200">
        <v>0</v>
      </c>
      <c r="D44" s="200">
        <v>0</v>
      </c>
      <c r="E44" s="200">
        <v>0</v>
      </c>
      <c r="F44" s="200">
        <v>0</v>
      </c>
      <c r="G44" s="200">
        <v>0</v>
      </c>
      <c r="H44" s="200">
        <v>0</v>
      </c>
      <c r="I44" s="200">
        <v>0</v>
      </c>
      <c r="J44" s="200">
        <v>0</v>
      </c>
      <c r="K44" s="200">
        <v>0</v>
      </c>
      <c r="L44" s="200">
        <v>0</v>
      </c>
      <c r="M44" s="200">
        <v>0</v>
      </c>
      <c r="N44" s="200">
        <v>0</v>
      </c>
      <c r="O44" s="200">
        <v>0</v>
      </c>
      <c r="P44" s="200">
        <v>0</v>
      </c>
      <c r="Q44" s="200">
        <v>0</v>
      </c>
      <c r="R44" s="17">
        <v>2650</v>
      </c>
      <c r="T44" s="1704"/>
    </row>
    <row r="45" spans="1:21" s="197" customFormat="1" x14ac:dyDescent="0.15">
      <c r="A45" s="197" t="s">
        <v>2851</v>
      </c>
      <c r="B45" s="200">
        <f>+B46+B53</f>
        <v>4707148.3599999994</v>
      </c>
      <c r="C45" s="200">
        <f t="shared" ref="C45:R45" si="13">+C46+C53</f>
        <v>477.6</v>
      </c>
      <c r="D45" s="200">
        <f t="shared" si="13"/>
        <v>0</v>
      </c>
      <c r="E45" s="200">
        <f t="shared" si="13"/>
        <v>0</v>
      </c>
      <c r="F45" s="200">
        <f t="shared" si="13"/>
        <v>0</v>
      </c>
      <c r="G45" s="200">
        <f t="shared" si="13"/>
        <v>0</v>
      </c>
      <c r="H45" s="200">
        <f t="shared" si="13"/>
        <v>25555.75</v>
      </c>
      <c r="I45" s="200">
        <f t="shared" si="13"/>
        <v>2127932.31</v>
      </c>
      <c r="J45" s="200">
        <f t="shared" si="13"/>
        <v>30750</v>
      </c>
      <c r="K45" s="200">
        <f t="shared" si="13"/>
        <v>12036.98</v>
      </c>
      <c r="L45" s="200">
        <f t="shared" si="13"/>
        <v>0</v>
      </c>
      <c r="M45" s="200">
        <f t="shared" si="13"/>
        <v>2106</v>
      </c>
      <c r="N45" s="200">
        <f t="shared" si="13"/>
        <v>0</v>
      </c>
      <c r="O45" s="200">
        <f t="shared" si="13"/>
        <v>22169.11</v>
      </c>
      <c r="P45" s="200">
        <f t="shared" si="13"/>
        <v>0</v>
      </c>
      <c r="Q45" s="200">
        <f t="shared" si="13"/>
        <v>707.5</v>
      </c>
      <c r="R45" s="200">
        <f t="shared" si="13"/>
        <v>2485413.11</v>
      </c>
      <c r="T45" s="1704"/>
      <c r="U45" s="214"/>
    </row>
    <row r="46" spans="1:21" s="197" customFormat="1" x14ac:dyDescent="0.15">
      <c r="A46" s="1374" t="s">
        <v>2851</v>
      </c>
      <c r="B46" s="200">
        <f>+SUM(B47:B52)</f>
        <v>1572641.0699999998</v>
      </c>
      <c r="C46" s="200">
        <f t="shared" ref="C46:R46" si="14">+SUM(C47:C52)</f>
        <v>477.6</v>
      </c>
      <c r="D46" s="200">
        <f t="shared" si="14"/>
        <v>0</v>
      </c>
      <c r="E46" s="200">
        <f t="shared" si="14"/>
        <v>0</v>
      </c>
      <c r="F46" s="200">
        <f t="shared" si="14"/>
        <v>0</v>
      </c>
      <c r="G46" s="200">
        <f t="shared" si="14"/>
        <v>0</v>
      </c>
      <c r="H46" s="200">
        <f t="shared" si="14"/>
        <v>11650.3</v>
      </c>
      <c r="I46" s="200">
        <f t="shared" si="14"/>
        <v>921500.44</v>
      </c>
      <c r="J46" s="200">
        <f t="shared" si="14"/>
        <v>30750</v>
      </c>
      <c r="K46" s="200">
        <f t="shared" si="14"/>
        <v>12036.98</v>
      </c>
      <c r="L46" s="200">
        <f t="shared" si="14"/>
        <v>0</v>
      </c>
      <c r="M46" s="200">
        <f t="shared" si="14"/>
        <v>0</v>
      </c>
      <c r="N46" s="200">
        <f t="shared" si="14"/>
        <v>0</v>
      </c>
      <c r="O46" s="200">
        <f t="shared" si="14"/>
        <v>0</v>
      </c>
      <c r="P46" s="200">
        <f t="shared" si="14"/>
        <v>0</v>
      </c>
      <c r="Q46" s="200">
        <f t="shared" si="14"/>
        <v>0</v>
      </c>
      <c r="R46" s="200">
        <f t="shared" si="14"/>
        <v>596225.75</v>
      </c>
      <c r="T46" s="1704"/>
      <c r="U46" s="214"/>
    </row>
    <row r="47" spans="1:21" x14ac:dyDescent="0.15">
      <c r="A47" s="1380" t="s">
        <v>3952</v>
      </c>
      <c r="B47" s="17">
        <f>+SUM(C47:R47)</f>
        <v>803929.62999999989</v>
      </c>
      <c r="C47" s="200">
        <v>0</v>
      </c>
      <c r="D47" s="200">
        <v>0</v>
      </c>
      <c r="E47" s="200">
        <v>0</v>
      </c>
      <c r="F47" s="200">
        <v>0</v>
      </c>
      <c r="G47" s="200">
        <v>0</v>
      </c>
      <c r="H47" s="17">
        <v>45.58</v>
      </c>
      <c r="I47" s="17">
        <v>483640.78999999992</v>
      </c>
      <c r="J47" s="17">
        <v>30750</v>
      </c>
      <c r="K47" s="200">
        <v>0</v>
      </c>
      <c r="L47" s="200">
        <v>0</v>
      </c>
      <c r="M47" s="200">
        <v>0</v>
      </c>
      <c r="N47" s="200">
        <v>0</v>
      </c>
      <c r="O47" s="200">
        <v>0</v>
      </c>
      <c r="P47" s="200">
        <v>0</v>
      </c>
      <c r="Q47" s="200">
        <v>0</v>
      </c>
      <c r="R47" s="17">
        <v>289493.26</v>
      </c>
      <c r="T47" s="1704"/>
    </row>
    <row r="48" spans="1:21" x14ac:dyDescent="0.15">
      <c r="A48" s="1380" t="s">
        <v>3953</v>
      </c>
      <c r="B48" s="17">
        <f t="shared" ref="B48:B52" si="15">+SUM(C48:R48)</f>
        <v>2317.91</v>
      </c>
      <c r="C48" s="200">
        <v>0</v>
      </c>
      <c r="D48" s="200">
        <v>0</v>
      </c>
      <c r="E48" s="200">
        <v>0</v>
      </c>
      <c r="F48" s="200">
        <v>0</v>
      </c>
      <c r="G48" s="200">
        <v>0</v>
      </c>
      <c r="H48" s="200">
        <v>0</v>
      </c>
      <c r="I48" s="17">
        <v>862.84999999999991</v>
      </c>
      <c r="J48" s="200">
        <v>0</v>
      </c>
      <c r="K48" s="200">
        <v>0</v>
      </c>
      <c r="L48" s="200">
        <v>0</v>
      </c>
      <c r="M48" s="200">
        <v>0</v>
      </c>
      <c r="N48" s="200">
        <v>0</v>
      </c>
      <c r="O48" s="200">
        <v>0</v>
      </c>
      <c r="P48" s="200">
        <v>0</v>
      </c>
      <c r="Q48" s="200">
        <v>0</v>
      </c>
      <c r="R48" s="17">
        <v>1455.06</v>
      </c>
      <c r="T48" s="1704"/>
    </row>
    <row r="49" spans="1:21" x14ac:dyDescent="0.15">
      <c r="A49" s="1380" t="s">
        <v>3954</v>
      </c>
      <c r="B49" s="17">
        <f t="shared" si="15"/>
        <v>132786.04</v>
      </c>
      <c r="C49" s="17">
        <v>477.6</v>
      </c>
      <c r="D49" s="200">
        <v>0</v>
      </c>
      <c r="E49" s="200">
        <v>0</v>
      </c>
      <c r="F49" s="200">
        <v>0</v>
      </c>
      <c r="G49" s="200">
        <v>0</v>
      </c>
      <c r="H49" s="200">
        <v>0</v>
      </c>
      <c r="I49" s="17">
        <v>111610.98000000001</v>
      </c>
      <c r="J49" s="200">
        <v>0</v>
      </c>
      <c r="K49" s="200">
        <v>0</v>
      </c>
      <c r="L49" s="200">
        <v>0</v>
      </c>
      <c r="M49" s="200">
        <v>0</v>
      </c>
      <c r="N49" s="200">
        <v>0</v>
      </c>
      <c r="O49" s="200">
        <v>0</v>
      </c>
      <c r="P49" s="200">
        <v>0</v>
      </c>
      <c r="Q49" s="200">
        <v>0</v>
      </c>
      <c r="R49" s="17">
        <v>20697.46</v>
      </c>
      <c r="T49" s="1704"/>
    </row>
    <row r="50" spans="1:21" x14ac:dyDescent="0.15">
      <c r="A50" s="1380" t="s">
        <v>4011</v>
      </c>
      <c r="B50" s="17">
        <f t="shared" si="15"/>
        <v>352289.27999999997</v>
      </c>
      <c r="C50" s="200">
        <v>0</v>
      </c>
      <c r="D50" s="200">
        <v>0</v>
      </c>
      <c r="E50" s="200">
        <v>0</v>
      </c>
      <c r="F50" s="200">
        <v>0</v>
      </c>
      <c r="G50" s="200">
        <v>0</v>
      </c>
      <c r="H50" s="17">
        <v>9930</v>
      </c>
      <c r="I50" s="17">
        <v>275962.3</v>
      </c>
      <c r="J50" s="200">
        <v>0</v>
      </c>
      <c r="K50" s="17">
        <v>12036.98</v>
      </c>
      <c r="L50" s="200">
        <v>0</v>
      </c>
      <c r="M50" s="200">
        <v>0</v>
      </c>
      <c r="N50" s="200">
        <v>0</v>
      </c>
      <c r="O50" s="200">
        <v>0</v>
      </c>
      <c r="P50" s="200">
        <v>0</v>
      </c>
      <c r="Q50" s="200">
        <v>0</v>
      </c>
      <c r="R50" s="17">
        <v>54360</v>
      </c>
      <c r="T50" s="1704"/>
    </row>
    <row r="51" spans="1:21" x14ac:dyDescent="0.15">
      <c r="A51" s="1380" t="s">
        <v>3955</v>
      </c>
      <c r="B51" s="17">
        <f t="shared" si="15"/>
        <v>186570.02</v>
      </c>
      <c r="C51" s="200">
        <v>0</v>
      </c>
      <c r="D51" s="200">
        <v>0</v>
      </c>
      <c r="E51" s="200">
        <v>0</v>
      </c>
      <c r="F51" s="200">
        <v>0</v>
      </c>
      <c r="G51" s="200">
        <v>0</v>
      </c>
      <c r="H51" s="17">
        <v>1674.72</v>
      </c>
      <c r="I51" s="17">
        <v>29710.089999999997</v>
      </c>
      <c r="J51" s="200">
        <v>0</v>
      </c>
      <c r="K51" s="200">
        <v>0</v>
      </c>
      <c r="L51" s="200">
        <v>0</v>
      </c>
      <c r="M51" s="200">
        <v>0</v>
      </c>
      <c r="N51" s="200">
        <v>0</v>
      </c>
      <c r="O51" s="200">
        <v>0</v>
      </c>
      <c r="P51" s="200">
        <v>0</v>
      </c>
      <c r="Q51" s="200">
        <v>0</v>
      </c>
      <c r="R51" s="17">
        <v>155185.21</v>
      </c>
      <c r="T51" s="1704"/>
    </row>
    <row r="52" spans="1:21" x14ac:dyDescent="0.15">
      <c r="A52" s="1380" t="s">
        <v>3956</v>
      </c>
      <c r="B52" s="17">
        <f t="shared" si="15"/>
        <v>94748.19</v>
      </c>
      <c r="C52" s="200">
        <v>0</v>
      </c>
      <c r="D52" s="200">
        <v>0</v>
      </c>
      <c r="E52" s="200">
        <v>0</v>
      </c>
      <c r="F52" s="200">
        <v>0</v>
      </c>
      <c r="G52" s="200">
        <v>0</v>
      </c>
      <c r="H52" s="200">
        <v>0</v>
      </c>
      <c r="I52" s="17">
        <v>19713.43</v>
      </c>
      <c r="J52" s="200">
        <v>0</v>
      </c>
      <c r="K52" s="200">
        <v>0</v>
      </c>
      <c r="L52" s="200">
        <v>0</v>
      </c>
      <c r="M52" s="200">
        <v>0</v>
      </c>
      <c r="N52" s="200">
        <v>0</v>
      </c>
      <c r="O52" s="200">
        <v>0</v>
      </c>
      <c r="P52" s="200">
        <v>0</v>
      </c>
      <c r="Q52" s="200">
        <v>0</v>
      </c>
      <c r="R52" s="17">
        <v>75034.759999999995</v>
      </c>
      <c r="T52" s="1704"/>
    </row>
    <row r="53" spans="1:21" s="197" customFormat="1" x14ac:dyDescent="0.15">
      <c r="A53" s="1374" t="s">
        <v>2881</v>
      </c>
      <c r="B53" s="200">
        <f>+SUM(B54:B63)</f>
        <v>3134507.29</v>
      </c>
      <c r="C53" s="200">
        <f t="shared" ref="C53:R53" si="16">+SUM(C54:C63)</f>
        <v>0</v>
      </c>
      <c r="D53" s="200">
        <f t="shared" si="16"/>
        <v>0</v>
      </c>
      <c r="E53" s="200">
        <f t="shared" si="16"/>
        <v>0</v>
      </c>
      <c r="F53" s="200">
        <f t="shared" si="16"/>
        <v>0</v>
      </c>
      <c r="G53" s="200">
        <f t="shared" si="16"/>
        <v>0</v>
      </c>
      <c r="H53" s="200">
        <f t="shared" si="16"/>
        <v>13905.45</v>
      </c>
      <c r="I53" s="200">
        <f t="shared" si="16"/>
        <v>1206431.8700000001</v>
      </c>
      <c r="J53" s="200">
        <f t="shared" si="16"/>
        <v>0</v>
      </c>
      <c r="K53" s="200">
        <f t="shared" si="16"/>
        <v>0</v>
      </c>
      <c r="L53" s="200">
        <f t="shared" si="16"/>
        <v>0</v>
      </c>
      <c r="M53" s="200">
        <f t="shared" si="16"/>
        <v>2106</v>
      </c>
      <c r="N53" s="200">
        <f t="shared" si="16"/>
        <v>0</v>
      </c>
      <c r="O53" s="200">
        <f t="shared" si="16"/>
        <v>22169.11</v>
      </c>
      <c r="P53" s="200">
        <f t="shared" si="16"/>
        <v>0</v>
      </c>
      <c r="Q53" s="200">
        <f t="shared" si="16"/>
        <v>707.5</v>
      </c>
      <c r="R53" s="200">
        <f t="shared" si="16"/>
        <v>1889187.3599999999</v>
      </c>
      <c r="T53" s="1704"/>
      <c r="U53" s="214"/>
    </row>
    <row r="54" spans="1:21" x14ac:dyDescent="0.15">
      <c r="A54" s="1380" t="s">
        <v>3957</v>
      </c>
      <c r="B54" s="17">
        <f>+SUM(C54:R54)</f>
        <v>461890.41</v>
      </c>
      <c r="C54" s="200">
        <v>0</v>
      </c>
      <c r="D54" s="200">
        <v>0</v>
      </c>
      <c r="E54" s="200">
        <v>0</v>
      </c>
      <c r="F54" s="200">
        <v>0</v>
      </c>
      <c r="G54" s="200">
        <v>0</v>
      </c>
      <c r="H54" s="200">
        <v>0</v>
      </c>
      <c r="I54" s="17">
        <v>86384.72</v>
      </c>
      <c r="J54" s="200">
        <v>0</v>
      </c>
      <c r="K54" s="200">
        <v>0</v>
      </c>
      <c r="L54" s="200">
        <v>0</v>
      </c>
      <c r="M54" s="200">
        <v>0</v>
      </c>
      <c r="N54" s="200">
        <v>0</v>
      </c>
      <c r="O54" s="17">
        <v>3751.4700000000003</v>
      </c>
      <c r="P54" s="200">
        <v>0</v>
      </c>
      <c r="Q54" s="200">
        <v>0</v>
      </c>
      <c r="R54" s="17">
        <v>371754.22</v>
      </c>
      <c r="T54" s="1704"/>
    </row>
    <row r="55" spans="1:21" x14ac:dyDescent="0.15">
      <c r="A55" s="1380" t="s">
        <v>3958</v>
      </c>
      <c r="B55" s="17">
        <f t="shared" ref="B55:B63" si="17">+SUM(C55:R55)</f>
        <v>190533.07</v>
      </c>
      <c r="C55" s="200">
        <v>0</v>
      </c>
      <c r="D55" s="200">
        <v>0</v>
      </c>
      <c r="E55" s="200">
        <v>0</v>
      </c>
      <c r="F55" s="200">
        <v>0</v>
      </c>
      <c r="G55" s="200">
        <v>0</v>
      </c>
      <c r="H55" s="200">
        <v>0</v>
      </c>
      <c r="I55" s="17">
        <v>56488.13</v>
      </c>
      <c r="J55" s="200">
        <v>0</v>
      </c>
      <c r="K55" s="200">
        <v>0</v>
      </c>
      <c r="L55" s="200">
        <v>0</v>
      </c>
      <c r="M55" s="200">
        <v>0</v>
      </c>
      <c r="N55" s="200">
        <v>0</v>
      </c>
      <c r="O55" s="17">
        <v>10700</v>
      </c>
      <c r="P55" s="200">
        <v>0</v>
      </c>
      <c r="Q55" s="200">
        <v>0</v>
      </c>
      <c r="R55" s="17">
        <v>123344.94</v>
      </c>
      <c r="T55" s="1704"/>
    </row>
    <row r="56" spans="1:21" x14ac:dyDescent="0.15">
      <c r="A56" s="1380" t="s">
        <v>4012</v>
      </c>
      <c r="B56" s="17">
        <f t="shared" si="17"/>
        <v>281245.37000000005</v>
      </c>
      <c r="C56" s="200">
        <v>0</v>
      </c>
      <c r="D56" s="200">
        <v>0</v>
      </c>
      <c r="E56" s="200">
        <v>0</v>
      </c>
      <c r="F56" s="200">
        <v>0</v>
      </c>
      <c r="G56" s="200">
        <v>0</v>
      </c>
      <c r="H56" s="17">
        <v>500</v>
      </c>
      <c r="I56" s="17">
        <v>279224.09000000003</v>
      </c>
      <c r="J56" s="200">
        <v>0</v>
      </c>
      <c r="K56" s="200">
        <v>0</v>
      </c>
      <c r="L56" s="200">
        <v>0</v>
      </c>
      <c r="M56" s="200">
        <v>0</v>
      </c>
      <c r="N56" s="200">
        <v>0</v>
      </c>
      <c r="O56" s="200">
        <v>0</v>
      </c>
      <c r="P56" s="200">
        <v>0</v>
      </c>
      <c r="Q56" s="17">
        <v>707.5</v>
      </c>
      <c r="R56" s="17">
        <v>813.78</v>
      </c>
      <c r="T56" s="1704"/>
    </row>
    <row r="57" spans="1:21" x14ac:dyDescent="0.15">
      <c r="A57" s="1380" t="s">
        <v>3959</v>
      </c>
      <c r="B57" s="17">
        <f t="shared" si="17"/>
        <v>2098.33</v>
      </c>
      <c r="C57" s="200">
        <v>0</v>
      </c>
      <c r="D57" s="200">
        <v>0</v>
      </c>
      <c r="E57" s="200">
        <v>0</v>
      </c>
      <c r="F57" s="200">
        <v>0</v>
      </c>
      <c r="G57" s="200">
        <v>0</v>
      </c>
      <c r="H57" s="200">
        <v>0</v>
      </c>
      <c r="I57" s="17">
        <v>725.43</v>
      </c>
      <c r="J57" s="200">
        <v>0</v>
      </c>
      <c r="K57" s="200">
        <v>0</v>
      </c>
      <c r="L57" s="200">
        <v>0</v>
      </c>
      <c r="M57" s="200">
        <v>0</v>
      </c>
      <c r="N57" s="200">
        <v>0</v>
      </c>
      <c r="O57" s="200">
        <v>0</v>
      </c>
      <c r="P57" s="200">
        <v>0</v>
      </c>
      <c r="Q57" s="200">
        <v>0</v>
      </c>
      <c r="R57" s="17">
        <v>1372.9</v>
      </c>
      <c r="T57" s="1704"/>
    </row>
    <row r="58" spans="1:21" x14ac:dyDescent="0.15">
      <c r="A58" s="1380" t="s">
        <v>3960</v>
      </c>
      <c r="B58" s="17">
        <f t="shared" si="17"/>
        <v>10060.61</v>
      </c>
      <c r="C58" s="200">
        <v>0</v>
      </c>
      <c r="D58" s="200">
        <v>0</v>
      </c>
      <c r="E58" s="200">
        <v>0</v>
      </c>
      <c r="F58" s="200">
        <v>0</v>
      </c>
      <c r="G58" s="200">
        <v>0</v>
      </c>
      <c r="H58" s="200">
        <v>0</v>
      </c>
      <c r="I58" s="17">
        <v>5277.67</v>
      </c>
      <c r="J58" s="200">
        <v>0</v>
      </c>
      <c r="K58" s="200">
        <v>0</v>
      </c>
      <c r="L58" s="200">
        <v>0</v>
      </c>
      <c r="M58" s="200">
        <v>0</v>
      </c>
      <c r="N58" s="200">
        <v>0</v>
      </c>
      <c r="O58" s="200">
        <v>0</v>
      </c>
      <c r="P58" s="200">
        <v>0</v>
      </c>
      <c r="Q58" s="200">
        <v>0</v>
      </c>
      <c r="R58" s="17">
        <v>4782.9400000000005</v>
      </c>
      <c r="T58" s="1704"/>
    </row>
    <row r="59" spans="1:21" x14ac:dyDescent="0.15">
      <c r="A59" s="1380" t="s">
        <v>3961</v>
      </c>
      <c r="B59" s="17">
        <f t="shared" si="17"/>
        <v>4914</v>
      </c>
      <c r="C59" s="200">
        <v>0</v>
      </c>
      <c r="D59" s="200">
        <v>0</v>
      </c>
      <c r="E59" s="200">
        <v>0</v>
      </c>
      <c r="F59" s="200">
        <v>0</v>
      </c>
      <c r="G59" s="200">
        <v>0</v>
      </c>
      <c r="H59" s="200">
        <v>0</v>
      </c>
      <c r="I59" s="17">
        <v>4914</v>
      </c>
      <c r="J59" s="200">
        <v>0</v>
      </c>
      <c r="K59" s="200">
        <v>0</v>
      </c>
      <c r="L59" s="200">
        <v>0</v>
      </c>
      <c r="M59" s="200">
        <v>0</v>
      </c>
      <c r="N59" s="200">
        <v>0</v>
      </c>
      <c r="O59" s="200">
        <v>0</v>
      </c>
      <c r="P59" s="200">
        <v>0</v>
      </c>
      <c r="Q59" s="200">
        <v>0</v>
      </c>
      <c r="R59" s="200">
        <v>0</v>
      </c>
      <c r="T59" s="1704"/>
    </row>
    <row r="60" spans="1:21" x14ac:dyDescent="0.15">
      <c r="A60" s="1380" t="s">
        <v>4013</v>
      </c>
      <c r="B60" s="17">
        <f t="shared" si="17"/>
        <v>12393.11</v>
      </c>
      <c r="C60" s="200">
        <v>0</v>
      </c>
      <c r="D60" s="200">
        <v>0</v>
      </c>
      <c r="E60" s="200">
        <v>0</v>
      </c>
      <c r="F60" s="200">
        <v>0</v>
      </c>
      <c r="G60" s="200">
        <v>0</v>
      </c>
      <c r="H60" s="200">
        <v>0</v>
      </c>
      <c r="I60" s="17">
        <v>9054.7900000000009</v>
      </c>
      <c r="J60" s="200">
        <v>0</v>
      </c>
      <c r="K60" s="200">
        <v>0</v>
      </c>
      <c r="L60" s="200">
        <v>0</v>
      </c>
      <c r="M60" s="200">
        <v>0</v>
      </c>
      <c r="N60" s="200">
        <v>0</v>
      </c>
      <c r="O60" s="200">
        <v>0</v>
      </c>
      <c r="P60" s="200">
        <v>0</v>
      </c>
      <c r="Q60" s="200">
        <v>0</v>
      </c>
      <c r="R60" s="17">
        <v>3338.3199999999997</v>
      </c>
      <c r="T60" s="1704"/>
    </row>
    <row r="61" spans="1:21" x14ac:dyDescent="0.15">
      <c r="A61" s="1380" t="s">
        <v>3962</v>
      </c>
      <c r="B61" s="17">
        <f t="shared" si="17"/>
        <v>546280.43000000005</v>
      </c>
      <c r="C61" s="200">
        <v>0</v>
      </c>
      <c r="D61" s="200">
        <v>0</v>
      </c>
      <c r="E61" s="200">
        <v>0</v>
      </c>
      <c r="F61" s="200">
        <v>0</v>
      </c>
      <c r="G61" s="200">
        <v>0</v>
      </c>
      <c r="H61" s="17">
        <v>10650</v>
      </c>
      <c r="I61" s="17">
        <v>188610.48</v>
      </c>
      <c r="J61" s="200">
        <v>0</v>
      </c>
      <c r="K61" s="200">
        <v>0</v>
      </c>
      <c r="L61" s="200">
        <v>0</v>
      </c>
      <c r="M61" s="200">
        <v>0</v>
      </c>
      <c r="N61" s="200">
        <v>0</v>
      </c>
      <c r="O61" s="200">
        <v>0</v>
      </c>
      <c r="P61" s="200">
        <v>0</v>
      </c>
      <c r="Q61" s="200">
        <v>0</v>
      </c>
      <c r="R61" s="17">
        <v>347019.95</v>
      </c>
      <c r="T61" s="1704"/>
    </row>
    <row r="62" spans="1:21" x14ac:dyDescent="0.15">
      <c r="A62" s="1380" t="s">
        <v>3963</v>
      </c>
      <c r="B62" s="17">
        <f t="shared" si="17"/>
        <v>407563.49</v>
      </c>
      <c r="C62" s="200">
        <v>0</v>
      </c>
      <c r="D62" s="200">
        <v>0</v>
      </c>
      <c r="E62" s="200">
        <v>0</v>
      </c>
      <c r="F62" s="200">
        <v>0</v>
      </c>
      <c r="G62" s="200">
        <v>0</v>
      </c>
      <c r="H62" s="200">
        <v>0</v>
      </c>
      <c r="I62" s="17">
        <v>164708.49000000002</v>
      </c>
      <c r="J62" s="200">
        <v>0</v>
      </c>
      <c r="K62" s="200">
        <v>0</v>
      </c>
      <c r="L62" s="200">
        <v>0</v>
      </c>
      <c r="M62" s="17">
        <v>2106</v>
      </c>
      <c r="N62" s="200">
        <v>0</v>
      </c>
      <c r="O62" s="200">
        <v>0</v>
      </c>
      <c r="P62" s="200">
        <v>0</v>
      </c>
      <c r="Q62" s="200">
        <v>0</v>
      </c>
      <c r="R62" s="17">
        <v>240748.99999999997</v>
      </c>
      <c r="T62" s="1704"/>
    </row>
    <row r="63" spans="1:21" x14ac:dyDescent="0.15">
      <c r="A63" s="1380" t="s">
        <v>3964</v>
      </c>
      <c r="B63" s="17">
        <f t="shared" si="17"/>
        <v>1217528.47</v>
      </c>
      <c r="C63" s="200">
        <v>0</v>
      </c>
      <c r="D63" s="200">
        <v>0</v>
      </c>
      <c r="E63" s="200">
        <v>0</v>
      </c>
      <c r="F63" s="200">
        <v>0</v>
      </c>
      <c r="G63" s="200">
        <v>0</v>
      </c>
      <c r="H63" s="17">
        <v>2755.45</v>
      </c>
      <c r="I63" s="17">
        <v>411044.07000000007</v>
      </c>
      <c r="J63" s="200">
        <v>0</v>
      </c>
      <c r="K63" s="200">
        <v>0</v>
      </c>
      <c r="L63" s="200">
        <v>0</v>
      </c>
      <c r="M63" s="200">
        <v>0</v>
      </c>
      <c r="N63" s="200">
        <v>0</v>
      </c>
      <c r="O63" s="17">
        <v>7717.64</v>
      </c>
      <c r="P63" s="200">
        <v>0</v>
      </c>
      <c r="Q63" s="200">
        <v>0</v>
      </c>
      <c r="R63" s="17">
        <v>796011.30999999994</v>
      </c>
      <c r="T63" s="1704"/>
    </row>
    <row r="64" spans="1:21" s="197" customFormat="1" x14ac:dyDescent="0.15">
      <c r="A64" s="197" t="s">
        <v>2882</v>
      </c>
      <c r="B64" s="200">
        <f>+B65</f>
        <v>63892756.700000018</v>
      </c>
      <c r="C64" s="200">
        <f t="shared" ref="C64:R64" si="18">+C65</f>
        <v>15372</v>
      </c>
      <c r="D64" s="200">
        <f t="shared" si="18"/>
        <v>0</v>
      </c>
      <c r="E64" s="200">
        <f t="shared" si="18"/>
        <v>82042.080000000002</v>
      </c>
      <c r="F64" s="200">
        <f t="shared" si="18"/>
        <v>43138</v>
      </c>
      <c r="G64" s="200">
        <f t="shared" si="18"/>
        <v>40440.54</v>
      </c>
      <c r="H64" s="200">
        <f t="shared" si="18"/>
        <v>54855.670000000006</v>
      </c>
      <c r="I64" s="200">
        <f t="shared" si="18"/>
        <v>12997579.800000001</v>
      </c>
      <c r="J64" s="200">
        <f t="shared" si="18"/>
        <v>970214.24</v>
      </c>
      <c r="K64" s="200">
        <f t="shared" si="18"/>
        <v>62849.73</v>
      </c>
      <c r="L64" s="200">
        <f t="shared" si="18"/>
        <v>15031814.52</v>
      </c>
      <c r="M64" s="200">
        <f t="shared" si="18"/>
        <v>554935.09</v>
      </c>
      <c r="N64" s="200">
        <f t="shared" si="18"/>
        <v>651495.62</v>
      </c>
      <c r="O64" s="200">
        <f t="shared" si="18"/>
        <v>971920.20000000007</v>
      </c>
      <c r="P64" s="200">
        <f t="shared" si="18"/>
        <v>645999.00999999989</v>
      </c>
      <c r="Q64" s="200">
        <f t="shared" si="18"/>
        <v>29826425.009999998</v>
      </c>
      <c r="R64" s="200">
        <f t="shared" si="18"/>
        <v>1943675.19</v>
      </c>
      <c r="T64" s="1704"/>
      <c r="U64" s="214"/>
    </row>
    <row r="65" spans="1:21" s="197" customFormat="1" x14ac:dyDescent="0.15">
      <c r="A65" s="1374" t="s">
        <v>2882</v>
      </c>
      <c r="B65" s="200">
        <f>+SUM(B66:B97)</f>
        <v>63892756.700000018</v>
      </c>
      <c r="C65" s="200">
        <f t="shared" ref="C65:R65" si="19">+SUM(C66:C97)</f>
        <v>15372</v>
      </c>
      <c r="D65" s="200">
        <f t="shared" si="19"/>
        <v>0</v>
      </c>
      <c r="E65" s="200">
        <f t="shared" si="19"/>
        <v>82042.080000000002</v>
      </c>
      <c r="F65" s="200">
        <f t="shared" si="19"/>
        <v>43138</v>
      </c>
      <c r="G65" s="200">
        <f t="shared" si="19"/>
        <v>40440.54</v>
      </c>
      <c r="H65" s="200">
        <f t="shared" si="19"/>
        <v>54855.670000000006</v>
      </c>
      <c r="I65" s="200">
        <f t="shared" si="19"/>
        <v>12997579.800000001</v>
      </c>
      <c r="J65" s="200">
        <f t="shared" si="19"/>
        <v>970214.24</v>
      </c>
      <c r="K65" s="200">
        <f t="shared" si="19"/>
        <v>62849.73</v>
      </c>
      <c r="L65" s="200">
        <f t="shared" si="19"/>
        <v>15031814.52</v>
      </c>
      <c r="M65" s="200">
        <f t="shared" si="19"/>
        <v>554935.09</v>
      </c>
      <c r="N65" s="200">
        <f t="shared" si="19"/>
        <v>651495.62</v>
      </c>
      <c r="O65" s="200">
        <f t="shared" si="19"/>
        <v>971920.20000000007</v>
      </c>
      <c r="P65" s="200">
        <f t="shared" si="19"/>
        <v>645999.00999999989</v>
      </c>
      <c r="Q65" s="200">
        <f t="shared" si="19"/>
        <v>29826425.009999998</v>
      </c>
      <c r="R65" s="200">
        <f t="shared" si="19"/>
        <v>1943675.19</v>
      </c>
      <c r="T65" s="1704"/>
      <c r="U65" s="214"/>
    </row>
    <row r="66" spans="1:21" x14ac:dyDescent="0.15">
      <c r="A66" s="1380" t="s">
        <v>4014</v>
      </c>
      <c r="B66" s="17">
        <f>+SUM(C66:R66)</f>
        <v>13291.79</v>
      </c>
      <c r="C66" s="200">
        <v>0</v>
      </c>
      <c r="D66" s="200">
        <v>0</v>
      </c>
      <c r="E66" s="200">
        <v>0</v>
      </c>
      <c r="F66" s="200">
        <v>0</v>
      </c>
      <c r="G66" s="200">
        <v>0</v>
      </c>
      <c r="H66" s="200">
        <v>0</v>
      </c>
      <c r="I66" s="17">
        <v>1186.1400000000001</v>
      </c>
      <c r="J66" s="200">
        <v>0</v>
      </c>
      <c r="K66" s="200">
        <v>0</v>
      </c>
      <c r="L66" s="200">
        <v>0</v>
      </c>
      <c r="M66" s="200">
        <v>0</v>
      </c>
      <c r="N66" s="200">
        <v>0</v>
      </c>
      <c r="O66" s="200">
        <v>0</v>
      </c>
      <c r="P66" s="17">
        <v>6565.61</v>
      </c>
      <c r="Q66" s="200">
        <v>0</v>
      </c>
      <c r="R66" s="17">
        <v>5540.04</v>
      </c>
      <c r="T66" s="1704"/>
    </row>
    <row r="67" spans="1:21" x14ac:dyDescent="0.15">
      <c r="A67" s="1380" t="s">
        <v>4015</v>
      </c>
      <c r="B67" s="17">
        <f t="shared" ref="B67:B97" si="20">+SUM(C67:R67)</f>
        <v>24384.929999999997</v>
      </c>
      <c r="C67" s="200">
        <v>0</v>
      </c>
      <c r="D67" s="200">
        <v>0</v>
      </c>
      <c r="E67" s="200">
        <v>0</v>
      </c>
      <c r="F67" s="200">
        <v>0</v>
      </c>
      <c r="G67" s="200">
        <v>0</v>
      </c>
      <c r="H67" s="200">
        <v>0</v>
      </c>
      <c r="I67" s="200">
        <v>0</v>
      </c>
      <c r="J67" s="200">
        <v>0</v>
      </c>
      <c r="K67" s="200">
        <v>0</v>
      </c>
      <c r="L67" s="200">
        <v>0</v>
      </c>
      <c r="M67" s="200">
        <v>0</v>
      </c>
      <c r="N67" s="200">
        <v>0</v>
      </c>
      <c r="O67" s="200">
        <v>0</v>
      </c>
      <c r="P67" s="200">
        <v>0</v>
      </c>
      <c r="Q67" s="200">
        <v>0</v>
      </c>
      <c r="R67" s="17">
        <v>24384.929999999997</v>
      </c>
      <c r="T67" s="1704"/>
    </row>
    <row r="68" spans="1:21" x14ac:dyDescent="0.15">
      <c r="A68" s="1380" t="s">
        <v>4016</v>
      </c>
      <c r="B68" s="17">
        <f t="shared" si="20"/>
        <v>520217.80999999994</v>
      </c>
      <c r="C68" s="200">
        <v>0</v>
      </c>
      <c r="D68" s="200">
        <v>0</v>
      </c>
      <c r="E68" s="200">
        <v>0</v>
      </c>
      <c r="F68" s="200">
        <v>0</v>
      </c>
      <c r="G68" s="200">
        <v>0</v>
      </c>
      <c r="H68" s="200">
        <v>0</v>
      </c>
      <c r="I68" s="17">
        <v>289782.84999999998</v>
      </c>
      <c r="J68" s="200">
        <v>0</v>
      </c>
      <c r="K68" s="200">
        <v>0</v>
      </c>
      <c r="L68" s="200">
        <v>0</v>
      </c>
      <c r="M68" s="200">
        <v>0</v>
      </c>
      <c r="N68" s="200">
        <v>0</v>
      </c>
      <c r="O68" s="200">
        <v>0</v>
      </c>
      <c r="P68" s="200">
        <v>0</v>
      </c>
      <c r="Q68" s="200">
        <v>0</v>
      </c>
      <c r="R68" s="17">
        <v>230434.96</v>
      </c>
      <c r="T68" s="1704"/>
    </row>
    <row r="69" spans="1:21" x14ac:dyDescent="0.15">
      <c r="A69" s="1380" t="s">
        <v>4017</v>
      </c>
      <c r="B69" s="17">
        <f t="shared" si="20"/>
        <v>45114.64</v>
      </c>
      <c r="C69" s="200">
        <v>0</v>
      </c>
      <c r="D69" s="200">
        <v>0</v>
      </c>
      <c r="E69" s="200">
        <v>0</v>
      </c>
      <c r="F69" s="200">
        <v>0</v>
      </c>
      <c r="G69" s="200">
        <v>0</v>
      </c>
      <c r="H69" s="17">
        <v>3471.4700000000003</v>
      </c>
      <c r="I69" s="17">
        <v>2043.22</v>
      </c>
      <c r="J69" s="200">
        <v>0</v>
      </c>
      <c r="K69" s="200">
        <v>0</v>
      </c>
      <c r="L69" s="200">
        <v>0</v>
      </c>
      <c r="M69" s="200">
        <v>0</v>
      </c>
      <c r="N69" s="200">
        <v>0</v>
      </c>
      <c r="O69" s="200">
        <v>0</v>
      </c>
      <c r="P69" s="200">
        <v>0</v>
      </c>
      <c r="Q69" s="17">
        <v>11049.5</v>
      </c>
      <c r="R69" s="17">
        <v>28550.449999999997</v>
      </c>
      <c r="T69" s="1704"/>
    </row>
    <row r="70" spans="1:21" x14ac:dyDescent="0.15">
      <c r="A70" s="1380" t="s">
        <v>4018</v>
      </c>
      <c r="B70" s="17">
        <f t="shared" si="20"/>
        <v>42788.86</v>
      </c>
      <c r="C70" s="200">
        <v>0</v>
      </c>
      <c r="D70" s="200">
        <v>0</v>
      </c>
      <c r="E70" s="200">
        <v>0</v>
      </c>
      <c r="F70" s="200">
        <v>0</v>
      </c>
      <c r="G70" s="200">
        <v>0</v>
      </c>
      <c r="H70" s="200">
        <v>0</v>
      </c>
      <c r="I70" s="17">
        <v>13196.04</v>
      </c>
      <c r="J70" s="17">
        <v>1229.78</v>
      </c>
      <c r="K70" s="200">
        <v>0</v>
      </c>
      <c r="L70" s="200">
        <v>0</v>
      </c>
      <c r="M70" s="17">
        <v>8067.25</v>
      </c>
      <c r="N70" s="200">
        <v>0</v>
      </c>
      <c r="O70" s="200">
        <v>0</v>
      </c>
      <c r="P70" s="200">
        <v>0</v>
      </c>
      <c r="Q70" s="200">
        <v>0</v>
      </c>
      <c r="R70" s="17">
        <v>20295.789999999997</v>
      </c>
      <c r="T70" s="1704"/>
    </row>
    <row r="71" spans="1:21" x14ac:dyDescent="0.15">
      <c r="A71" s="1380" t="s">
        <v>4019</v>
      </c>
      <c r="B71" s="17">
        <f t="shared" si="20"/>
        <v>1523747.5100000002</v>
      </c>
      <c r="C71" s="200">
        <v>0</v>
      </c>
      <c r="D71" s="200">
        <v>0</v>
      </c>
      <c r="E71" s="200">
        <v>0</v>
      </c>
      <c r="F71" s="200">
        <v>0</v>
      </c>
      <c r="G71" s="200">
        <v>0</v>
      </c>
      <c r="H71" s="17">
        <v>2390.0500000000002</v>
      </c>
      <c r="I71" s="17">
        <v>145547.46000000002</v>
      </c>
      <c r="J71" s="17">
        <v>611.86</v>
      </c>
      <c r="K71" s="200">
        <v>0</v>
      </c>
      <c r="L71" s="200">
        <v>0</v>
      </c>
      <c r="M71" s="200">
        <v>0</v>
      </c>
      <c r="N71" s="200">
        <v>0</v>
      </c>
      <c r="O71" s="200">
        <v>0</v>
      </c>
      <c r="P71" s="200">
        <v>0</v>
      </c>
      <c r="Q71" s="17">
        <v>300</v>
      </c>
      <c r="R71" s="17">
        <v>1374898.1400000001</v>
      </c>
      <c r="T71" s="1704"/>
    </row>
    <row r="72" spans="1:21" x14ac:dyDescent="0.15">
      <c r="A72" s="1380" t="s">
        <v>4020</v>
      </c>
      <c r="B72" s="17">
        <f t="shared" si="20"/>
        <v>48512.14</v>
      </c>
      <c r="C72" s="200">
        <v>0</v>
      </c>
      <c r="D72" s="200">
        <v>0</v>
      </c>
      <c r="E72" s="200">
        <v>0</v>
      </c>
      <c r="F72" s="200">
        <v>0</v>
      </c>
      <c r="G72" s="200">
        <v>0</v>
      </c>
      <c r="H72" s="200">
        <v>0</v>
      </c>
      <c r="I72" s="17">
        <v>48512.14</v>
      </c>
      <c r="J72" s="200">
        <v>0</v>
      </c>
      <c r="K72" s="200">
        <v>0</v>
      </c>
      <c r="L72" s="200">
        <v>0</v>
      </c>
      <c r="M72" s="200">
        <v>0</v>
      </c>
      <c r="N72" s="200">
        <v>0</v>
      </c>
      <c r="O72" s="200">
        <v>0</v>
      </c>
      <c r="P72" s="200">
        <v>0</v>
      </c>
      <c r="Q72" s="200">
        <v>0</v>
      </c>
      <c r="R72" s="200">
        <v>0</v>
      </c>
      <c r="T72" s="1704"/>
    </row>
    <row r="73" spans="1:21" x14ac:dyDescent="0.15">
      <c r="A73" s="1380" t="s">
        <v>4021</v>
      </c>
      <c r="B73" s="17">
        <f t="shared" si="20"/>
        <v>468</v>
      </c>
      <c r="C73" s="200">
        <v>0</v>
      </c>
      <c r="D73" s="200">
        <v>0</v>
      </c>
      <c r="E73" s="200">
        <v>0</v>
      </c>
      <c r="F73" s="200">
        <v>0</v>
      </c>
      <c r="G73" s="200">
        <v>0</v>
      </c>
      <c r="H73" s="200">
        <v>0</v>
      </c>
      <c r="I73" s="200">
        <v>0</v>
      </c>
      <c r="J73" s="200">
        <v>0</v>
      </c>
      <c r="K73" s="200">
        <v>0</v>
      </c>
      <c r="L73" s="200">
        <v>0</v>
      </c>
      <c r="M73" s="200">
        <v>0</v>
      </c>
      <c r="N73" s="200">
        <v>0</v>
      </c>
      <c r="O73" s="200">
        <v>0</v>
      </c>
      <c r="P73" s="200">
        <v>0</v>
      </c>
      <c r="Q73" s="200">
        <v>0</v>
      </c>
      <c r="R73" s="17">
        <v>468</v>
      </c>
      <c r="T73" s="1704"/>
    </row>
    <row r="74" spans="1:21" x14ac:dyDescent="0.15">
      <c r="A74" s="1380" t="s">
        <v>4022</v>
      </c>
      <c r="B74" s="17">
        <f t="shared" si="20"/>
        <v>332.91</v>
      </c>
      <c r="C74" s="200">
        <v>0</v>
      </c>
      <c r="D74" s="200">
        <v>0</v>
      </c>
      <c r="E74" s="200">
        <v>0</v>
      </c>
      <c r="F74" s="200">
        <v>0</v>
      </c>
      <c r="G74" s="200">
        <v>0</v>
      </c>
      <c r="H74" s="200">
        <v>0</v>
      </c>
      <c r="I74" s="17">
        <v>332.91</v>
      </c>
      <c r="J74" s="200">
        <v>0</v>
      </c>
      <c r="K74" s="200">
        <v>0</v>
      </c>
      <c r="L74" s="200">
        <v>0</v>
      </c>
      <c r="M74" s="200">
        <v>0</v>
      </c>
      <c r="N74" s="200">
        <v>0</v>
      </c>
      <c r="O74" s="200">
        <v>0</v>
      </c>
      <c r="P74" s="200">
        <v>0</v>
      </c>
      <c r="Q74" s="200">
        <v>0</v>
      </c>
      <c r="R74" s="200">
        <v>0</v>
      </c>
      <c r="T74" s="1704"/>
    </row>
    <row r="75" spans="1:21" x14ac:dyDescent="0.15">
      <c r="A75" s="1380" t="s">
        <v>4023</v>
      </c>
      <c r="B75" s="17">
        <f t="shared" si="20"/>
        <v>115050.84</v>
      </c>
      <c r="C75" s="200">
        <v>0</v>
      </c>
      <c r="D75" s="200">
        <v>0</v>
      </c>
      <c r="E75" s="200">
        <v>0</v>
      </c>
      <c r="F75" s="200">
        <v>0</v>
      </c>
      <c r="G75" s="200">
        <v>0</v>
      </c>
      <c r="H75" s="17">
        <v>200</v>
      </c>
      <c r="I75" s="17">
        <v>110429.27</v>
      </c>
      <c r="J75" s="200">
        <v>0</v>
      </c>
      <c r="K75" s="200">
        <v>0</v>
      </c>
      <c r="L75" s="200">
        <v>0</v>
      </c>
      <c r="M75" s="200">
        <v>0</v>
      </c>
      <c r="N75" s="200">
        <v>0</v>
      </c>
      <c r="O75" s="200">
        <v>0</v>
      </c>
      <c r="P75" s="200">
        <v>0</v>
      </c>
      <c r="Q75" s="17">
        <v>340</v>
      </c>
      <c r="R75" s="17">
        <v>4081.5699999999997</v>
      </c>
      <c r="T75" s="1704"/>
    </row>
    <row r="76" spans="1:21" x14ac:dyDescent="0.15">
      <c r="A76" s="1380" t="s">
        <v>4024</v>
      </c>
      <c r="B76" s="17">
        <f t="shared" si="20"/>
        <v>7696.64</v>
      </c>
      <c r="C76" s="200">
        <v>0</v>
      </c>
      <c r="D76" s="200">
        <v>0</v>
      </c>
      <c r="E76" s="200">
        <v>0</v>
      </c>
      <c r="F76" s="200">
        <v>0</v>
      </c>
      <c r="G76" s="200">
        <v>0</v>
      </c>
      <c r="H76" s="200">
        <v>0</v>
      </c>
      <c r="I76" s="200">
        <v>0</v>
      </c>
      <c r="J76" s="200">
        <v>0</v>
      </c>
      <c r="K76" s="200">
        <v>0</v>
      </c>
      <c r="L76" s="200">
        <v>0</v>
      </c>
      <c r="M76" s="200">
        <v>0</v>
      </c>
      <c r="N76" s="200">
        <v>0</v>
      </c>
      <c r="O76" s="200">
        <v>0</v>
      </c>
      <c r="P76" s="200">
        <v>0</v>
      </c>
      <c r="Q76" s="200">
        <v>0</v>
      </c>
      <c r="R76" s="17">
        <v>7696.64</v>
      </c>
      <c r="T76" s="1704"/>
    </row>
    <row r="77" spans="1:21" x14ac:dyDescent="0.15">
      <c r="A77" s="1380" t="s">
        <v>4025</v>
      </c>
      <c r="B77" s="17">
        <f t="shared" si="20"/>
        <v>132776.85999999999</v>
      </c>
      <c r="C77" s="17">
        <v>12822</v>
      </c>
      <c r="D77" s="200">
        <v>0</v>
      </c>
      <c r="E77" s="200">
        <v>0</v>
      </c>
      <c r="F77" s="200">
        <v>0</v>
      </c>
      <c r="G77" s="200">
        <v>0</v>
      </c>
      <c r="H77" s="200">
        <v>0</v>
      </c>
      <c r="I77" s="17">
        <v>65515.28</v>
      </c>
      <c r="J77" s="200">
        <v>0</v>
      </c>
      <c r="K77" s="200">
        <v>0</v>
      </c>
      <c r="L77" s="200">
        <v>0</v>
      </c>
      <c r="M77" s="200">
        <v>0</v>
      </c>
      <c r="N77" s="200">
        <v>0</v>
      </c>
      <c r="O77" s="200">
        <v>0</v>
      </c>
      <c r="P77" s="200">
        <v>0</v>
      </c>
      <c r="Q77" s="200">
        <v>0</v>
      </c>
      <c r="R77" s="17">
        <v>54439.579999999994</v>
      </c>
      <c r="T77" s="1704"/>
    </row>
    <row r="78" spans="1:21" x14ac:dyDescent="0.15">
      <c r="A78" s="1380" t="s">
        <v>3965</v>
      </c>
      <c r="B78" s="17">
        <f t="shared" si="20"/>
        <v>655</v>
      </c>
      <c r="C78" s="200">
        <v>0</v>
      </c>
      <c r="D78" s="200">
        <v>0</v>
      </c>
      <c r="E78" s="200">
        <v>0</v>
      </c>
      <c r="F78" s="200">
        <v>0</v>
      </c>
      <c r="G78" s="200">
        <v>0</v>
      </c>
      <c r="H78" s="200">
        <v>0</v>
      </c>
      <c r="I78" s="17">
        <v>655</v>
      </c>
      <c r="J78" s="200">
        <v>0</v>
      </c>
      <c r="K78" s="200">
        <v>0</v>
      </c>
      <c r="L78" s="200">
        <v>0</v>
      </c>
      <c r="M78" s="200">
        <v>0</v>
      </c>
      <c r="N78" s="200">
        <v>0</v>
      </c>
      <c r="O78" s="200">
        <v>0</v>
      </c>
      <c r="P78" s="200">
        <v>0</v>
      </c>
      <c r="Q78" s="200">
        <v>0</v>
      </c>
      <c r="R78" s="200">
        <v>0</v>
      </c>
      <c r="T78" s="1704"/>
    </row>
    <row r="79" spans="1:21" x14ac:dyDescent="0.15">
      <c r="A79" s="1380" t="s">
        <v>3966</v>
      </c>
      <c r="B79" s="17">
        <f t="shared" si="20"/>
        <v>15383019.369999999</v>
      </c>
      <c r="C79" s="200">
        <v>0</v>
      </c>
      <c r="D79" s="200">
        <v>0</v>
      </c>
      <c r="E79" s="200">
        <v>0</v>
      </c>
      <c r="F79" s="200">
        <v>0</v>
      </c>
      <c r="G79" s="200">
        <v>0</v>
      </c>
      <c r="H79" s="200">
        <v>0</v>
      </c>
      <c r="I79" s="17">
        <v>4196</v>
      </c>
      <c r="J79" s="200">
        <v>0</v>
      </c>
      <c r="K79" s="200">
        <v>0</v>
      </c>
      <c r="L79" s="17">
        <v>94604.14</v>
      </c>
      <c r="M79" s="200">
        <v>0</v>
      </c>
      <c r="N79" s="200">
        <v>0</v>
      </c>
      <c r="O79" s="200">
        <v>0</v>
      </c>
      <c r="P79" s="200">
        <v>0</v>
      </c>
      <c r="Q79" s="17">
        <v>15284219.229999999</v>
      </c>
      <c r="R79" s="200">
        <v>0</v>
      </c>
      <c r="T79" s="1704"/>
    </row>
    <row r="80" spans="1:21" x14ac:dyDescent="0.15">
      <c r="A80" s="1380" t="s">
        <v>3967</v>
      </c>
      <c r="B80" s="17">
        <f t="shared" si="20"/>
        <v>16933186.449999999</v>
      </c>
      <c r="C80" s="200">
        <v>0</v>
      </c>
      <c r="D80" s="200">
        <v>0</v>
      </c>
      <c r="E80" s="200">
        <v>0</v>
      </c>
      <c r="F80" s="200">
        <v>0</v>
      </c>
      <c r="G80" s="200">
        <v>0</v>
      </c>
      <c r="H80" s="200">
        <v>0</v>
      </c>
      <c r="I80" s="17">
        <v>143697.28999999998</v>
      </c>
      <c r="J80" s="17">
        <v>526373.53</v>
      </c>
      <c r="K80" s="200">
        <v>0</v>
      </c>
      <c r="L80" s="17">
        <v>251387.16999999998</v>
      </c>
      <c r="M80" s="17">
        <v>41446.1</v>
      </c>
      <c r="N80" s="200">
        <v>0</v>
      </c>
      <c r="O80" s="17">
        <v>804202.47000000009</v>
      </c>
      <c r="P80" s="17">
        <v>639433.39999999991</v>
      </c>
      <c r="Q80" s="17">
        <v>14526646.489999998</v>
      </c>
      <c r="R80" s="17">
        <v>0</v>
      </c>
      <c r="T80" s="1704"/>
    </row>
    <row r="81" spans="1:20" x14ac:dyDescent="0.15">
      <c r="A81" s="1380" t="s">
        <v>3968</v>
      </c>
      <c r="B81" s="17">
        <f t="shared" si="20"/>
        <v>1897599.9600000002</v>
      </c>
      <c r="C81" s="200">
        <v>0</v>
      </c>
      <c r="D81" s="200">
        <v>0</v>
      </c>
      <c r="E81" s="200">
        <v>0</v>
      </c>
      <c r="F81" s="200">
        <v>0</v>
      </c>
      <c r="G81" s="200">
        <v>0</v>
      </c>
      <c r="H81" s="200">
        <v>0</v>
      </c>
      <c r="I81" s="17">
        <v>871.2</v>
      </c>
      <c r="J81" s="200">
        <v>0</v>
      </c>
      <c r="K81" s="200">
        <v>0</v>
      </c>
      <c r="L81" s="17">
        <v>1711603.4100000001</v>
      </c>
      <c r="M81" s="200">
        <v>0</v>
      </c>
      <c r="N81" s="17">
        <v>66331.62000000001</v>
      </c>
      <c r="O81" s="17">
        <v>118793.73000000001</v>
      </c>
      <c r="P81" s="200">
        <v>0</v>
      </c>
      <c r="Q81" s="200">
        <v>0</v>
      </c>
      <c r="R81" s="200">
        <v>0</v>
      </c>
      <c r="T81" s="1704"/>
    </row>
    <row r="82" spans="1:20" x14ac:dyDescent="0.15">
      <c r="A82" s="1380" t="s">
        <v>4027</v>
      </c>
      <c r="B82" s="17">
        <f t="shared" si="20"/>
        <v>5049.8499999999995</v>
      </c>
      <c r="C82" s="200">
        <v>0</v>
      </c>
      <c r="D82" s="200">
        <v>0</v>
      </c>
      <c r="E82" s="200">
        <v>0</v>
      </c>
      <c r="F82" s="200">
        <v>0</v>
      </c>
      <c r="G82" s="200">
        <v>0</v>
      </c>
      <c r="H82" s="200">
        <v>0</v>
      </c>
      <c r="I82" s="17">
        <v>156.57999999999998</v>
      </c>
      <c r="J82" s="200">
        <v>0</v>
      </c>
      <c r="K82" s="200">
        <v>0</v>
      </c>
      <c r="L82" s="200">
        <v>0</v>
      </c>
      <c r="M82" s="200">
        <v>0</v>
      </c>
      <c r="N82" s="200">
        <v>0</v>
      </c>
      <c r="O82" s="200">
        <v>0</v>
      </c>
      <c r="P82" s="200">
        <v>0</v>
      </c>
      <c r="Q82" s="200">
        <v>0</v>
      </c>
      <c r="R82" s="17">
        <v>4893.2699999999995</v>
      </c>
      <c r="T82" s="1704"/>
    </row>
    <row r="83" spans="1:20" x14ac:dyDescent="0.15">
      <c r="A83" s="1380" t="s">
        <v>3969</v>
      </c>
      <c r="B83" s="17">
        <f t="shared" si="20"/>
        <v>90410.02</v>
      </c>
      <c r="C83" s="200">
        <v>0</v>
      </c>
      <c r="D83" s="200">
        <v>0</v>
      </c>
      <c r="E83" s="200">
        <v>0</v>
      </c>
      <c r="F83" s="200">
        <v>0</v>
      </c>
      <c r="G83" s="200">
        <v>0</v>
      </c>
      <c r="H83" s="200">
        <v>0</v>
      </c>
      <c r="I83" s="17">
        <v>42584.94</v>
      </c>
      <c r="J83" s="200">
        <v>0</v>
      </c>
      <c r="K83" s="200">
        <v>0</v>
      </c>
      <c r="L83" s="200">
        <v>0</v>
      </c>
      <c r="M83" s="200">
        <v>0</v>
      </c>
      <c r="N83" s="200">
        <v>0</v>
      </c>
      <c r="O83" s="200">
        <v>0</v>
      </c>
      <c r="P83" s="200">
        <v>0</v>
      </c>
      <c r="Q83" s="200">
        <v>0</v>
      </c>
      <c r="R83" s="17">
        <v>47825.08</v>
      </c>
      <c r="T83" s="1704"/>
    </row>
    <row r="84" spans="1:20" x14ac:dyDescent="0.15">
      <c r="A84" s="1380" t="s">
        <v>4028</v>
      </c>
      <c r="B84" s="17">
        <f t="shared" si="20"/>
        <v>7538.27</v>
      </c>
      <c r="C84" s="200">
        <v>0</v>
      </c>
      <c r="D84" s="200">
        <v>0</v>
      </c>
      <c r="E84" s="200">
        <v>0</v>
      </c>
      <c r="F84" s="200">
        <v>0</v>
      </c>
      <c r="G84" s="200">
        <v>0</v>
      </c>
      <c r="H84" s="200">
        <v>0</v>
      </c>
      <c r="I84" s="17">
        <v>1019.5899999999999</v>
      </c>
      <c r="J84" s="200">
        <v>0</v>
      </c>
      <c r="K84" s="200">
        <v>0</v>
      </c>
      <c r="L84" s="200">
        <v>0</v>
      </c>
      <c r="M84" s="200">
        <v>0</v>
      </c>
      <c r="N84" s="200">
        <v>0</v>
      </c>
      <c r="O84" s="200">
        <v>0</v>
      </c>
      <c r="P84" s="200">
        <v>0</v>
      </c>
      <c r="Q84" s="200">
        <v>0</v>
      </c>
      <c r="R84" s="17">
        <v>6518.68</v>
      </c>
      <c r="T84" s="1704"/>
    </row>
    <row r="85" spans="1:20" x14ac:dyDescent="0.15">
      <c r="A85" s="1380" t="s">
        <v>3971</v>
      </c>
      <c r="B85" s="17">
        <f t="shared" si="20"/>
        <v>167082.12</v>
      </c>
      <c r="C85" s="200">
        <v>0</v>
      </c>
      <c r="D85" s="200">
        <v>0</v>
      </c>
      <c r="E85" s="17">
        <v>49824.44</v>
      </c>
      <c r="F85" s="200">
        <v>0</v>
      </c>
      <c r="G85" s="200">
        <v>0</v>
      </c>
      <c r="H85" s="200">
        <v>0</v>
      </c>
      <c r="I85" s="17">
        <v>70349.679999999993</v>
      </c>
      <c r="J85" s="200">
        <v>0</v>
      </c>
      <c r="K85" s="200">
        <v>0</v>
      </c>
      <c r="L85" s="200">
        <v>0</v>
      </c>
      <c r="M85" s="200">
        <v>0</v>
      </c>
      <c r="N85" s="200">
        <v>0</v>
      </c>
      <c r="O85" s="17">
        <v>46908</v>
      </c>
      <c r="P85" s="200">
        <v>0</v>
      </c>
      <c r="Q85" s="200">
        <v>0</v>
      </c>
      <c r="R85" s="200">
        <v>0</v>
      </c>
      <c r="T85" s="1704"/>
    </row>
    <row r="86" spans="1:20" x14ac:dyDescent="0.15">
      <c r="A86" s="1380" t="s">
        <v>3972</v>
      </c>
      <c r="B86" s="17">
        <f t="shared" si="20"/>
        <v>588649.57000000007</v>
      </c>
      <c r="C86" s="17">
        <v>2550</v>
      </c>
      <c r="D86" s="200">
        <v>0</v>
      </c>
      <c r="E86" s="17">
        <v>28090</v>
      </c>
      <c r="F86" s="200">
        <v>0</v>
      </c>
      <c r="G86" s="200">
        <v>0</v>
      </c>
      <c r="H86" s="200">
        <v>0</v>
      </c>
      <c r="I86" s="17">
        <v>88878.5</v>
      </c>
      <c r="J86" s="17">
        <v>441999.07</v>
      </c>
      <c r="K86" s="17">
        <v>27132</v>
      </c>
      <c r="L86" s="200">
        <v>0</v>
      </c>
      <c r="M86" s="200">
        <v>0</v>
      </c>
      <c r="N86" s="200">
        <v>0</v>
      </c>
      <c r="O86" s="200">
        <v>0</v>
      </c>
      <c r="P86" s="200">
        <v>0</v>
      </c>
      <c r="Q86" s="200">
        <v>0</v>
      </c>
      <c r="R86" s="200">
        <v>0</v>
      </c>
      <c r="T86" s="1704"/>
    </row>
    <row r="87" spans="1:20" x14ac:dyDescent="0.15">
      <c r="A87" s="1380" t="s">
        <v>3973</v>
      </c>
      <c r="B87" s="17">
        <f t="shared" si="20"/>
        <v>17982.379999999997</v>
      </c>
      <c r="C87" s="200">
        <v>0</v>
      </c>
      <c r="D87" s="200">
        <v>0</v>
      </c>
      <c r="E87" s="200">
        <v>0</v>
      </c>
      <c r="F87" s="200">
        <v>0</v>
      </c>
      <c r="G87" s="200">
        <v>0</v>
      </c>
      <c r="H87" s="200">
        <v>0</v>
      </c>
      <c r="I87" s="17">
        <v>3543.25</v>
      </c>
      <c r="J87" s="200">
        <v>0</v>
      </c>
      <c r="K87" s="200">
        <v>0</v>
      </c>
      <c r="L87" s="17">
        <v>20</v>
      </c>
      <c r="M87" s="200">
        <v>0</v>
      </c>
      <c r="N87" s="200">
        <v>0</v>
      </c>
      <c r="O87" s="200">
        <v>0</v>
      </c>
      <c r="P87" s="200">
        <v>0</v>
      </c>
      <c r="Q87" s="200">
        <v>0</v>
      </c>
      <c r="R87" s="17">
        <v>14419.13</v>
      </c>
      <c r="T87" s="1704"/>
    </row>
    <row r="88" spans="1:20" x14ac:dyDescent="0.15">
      <c r="A88" s="1380" t="s">
        <v>4029</v>
      </c>
      <c r="B88" s="17">
        <f t="shared" si="20"/>
        <v>80173.02</v>
      </c>
      <c r="C88" s="200">
        <v>0</v>
      </c>
      <c r="D88" s="200">
        <v>0</v>
      </c>
      <c r="E88" s="17">
        <v>742.64</v>
      </c>
      <c r="F88" s="200">
        <v>0</v>
      </c>
      <c r="G88" s="200">
        <v>0</v>
      </c>
      <c r="H88" s="17">
        <v>15320.99</v>
      </c>
      <c r="I88" s="17">
        <v>36075.270000000004</v>
      </c>
      <c r="J88" s="200">
        <v>0</v>
      </c>
      <c r="K88" s="17">
        <v>18.68</v>
      </c>
      <c r="L88" s="200">
        <v>0</v>
      </c>
      <c r="M88" s="17">
        <v>23372.91</v>
      </c>
      <c r="N88" s="200">
        <v>0</v>
      </c>
      <c r="O88" s="200">
        <v>0</v>
      </c>
      <c r="P88" s="200">
        <v>0</v>
      </c>
      <c r="Q88" s="200">
        <v>0</v>
      </c>
      <c r="R88" s="17">
        <v>4642.5300000000007</v>
      </c>
      <c r="T88" s="1704"/>
    </row>
    <row r="89" spans="1:20" x14ac:dyDescent="0.15">
      <c r="A89" s="1380" t="s">
        <v>4030</v>
      </c>
      <c r="B89" s="17">
        <f t="shared" si="20"/>
        <v>11375.599999999999</v>
      </c>
      <c r="C89" s="200">
        <v>0</v>
      </c>
      <c r="D89" s="200">
        <v>0</v>
      </c>
      <c r="E89" s="17">
        <v>0</v>
      </c>
      <c r="F89" s="200">
        <v>0</v>
      </c>
      <c r="G89" s="200">
        <v>0</v>
      </c>
      <c r="H89" s="200">
        <v>0</v>
      </c>
      <c r="I89" s="17">
        <v>2946.2</v>
      </c>
      <c r="J89" s="200">
        <v>0</v>
      </c>
      <c r="K89" s="200">
        <v>0</v>
      </c>
      <c r="L89" s="200">
        <v>0</v>
      </c>
      <c r="M89" s="200">
        <v>0</v>
      </c>
      <c r="N89" s="200">
        <v>0</v>
      </c>
      <c r="O89" s="200">
        <v>0</v>
      </c>
      <c r="P89" s="200">
        <v>0</v>
      </c>
      <c r="Q89" s="200">
        <v>0</v>
      </c>
      <c r="R89" s="17">
        <v>8429.4</v>
      </c>
      <c r="T89" s="1704"/>
    </row>
    <row r="90" spans="1:20" x14ac:dyDescent="0.15">
      <c r="A90" s="1380" t="s">
        <v>4031</v>
      </c>
      <c r="B90" s="17">
        <f t="shared" si="20"/>
        <v>149254.26</v>
      </c>
      <c r="C90" s="200">
        <v>0</v>
      </c>
      <c r="D90" s="200">
        <v>0</v>
      </c>
      <c r="E90" s="17">
        <v>3385</v>
      </c>
      <c r="F90" s="200">
        <v>0</v>
      </c>
      <c r="G90" s="17">
        <v>40440.54</v>
      </c>
      <c r="H90" s="200">
        <v>0</v>
      </c>
      <c r="I90" s="17">
        <v>105428.72</v>
      </c>
      <c r="J90" s="200">
        <v>0</v>
      </c>
      <c r="K90" s="17">
        <v>0</v>
      </c>
      <c r="L90" s="200">
        <v>0</v>
      </c>
      <c r="M90" s="200">
        <v>0</v>
      </c>
      <c r="N90" s="200">
        <v>0</v>
      </c>
      <c r="O90" s="200">
        <v>0</v>
      </c>
      <c r="P90" s="200">
        <v>0</v>
      </c>
      <c r="Q90" s="200">
        <v>0</v>
      </c>
      <c r="R90" s="200">
        <v>0</v>
      </c>
      <c r="T90" s="1704"/>
    </row>
    <row r="91" spans="1:20" x14ac:dyDescent="0.15">
      <c r="A91" s="1380" t="s">
        <v>3974</v>
      </c>
      <c r="B91" s="17">
        <f t="shared" si="20"/>
        <v>212979.76</v>
      </c>
      <c r="C91" s="200">
        <v>0</v>
      </c>
      <c r="D91" s="200">
        <v>0</v>
      </c>
      <c r="E91" s="17">
        <v>0</v>
      </c>
      <c r="F91" s="17">
        <v>43138</v>
      </c>
      <c r="G91" s="200">
        <v>0</v>
      </c>
      <c r="H91" s="200">
        <v>0</v>
      </c>
      <c r="I91" s="17">
        <v>168289</v>
      </c>
      <c r="J91" s="200">
        <v>0</v>
      </c>
      <c r="K91" s="200">
        <v>0</v>
      </c>
      <c r="L91" s="200">
        <v>0</v>
      </c>
      <c r="M91" s="200">
        <v>0</v>
      </c>
      <c r="N91" s="200">
        <v>0</v>
      </c>
      <c r="O91" s="200">
        <v>0</v>
      </c>
      <c r="P91" s="200">
        <v>0</v>
      </c>
      <c r="Q91" s="200">
        <v>0</v>
      </c>
      <c r="R91" s="17">
        <v>1552.76</v>
      </c>
      <c r="T91" s="1704"/>
    </row>
    <row r="92" spans="1:20" x14ac:dyDescent="0.15">
      <c r="A92" s="1380" t="s">
        <v>3975</v>
      </c>
      <c r="B92" s="17">
        <f t="shared" si="20"/>
        <v>593496.66</v>
      </c>
      <c r="C92" s="200">
        <v>0</v>
      </c>
      <c r="D92" s="200">
        <v>0</v>
      </c>
      <c r="E92" s="17">
        <v>0</v>
      </c>
      <c r="F92" s="200">
        <v>0</v>
      </c>
      <c r="G92" s="200">
        <v>0</v>
      </c>
      <c r="H92" s="200">
        <v>0</v>
      </c>
      <c r="I92" s="17">
        <v>8332.66</v>
      </c>
      <c r="J92" s="200">
        <v>0</v>
      </c>
      <c r="K92" s="200">
        <v>0</v>
      </c>
      <c r="L92" s="200">
        <v>0</v>
      </c>
      <c r="M92" s="200">
        <v>0</v>
      </c>
      <c r="N92" s="17">
        <v>585164</v>
      </c>
      <c r="O92" s="200">
        <v>0</v>
      </c>
      <c r="P92" s="200">
        <v>0</v>
      </c>
      <c r="Q92" s="200">
        <v>0</v>
      </c>
      <c r="R92" s="200">
        <v>0</v>
      </c>
      <c r="T92" s="1704"/>
    </row>
    <row r="93" spans="1:20" x14ac:dyDescent="0.15">
      <c r="A93" s="1380" t="s">
        <v>3976</v>
      </c>
      <c r="B93" s="17">
        <f t="shared" si="20"/>
        <v>131314.84</v>
      </c>
      <c r="C93" s="200">
        <v>0</v>
      </c>
      <c r="D93" s="200">
        <v>0</v>
      </c>
      <c r="E93" s="17">
        <v>0</v>
      </c>
      <c r="F93" s="200">
        <v>0</v>
      </c>
      <c r="G93" s="200">
        <v>0</v>
      </c>
      <c r="H93" s="200">
        <v>0</v>
      </c>
      <c r="I93" s="17">
        <v>131314.84</v>
      </c>
      <c r="J93" s="200">
        <v>0</v>
      </c>
      <c r="K93" s="200">
        <v>0</v>
      </c>
      <c r="L93" s="200">
        <v>0</v>
      </c>
      <c r="M93" s="200">
        <v>0</v>
      </c>
      <c r="N93" s="200">
        <v>0</v>
      </c>
      <c r="O93" s="200">
        <v>0</v>
      </c>
      <c r="P93" s="200">
        <v>0</v>
      </c>
      <c r="Q93" s="200">
        <v>0</v>
      </c>
      <c r="R93" s="200">
        <v>0</v>
      </c>
      <c r="T93" s="1704"/>
    </row>
    <row r="94" spans="1:20" x14ac:dyDescent="0.15">
      <c r="A94" s="1380" t="s">
        <v>3977</v>
      </c>
      <c r="B94" s="17">
        <f t="shared" si="20"/>
        <v>916302.16999999993</v>
      </c>
      <c r="C94" s="200">
        <v>0</v>
      </c>
      <c r="D94" s="200">
        <v>0</v>
      </c>
      <c r="E94" s="17">
        <v>0</v>
      </c>
      <c r="F94" s="200">
        <v>0</v>
      </c>
      <c r="G94" s="200">
        <v>0</v>
      </c>
      <c r="H94" s="200">
        <v>0</v>
      </c>
      <c r="I94" s="17">
        <v>894431.15999999992</v>
      </c>
      <c r="J94" s="200">
        <v>0</v>
      </c>
      <c r="K94" s="200">
        <v>0</v>
      </c>
      <c r="L94" s="200">
        <v>0</v>
      </c>
      <c r="M94" s="200">
        <v>0</v>
      </c>
      <c r="N94" s="200">
        <v>0</v>
      </c>
      <c r="O94" s="200">
        <v>0</v>
      </c>
      <c r="P94" s="200">
        <v>0</v>
      </c>
      <c r="Q94" s="200">
        <v>0</v>
      </c>
      <c r="R94" s="17">
        <v>21871.010000000002</v>
      </c>
      <c r="T94" s="1704"/>
    </row>
    <row r="95" spans="1:20" x14ac:dyDescent="0.15">
      <c r="A95" s="1380" t="s">
        <v>4034</v>
      </c>
      <c r="B95" s="17">
        <f t="shared" si="20"/>
        <v>13454483.66</v>
      </c>
      <c r="C95" s="200">
        <v>0</v>
      </c>
      <c r="D95" s="200">
        <v>0</v>
      </c>
      <c r="E95" s="17">
        <v>0</v>
      </c>
      <c r="F95" s="200">
        <v>0</v>
      </c>
      <c r="G95" s="200">
        <v>0</v>
      </c>
      <c r="H95" s="200">
        <v>0</v>
      </c>
      <c r="I95" s="17">
        <v>465043.30000000005</v>
      </c>
      <c r="J95" s="200">
        <v>0</v>
      </c>
      <c r="K95" s="200">
        <v>0</v>
      </c>
      <c r="L95" s="17">
        <v>12974199.799999999</v>
      </c>
      <c r="M95" s="17">
        <v>10223</v>
      </c>
      <c r="N95" s="200">
        <v>0</v>
      </c>
      <c r="O95" s="17">
        <v>2016</v>
      </c>
      <c r="P95" s="200">
        <v>0</v>
      </c>
      <c r="Q95" s="200">
        <v>0</v>
      </c>
      <c r="R95" s="17">
        <v>3001.56</v>
      </c>
      <c r="T95" s="1704"/>
    </row>
    <row r="96" spans="1:20" x14ac:dyDescent="0.15">
      <c r="A96" s="1380" t="s">
        <v>4036</v>
      </c>
      <c r="B96" s="17">
        <f t="shared" si="20"/>
        <v>10510165.810000001</v>
      </c>
      <c r="C96" s="200">
        <v>0</v>
      </c>
      <c r="D96" s="200">
        <v>0</v>
      </c>
      <c r="E96" s="17">
        <v>0</v>
      </c>
      <c r="F96" s="200">
        <v>0</v>
      </c>
      <c r="G96" s="200">
        <v>0</v>
      </c>
      <c r="H96" s="17">
        <v>33473.160000000003</v>
      </c>
      <c r="I96" s="17">
        <v>9885566.3100000005</v>
      </c>
      <c r="J96" s="200">
        <v>0</v>
      </c>
      <c r="K96" s="17">
        <v>35699.050000000003</v>
      </c>
      <c r="L96" s="200">
        <v>0</v>
      </c>
      <c r="M96" s="17">
        <v>471825.83</v>
      </c>
      <c r="N96" s="200">
        <v>0</v>
      </c>
      <c r="O96" s="200">
        <v>0</v>
      </c>
      <c r="P96" s="200">
        <v>0</v>
      </c>
      <c r="Q96" s="17">
        <v>3869.79</v>
      </c>
      <c r="R96" s="17">
        <v>79731.67</v>
      </c>
      <c r="T96" s="1704"/>
    </row>
    <row r="97" spans="1:21" x14ac:dyDescent="0.15">
      <c r="A97" s="1380" t="s">
        <v>3979</v>
      </c>
      <c r="B97" s="17">
        <f t="shared" si="20"/>
        <v>267655</v>
      </c>
      <c r="C97" s="200">
        <v>0</v>
      </c>
      <c r="D97" s="200">
        <v>0</v>
      </c>
      <c r="E97" s="17">
        <v>0</v>
      </c>
      <c r="F97" s="200">
        <v>0</v>
      </c>
      <c r="G97" s="200">
        <v>0</v>
      </c>
      <c r="H97" s="200">
        <v>0</v>
      </c>
      <c r="I97" s="17">
        <v>267655</v>
      </c>
      <c r="J97" s="200">
        <v>0</v>
      </c>
      <c r="K97" s="200">
        <v>0</v>
      </c>
      <c r="L97" s="200">
        <v>0</v>
      </c>
      <c r="M97" s="200">
        <v>0</v>
      </c>
      <c r="N97" s="200">
        <v>0</v>
      </c>
      <c r="O97" s="200">
        <v>0</v>
      </c>
      <c r="P97" s="200">
        <v>0</v>
      </c>
      <c r="Q97" s="200">
        <v>0</v>
      </c>
      <c r="R97" s="200">
        <v>0</v>
      </c>
      <c r="T97" s="1704"/>
    </row>
    <row r="98" spans="1:21" s="197" customFormat="1" x14ac:dyDescent="0.15">
      <c r="A98" s="197" t="s">
        <v>3543</v>
      </c>
      <c r="B98" s="200">
        <f>+B99</f>
        <v>26904671.339999996</v>
      </c>
      <c r="C98" s="200">
        <f t="shared" ref="C98:R98" si="21">+C99</f>
        <v>0</v>
      </c>
      <c r="D98" s="200">
        <f t="shared" si="21"/>
        <v>43356.56</v>
      </c>
      <c r="E98" s="200">
        <f t="shared" si="21"/>
        <v>58008.840000000004</v>
      </c>
      <c r="F98" s="200">
        <f t="shared" si="21"/>
        <v>0</v>
      </c>
      <c r="G98" s="200">
        <f t="shared" si="21"/>
        <v>0</v>
      </c>
      <c r="H98" s="200">
        <f t="shared" si="21"/>
        <v>407833.54</v>
      </c>
      <c r="I98" s="200">
        <f t="shared" si="21"/>
        <v>8270725.0799999982</v>
      </c>
      <c r="J98" s="200">
        <f t="shared" si="21"/>
        <v>0</v>
      </c>
      <c r="K98" s="200">
        <f t="shared" si="21"/>
        <v>14.52</v>
      </c>
      <c r="L98" s="200">
        <f t="shared" si="21"/>
        <v>46122.74</v>
      </c>
      <c r="M98" s="200">
        <f t="shared" si="21"/>
        <v>0</v>
      </c>
      <c r="N98" s="200">
        <f t="shared" si="21"/>
        <v>0</v>
      </c>
      <c r="O98" s="200">
        <f t="shared" si="21"/>
        <v>151252.34000000003</v>
      </c>
      <c r="P98" s="200">
        <f t="shared" si="21"/>
        <v>0</v>
      </c>
      <c r="Q98" s="200">
        <f t="shared" si="21"/>
        <v>8613.01</v>
      </c>
      <c r="R98" s="200">
        <f t="shared" si="21"/>
        <v>17918744.709999997</v>
      </c>
      <c r="T98" s="1704"/>
      <c r="U98" s="214"/>
    </row>
    <row r="99" spans="1:21" s="197" customFormat="1" x14ac:dyDescent="0.15">
      <c r="A99" s="1374" t="s">
        <v>3544</v>
      </c>
      <c r="B99" s="200">
        <f>+SUM(B100:B102)</f>
        <v>26904671.339999996</v>
      </c>
      <c r="C99" s="200">
        <f t="shared" ref="C99:R99" si="22">+SUM(C100:C102)</f>
        <v>0</v>
      </c>
      <c r="D99" s="200">
        <f t="shared" si="22"/>
        <v>43356.56</v>
      </c>
      <c r="E99" s="200">
        <f t="shared" si="22"/>
        <v>58008.840000000004</v>
      </c>
      <c r="F99" s="200">
        <f t="shared" si="22"/>
        <v>0</v>
      </c>
      <c r="G99" s="200">
        <f t="shared" si="22"/>
        <v>0</v>
      </c>
      <c r="H99" s="200">
        <f t="shared" si="22"/>
        <v>407833.54</v>
      </c>
      <c r="I99" s="200">
        <f t="shared" si="22"/>
        <v>8270725.0799999982</v>
      </c>
      <c r="J99" s="200">
        <f t="shared" si="22"/>
        <v>0</v>
      </c>
      <c r="K99" s="200">
        <f t="shared" si="22"/>
        <v>14.52</v>
      </c>
      <c r="L99" s="200">
        <f t="shared" si="22"/>
        <v>46122.74</v>
      </c>
      <c r="M99" s="200">
        <f t="shared" si="22"/>
        <v>0</v>
      </c>
      <c r="N99" s="200">
        <f t="shared" si="22"/>
        <v>0</v>
      </c>
      <c r="O99" s="200">
        <f t="shared" si="22"/>
        <v>151252.34000000003</v>
      </c>
      <c r="P99" s="200">
        <f t="shared" si="22"/>
        <v>0</v>
      </c>
      <c r="Q99" s="200">
        <f t="shared" si="22"/>
        <v>8613.01</v>
      </c>
      <c r="R99" s="200">
        <f t="shared" si="22"/>
        <v>17918744.709999997</v>
      </c>
      <c r="T99" s="1704"/>
      <c r="U99" s="214"/>
    </row>
    <row r="100" spans="1:21" x14ac:dyDescent="0.15">
      <c r="A100" s="1380" t="s">
        <v>3981</v>
      </c>
      <c r="B100" s="17">
        <f>+SUM(C100:R100)</f>
        <v>2171455.4200000004</v>
      </c>
      <c r="C100" s="200">
        <v>0</v>
      </c>
      <c r="D100" s="200">
        <v>0</v>
      </c>
      <c r="E100" s="17">
        <v>55095</v>
      </c>
      <c r="F100" s="200">
        <v>0</v>
      </c>
      <c r="G100" s="200">
        <v>0</v>
      </c>
      <c r="H100" s="17">
        <v>165.98</v>
      </c>
      <c r="I100" s="17">
        <v>1382517.7800000003</v>
      </c>
      <c r="J100" s="200">
        <v>0</v>
      </c>
      <c r="K100" s="200">
        <v>0</v>
      </c>
      <c r="L100" s="17">
        <v>229.18</v>
      </c>
      <c r="M100" s="200">
        <v>0</v>
      </c>
      <c r="N100" s="200">
        <v>0</v>
      </c>
      <c r="O100" s="200">
        <v>0</v>
      </c>
      <c r="P100" s="200">
        <v>0</v>
      </c>
      <c r="Q100" s="200">
        <v>0</v>
      </c>
      <c r="R100" s="17">
        <v>733447.4800000001</v>
      </c>
      <c r="T100" s="1704"/>
    </row>
    <row r="101" spans="1:21" x14ac:dyDescent="0.15">
      <c r="A101" s="1380" t="s">
        <v>3982</v>
      </c>
      <c r="B101" s="17">
        <f t="shared" ref="B101:B102" si="23">+SUM(C101:R101)</f>
        <v>16908672.219999995</v>
      </c>
      <c r="C101" s="200">
        <v>0</v>
      </c>
      <c r="D101" s="17">
        <v>139.66999999999999</v>
      </c>
      <c r="E101" s="17">
        <v>2849.86</v>
      </c>
      <c r="F101" s="200">
        <v>0</v>
      </c>
      <c r="G101" s="200">
        <v>0</v>
      </c>
      <c r="H101" s="17">
        <v>224244.62999999998</v>
      </c>
      <c r="I101" s="17">
        <v>3329063.4199999995</v>
      </c>
      <c r="J101" s="200">
        <v>0</v>
      </c>
      <c r="K101" s="200">
        <v>0</v>
      </c>
      <c r="L101" s="17">
        <v>45170.82</v>
      </c>
      <c r="M101" s="200">
        <v>0</v>
      </c>
      <c r="N101" s="200">
        <v>0</v>
      </c>
      <c r="O101" s="17">
        <v>147561.84000000003</v>
      </c>
      <c r="P101" s="200">
        <v>0</v>
      </c>
      <c r="Q101" s="17">
        <v>7314.01</v>
      </c>
      <c r="R101" s="17">
        <v>13152327.969999997</v>
      </c>
      <c r="T101" s="1704"/>
    </row>
    <row r="102" spans="1:21" x14ac:dyDescent="0.15">
      <c r="A102" s="1380" t="s">
        <v>3943</v>
      </c>
      <c r="B102" s="17">
        <f t="shared" si="23"/>
        <v>7824543.7000000002</v>
      </c>
      <c r="C102" s="200">
        <v>0</v>
      </c>
      <c r="D102" s="17">
        <v>43216.89</v>
      </c>
      <c r="E102" s="17">
        <v>63.98</v>
      </c>
      <c r="F102" s="200">
        <v>0</v>
      </c>
      <c r="G102" s="200">
        <v>0</v>
      </c>
      <c r="H102" s="17">
        <v>183422.93</v>
      </c>
      <c r="I102" s="17">
        <v>3559143.879999999</v>
      </c>
      <c r="J102" s="200">
        <v>0</v>
      </c>
      <c r="K102" s="17">
        <v>14.52</v>
      </c>
      <c r="L102" s="17">
        <v>722.74</v>
      </c>
      <c r="M102" s="200">
        <v>0</v>
      </c>
      <c r="N102" s="200">
        <v>0</v>
      </c>
      <c r="O102" s="17">
        <v>3690.5</v>
      </c>
      <c r="P102" s="200">
        <v>0</v>
      </c>
      <c r="Q102" s="17">
        <v>1299</v>
      </c>
      <c r="R102" s="17">
        <v>4032969.2600000012</v>
      </c>
      <c r="T102" s="1704"/>
    </row>
    <row r="103" spans="1:21" s="197" customFormat="1" x14ac:dyDescent="0.15">
      <c r="A103" s="197" t="s">
        <v>2901</v>
      </c>
      <c r="B103" s="200">
        <f>+B104+B108+B110</f>
        <v>8506602.9700000007</v>
      </c>
      <c r="C103" s="200">
        <f t="shared" ref="C103:R103" si="24">+C104+C108+C110</f>
        <v>9510</v>
      </c>
      <c r="D103" s="200">
        <f t="shared" si="24"/>
        <v>87.490000000000009</v>
      </c>
      <c r="E103" s="200">
        <f t="shared" si="24"/>
        <v>1628.49</v>
      </c>
      <c r="F103" s="200">
        <f t="shared" si="24"/>
        <v>0</v>
      </c>
      <c r="G103" s="200">
        <f t="shared" si="24"/>
        <v>77390</v>
      </c>
      <c r="H103" s="200">
        <f t="shared" si="24"/>
        <v>43935.62</v>
      </c>
      <c r="I103" s="200">
        <f t="shared" si="24"/>
        <v>1731603.1100000003</v>
      </c>
      <c r="J103" s="200">
        <f t="shared" si="24"/>
        <v>0</v>
      </c>
      <c r="K103" s="200">
        <f t="shared" si="24"/>
        <v>0</v>
      </c>
      <c r="L103" s="200">
        <f t="shared" si="24"/>
        <v>566.11</v>
      </c>
      <c r="M103" s="200">
        <f t="shared" si="24"/>
        <v>0</v>
      </c>
      <c r="N103" s="200">
        <f t="shared" si="24"/>
        <v>40</v>
      </c>
      <c r="O103" s="200">
        <f t="shared" si="24"/>
        <v>1405.4299999999998</v>
      </c>
      <c r="P103" s="200">
        <f t="shared" si="24"/>
        <v>0</v>
      </c>
      <c r="Q103" s="200">
        <f t="shared" si="24"/>
        <v>950</v>
      </c>
      <c r="R103" s="200">
        <f t="shared" si="24"/>
        <v>6639486.7199999997</v>
      </c>
      <c r="T103" s="1704"/>
      <c r="U103" s="214"/>
    </row>
    <row r="104" spans="1:21" s="197" customFormat="1" x14ac:dyDescent="0.15">
      <c r="A104" s="1374" t="s">
        <v>2416</v>
      </c>
      <c r="B104" s="200">
        <f>+SUM(B105:B107)</f>
        <v>1072586.1699999997</v>
      </c>
      <c r="C104" s="200">
        <f t="shared" ref="C104:R104" si="25">+SUM(C105:C107)</f>
        <v>0</v>
      </c>
      <c r="D104" s="200">
        <f t="shared" si="25"/>
        <v>53.84</v>
      </c>
      <c r="E104" s="200">
        <f t="shared" si="25"/>
        <v>1628.49</v>
      </c>
      <c r="F104" s="200">
        <f t="shared" si="25"/>
        <v>0</v>
      </c>
      <c r="G104" s="200">
        <f t="shared" si="25"/>
        <v>77390</v>
      </c>
      <c r="H104" s="200">
        <f t="shared" si="25"/>
        <v>0</v>
      </c>
      <c r="I104" s="200">
        <f t="shared" si="25"/>
        <v>222246.8</v>
      </c>
      <c r="J104" s="200">
        <f t="shared" si="25"/>
        <v>0</v>
      </c>
      <c r="K104" s="200">
        <f t="shared" si="25"/>
        <v>0</v>
      </c>
      <c r="L104" s="200">
        <f t="shared" si="25"/>
        <v>0</v>
      </c>
      <c r="M104" s="200">
        <f t="shared" si="25"/>
        <v>0</v>
      </c>
      <c r="N104" s="200">
        <f t="shared" si="25"/>
        <v>0</v>
      </c>
      <c r="O104" s="200">
        <f t="shared" si="25"/>
        <v>0</v>
      </c>
      <c r="P104" s="200">
        <f t="shared" si="25"/>
        <v>0</v>
      </c>
      <c r="Q104" s="200">
        <f t="shared" si="25"/>
        <v>0</v>
      </c>
      <c r="R104" s="200">
        <f t="shared" si="25"/>
        <v>771267.0399999998</v>
      </c>
      <c r="T104" s="1704"/>
      <c r="U104" s="214"/>
    </row>
    <row r="105" spans="1:21" x14ac:dyDescent="0.15">
      <c r="A105" s="1380" t="s">
        <v>3983</v>
      </c>
      <c r="B105" s="17">
        <f>+SUM(C105:R105)</f>
        <v>806037.5299999998</v>
      </c>
      <c r="C105" s="200">
        <v>0</v>
      </c>
      <c r="D105" s="17">
        <v>53.84</v>
      </c>
      <c r="E105" s="17">
        <v>1628.49</v>
      </c>
      <c r="F105" s="200">
        <v>0</v>
      </c>
      <c r="G105" s="17">
        <v>77390</v>
      </c>
      <c r="H105" s="17">
        <v>0</v>
      </c>
      <c r="I105" s="17">
        <v>163604.69999999998</v>
      </c>
      <c r="J105" s="200">
        <v>0</v>
      </c>
      <c r="K105" s="200">
        <v>0</v>
      </c>
      <c r="L105" s="17">
        <v>0</v>
      </c>
      <c r="M105" s="200">
        <v>0</v>
      </c>
      <c r="N105" s="200">
        <v>0</v>
      </c>
      <c r="O105" s="200">
        <v>0</v>
      </c>
      <c r="P105" s="200">
        <v>0</v>
      </c>
      <c r="Q105" s="200">
        <v>0</v>
      </c>
      <c r="R105" s="17">
        <v>563360.49999999988</v>
      </c>
      <c r="T105" s="1704"/>
    </row>
    <row r="106" spans="1:21" x14ac:dyDescent="0.15">
      <c r="A106" s="1380" t="s">
        <v>3984</v>
      </c>
      <c r="B106" s="17">
        <f t="shared" ref="B106:B107" si="26">+SUM(C106:R106)</f>
        <v>181464.48</v>
      </c>
      <c r="C106" s="200">
        <v>0</v>
      </c>
      <c r="D106" s="17">
        <v>0</v>
      </c>
      <c r="E106" s="17">
        <v>0</v>
      </c>
      <c r="F106" s="200">
        <v>0</v>
      </c>
      <c r="G106" s="200">
        <v>0</v>
      </c>
      <c r="H106" s="200">
        <v>0</v>
      </c>
      <c r="I106" s="17">
        <v>57870.01</v>
      </c>
      <c r="J106" s="200">
        <v>0</v>
      </c>
      <c r="K106" s="200">
        <v>0</v>
      </c>
      <c r="L106" s="200">
        <v>0</v>
      </c>
      <c r="M106" s="200">
        <v>0</v>
      </c>
      <c r="N106" s="200">
        <v>0</v>
      </c>
      <c r="O106" s="200">
        <v>0</v>
      </c>
      <c r="P106" s="200">
        <v>0</v>
      </c>
      <c r="Q106" s="200">
        <v>0</v>
      </c>
      <c r="R106" s="17">
        <v>123594.47</v>
      </c>
      <c r="T106" s="1704"/>
    </row>
    <row r="107" spans="1:21" x14ac:dyDescent="0.15">
      <c r="A107" s="1380" t="s">
        <v>3985</v>
      </c>
      <c r="B107" s="17">
        <f t="shared" si="26"/>
        <v>85084.160000000003</v>
      </c>
      <c r="C107" s="200">
        <v>0</v>
      </c>
      <c r="D107" s="17">
        <v>0</v>
      </c>
      <c r="E107" s="17">
        <v>0</v>
      </c>
      <c r="F107" s="200">
        <v>0</v>
      </c>
      <c r="G107" s="200">
        <v>0</v>
      </c>
      <c r="H107" s="200">
        <v>0</v>
      </c>
      <c r="I107" s="17">
        <v>772.09</v>
      </c>
      <c r="J107" s="200">
        <v>0</v>
      </c>
      <c r="K107" s="200">
        <v>0</v>
      </c>
      <c r="L107" s="200">
        <v>0</v>
      </c>
      <c r="M107" s="200">
        <v>0</v>
      </c>
      <c r="N107" s="200">
        <v>0</v>
      </c>
      <c r="O107" s="200">
        <v>0</v>
      </c>
      <c r="P107" s="200">
        <v>0</v>
      </c>
      <c r="Q107" s="200">
        <v>0</v>
      </c>
      <c r="R107" s="17">
        <v>84312.07</v>
      </c>
      <c r="T107" s="1704"/>
    </row>
    <row r="108" spans="1:21" s="197" customFormat="1" x14ac:dyDescent="0.15">
      <c r="A108" s="1374" t="s">
        <v>3915</v>
      </c>
      <c r="B108" s="200">
        <f>+B109</f>
        <v>7217148.75</v>
      </c>
      <c r="C108" s="200">
        <f t="shared" ref="C108:R108" si="27">+C109</f>
        <v>9510</v>
      </c>
      <c r="D108" s="200">
        <f t="shared" si="27"/>
        <v>33.65</v>
      </c>
      <c r="E108" s="200">
        <f t="shared" si="27"/>
        <v>0</v>
      </c>
      <c r="F108" s="200">
        <f t="shared" si="27"/>
        <v>0</v>
      </c>
      <c r="G108" s="200">
        <f t="shared" si="27"/>
        <v>0</v>
      </c>
      <c r="H108" s="200">
        <f t="shared" si="27"/>
        <v>43935.62</v>
      </c>
      <c r="I108" s="200">
        <f t="shared" si="27"/>
        <v>1491962.4500000002</v>
      </c>
      <c r="J108" s="200">
        <f t="shared" si="27"/>
        <v>0</v>
      </c>
      <c r="K108" s="200">
        <f t="shared" si="27"/>
        <v>0</v>
      </c>
      <c r="L108" s="200">
        <f t="shared" si="27"/>
        <v>566.11</v>
      </c>
      <c r="M108" s="200">
        <f t="shared" si="27"/>
        <v>0</v>
      </c>
      <c r="N108" s="200">
        <f t="shared" si="27"/>
        <v>40</v>
      </c>
      <c r="O108" s="200">
        <f t="shared" si="27"/>
        <v>1405.4299999999998</v>
      </c>
      <c r="P108" s="200">
        <f t="shared" si="27"/>
        <v>0</v>
      </c>
      <c r="Q108" s="200">
        <f t="shared" si="27"/>
        <v>950</v>
      </c>
      <c r="R108" s="200">
        <f t="shared" si="27"/>
        <v>5668745.4899999993</v>
      </c>
      <c r="T108" s="1704"/>
      <c r="U108" s="214"/>
    </row>
    <row r="109" spans="1:21" x14ac:dyDescent="0.15">
      <c r="A109" s="1380" t="s">
        <v>3989</v>
      </c>
      <c r="B109" s="17">
        <f>+SUM(C109:R109)</f>
        <v>7217148.75</v>
      </c>
      <c r="C109" s="17">
        <v>9510</v>
      </c>
      <c r="D109" s="17">
        <v>33.65</v>
      </c>
      <c r="E109" s="17">
        <v>0</v>
      </c>
      <c r="F109" s="200">
        <v>0</v>
      </c>
      <c r="G109" s="200">
        <v>0</v>
      </c>
      <c r="H109" s="17">
        <v>43935.62</v>
      </c>
      <c r="I109" s="17">
        <v>1491962.4500000002</v>
      </c>
      <c r="J109" s="200">
        <v>0</v>
      </c>
      <c r="K109" s="200">
        <v>0</v>
      </c>
      <c r="L109" s="17">
        <v>566.11</v>
      </c>
      <c r="M109" s="200">
        <v>0</v>
      </c>
      <c r="N109" s="17">
        <v>40</v>
      </c>
      <c r="O109" s="17">
        <v>1405.4299999999998</v>
      </c>
      <c r="P109" s="200">
        <v>0</v>
      </c>
      <c r="Q109" s="17">
        <v>950</v>
      </c>
      <c r="R109" s="17">
        <v>5668745.4899999993</v>
      </c>
      <c r="T109" s="1704"/>
    </row>
    <row r="110" spans="1:21" s="197" customFormat="1" x14ac:dyDescent="0.15">
      <c r="A110" s="1374" t="s">
        <v>3898</v>
      </c>
      <c r="B110" s="200">
        <f>+B111</f>
        <v>216868.05</v>
      </c>
      <c r="C110" s="200">
        <f t="shared" ref="C110:R110" si="28">+C111</f>
        <v>0</v>
      </c>
      <c r="D110" s="200">
        <f t="shared" si="28"/>
        <v>0</v>
      </c>
      <c r="E110" s="200">
        <f t="shared" si="28"/>
        <v>0</v>
      </c>
      <c r="F110" s="200">
        <f t="shared" si="28"/>
        <v>0</v>
      </c>
      <c r="G110" s="200">
        <f t="shared" si="28"/>
        <v>0</v>
      </c>
      <c r="H110" s="200">
        <f t="shared" si="28"/>
        <v>0</v>
      </c>
      <c r="I110" s="200">
        <f t="shared" si="28"/>
        <v>17393.86</v>
      </c>
      <c r="J110" s="200">
        <f t="shared" si="28"/>
        <v>0</v>
      </c>
      <c r="K110" s="200">
        <f t="shared" si="28"/>
        <v>0</v>
      </c>
      <c r="L110" s="200">
        <f t="shared" si="28"/>
        <v>0</v>
      </c>
      <c r="M110" s="200">
        <f t="shared" si="28"/>
        <v>0</v>
      </c>
      <c r="N110" s="200">
        <f t="shared" si="28"/>
        <v>0</v>
      </c>
      <c r="O110" s="200">
        <f t="shared" si="28"/>
        <v>0</v>
      </c>
      <c r="P110" s="200">
        <f t="shared" si="28"/>
        <v>0</v>
      </c>
      <c r="Q110" s="200">
        <f t="shared" si="28"/>
        <v>0</v>
      </c>
      <c r="R110" s="200">
        <f t="shared" si="28"/>
        <v>199474.19</v>
      </c>
      <c r="T110" s="1704"/>
      <c r="U110" s="214"/>
    </row>
    <row r="111" spans="1:21" x14ac:dyDescent="0.15">
      <c r="A111" s="1380" t="s">
        <v>3990</v>
      </c>
      <c r="B111" s="17">
        <f>+SUM(C111:R111)</f>
        <v>216868.05</v>
      </c>
      <c r="C111" s="200">
        <v>0</v>
      </c>
      <c r="D111" s="17">
        <v>0</v>
      </c>
      <c r="E111" s="17">
        <v>0</v>
      </c>
      <c r="F111" s="200">
        <v>0</v>
      </c>
      <c r="G111" s="200">
        <v>0</v>
      </c>
      <c r="H111" s="200">
        <v>0</v>
      </c>
      <c r="I111" s="17">
        <v>17393.86</v>
      </c>
      <c r="J111" s="200">
        <v>0</v>
      </c>
      <c r="K111" s="200">
        <v>0</v>
      </c>
      <c r="L111" s="200">
        <v>0</v>
      </c>
      <c r="M111" s="200">
        <v>0</v>
      </c>
      <c r="N111" s="200">
        <v>0</v>
      </c>
      <c r="O111" s="200">
        <v>0</v>
      </c>
      <c r="P111" s="200">
        <v>0</v>
      </c>
      <c r="Q111" s="200">
        <v>0</v>
      </c>
      <c r="R111" s="17">
        <v>199474.19</v>
      </c>
      <c r="T111" s="1704"/>
    </row>
    <row r="112" spans="1:21" s="197" customFormat="1" x14ac:dyDescent="0.15">
      <c r="A112" s="197" t="s">
        <v>2906</v>
      </c>
      <c r="B112" s="200">
        <f>+B113</f>
        <v>576313.8899999999</v>
      </c>
      <c r="C112" s="200">
        <f t="shared" ref="C112:R112" si="29">+C113</f>
        <v>0</v>
      </c>
      <c r="D112" s="200">
        <f t="shared" si="29"/>
        <v>0</v>
      </c>
      <c r="E112" s="200">
        <f t="shared" si="29"/>
        <v>0</v>
      </c>
      <c r="F112" s="200">
        <f t="shared" si="29"/>
        <v>0</v>
      </c>
      <c r="G112" s="200">
        <f t="shared" si="29"/>
        <v>0</v>
      </c>
      <c r="H112" s="200">
        <f t="shared" si="29"/>
        <v>0</v>
      </c>
      <c r="I112" s="200">
        <f t="shared" si="29"/>
        <v>327959.58999999997</v>
      </c>
      <c r="J112" s="200">
        <f t="shared" si="29"/>
        <v>0</v>
      </c>
      <c r="K112" s="200">
        <f t="shared" si="29"/>
        <v>0</v>
      </c>
      <c r="L112" s="200">
        <f t="shared" si="29"/>
        <v>0</v>
      </c>
      <c r="M112" s="200">
        <f t="shared" si="29"/>
        <v>0</v>
      </c>
      <c r="N112" s="200">
        <f t="shared" si="29"/>
        <v>0</v>
      </c>
      <c r="O112" s="200">
        <f t="shared" si="29"/>
        <v>0</v>
      </c>
      <c r="P112" s="200">
        <f t="shared" si="29"/>
        <v>0</v>
      </c>
      <c r="Q112" s="200">
        <f t="shared" si="29"/>
        <v>400</v>
      </c>
      <c r="R112" s="200">
        <f t="shared" si="29"/>
        <v>247954.3</v>
      </c>
      <c r="T112" s="1704"/>
      <c r="U112" s="214"/>
    </row>
    <row r="113" spans="1:21" s="197" customFormat="1" x14ac:dyDescent="0.15">
      <c r="A113" s="1374" t="s">
        <v>2906</v>
      </c>
      <c r="B113" s="200">
        <f>+SUM(B114:B116)</f>
        <v>576313.8899999999</v>
      </c>
      <c r="C113" s="200">
        <f t="shared" ref="C113:R113" si="30">+SUM(C114:C116)</f>
        <v>0</v>
      </c>
      <c r="D113" s="200">
        <f t="shared" si="30"/>
        <v>0</v>
      </c>
      <c r="E113" s="200">
        <f t="shared" si="30"/>
        <v>0</v>
      </c>
      <c r="F113" s="200">
        <f t="shared" si="30"/>
        <v>0</v>
      </c>
      <c r="G113" s="200">
        <f t="shared" si="30"/>
        <v>0</v>
      </c>
      <c r="H113" s="200">
        <f t="shared" si="30"/>
        <v>0</v>
      </c>
      <c r="I113" s="200">
        <f t="shared" si="30"/>
        <v>327959.58999999997</v>
      </c>
      <c r="J113" s="200">
        <f t="shared" si="30"/>
        <v>0</v>
      </c>
      <c r="K113" s="200">
        <f t="shared" si="30"/>
        <v>0</v>
      </c>
      <c r="L113" s="200">
        <f t="shared" si="30"/>
        <v>0</v>
      </c>
      <c r="M113" s="200">
        <f t="shared" si="30"/>
        <v>0</v>
      </c>
      <c r="N113" s="200">
        <f t="shared" si="30"/>
        <v>0</v>
      </c>
      <c r="O113" s="200">
        <f t="shared" si="30"/>
        <v>0</v>
      </c>
      <c r="P113" s="200">
        <f t="shared" si="30"/>
        <v>0</v>
      </c>
      <c r="Q113" s="200">
        <f t="shared" si="30"/>
        <v>400</v>
      </c>
      <c r="R113" s="200">
        <f t="shared" si="30"/>
        <v>247954.3</v>
      </c>
      <c r="T113" s="1704"/>
      <c r="U113" s="214"/>
    </row>
    <row r="114" spans="1:21" x14ac:dyDescent="0.15">
      <c r="A114" s="1380" t="s">
        <v>4038</v>
      </c>
      <c r="B114" s="17">
        <f>+SUM(C114:R114)</f>
        <v>50231.28</v>
      </c>
      <c r="C114" s="17">
        <v>0</v>
      </c>
      <c r="D114" s="17">
        <v>0</v>
      </c>
      <c r="E114" s="17">
        <v>0</v>
      </c>
      <c r="F114" s="17">
        <v>0</v>
      </c>
      <c r="G114" s="17">
        <v>0</v>
      </c>
      <c r="H114" s="17">
        <v>0</v>
      </c>
      <c r="I114" s="17">
        <v>50231.28</v>
      </c>
      <c r="J114" s="17">
        <v>0</v>
      </c>
      <c r="K114" s="17">
        <v>0</v>
      </c>
      <c r="L114" s="17">
        <v>0</v>
      </c>
      <c r="M114" s="17">
        <v>0</v>
      </c>
      <c r="N114" s="17">
        <v>0</v>
      </c>
      <c r="O114" s="17">
        <v>0</v>
      </c>
      <c r="P114" s="17">
        <v>0</v>
      </c>
      <c r="Q114" s="17">
        <v>0</v>
      </c>
      <c r="R114" s="17">
        <v>0</v>
      </c>
      <c r="T114" s="1704"/>
    </row>
    <row r="115" spans="1:21" x14ac:dyDescent="0.15">
      <c r="A115" s="1380" t="s">
        <v>4039</v>
      </c>
      <c r="B115" s="17">
        <f t="shared" ref="B115:B116" si="31">+SUM(C115:R115)</f>
        <v>203909.48999999996</v>
      </c>
      <c r="C115" s="17">
        <v>0</v>
      </c>
      <c r="D115" s="17">
        <v>0</v>
      </c>
      <c r="E115" s="17">
        <v>0</v>
      </c>
      <c r="F115" s="17">
        <v>0</v>
      </c>
      <c r="G115" s="17">
        <v>0</v>
      </c>
      <c r="H115" s="17">
        <v>0</v>
      </c>
      <c r="I115" s="17">
        <v>196423.65999999997</v>
      </c>
      <c r="J115" s="17">
        <v>0</v>
      </c>
      <c r="K115" s="17">
        <v>0</v>
      </c>
      <c r="L115" s="17">
        <v>0</v>
      </c>
      <c r="M115" s="17">
        <v>0</v>
      </c>
      <c r="N115" s="17">
        <v>0</v>
      </c>
      <c r="O115" s="17">
        <v>0</v>
      </c>
      <c r="P115" s="17">
        <v>0</v>
      </c>
      <c r="Q115" s="17">
        <v>400</v>
      </c>
      <c r="R115" s="17">
        <v>7085.83</v>
      </c>
      <c r="T115" s="1704"/>
    </row>
    <row r="116" spans="1:21" x14ac:dyDescent="0.15">
      <c r="A116" s="1380" t="s">
        <v>4040</v>
      </c>
      <c r="B116" s="17">
        <f t="shared" si="31"/>
        <v>322173.12</v>
      </c>
      <c r="C116" s="200">
        <v>0</v>
      </c>
      <c r="D116" s="17">
        <v>0</v>
      </c>
      <c r="E116" s="17">
        <v>0</v>
      </c>
      <c r="F116" s="200">
        <v>0</v>
      </c>
      <c r="G116" s="200">
        <v>0</v>
      </c>
      <c r="H116" s="200">
        <v>0</v>
      </c>
      <c r="I116" s="17">
        <v>81304.649999999994</v>
      </c>
      <c r="J116" s="200">
        <v>0</v>
      </c>
      <c r="K116" s="200">
        <v>0</v>
      </c>
      <c r="L116" s="200">
        <v>0</v>
      </c>
      <c r="M116" s="200">
        <v>0</v>
      </c>
      <c r="N116" s="200">
        <v>0</v>
      </c>
      <c r="O116" s="200">
        <v>0</v>
      </c>
      <c r="P116" s="200">
        <v>0</v>
      </c>
      <c r="Q116" s="200">
        <v>0</v>
      </c>
      <c r="R116" s="17">
        <v>240868.47</v>
      </c>
      <c r="T116" s="1704"/>
    </row>
    <row r="118" spans="1:21" ht="23.25" customHeight="1" x14ac:dyDescent="0.15">
      <c r="A118" s="3522" t="s">
        <v>4044</v>
      </c>
      <c r="B118" s="3522"/>
      <c r="C118" s="3522"/>
      <c r="D118" s="3522"/>
      <c r="E118" s="3522"/>
      <c r="F118" s="3522"/>
      <c r="G118" s="3522"/>
      <c r="H118" s="3522"/>
      <c r="I118" s="3522"/>
      <c r="J118" s="3522"/>
      <c r="K118" s="3522"/>
      <c r="L118" s="3522"/>
      <c r="M118" s="3522"/>
      <c r="N118" s="3522"/>
      <c r="O118" s="3522"/>
      <c r="P118" s="3522"/>
      <c r="Q118" s="3522"/>
      <c r="R118" s="1898"/>
    </row>
    <row r="119" spans="1:21" ht="15" customHeight="1" x14ac:dyDescent="0.15">
      <c r="A119" s="3517" t="s">
        <v>20</v>
      </c>
      <c r="B119" s="3517"/>
      <c r="C119" s="3517"/>
      <c r="D119" s="3517"/>
      <c r="E119" s="3517"/>
      <c r="F119" s="3517"/>
      <c r="G119" s="3517"/>
      <c r="H119" s="3517"/>
      <c r="I119" s="3517"/>
      <c r="J119" s="1899"/>
      <c r="K119" s="1899"/>
      <c r="L119" s="1899"/>
      <c r="M119" s="1899"/>
      <c r="N119" s="1899"/>
      <c r="O119" s="1899"/>
      <c r="P119" s="1899"/>
      <c r="Q119" s="1899"/>
      <c r="R119" s="1898"/>
    </row>
    <row r="120" spans="1:21" ht="15" customHeight="1" x14ac:dyDescent="0.15">
      <c r="A120" s="3516" t="s">
        <v>4041</v>
      </c>
      <c r="B120" s="3516"/>
      <c r="C120" s="3516"/>
      <c r="D120" s="3516"/>
      <c r="E120" s="3516"/>
      <c r="F120" s="3516"/>
      <c r="G120" s="3516"/>
      <c r="H120" s="3516"/>
      <c r="I120" s="3516"/>
      <c r="J120" s="3516"/>
      <c r="K120" s="3516"/>
      <c r="L120" s="3516"/>
      <c r="M120" s="3516"/>
      <c r="N120" s="3516"/>
      <c r="O120" s="3516"/>
      <c r="P120" s="3516"/>
      <c r="Q120" s="3516"/>
      <c r="R120" s="3516"/>
    </row>
  </sheetData>
  <mergeCells count="7">
    <mergeCell ref="A120:R120"/>
    <mergeCell ref="A2:R2"/>
    <mergeCell ref="A4:A5"/>
    <mergeCell ref="B4:B5"/>
    <mergeCell ref="C4:R4"/>
    <mergeCell ref="A118:Q118"/>
    <mergeCell ref="A119:I119"/>
  </mergeCell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6"/>
  <dimension ref="A2:J27"/>
  <sheetViews>
    <sheetView workbookViewId="0">
      <selection activeCell="K30" sqref="K30"/>
    </sheetView>
  </sheetViews>
  <sheetFormatPr baseColWidth="10" defaultRowHeight="10.5" x14ac:dyDescent="0.15"/>
  <cols>
    <col min="1" max="1" width="40" style="214" customWidth="1"/>
    <col min="2" max="6" width="20.5703125" style="214" bestFit="1" customWidth="1"/>
    <col min="7" max="7" width="15.42578125" style="214" bestFit="1" customWidth="1"/>
    <col min="8" max="16384" width="11.42578125" style="214"/>
  </cols>
  <sheetData>
    <row r="2" spans="1:10" ht="11.25" customHeight="1" x14ac:dyDescent="0.15">
      <c r="A2" s="2519" t="s">
        <v>4218</v>
      </c>
      <c r="B2" s="2519"/>
      <c r="C2" s="2519"/>
      <c r="D2" s="2519"/>
      <c r="E2" s="2519"/>
      <c r="F2" s="2519"/>
      <c r="G2" s="2519"/>
    </row>
    <row r="3" spans="1:10" x14ac:dyDescent="0.15">
      <c r="A3" s="1900"/>
      <c r="B3" s="1900"/>
      <c r="C3" s="1900"/>
      <c r="D3" s="1900"/>
      <c r="E3" s="1900"/>
      <c r="F3" s="1900"/>
      <c r="G3" s="1900"/>
    </row>
    <row r="4" spans="1:10" x14ac:dyDescent="0.15">
      <c r="A4" s="1901" t="s">
        <v>2858</v>
      </c>
      <c r="B4" s="1901">
        <v>2010</v>
      </c>
      <c r="C4" s="1901">
        <v>2011</v>
      </c>
      <c r="D4" s="1901">
        <v>2012</v>
      </c>
      <c r="E4" s="1901">
        <v>2013</v>
      </c>
      <c r="F4" s="1901">
        <v>2014</v>
      </c>
      <c r="G4" s="1901">
        <v>2015</v>
      </c>
    </row>
    <row r="5" spans="1:10" x14ac:dyDescent="0.15">
      <c r="A5" s="268" t="s">
        <v>141</v>
      </c>
      <c r="B5" s="200">
        <f>SUM(B6,B8,B12,B17,B22)</f>
        <v>148526036.65000001</v>
      </c>
      <c r="C5" s="200">
        <f t="shared" ref="C5:G5" si="0">SUM(C6,C8,C12,C17,C22)</f>
        <v>181901871.38</v>
      </c>
      <c r="D5" s="200">
        <f t="shared" si="0"/>
        <v>185989853.95999998</v>
      </c>
      <c r="E5" s="200">
        <f t="shared" si="0"/>
        <v>216286331.26999998</v>
      </c>
      <c r="F5" s="200">
        <f t="shared" si="0"/>
        <v>224392423.42000002</v>
      </c>
      <c r="G5" s="200">
        <f t="shared" si="0"/>
        <v>236735772.83999994</v>
      </c>
    </row>
    <row r="6" spans="1:10" x14ac:dyDescent="0.15">
      <c r="A6" s="197" t="s">
        <v>2875</v>
      </c>
      <c r="B6" s="200">
        <f>SUM(B7)</f>
        <v>9480</v>
      </c>
      <c r="C6" s="200">
        <f t="shared" ref="C6:G6" si="1">SUM(C7)</f>
        <v>4568.5300000000007</v>
      </c>
      <c r="D6" s="200">
        <f t="shared" si="1"/>
        <v>24000</v>
      </c>
      <c r="E6" s="200">
        <f t="shared" si="1"/>
        <v>0</v>
      </c>
      <c r="F6" s="200">
        <f t="shared" si="1"/>
        <v>4000</v>
      </c>
      <c r="G6" s="200">
        <f t="shared" si="1"/>
        <v>13000</v>
      </c>
      <c r="J6" s="1880"/>
    </row>
    <row r="7" spans="1:10" x14ac:dyDescent="0.15">
      <c r="A7" s="1380" t="s">
        <v>2540</v>
      </c>
      <c r="B7" s="17">
        <v>9480</v>
      </c>
      <c r="C7" s="17">
        <v>4568.5300000000007</v>
      </c>
      <c r="D7" s="17">
        <v>24000</v>
      </c>
      <c r="E7" s="17">
        <v>0</v>
      </c>
      <c r="F7" s="17">
        <v>4000</v>
      </c>
      <c r="G7" s="17">
        <v>13000</v>
      </c>
      <c r="J7" s="1880"/>
    </row>
    <row r="8" spans="1:10" x14ac:dyDescent="0.15">
      <c r="A8" s="197" t="s">
        <v>2873</v>
      </c>
      <c r="B8" s="200">
        <f>SUM(B9:B11)</f>
        <v>4248162</v>
      </c>
      <c r="C8" s="200">
        <f t="shared" ref="C8:G8" si="2">SUM(C9:C11)</f>
        <v>4948482.05</v>
      </c>
      <c r="D8" s="200">
        <f t="shared" si="2"/>
        <v>5066440.78</v>
      </c>
      <c r="E8" s="200">
        <f t="shared" si="2"/>
        <v>5471766.0700000003</v>
      </c>
      <c r="F8" s="200">
        <f t="shared" si="2"/>
        <v>6368984.1899999995</v>
      </c>
      <c r="G8" s="200">
        <f t="shared" si="2"/>
        <v>7209696.9899999993</v>
      </c>
      <c r="J8" s="1880"/>
    </row>
    <row r="9" spans="1:10" x14ac:dyDescent="0.15">
      <c r="A9" s="1380" t="s">
        <v>4045</v>
      </c>
      <c r="B9" s="17">
        <v>3964677.5399999996</v>
      </c>
      <c r="C9" s="17">
        <v>4761222.7299999995</v>
      </c>
      <c r="D9" s="17">
        <v>4863028.78</v>
      </c>
      <c r="E9" s="17">
        <v>5142244.28</v>
      </c>
      <c r="F9" s="17">
        <v>6206797.1899999995</v>
      </c>
      <c r="G9" s="17">
        <v>6929397.2299999995</v>
      </c>
      <c r="J9" s="1880"/>
    </row>
    <row r="10" spans="1:10" x14ac:dyDescent="0.15">
      <c r="A10" s="1380" t="s">
        <v>4046</v>
      </c>
      <c r="B10" s="17">
        <v>283484.45999999996</v>
      </c>
      <c r="C10" s="17">
        <v>187259.31999999998</v>
      </c>
      <c r="D10" s="17">
        <v>203412</v>
      </c>
      <c r="E10" s="17">
        <v>140798.25</v>
      </c>
      <c r="F10" s="17">
        <v>162187</v>
      </c>
      <c r="G10" s="17">
        <v>277871</v>
      </c>
      <c r="J10" s="1880"/>
    </row>
    <row r="11" spans="1:10" x14ac:dyDescent="0.15">
      <c r="A11" s="1380" t="s">
        <v>4047</v>
      </c>
      <c r="B11" s="17">
        <v>0</v>
      </c>
      <c r="C11" s="17">
        <v>0</v>
      </c>
      <c r="D11" s="17">
        <v>0</v>
      </c>
      <c r="E11" s="17">
        <v>188723.53999999998</v>
      </c>
      <c r="F11" s="17">
        <v>0</v>
      </c>
      <c r="G11" s="17">
        <v>2428.7600000000002</v>
      </c>
    </row>
    <row r="12" spans="1:10" x14ac:dyDescent="0.15">
      <c r="A12" s="197" t="s">
        <v>2901</v>
      </c>
      <c r="B12" s="200">
        <f>SUM(B13:B16)</f>
        <v>10234905.09</v>
      </c>
      <c r="C12" s="200">
        <f t="shared" ref="C12:F12" si="3">SUM(C13:C16)</f>
        <v>9748310.7600000016</v>
      </c>
      <c r="D12" s="200">
        <f t="shared" si="3"/>
        <v>11625931.669999998</v>
      </c>
      <c r="E12" s="200">
        <f t="shared" si="3"/>
        <v>14102990.540000001</v>
      </c>
      <c r="F12" s="200">
        <f t="shared" si="3"/>
        <v>15453989.65</v>
      </c>
      <c r="G12" s="200">
        <f>SUM(G13:G16)</f>
        <v>10911405.17</v>
      </c>
    </row>
    <row r="13" spans="1:10" x14ac:dyDescent="0.15">
      <c r="A13" s="1380" t="s">
        <v>4048</v>
      </c>
      <c r="B13" s="17">
        <v>0</v>
      </c>
      <c r="C13" s="17">
        <v>115320.62999999999</v>
      </c>
      <c r="D13" s="17">
        <v>84258.93</v>
      </c>
      <c r="E13" s="17">
        <v>232991.4</v>
      </c>
      <c r="F13" s="17">
        <v>58058.130000000005</v>
      </c>
      <c r="G13" s="17">
        <v>0</v>
      </c>
    </row>
    <row r="14" spans="1:10" x14ac:dyDescent="0.15">
      <c r="A14" s="1380" t="s">
        <v>1671</v>
      </c>
      <c r="B14" s="17">
        <v>9017111.0899999999</v>
      </c>
      <c r="C14" s="17">
        <v>6944996.0500000026</v>
      </c>
      <c r="D14" s="17">
        <v>9474908.2399999984</v>
      </c>
      <c r="E14" s="17">
        <v>11537514.210000001</v>
      </c>
      <c r="F14" s="17">
        <v>11876415.539999999</v>
      </c>
      <c r="G14" s="17">
        <v>6242661.29</v>
      </c>
    </row>
    <row r="15" spans="1:10" x14ac:dyDescent="0.15">
      <c r="A15" s="1380" t="s">
        <v>1644</v>
      </c>
      <c r="B15" s="17">
        <v>0</v>
      </c>
      <c r="C15" s="17">
        <v>0</v>
      </c>
      <c r="D15" s="17">
        <v>0</v>
      </c>
      <c r="E15" s="17">
        <v>0</v>
      </c>
      <c r="F15" s="17">
        <v>0</v>
      </c>
      <c r="G15" s="17">
        <v>0</v>
      </c>
    </row>
    <row r="16" spans="1:10" x14ac:dyDescent="0.15">
      <c r="A16" s="1380" t="s">
        <v>1645</v>
      </c>
      <c r="B16" s="17">
        <v>1217794</v>
      </c>
      <c r="C16" s="17">
        <v>2687994.08</v>
      </c>
      <c r="D16" s="17">
        <v>2066764.5</v>
      </c>
      <c r="E16" s="17">
        <v>2332484.9299999997</v>
      </c>
      <c r="F16" s="17">
        <v>3519515.98</v>
      </c>
      <c r="G16" s="17">
        <v>4668743.88</v>
      </c>
    </row>
    <row r="17" spans="1:7" x14ac:dyDescent="0.15">
      <c r="A17" s="197" t="s">
        <v>3542</v>
      </c>
      <c r="B17" s="200">
        <f>SUM(B18:B21)</f>
        <v>24865337.669999998</v>
      </c>
      <c r="C17" s="200">
        <f t="shared" ref="C17:G17" si="4">SUM(C18:C21)</f>
        <v>26910119.890000001</v>
      </c>
      <c r="D17" s="200">
        <f t="shared" si="4"/>
        <v>24647967.030000001</v>
      </c>
      <c r="E17" s="200">
        <f t="shared" si="4"/>
        <v>28079583.07</v>
      </c>
      <c r="F17" s="200">
        <f t="shared" si="4"/>
        <v>31028332.579999998</v>
      </c>
      <c r="G17" s="200">
        <f t="shared" si="4"/>
        <v>25758427.709999997</v>
      </c>
    </row>
    <row r="18" spans="1:7" x14ac:dyDescent="0.15">
      <c r="A18" s="1380" t="s">
        <v>2866</v>
      </c>
      <c r="B18" s="17">
        <v>2453141.13</v>
      </c>
      <c r="C18" s="17">
        <v>2105769.2200000002</v>
      </c>
      <c r="D18" s="17">
        <v>887491.5</v>
      </c>
      <c r="E18" s="17">
        <v>1282455.53</v>
      </c>
      <c r="F18" s="17">
        <v>910309.49000000011</v>
      </c>
      <c r="G18" s="17">
        <v>819622.10000000009</v>
      </c>
    </row>
    <row r="19" spans="1:7" x14ac:dyDescent="0.15">
      <c r="A19" s="1380" t="s">
        <v>2867</v>
      </c>
      <c r="B19" s="17">
        <v>1892490.83</v>
      </c>
      <c r="C19" s="17">
        <v>4133138.4099999997</v>
      </c>
      <c r="D19" s="17">
        <v>2964573.23</v>
      </c>
      <c r="E19" s="17">
        <v>1827911.8999999997</v>
      </c>
      <c r="F19" s="17">
        <v>3633131.59</v>
      </c>
      <c r="G19" s="17">
        <v>1818277.4</v>
      </c>
    </row>
    <row r="20" spans="1:7" x14ac:dyDescent="0.15">
      <c r="A20" s="1380" t="s">
        <v>2543</v>
      </c>
      <c r="B20" s="17">
        <v>19999749.399999999</v>
      </c>
      <c r="C20" s="17">
        <v>20358222.290000003</v>
      </c>
      <c r="D20" s="17">
        <v>20524258.280000001</v>
      </c>
      <c r="E20" s="17">
        <v>24635236.219999999</v>
      </c>
      <c r="F20" s="17">
        <v>25722737.07</v>
      </c>
      <c r="G20" s="17">
        <v>22744277.759999998</v>
      </c>
    </row>
    <row r="21" spans="1:7" x14ac:dyDescent="0.15">
      <c r="A21" s="1380" t="s">
        <v>4049</v>
      </c>
      <c r="B21" s="17">
        <v>519956.30999999988</v>
      </c>
      <c r="C21" s="17">
        <v>312989.96999999997</v>
      </c>
      <c r="D21" s="17">
        <v>271644.02</v>
      </c>
      <c r="E21" s="17">
        <v>333979.42</v>
      </c>
      <c r="F21" s="17">
        <v>762154.42999999993</v>
      </c>
      <c r="G21" s="17">
        <v>376250.45</v>
      </c>
    </row>
    <row r="22" spans="1:7" x14ac:dyDescent="0.15">
      <c r="A22" s="197" t="s">
        <v>3543</v>
      </c>
      <c r="B22" s="200">
        <f>SUM(B23:B24)</f>
        <v>109168151.89</v>
      </c>
      <c r="C22" s="200">
        <f t="shared" ref="C22:G22" si="5">SUM(C23:C24)</f>
        <v>140290390.14999998</v>
      </c>
      <c r="D22" s="200">
        <f t="shared" si="5"/>
        <v>144625514.47999999</v>
      </c>
      <c r="E22" s="200">
        <f t="shared" si="5"/>
        <v>168631991.58999997</v>
      </c>
      <c r="F22" s="200">
        <f t="shared" si="5"/>
        <v>171537117</v>
      </c>
      <c r="G22" s="200">
        <f t="shared" si="5"/>
        <v>192843242.96999994</v>
      </c>
    </row>
    <row r="23" spans="1:7" x14ac:dyDescent="0.15">
      <c r="A23" s="1380" t="s">
        <v>4050</v>
      </c>
      <c r="B23" s="17">
        <v>942422</v>
      </c>
      <c r="C23" s="17">
        <v>1077836</v>
      </c>
      <c r="D23" s="17">
        <v>2286142</v>
      </c>
      <c r="E23" s="17">
        <v>3591169</v>
      </c>
      <c r="F23" s="17">
        <v>3941277</v>
      </c>
      <c r="G23" s="17">
        <v>4240818</v>
      </c>
    </row>
    <row r="24" spans="1:7" x14ac:dyDescent="0.15">
      <c r="A24" s="1380" t="s">
        <v>2898</v>
      </c>
      <c r="B24" s="17">
        <v>108225729.89</v>
      </c>
      <c r="C24" s="17">
        <v>139212554.14999998</v>
      </c>
      <c r="D24" s="17">
        <v>142339372.47999999</v>
      </c>
      <c r="E24" s="17">
        <v>165040822.58999997</v>
      </c>
      <c r="F24" s="17">
        <v>167595840</v>
      </c>
      <c r="G24" s="17">
        <v>188602424.96999994</v>
      </c>
    </row>
    <row r="26" spans="1:7" x14ac:dyDescent="0.15">
      <c r="A26" s="1891" t="s">
        <v>20</v>
      </c>
    </row>
    <row r="27" spans="1:7" ht="22.5" customHeight="1" x14ac:dyDescent="0.15">
      <c r="A27" s="3512" t="s">
        <v>3991</v>
      </c>
      <c r="B27" s="3512"/>
      <c r="C27" s="3512"/>
      <c r="D27" s="3512"/>
      <c r="E27" s="3512"/>
      <c r="F27" s="3512"/>
      <c r="G27" s="3512"/>
    </row>
  </sheetData>
  <mergeCells count="2">
    <mergeCell ref="A2:G2"/>
    <mergeCell ref="A27:G27"/>
  </mergeCells>
  <pageMargins left="0.7" right="0.7" top="0.75" bottom="0.75" header="0.3" footer="0.3"/>
  <pageSetup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7"/>
  <dimension ref="A2:M34"/>
  <sheetViews>
    <sheetView workbookViewId="0">
      <selection activeCell="K30" sqref="K30"/>
    </sheetView>
  </sheetViews>
  <sheetFormatPr baseColWidth="10" defaultRowHeight="10.5" x14ac:dyDescent="0.15"/>
  <cols>
    <col min="1" max="1" width="40" style="214" customWidth="1"/>
    <col min="2" max="7" width="17.85546875" style="214" customWidth="1"/>
    <col min="8" max="13" width="12" style="214" bestFit="1" customWidth="1"/>
    <col min="14" max="16384" width="11.42578125" style="214"/>
  </cols>
  <sheetData>
    <row r="2" spans="1:7" ht="15" customHeight="1" x14ac:dyDescent="0.15">
      <c r="A2" s="3524" t="s">
        <v>4219</v>
      </c>
      <c r="B2" s="3524"/>
      <c r="C2" s="3524"/>
      <c r="D2" s="3524"/>
      <c r="E2" s="3524"/>
      <c r="F2" s="3524"/>
      <c r="G2" s="3524"/>
    </row>
    <row r="4" spans="1:7" ht="18.75" customHeight="1" x14ac:dyDescent="0.15">
      <c r="A4" s="1902" t="s">
        <v>2858</v>
      </c>
      <c r="B4" s="1903" t="s">
        <v>4051</v>
      </c>
      <c r="C4" s="1903" t="s">
        <v>4052</v>
      </c>
      <c r="D4" s="1903" t="s">
        <v>4053</v>
      </c>
      <c r="E4" s="1903" t="s">
        <v>4054</v>
      </c>
      <c r="F4" s="1903" t="s">
        <v>4055</v>
      </c>
      <c r="G4" s="1903" t="s">
        <v>4056</v>
      </c>
    </row>
    <row r="5" spans="1:7" x14ac:dyDescent="0.15">
      <c r="A5" s="268" t="s">
        <v>141</v>
      </c>
      <c r="B5" s="200">
        <f>+B6+B8+B12+B17+B22</f>
        <v>69565139785.760498</v>
      </c>
      <c r="C5" s="200">
        <f t="shared" ref="C5:G5" si="0">+C6+C8+C12+C17+C22</f>
        <v>94854549849.814789</v>
      </c>
      <c r="D5" s="200">
        <f t="shared" si="0"/>
        <v>89014744105.256012</v>
      </c>
      <c r="E5" s="200">
        <f t="shared" si="0"/>
        <v>113282128865.97519</v>
      </c>
      <c r="F5" s="200">
        <f t="shared" si="0"/>
        <v>136291470136.8396</v>
      </c>
      <c r="G5" s="200">
        <f t="shared" si="0"/>
        <v>167452681560.64557</v>
      </c>
    </row>
    <row r="6" spans="1:7" x14ac:dyDescent="0.15">
      <c r="A6" s="197" t="s">
        <v>2875</v>
      </c>
      <c r="B6" s="200">
        <f>SUM(B7)</f>
        <v>4440147.5999999996</v>
      </c>
      <c r="C6" s="200">
        <f t="shared" ref="C6:G6" si="1">SUM(C7)</f>
        <v>2382305.6538000004</v>
      </c>
      <c r="D6" s="200">
        <f t="shared" si="1"/>
        <v>11486400</v>
      </c>
      <c r="E6" s="200">
        <f t="shared" si="1"/>
        <v>0</v>
      </c>
      <c r="F6" s="200">
        <f t="shared" si="1"/>
        <v>2429520</v>
      </c>
      <c r="G6" s="200">
        <f t="shared" si="1"/>
        <v>9195420</v>
      </c>
    </row>
    <row r="7" spans="1:7" x14ac:dyDescent="0.15">
      <c r="A7" s="1380" t="s">
        <v>2540</v>
      </c>
      <c r="B7" s="17">
        <f>+'24.12'!B7*468.37</f>
        <v>4440147.5999999996</v>
      </c>
      <c r="C7" s="17">
        <f>+'24.12'!C7*521.46</f>
        <v>2382305.6538000004</v>
      </c>
      <c r="D7" s="17">
        <f>+'24.12'!D7*478.6</f>
        <v>11486400</v>
      </c>
      <c r="E7" s="17">
        <f>+'24.12'!E7*523.76</f>
        <v>0</v>
      </c>
      <c r="F7" s="17">
        <f>+'24.12'!F7*607.38</f>
        <v>2429520</v>
      </c>
      <c r="G7" s="17">
        <f>+'24.12'!G7*707.34</f>
        <v>9195420</v>
      </c>
    </row>
    <row r="8" spans="1:7" x14ac:dyDescent="0.15">
      <c r="A8" s="197" t="s">
        <v>2873</v>
      </c>
      <c r="B8" s="200">
        <f>SUM(B9:B11)</f>
        <v>1989711635.9399998</v>
      </c>
      <c r="C8" s="200">
        <f t="shared" ref="C8:G8" si="2">SUM(C9:C11)</f>
        <v>2580435449.7930002</v>
      </c>
      <c r="D8" s="200">
        <f t="shared" si="2"/>
        <v>2424798557.3080001</v>
      </c>
      <c r="E8" s="200">
        <f t="shared" si="2"/>
        <v>2865892196.8232002</v>
      </c>
      <c r="F8" s="200">
        <f t="shared" si="2"/>
        <v>3868393617.3221998</v>
      </c>
      <c r="G8" s="200">
        <f t="shared" si="2"/>
        <v>5099707068.9066</v>
      </c>
    </row>
    <row r="9" spans="1:7" x14ac:dyDescent="0.15">
      <c r="A9" s="1380" t="s">
        <v>4045</v>
      </c>
      <c r="B9" s="17">
        <f>+'24.12'!B9*468.37</f>
        <v>1856936019.4097998</v>
      </c>
      <c r="C9" s="17">
        <f>+'24.12'!C9*521.46</f>
        <v>2482787204.7858</v>
      </c>
      <c r="D9" s="17">
        <f>+'24.12'!D9*478.6</f>
        <v>2327445574.1080003</v>
      </c>
      <c r="E9" s="17">
        <f>+'24.12'!E9*523.76</f>
        <v>2693301864.0928001</v>
      </c>
      <c r="F9" s="17">
        <f>+'24.12'!F9*607.38</f>
        <v>3769884477.2621999</v>
      </c>
      <c r="G9" s="17">
        <f>+'24.12'!G9*707.34</f>
        <v>4901439836.6681995</v>
      </c>
    </row>
    <row r="10" spans="1:7" x14ac:dyDescent="0.15">
      <c r="A10" s="1380" t="s">
        <v>4046</v>
      </c>
      <c r="B10" s="17">
        <f>+'24.12'!B10*468.37</f>
        <v>132775616.53019999</v>
      </c>
      <c r="C10" s="17">
        <f>+'24.12'!C10*521.46</f>
        <v>97648245.007200003</v>
      </c>
      <c r="D10" s="17">
        <f>+'24.12'!D10*478.6</f>
        <v>97352983.200000003</v>
      </c>
      <c r="E10" s="17">
        <f>+'24.12'!E10*523.76</f>
        <v>73744491.420000002</v>
      </c>
      <c r="F10" s="17">
        <f>+'24.12'!F10*607.38</f>
        <v>98509140.060000002</v>
      </c>
      <c r="G10" s="17">
        <f>+'24.12'!G10*707.34</f>
        <v>196549273.14000002</v>
      </c>
    </row>
    <row r="11" spans="1:7" x14ac:dyDescent="0.15">
      <c r="A11" s="1380" t="s">
        <v>4047</v>
      </c>
      <c r="B11" s="17">
        <f>+'24.12'!B11*468.37</f>
        <v>0</v>
      </c>
      <c r="C11" s="17">
        <f>+'24.12'!C11*521.46</f>
        <v>0</v>
      </c>
      <c r="D11" s="17">
        <f>+'24.12'!D11*478.6</f>
        <v>0</v>
      </c>
      <c r="E11" s="17">
        <f>+'24.12'!E11*523.76</f>
        <v>98845841.310399994</v>
      </c>
      <c r="F11" s="17">
        <f>+'24.12'!F11*607.38</f>
        <v>0</v>
      </c>
      <c r="G11" s="17">
        <f>+'24.12'!G11*707.34</f>
        <v>1717959.0984000002</v>
      </c>
    </row>
    <row r="12" spans="1:7" x14ac:dyDescent="0.15">
      <c r="A12" s="197" t="s">
        <v>2901</v>
      </c>
      <c r="B12" s="200">
        <f>SUM(B13:B16)</f>
        <v>4793722497.0032997</v>
      </c>
      <c r="C12" s="200">
        <f t="shared" ref="C12:G12" si="3">SUM(C13:C16)</f>
        <v>5083354128.9096022</v>
      </c>
      <c r="D12" s="200">
        <f t="shared" si="3"/>
        <v>5564170897.2619991</v>
      </c>
      <c r="E12" s="200">
        <f t="shared" si="3"/>
        <v>7386582325.2304001</v>
      </c>
      <c r="F12" s="200">
        <f t="shared" si="3"/>
        <v>9386444233.6170006</v>
      </c>
      <c r="G12" s="200">
        <f t="shared" si="3"/>
        <v>7718073332.9477997</v>
      </c>
    </row>
    <row r="13" spans="1:7" x14ac:dyDescent="0.15">
      <c r="A13" s="1380" t="s">
        <v>4048</v>
      </c>
      <c r="B13" s="17">
        <f>+'24.12'!B13*468.37</f>
        <v>0</v>
      </c>
      <c r="C13" s="17">
        <f>+'24.12'!C13*521.46</f>
        <v>60135095.719799995</v>
      </c>
      <c r="D13" s="17">
        <f>+'24.12'!D13*478.6</f>
        <v>40326323.898000002</v>
      </c>
      <c r="E13" s="17">
        <f>+'24.12'!E13*523.76</f>
        <v>122031575.66399999</v>
      </c>
      <c r="F13" s="17">
        <f>+'24.12'!F13*607.38</f>
        <v>35263346.999400005</v>
      </c>
      <c r="G13" s="17">
        <f>+'24.12'!G13*707.34</f>
        <v>0</v>
      </c>
    </row>
    <row r="14" spans="1:7" x14ac:dyDescent="0.15">
      <c r="A14" s="1380" t="s">
        <v>1671</v>
      </c>
      <c r="B14" s="17">
        <f>+'24.12'!B14*468.37</f>
        <v>4223344321.2233</v>
      </c>
      <c r="C14" s="17">
        <f>+'24.12'!C14*521.46</f>
        <v>3621537640.2330017</v>
      </c>
      <c r="D14" s="17">
        <f>+'24.12'!D14*478.6</f>
        <v>4534691083.6639996</v>
      </c>
      <c r="E14" s="17">
        <f>+'24.12'!E14*523.76</f>
        <v>6042888442.6296005</v>
      </c>
      <c r="F14" s="17">
        <f>+'24.12'!F14*607.38</f>
        <v>7213497270.6851997</v>
      </c>
      <c r="G14" s="17">
        <f>+'24.12'!G14*707.34</f>
        <v>4415684036.8685999</v>
      </c>
    </row>
    <row r="15" spans="1:7" x14ac:dyDescent="0.15">
      <c r="A15" s="1380" t="s">
        <v>1644</v>
      </c>
      <c r="B15" s="17">
        <f>+'24.12'!B15*468.37</f>
        <v>0</v>
      </c>
      <c r="C15" s="17">
        <f>+'24.12'!C15*521.46</f>
        <v>0</v>
      </c>
      <c r="D15" s="17">
        <f>+'24.12'!D15*478.6</f>
        <v>0</v>
      </c>
      <c r="E15" s="17">
        <f>+'24.12'!E15*523.76</f>
        <v>0</v>
      </c>
      <c r="F15" s="17">
        <f>+'24.12'!F15*607.38</f>
        <v>0</v>
      </c>
      <c r="G15" s="17">
        <f>+'24.12'!G15*707.34</f>
        <v>0</v>
      </c>
    </row>
    <row r="16" spans="1:7" x14ac:dyDescent="0.15">
      <c r="A16" s="1380" t="s">
        <v>1645</v>
      </c>
      <c r="B16" s="17">
        <f>+'24.12'!B16*468.37</f>
        <v>570378175.77999997</v>
      </c>
      <c r="C16" s="17">
        <f>+'24.12'!C16*521.46</f>
        <v>1401681392.9568002</v>
      </c>
      <c r="D16" s="17">
        <f>+'24.12'!D16*478.6</f>
        <v>989153489.70000005</v>
      </c>
      <c r="E16" s="17">
        <f>+'24.12'!E16*523.76</f>
        <v>1221662306.9367998</v>
      </c>
      <c r="F16" s="17">
        <f>+'24.12'!F16*607.38</f>
        <v>2137683615.9324</v>
      </c>
      <c r="G16" s="17">
        <f>+'24.12'!G16*707.34</f>
        <v>3302389296.0792003</v>
      </c>
    </row>
    <row r="17" spans="1:13" x14ac:dyDescent="0.15">
      <c r="A17" s="197" t="s">
        <v>3542</v>
      </c>
      <c r="B17" s="200">
        <f>SUM(B18:B21)</f>
        <v>11646178204.497898</v>
      </c>
      <c r="C17" s="200">
        <f t="shared" ref="C17:G17" si="4">SUM(C18:C21)</f>
        <v>14032551117.839403</v>
      </c>
      <c r="D17" s="200">
        <f t="shared" si="4"/>
        <v>11796517020.558001</v>
      </c>
      <c r="E17" s="200">
        <f t="shared" si="4"/>
        <v>14706962428.743198</v>
      </c>
      <c r="F17" s="200">
        <f t="shared" si="4"/>
        <v>18845988642.440399</v>
      </c>
      <c r="G17" s="200">
        <f t="shared" si="4"/>
        <v>18219966256.391403</v>
      </c>
    </row>
    <row r="18" spans="1:13" x14ac:dyDescent="0.15">
      <c r="A18" s="1380" t="s">
        <v>2866</v>
      </c>
      <c r="B18" s="17">
        <f>+'24.12'!B18*468.37</f>
        <v>1148977711.0581</v>
      </c>
      <c r="C18" s="17">
        <f>+'24.12'!C18*521.46</f>
        <v>1098074417.4612002</v>
      </c>
      <c r="D18" s="17">
        <f>+'24.12'!D18*478.6</f>
        <v>424753431.90000004</v>
      </c>
      <c r="E18" s="17">
        <f>+'24.12'!E18*523.76</f>
        <v>671698908.39279997</v>
      </c>
      <c r="F18" s="17">
        <f>+'24.12'!F18*607.38</f>
        <v>552903778.03620005</v>
      </c>
      <c r="G18" s="17">
        <f>+'24.12'!G18*707.34</f>
        <v>579751496.21400011</v>
      </c>
    </row>
    <row r="19" spans="1:13" x14ac:dyDescent="0.15">
      <c r="A19" s="1380" t="s">
        <v>2867</v>
      </c>
      <c r="B19" s="17">
        <f>+'24.12'!B19*468.37</f>
        <v>886385930.04710007</v>
      </c>
      <c r="C19" s="17">
        <f>+'24.12'!C19*521.46</f>
        <v>2155266355.2786002</v>
      </c>
      <c r="D19" s="17">
        <f>+'24.12'!D19*478.6</f>
        <v>1418844747.878</v>
      </c>
      <c r="E19" s="17">
        <f>+'24.12'!E19*523.76</f>
        <v>957387136.74399984</v>
      </c>
      <c r="F19" s="17">
        <f>+'24.12'!F19*607.38</f>
        <v>2206691465.1342001</v>
      </c>
      <c r="G19" s="17">
        <f>+'24.12'!G19*707.34</f>
        <v>1286140336.1159999</v>
      </c>
    </row>
    <row r="20" spans="1:13" x14ac:dyDescent="0.15">
      <c r="A20" s="1380" t="s">
        <v>2543</v>
      </c>
      <c r="B20" s="17">
        <f>+'24.12'!B20*468.37</f>
        <v>9367282626.4779987</v>
      </c>
      <c r="C20" s="17">
        <f>+'24.12'!C20*521.46</f>
        <v>10615998595.343403</v>
      </c>
      <c r="D20" s="17">
        <f>+'24.12'!D20*478.6</f>
        <v>9822910012.8080006</v>
      </c>
      <c r="E20" s="17">
        <f>+'24.12'!E20*523.76</f>
        <v>12902951322.587198</v>
      </c>
      <c r="F20" s="17">
        <f>+'24.12'!F20*607.38</f>
        <v>15623476041.576599</v>
      </c>
      <c r="G20" s="17">
        <f>+'24.12'!G20*707.34</f>
        <v>16087937430.7584</v>
      </c>
    </row>
    <row r="21" spans="1:13" x14ac:dyDescent="0.15">
      <c r="A21" s="1380" t="s">
        <v>4049</v>
      </c>
      <c r="B21" s="17">
        <f>+'24.12'!B21*468.37</f>
        <v>243531936.91469994</v>
      </c>
      <c r="C21" s="17">
        <f>+'24.12'!C21*521.46</f>
        <v>163211749.75619999</v>
      </c>
      <c r="D21" s="17">
        <f>+'24.12'!D21*478.6</f>
        <v>130008827.97200002</v>
      </c>
      <c r="E21" s="17">
        <f>+'24.12'!E21*523.76</f>
        <v>174925061.0192</v>
      </c>
      <c r="F21" s="17">
        <f>+'24.12'!F21*607.38</f>
        <v>462917357.69339997</v>
      </c>
      <c r="G21" s="17">
        <f>+'24.12'!G21*707.34</f>
        <v>266136993.30300003</v>
      </c>
    </row>
    <row r="22" spans="1:13" x14ac:dyDescent="0.15">
      <c r="A22" s="197" t="s">
        <v>3543</v>
      </c>
      <c r="B22" s="200">
        <f>SUM(B23:B24)</f>
        <v>51131087300.719299</v>
      </c>
      <c r="C22" s="200">
        <f t="shared" ref="C22:G22" si="5">SUM(C23:C24)</f>
        <v>73155826847.618988</v>
      </c>
      <c r="D22" s="200">
        <f t="shared" si="5"/>
        <v>69217771230.128006</v>
      </c>
      <c r="E22" s="200">
        <f t="shared" si="5"/>
        <v>88322691915.178391</v>
      </c>
      <c r="F22" s="200">
        <f t="shared" si="5"/>
        <v>104188214123.45999</v>
      </c>
      <c r="G22" s="200">
        <f t="shared" si="5"/>
        <v>136405739482.39977</v>
      </c>
    </row>
    <row r="23" spans="1:13" x14ac:dyDescent="0.15">
      <c r="A23" s="1380" t="s">
        <v>4050</v>
      </c>
      <c r="B23" s="17">
        <f>+'24.12'!B23*468.37</f>
        <v>441402192.13999999</v>
      </c>
      <c r="C23" s="17">
        <f>+'24.12'!C23*521.46</f>
        <v>562048360.56000006</v>
      </c>
      <c r="D23" s="17">
        <f>+'24.12'!D23*478.6</f>
        <v>1094147561.2</v>
      </c>
      <c r="E23" s="17">
        <f>+'24.12'!E23*523.76</f>
        <v>1880910675.4400001</v>
      </c>
      <c r="F23" s="17">
        <f>+'24.12'!F23*607.38</f>
        <v>2393852824.2599998</v>
      </c>
      <c r="G23" s="17">
        <f>+'24.12'!G23*707.34</f>
        <v>2999700204.1200004</v>
      </c>
    </row>
    <row r="24" spans="1:13" x14ac:dyDescent="0.15">
      <c r="A24" s="1380" t="s">
        <v>2898</v>
      </c>
      <c r="B24" s="17">
        <f>+'24.12'!B24*468.37</f>
        <v>50689685108.5793</v>
      </c>
      <c r="C24" s="17">
        <f>+'24.12'!C24*521.46</f>
        <v>72593778487.05899</v>
      </c>
      <c r="D24" s="17">
        <f>+'24.12'!D24*478.6</f>
        <v>68123623668.928001</v>
      </c>
      <c r="E24" s="17">
        <f>+'24.12'!E24*523.76</f>
        <v>86441781239.738388</v>
      </c>
      <c r="F24" s="17">
        <f>+'24.12'!F24*607.38</f>
        <v>101794361299.2</v>
      </c>
      <c r="G24" s="17">
        <f>+'24.12'!G24*707.34</f>
        <v>133406039278.27977</v>
      </c>
      <c r="H24" s="17"/>
      <c r="I24" s="17"/>
      <c r="J24" s="17"/>
      <c r="K24" s="17"/>
      <c r="L24" s="17"/>
      <c r="M24" s="17"/>
    </row>
    <row r="26" spans="1:13" x14ac:dyDescent="0.15">
      <c r="A26" s="3504" t="s">
        <v>4057</v>
      </c>
      <c r="B26" s="3504"/>
      <c r="C26" s="3504"/>
      <c r="D26" s="3504"/>
      <c r="E26" s="3504"/>
      <c r="F26" s="3504"/>
    </row>
    <row r="27" spans="1:13" x14ac:dyDescent="0.15">
      <c r="A27" s="3504" t="s">
        <v>4058</v>
      </c>
      <c r="B27" s="3504"/>
      <c r="C27" s="3504"/>
      <c r="D27" s="3504"/>
      <c r="E27" s="3504"/>
      <c r="F27" s="3504"/>
    </row>
    <row r="28" spans="1:13" x14ac:dyDescent="0.15">
      <c r="A28" s="3504" t="s">
        <v>4059</v>
      </c>
      <c r="B28" s="3504"/>
      <c r="C28" s="3504"/>
      <c r="D28" s="3504"/>
      <c r="E28" s="3504"/>
      <c r="F28" s="3504"/>
    </row>
    <row r="29" spans="1:13" x14ac:dyDescent="0.15">
      <c r="A29" s="3504" t="s">
        <v>4060</v>
      </c>
      <c r="B29" s="3504"/>
      <c r="C29" s="3504"/>
      <c r="D29" s="3504"/>
      <c r="E29" s="3504"/>
      <c r="F29" s="3504"/>
    </row>
    <row r="30" spans="1:13" x14ac:dyDescent="0.15">
      <c r="A30" s="3504" t="s">
        <v>4061</v>
      </c>
      <c r="B30" s="3504"/>
      <c r="C30" s="3504"/>
      <c r="D30" s="3504"/>
      <c r="E30" s="3504"/>
      <c r="F30" s="3504"/>
    </row>
    <row r="31" spans="1:13" x14ac:dyDescent="0.15">
      <c r="A31" s="3504" t="s">
        <v>4062</v>
      </c>
      <c r="B31" s="3504"/>
      <c r="C31" s="3504"/>
      <c r="D31" s="3504"/>
      <c r="E31" s="3504"/>
      <c r="F31" s="3504"/>
    </row>
    <row r="32" spans="1:13" x14ac:dyDescent="0.15">
      <c r="A32" s="3504" t="s">
        <v>4063</v>
      </c>
      <c r="B32" s="3504"/>
      <c r="C32" s="3504"/>
      <c r="D32" s="3504"/>
      <c r="E32" s="3504"/>
      <c r="F32" s="3504"/>
    </row>
    <row r="33" spans="1:7" x14ac:dyDescent="0.15">
      <c r="A33" s="3523" t="s">
        <v>20</v>
      </c>
      <c r="B33" s="3523"/>
      <c r="C33" s="3523"/>
      <c r="D33" s="3523"/>
      <c r="E33" s="3523"/>
      <c r="F33" s="3523"/>
    </row>
    <row r="34" spans="1:7" ht="22.5" customHeight="1" x14ac:dyDescent="0.15">
      <c r="A34" s="3512" t="s">
        <v>3991</v>
      </c>
      <c r="B34" s="3512"/>
      <c r="C34" s="3512"/>
      <c r="D34" s="3512"/>
      <c r="E34" s="3512"/>
      <c r="F34" s="3512"/>
      <c r="G34" s="3512"/>
    </row>
  </sheetData>
  <mergeCells count="10">
    <mergeCell ref="A31:F31"/>
    <mergeCell ref="A32:F32"/>
    <mergeCell ref="A33:F33"/>
    <mergeCell ref="A34:G34"/>
    <mergeCell ref="A2:G2"/>
    <mergeCell ref="A26:F26"/>
    <mergeCell ref="A27:F27"/>
    <mergeCell ref="A28:F28"/>
    <mergeCell ref="A29:F29"/>
    <mergeCell ref="A30:F30"/>
  </mergeCell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8"/>
  <dimension ref="A2:O33"/>
  <sheetViews>
    <sheetView workbookViewId="0">
      <selection activeCell="K30" sqref="K30"/>
    </sheetView>
  </sheetViews>
  <sheetFormatPr baseColWidth="10" defaultRowHeight="10.5" x14ac:dyDescent="0.15"/>
  <cols>
    <col min="1" max="1" width="40" style="214" customWidth="1"/>
    <col min="2" max="7" width="17.85546875" style="214" customWidth="1"/>
    <col min="8" max="9" width="11.42578125" style="214"/>
    <col min="10" max="10" width="17.85546875" style="214" bestFit="1" customWidth="1"/>
    <col min="11" max="11" width="17.85546875" style="214" customWidth="1"/>
    <col min="12" max="12" width="12" style="214" bestFit="1" customWidth="1"/>
    <col min="13" max="13" width="17.85546875" style="214" bestFit="1" customWidth="1"/>
    <col min="14" max="14" width="20.42578125" style="214" bestFit="1" customWidth="1"/>
    <col min="15" max="15" width="17.85546875" style="214" bestFit="1" customWidth="1"/>
    <col min="16" max="16384" width="11.42578125" style="214"/>
  </cols>
  <sheetData>
    <row r="2" spans="1:15" ht="22.5" customHeight="1" x14ac:dyDescent="0.15">
      <c r="A2" s="3525" t="s">
        <v>4220</v>
      </c>
      <c r="B2" s="3525"/>
      <c r="C2" s="3525"/>
      <c r="D2" s="3525"/>
      <c r="E2" s="3525"/>
      <c r="F2" s="3525"/>
      <c r="G2" s="3525"/>
    </row>
    <row r="3" spans="1:15" x14ac:dyDescent="0.15">
      <c r="A3" s="197"/>
      <c r="B3" s="197"/>
      <c r="C3" s="197"/>
      <c r="D3" s="197"/>
      <c r="E3" s="197"/>
      <c r="F3" s="197"/>
    </row>
    <row r="4" spans="1:15" ht="15" customHeight="1" x14ac:dyDescent="0.25">
      <c r="A4" s="1904" t="s">
        <v>2858</v>
      </c>
      <c r="B4" s="1905" t="s">
        <v>4051</v>
      </c>
      <c r="C4" s="1905" t="s">
        <v>4064</v>
      </c>
      <c r="D4" s="1905" t="s">
        <v>4065</v>
      </c>
      <c r="E4" s="1905" t="s">
        <v>4066</v>
      </c>
      <c r="F4" s="1905" t="s">
        <v>4067</v>
      </c>
      <c r="G4" s="1905">
        <v>2015</v>
      </c>
    </row>
    <row r="5" spans="1:15" x14ac:dyDescent="0.15">
      <c r="A5" s="268" t="s">
        <v>141</v>
      </c>
      <c r="B5" s="200">
        <f>+B6+B8+B12+B17+B22</f>
        <v>83057151066.630081</v>
      </c>
      <c r="C5" s="200">
        <f t="shared" ref="C5:G5" si="0">+C6+C8+C12+C17+C22</f>
        <v>108979522713.46085</v>
      </c>
      <c r="D5" s="200">
        <f t="shared" si="0"/>
        <v>100132555589.99323</v>
      </c>
      <c r="E5" s="200">
        <f t="shared" si="0"/>
        <v>124475615732.11763</v>
      </c>
      <c r="F5" s="200">
        <f t="shared" si="0"/>
        <v>141671060323.18967</v>
      </c>
      <c r="G5" s="200">
        <f t="shared" si="0"/>
        <v>167452681560.64557</v>
      </c>
      <c r="J5" s="1882"/>
      <c r="K5" s="1882"/>
      <c r="M5" s="1882"/>
      <c r="N5" s="1882"/>
      <c r="O5" s="1882"/>
    </row>
    <row r="6" spans="1:15" x14ac:dyDescent="0.15">
      <c r="A6" s="197" t="s">
        <v>2875</v>
      </c>
      <c r="B6" s="200">
        <f>+B7</f>
        <v>5301304.8073659288</v>
      </c>
      <c r="C6" s="200">
        <f>SUM(C7)</f>
        <v>2737059.3558218251</v>
      </c>
      <c r="D6" s="200">
        <f t="shared" ref="D6:G6" si="1">SUM(D7)</f>
        <v>12921034.577922078</v>
      </c>
      <c r="E6" s="200">
        <f t="shared" si="1"/>
        <v>0</v>
      </c>
      <c r="F6" s="200">
        <f t="shared" si="1"/>
        <v>2525416.1110069384</v>
      </c>
      <c r="G6" s="200">
        <f t="shared" si="1"/>
        <v>9195420</v>
      </c>
      <c r="J6" s="1882"/>
      <c r="K6" s="1882"/>
    </row>
    <row r="7" spans="1:15" x14ac:dyDescent="0.15">
      <c r="A7" s="1380" t="s">
        <v>2540</v>
      </c>
      <c r="B7" s="17">
        <f>+('24.13'!B7*(19.3947878526815+100))/100</f>
        <v>5301304.8073659288</v>
      </c>
      <c r="C7" s="17">
        <f>+('24.13'!C7*(14.8911917098446+100))/100</f>
        <v>2737059.3558218251</v>
      </c>
      <c r="D7" s="17">
        <f>+('24.13'!D7*(12.4898538961039+100))/100</f>
        <v>12921034.577922078</v>
      </c>
      <c r="E7" s="17">
        <f>+('24.13'!E7*(9.8810703666997+100))/100</f>
        <v>0</v>
      </c>
      <c r="F7" s="17">
        <f>+('24.13'!F7*(3.94712169510596+100))/100</f>
        <v>2525416.1110069384</v>
      </c>
      <c r="G7" s="17">
        <f>+'24.13'!G7</f>
        <v>9195420</v>
      </c>
      <c r="J7" s="1882"/>
      <c r="K7" s="1882"/>
    </row>
    <row r="8" spans="1:15" x14ac:dyDescent="0.15">
      <c r="A8" s="197" t="s">
        <v>2873</v>
      </c>
      <c r="B8" s="200">
        <f>+SUM(B9:B11)</f>
        <v>2375611986.6106811</v>
      </c>
      <c r="C8" s="200">
        <f t="shared" ref="C8:G8" si="2">+SUM(C9:C11)</f>
        <v>2964693039.5704665</v>
      </c>
      <c r="D8" s="200">
        <f t="shared" si="2"/>
        <v>2727652354.3906045</v>
      </c>
      <c r="E8" s="200">
        <f t="shared" si="2"/>
        <v>3149073021.4250569</v>
      </c>
      <c r="F8" s="200">
        <f t="shared" si="2"/>
        <v>4021083821.0436192</v>
      </c>
      <c r="G8" s="200">
        <f t="shared" si="2"/>
        <v>5099707068.9066</v>
      </c>
      <c r="J8" s="1882"/>
      <c r="K8" s="1882"/>
    </row>
    <row r="9" spans="1:15" x14ac:dyDescent="0.15">
      <c r="A9" s="1380" t="s">
        <v>4045</v>
      </c>
      <c r="B9" s="17">
        <f>+('24.13'!B9*(19.3947878526815+100))/100</f>
        <v>2217084820.9343591</v>
      </c>
      <c r="C9" s="17">
        <f>+('24.13'!C9*(14.8911917098446+100))/100</f>
        <v>2852503807.1979456</v>
      </c>
      <c r="D9" s="17">
        <f>+('24.13'!D9*(12.4898538961039+100))/100</f>
        <v>2618140125.8254261</v>
      </c>
      <c r="E9" s="17">
        <f>+('24.13'!E9*(9.8810703666997+100))/100</f>
        <v>2959428916.4714446</v>
      </c>
      <c r="F9" s="17">
        <f>+('24.13'!F9*(3.94712169510596+100))/100</f>
        <v>3918686405.3446484</v>
      </c>
      <c r="G9" s="17">
        <f>+'24.13'!G9</f>
        <v>4901439836.6681995</v>
      </c>
      <c r="J9" s="1882"/>
      <c r="K9" s="1882"/>
    </row>
    <row r="10" spans="1:15" x14ac:dyDescent="0.15">
      <c r="A10" s="1380" t="s">
        <v>4046</v>
      </c>
      <c r="B10" s="17">
        <f>+('24.13'!B10*(19.3947878526815+100))/100</f>
        <v>158527165.67632219</v>
      </c>
      <c r="C10" s="17">
        <f>+('24.13'!C10*(14.8911917098446+100))/100</f>
        <v>112189232.37252092</v>
      </c>
      <c r="D10" s="17">
        <f>+('24.13'!D10*(12.4898538961039+100))/100</f>
        <v>109512228.56517857</v>
      </c>
      <c r="E10" s="17">
        <f>+('24.13'!E10*(9.8810703666997+100))/100</f>
        <v>81031236.508775026</v>
      </c>
      <c r="F10" s="17">
        <f>+('24.13'!F10*(3.94712169510596+100))/100</f>
        <v>102397415.69897059</v>
      </c>
      <c r="G10" s="17">
        <f>+'24.13'!G10</f>
        <v>196549273.14000002</v>
      </c>
      <c r="J10" s="1882"/>
      <c r="K10" s="1882"/>
    </row>
    <row r="11" spans="1:15" x14ac:dyDescent="0.15">
      <c r="A11" s="1380" t="s">
        <v>4047</v>
      </c>
      <c r="B11" s="17">
        <f>+('24.13'!B11*(19.3947878526815+100))/100</f>
        <v>0</v>
      </c>
      <c r="C11" s="17">
        <f>+('24.13'!C11*(14.8911917098446+100))/100</f>
        <v>0</v>
      </c>
      <c r="D11" s="17">
        <f>+('24.13'!D11*(12.4898538961039+100))/100</f>
        <v>0</v>
      </c>
      <c r="E11" s="17">
        <f>+('24.13'!E11*(9.8810703666997+100))/100</f>
        <v>108612868.44483694</v>
      </c>
      <c r="F11" s="17">
        <f>+('24.13'!F11*(3.94712169510596+100))/100</f>
        <v>0</v>
      </c>
      <c r="G11" s="17">
        <f>+'24.13'!G11</f>
        <v>1717959.0984000002</v>
      </c>
      <c r="J11" s="1882"/>
      <c r="K11" s="1882"/>
    </row>
    <row r="12" spans="1:15" x14ac:dyDescent="0.15">
      <c r="A12" s="197" t="s">
        <v>2901</v>
      </c>
      <c r="B12" s="200">
        <f>+SUM(B13:B16)</f>
        <v>5723454805.5433569</v>
      </c>
      <c r="C12" s="200">
        <f t="shared" ref="C12:G12" si="3">+SUM(C13:C16)</f>
        <v>5840326137.5358324</v>
      </c>
      <c r="D12" s="200">
        <f t="shared" si="3"/>
        <v>6259127712.8595572</v>
      </c>
      <c r="E12" s="200">
        <f t="shared" si="3"/>
        <v>8116455722.4806185</v>
      </c>
      <c r="F12" s="200">
        <f t="shared" si="3"/>
        <v>9756938610.3611183</v>
      </c>
      <c r="G12" s="200">
        <f t="shared" si="3"/>
        <v>7718073332.9477997</v>
      </c>
      <c r="J12" s="1882"/>
      <c r="K12" s="1882"/>
    </row>
    <row r="13" spans="1:15" x14ac:dyDescent="0.15">
      <c r="A13" s="1380" t="s">
        <v>4048</v>
      </c>
      <c r="B13" s="17">
        <f>+('24.13'!B13*(19.3947878526815+100))/100</f>
        <v>0</v>
      </c>
      <c r="C13" s="17">
        <f>+('24.13'!C13*(14.8911917098446+100))/100</f>
        <v>69089928.108333975</v>
      </c>
      <c r="D13" s="17">
        <f>+('24.13'!D13*(12.4898538961039+100))/100</f>
        <v>45363022.834529832</v>
      </c>
      <c r="E13" s="17">
        <f>+('24.13'!E13*(9.8810703666997+100))/100</f>
        <v>134089601.52495222</v>
      </c>
      <c r="F13" s="17">
        <f>+('24.13'!F13*(3.94712169510596+100))/100</f>
        <v>36655234.219233818</v>
      </c>
      <c r="G13" s="17">
        <f>+'24.13'!G13</f>
        <v>0</v>
      </c>
      <c r="J13" s="1882"/>
      <c r="K13" s="1882"/>
    </row>
    <row r="14" spans="1:15" x14ac:dyDescent="0.15">
      <c r="A14" s="1380" t="s">
        <v>1671</v>
      </c>
      <c r="B14" s="17">
        <f>+('24.13'!B14*(19.3947878526815+100))/100</f>
        <v>5042452992.6128311</v>
      </c>
      <c r="C14" s="17">
        <f>+('24.13'!C14*(14.8911917098446+100))/100</f>
        <v>4160827753.0842805</v>
      </c>
      <c r="D14" s="17">
        <f>+('24.13'!D14*(12.4898538961039+100))/100</f>
        <v>5101067374.6532841</v>
      </c>
      <c r="E14" s="17">
        <f>+('24.13'!E14*(9.8810703666997+100))/100</f>
        <v>6639990501.8269949</v>
      </c>
      <c r="F14" s="17">
        <f>+('24.13'!F14*(3.94712169510596+100))/100</f>
        <v>7498222786.432291</v>
      </c>
      <c r="G14" s="17">
        <f>+'24.13'!G14</f>
        <v>4415684036.8685999</v>
      </c>
      <c r="J14" s="1882"/>
      <c r="K14" s="1882"/>
    </row>
    <row r="15" spans="1:15" x14ac:dyDescent="0.15">
      <c r="A15" s="1380" t="s">
        <v>1644</v>
      </c>
      <c r="B15" s="17">
        <f>+('24.13'!B15*(19.3947878526815+100))/100</f>
        <v>0</v>
      </c>
      <c r="C15" s="17">
        <f>+('24.13'!C15*(14.8911917098446+100))/100</f>
        <v>0</v>
      </c>
      <c r="D15" s="17">
        <f>+('24.13'!D15*(12.4898538961039+100))/100</f>
        <v>0</v>
      </c>
      <c r="E15" s="17">
        <f>+('24.13'!E15*(9.8810703666997+100))/100</f>
        <v>0</v>
      </c>
      <c r="F15" s="17">
        <f>+('24.13'!F15*(3.94712169510596+100))/100</f>
        <v>0</v>
      </c>
      <c r="G15" s="17">
        <f>+'24.13'!G15</f>
        <v>0</v>
      </c>
      <c r="J15" s="1882"/>
      <c r="K15" s="1882"/>
    </row>
    <row r="16" spans="1:15" x14ac:dyDescent="0.15">
      <c r="A16" s="1380" t="s">
        <v>1645</v>
      </c>
      <c r="B16" s="17">
        <f>+('24.13'!B16*(19.3947878526815+100))/100</f>
        <v>681001812.93052578</v>
      </c>
      <c r="C16" s="17">
        <f>+('24.13'!C16*(14.8911917098446+100))/100</f>
        <v>1610408456.3432178</v>
      </c>
      <c r="D16" s="17">
        <f>+('24.13'!D16*(12.4898538961039+100))/100</f>
        <v>1112697315.3717432</v>
      </c>
      <c r="E16" s="17">
        <f>+('24.13'!E16*(9.8810703666997+100))/100</f>
        <v>1342375619.1286719</v>
      </c>
      <c r="F16" s="17">
        <f>+('24.13'!F16*(3.94712169510596+100))/100</f>
        <v>2222060589.7095933</v>
      </c>
      <c r="G16" s="17">
        <f>+'24.13'!G16</f>
        <v>3302389296.0792003</v>
      </c>
      <c r="J16" s="1882"/>
      <c r="K16" s="1882"/>
    </row>
    <row r="17" spans="1:11" x14ac:dyDescent="0.15">
      <c r="A17" s="197" t="s">
        <v>3542</v>
      </c>
      <c r="B17" s="200">
        <f>+SUM(B18:B21)</f>
        <v>13904929760.2055</v>
      </c>
      <c r="C17" s="200">
        <f t="shared" ref="C17:G17" si="4">+SUM(C18:C21)</f>
        <v>16122165206.578812</v>
      </c>
      <c r="D17" s="200">
        <f t="shared" si="4"/>
        <v>13269884761.254723</v>
      </c>
      <c r="E17" s="200">
        <f t="shared" si="4"/>
        <v>16160167735.131401</v>
      </c>
      <c r="F17" s="200">
        <f t="shared" si="4"/>
        <v>19589862748.803371</v>
      </c>
      <c r="G17" s="200">
        <f t="shared" si="4"/>
        <v>18219966256.391403</v>
      </c>
      <c r="J17" s="1882"/>
      <c r="K17" s="1882"/>
    </row>
    <row r="18" spans="1:11" x14ac:dyDescent="0.15">
      <c r="A18" s="1380" t="s">
        <v>2866</v>
      </c>
      <c r="B18" s="17">
        <f>+('24.13'!B18*(19.3947878526815+100))/100</f>
        <v>1371819500.5924144</v>
      </c>
      <c r="C18" s="17">
        <f>+('24.13'!C18*(14.8911917098446+100))/100</f>
        <v>1261590784.0821068</v>
      </c>
      <c r="D18" s="17">
        <f>+('24.13'!D18*(12.4898538961039+100))/100</f>
        <v>477804514.9629972</v>
      </c>
      <c r="E18" s="17">
        <f>+('24.13'!E18*(9.8810703666997+100))/100</f>
        <v>738069950.18344641</v>
      </c>
      <c r="F18" s="17">
        <f>+('24.13'!F18*(3.94712169510596+100))/100</f>
        <v>574727563.0121274</v>
      </c>
      <c r="G18" s="17">
        <f>+'24.13'!G18</f>
        <v>579751496.21400011</v>
      </c>
      <c r="J18" s="1882"/>
      <c r="K18" s="1882"/>
    </row>
    <row r="19" spans="1:11" x14ac:dyDescent="0.15">
      <c r="A19" s="1380" t="s">
        <v>2867</v>
      </c>
      <c r="B19" s="17">
        <f>+('24.13'!B19*(19.3947878526815+100))/100</f>
        <v>1058298600.7357531</v>
      </c>
      <c r="C19" s="17">
        <f>+('24.13'!C19*(14.8911917098446+100))/100</f>
        <v>2476211200.1009169</v>
      </c>
      <c r="D19" s="17">
        <f>+('24.13'!D19*(12.4898538961039+100))/100</f>
        <v>1596056383.900506</v>
      </c>
      <c r="E19" s="17">
        <f>+('24.13'!E19*(9.8810703666997+100))/100</f>
        <v>1051987233.407406</v>
      </c>
      <c r="F19" s="17">
        <f>+('24.13'!F19*(3.94712169510596+100))/100</f>
        <v>2293792262.6985641</v>
      </c>
      <c r="G19" s="17">
        <f>+'24.13'!G19</f>
        <v>1286140336.1159999</v>
      </c>
      <c r="J19" s="1882"/>
      <c r="K19" s="1882"/>
    </row>
    <row r="20" spans="1:11" x14ac:dyDescent="0.15">
      <c r="A20" s="1380" t="s">
        <v>2543</v>
      </c>
      <c r="B20" s="17">
        <f>+('24.13'!B20*(19.3947878526815+100))/100</f>
        <v>11184047219.4445</v>
      </c>
      <c r="C20" s="17">
        <f>+('24.13'!C20*(14.8911917098446+100))/100</f>
        <v>12196847298.090401</v>
      </c>
      <c r="D20" s="17">
        <f>+('24.13'!D20*(12.4898538961039+100))/100</f>
        <v>11049777121.753481</v>
      </c>
      <c r="E20" s="17">
        <f>+('24.13'!E20*(9.8810703666997+100))/100</f>
        <v>14177901022.153049</v>
      </c>
      <c r="F20" s="17">
        <f>+('24.13'!F20*(3.94712169510596+100))/100</f>
        <v>16240153653.943352</v>
      </c>
      <c r="G20" s="17">
        <f>+'24.13'!G20</f>
        <v>16087937430.7584</v>
      </c>
      <c r="J20" s="1882"/>
      <c r="K20" s="1882"/>
    </row>
    <row r="21" spans="1:11" x14ac:dyDescent="0.15">
      <c r="A21" s="1380" t="s">
        <v>4049</v>
      </c>
      <c r="B21" s="17">
        <f>+('24.13'!B21*(19.3947878526815+100))/100</f>
        <v>290764439.43283212</v>
      </c>
      <c r="C21" s="17">
        <f>+('24.13'!C21*(14.8911917098446+100))/100</f>
        <v>187515924.30538759</v>
      </c>
      <c r="D21" s="17">
        <f>+('24.13'!D21*(12.4898538961039+100))/100</f>
        <v>146246740.63773987</v>
      </c>
      <c r="E21" s="17">
        <f>+('24.13'!E21*(9.8810703666997+100))/100</f>
        <v>192209529.38749954</v>
      </c>
      <c r="F21" s="17">
        <f>+('24.13'!F21*(3.94712169510596+100))/100</f>
        <v>481189269.1493274</v>
      </c>
      <c r="G21" s="17">
        <f>+'24.13'!G21</f>
        <v>266136993.30300003</v>
      </c>
      <c r="J21" s="1882"/>
      <c r="K21" s="1882"/>
    </row>
    <row r="22" spans="1:11" x14ac:dyDescent="0.15">
      <c r="A22" s="197" t="s">
        <v>3543</v>
      </c>
      <c r="B22" s="200">
        <f>+SUM(B23:B24)</f>
        <v>61047853209.463181</v>
      </c>
      <c r="C22" s="200">
        <f t="shared" ref="C22:G22" si="5">+SUM(C23:C24)</f>
        <v>84049601270.419907</v>
      </c>
      <c r="D22" s="200">
        <f t="shared" si="5"/>
        <v>77862969726.910416</v>
      </c>
      <c r="E22" s="200">
        <f t="shared" si="5"/>
        <v>97049919253.080551</v>
      </c>
      <c r="F22" s="200">
        <f t="shared" si="5"/>
        <v>108300649726.87054</v>
      </c>
      <c r="G22" s="200">
        <f t="shared" si="5"/>
        <v>136405739482.39977</v>
      </c>
      <c r="J22" s="1882"/>
      <c r="K22" s="1882"/>
    </row>
    <row r="23" spans="1:11" x14ac:dyDescent="0.15">
      <c r="A23" s="1380" t="s">
        <v>4050</v>
      </c>
      <c r="B23" s="17">
        <v>527011210.88263857</v>
      </c>
      <c r="C23" s="17">
        <f>+('24.13'!C23*(14.8911917098446+100))/100</f>
        <v>645744059.43302834</v>
      </c>
      <c r="D23" s="17">
        <f>+('24.13'!D23*(12.4898538961039+100))/100</f>
        <v>1230804993.0016639</v>
      </c>
      <c r="E23" s="17">
        <f>+('24.13'!E23*(9.8810703666997+100))/100</f>
        <v>2066764782.8149929</v>
      </c>
      <c r="F23" s="17">
        <f>+('24.13'!F23*(3.94712169510596+100))/100</f>
        <v>2488341108.4352732</v>
      </c>
      <c r="G23" s="17">
        <f>+'24.13'!G23</f>
        <v>2999700204.1200004</v>
      </c>
      <c r="J23" s="1882"/>
      <c r="K23" s="1882"/>
    </row>
    <row r="24" spans="1:11" x14ac:dyDescent="0.15">
      <c r="A24" s="1380" t="s">
        <v>2898</v>
      </c>
      <c r="B24" s="17">
        <f>+('24.13'!B24*(19.3947878526815+100))/100</f>
        <v>60520841998.580544</v>
      </c>
      <c r="C24" s="17">
        <f>+('24.13'!C24*(14.8911917098446+100))/100</f>
        <v>83403857210.986877</v>
      </c>
      <c r="D24" s="17">
        <f>+('24.13'!D24*(12.4898538961039+100))/100</f>
        <v>76632164733.908752</v>
      </c>
      <c r="E24" s="17">
        <f>+('24.13'!E24*(9.8810703666997+100))/100</f>
        <v>94983154470.265564</v>
      </c>
      <c r="F24" s="17">
        <f>+('24.13'!F24*(3.94712169510596+100))/100</f>
        <v>105812308618.43527</v>
      </c>
      <c r="G24" s="17">
        <f>+'24.13'!G24</f>
        <v>133406039278.27977</v>
      </c>
      <c r="J24" s="1882"/>
      <c r="K24" s="1882"/>
    </row>
    <row r="26" spans="1:11" x14ac:dyDescent="0.15">
      <c r="A26" s="3504" t="s">
        <v>4068</v>
      </c>
      <c r="B26" s="3504"/>
      <c r="C26" s="3504"/>
      <c r="D26" s="3504"/>
      <c r="E26" s="3504"/>
      <c r="F26" s="3504"/>
      <c r="G26" s="3504"/>
    </row>
    <row r="27" spans="1:11" x14ac:dyDescent="0.15">
      <c r="A27" s="2558" t="s">
        <v>4069</v>
      </c>
      <c r="B27" s="2558"/>
      <c r="C27" s="2558"/>
      <c r="D27" s="2558"/>
      <c r="E27" s="2558"/>
      <c r="F27" s="2558"/>
      <c r="G27" s="2558"/>
    </row>
    <row r="28" spans="1:11" x14ac:dyDescent="0.15">
      <c r="A28" s="2558" t="s">
        <v>4070</v>
      </c>
      <c r="B28" s="2558"/>
      <c r="C28" s="2558"/>
      <c r="D28" s="2558"/>
      <c r="E28" s="2558"/>
      <c r="F28" s="2558"/>
      <c r="G28" s="2558"/>
    </row>
    <row r="29" spans="1:11" x14ac:dyDescent="0.15">
      <c r="A29" s="2558" t="s">
        <v>4071</v>
      </c>
      <c r="B29" s="2558"/>
      <c r="C29" s="2558"/>
      <c r="D29" s="2558"/>
      <c r="E29" s="2558"/>
      <c r="F29" s="2558"/>
      <c r="G29" s="2558"/>
    </row>
    <row r="30" spans="1:11" x14ac:dyDescent="0.15">
      <c r="A30" s="2558" t="s">
        <v>4072</v>
      </c>
      <c r="B30" s="2558"/>
      <c r="C30" s="2558"/>
      <c r="D30" s="2558"/>
      <c r="E30" s="2558"/>
      <c r="F30" s="2558"/>
      <c r="G30" s="2558"/>
    </row>
    <row r="31" spans="1:11" x14ac:dyDescent="0.15">
      <c r="A31" s="2558" t="s">
        <v>4073</v>
      </c>
      <c r="B31" s="2558"/>
      <c r="C31" s="2558"/>
      <c r="D31" s="2558"/>
      <c r="E31" s="2558"/>
      <c r="F31" s="2558"/>
      <c r="G31" s="2558"/>
    </row>
    <row r="32" spans="1:11" x14ac:dyDescent="0.15">
      <c r="A32" s="3517" t="s">
        <v>20</v>
      </c>
      <c r="B32" s="3517"/>
      <c r="C32" s="3517"/>
      <c r="D32" s="3517"/>
      <c r="E32" s="3517"/>
      <c r="F32" s="3517"/>
    </row>
    <row r="33" spans="1:7" ht="22.5" customHeight="1" x14ac:dyDescent="0.15">
      <c r="A33" s="3516" t="s">
        <v>3991</v>
      </c>
      <c r="B33" s="3516"/>
      <c r="C33" s="3516"/>
      <c r="D33" s="3516"/>
      <c r="E33" s="3516"/>
      <c r="F33" s="3516"/>
      <c r="G33" s="3516"/>
    </row>
  </sheetData>
  <mergeCells count="9">
    <mergeCell ref="A31:G31"/>
    <mergeCell ref="A32:F32"/>
    <mergeCell ref="A33:G33"/>
    <mergeCell ref="A2:G2"/>
    <mergeCell ref="A26:G26"/>
    <mergeCell ref="A27:G27"/>
    <mergeCell ref="A28:G28"/>
    <mergeCell ref="A29:G29"/>
    <mergeCell ref="A30:G3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O42"/>
  <sheetViews>
    <sheetView zoomScale="90" zoomScaleNormal="90" workbookViewId="0">
      <selection activeCell="A2" sqref="A2:G2"/>
    </sheetView>
  </sheetViews>
  <sheetFormatPr baseColWidth="10" defaultColWidth="9.140625" defaultRowHeight="10.5" x14ac:dyDescent="0.15"/>
  <cols>
    <col min="1" max="1" width="77.5703125" style="97" customWidth="1"/>
    <col min="2" max="2" width="8.42578125" style="97" customWidth="1"/>
    <col min="3" max="3" width="14.42578125" style="97" customWidth="1"/>
    <col min="4" max="4" width="14.85546875" style="97" customWidth="1"/>
    <col min="5" max="5" width="19.42578125" style="97" customWidth="1"/>
    <col min="6" max="6" width="15.42578125" style="97" bestFit="1" customWidth="1"/>
    <col min="7" max="7" width="22.7109375" style="97" customWidth="1"/>
    <col min="8" max="8" width="8.42578125" style="97" customWidth="1"/>
    <col min="9" max="9" width="14.42578125" style="97" customWidth="1"/>
    <col min="10" max="10" width="14.85546875" style="97" customWidth="1"/>
    <col min="11" max="11" width="19.42578125" style="97" customWidth="1"/>
    <col min="12" max="12" width="15.42578125" style="97" bestFit="1" customWidth="1"/>
    <col min="13" max="13" width="22.7109375" style="97" customWidth="1"/>
    <col min="14" max="14" width="21" style="97" customWidth="1"/>
    <col min="15" max="15" width="17.28515625" style="97" customWidth="1"/>
    <col min="16" max="16384" width="9.140625" style="97"/>
  </cols>
  <sheetData>
    <row r="1" spans="1:15" ht="12.75" customHeight="1" x14ac:dyDescent="0.15">
      <c r="O1" s="169" t="s">
        <v>370</v>
      </c>
    </row>
    <row r="2" spans="1:15" ht="25.5" customHeight="1" x14ac:dyDescent="0.15">
      <c r="A2" s="2458" t="s">
        <v>4343</v>
      </c>
      <c r="B2" s="2458"/>
      <c r="C2" s="2458"/>
      <c r="D2" s="2458"/>
      <c r="E2" s="2458"/>
      <c r="F2" s="2458"/>
      <c r="G2" s="2458"/>
      <c r="H2" s="131"/>
      <c r="I2" s="131"/>
      <c r="J2" s="131"/>
      <c r="K2" s="131"/>
      <c r="L2" s="131"/>
      <c r="M2" s="131"/>
    </row>
    <row r="3" spans="1:15" ht="11.25" customHeight="1" x14ac:dyDescent="0.15">
      <c r="A3" s="2459"/>
      <c r="B3" s="2348"/>
      <c r="C3" s="2348"/>
      <c r="D3" s="2348"/>
      <c r="E3" s="2348"/>
      <c r="F3" s="2348"/>
      <c r="G3" s="2348"/>
    </row>
    <row r="4" spans="1:15" ht="12.75" customHeight="1" x14ac:dyDescent="0.15">
      <c r="A4" s="2359" t="s">
        <v>371</v>
      </c>
      <c r="B4" s="2359" t="s">
        <v>372</v>
      </c>
      <c r="C4" s="2361" t="s">
        <v>373</v>
      </c>
      <c r="D4" s="2362"/>
      <c r="E4" s="2362"/>
      <c r="F4" s="2362"/>
      <c r="G4" s="2363"/>
    </row>
    <row r="5" spans="1:15" x14ac:dyDescent="0.15">
      <c r="A5" s="2460"/>
      <c r="B5" s="2460"/>
      <c r="C5" s="2361">
        <v>2015</v>
      </c>
      <c r="D5" s="2362"/>
      <c r="E5" s="2362"/>
      <c r="F5" s="2362"/>
      <c r="G5" s="2363"/>
    </row>
    <row r="6" spans="1:15" ht="90" customHeight="1" x14ac:dyDescent="0.15">
      <c r="A6" s="2360"/>
      <c r="B6" s="2360"/>
      <c r="C6" s="1617" t="s">
        <v>333</v>
      </c>
      <c r="D6" s="1617" t="s">
        <v>336</v>
      </c>
      <c r="E6" s="1617" t="s">
        <v>374</v>
      </c>
      <c r="F6" s="1617" t="s">
        <v>375</v>
      </c>
      <c r="G6" s="1617" t="s">
        <v>376</v>
      </c>
    </row>
    <row r="7" spans="1:15" s="170" customFormat="1" x14ac:dyDescent="0.15">
      <c r="A7" s="1996" t="s">
        <v>141</v>
      </c>
      <c r="B7" s="1527">
        <f>SUM(B8:B22)</f>
        <v>16</v>
      </c>
      <c r="C7" s="1527">
        <f t="shared" ref="C7:G7" si="0">SUM(C8:C22)</f>
        <v>1</v>
      </c>
      <c r="D7" s="1527">
        <f t="shared" si="0"/>
        <v>4</v>
      </c>
      <c r="E7" s="1527">
        <f t="shared" si="0"/>
        <v>5</v>
      </c>
      <c r="F7" s="1527">
        <f t="shared" si="0"/>
        <v>3</v>
      </c>
      <c r="G7" s="1527">
        <f t="shared" si="0"/>
        <v>3</v>
      </c>
    </row>
    <row r="8" spans="1:15" ht="11.25" x14ac:dyDescent="0.15">
      <c r="A8" s="2001" t="s">
        <v>377</v>
      </c>
      <c r="B8" s="718">
        <f t="shared" ref="B8:B22" si="1">SUM(C8:G8)</f>
        <v>1</v>
      </c>
      <c r="C8" s="438">
        <v>0</v>
      </c>
      <c r="D8" s="438">
        <v>0</v>
      </c>
      <c r="E8" s="438">
        <v>0</v>
      </c>
      <c r="F8" s="438">
        <v>1</v>
      </c>
      <c r="G8" s="438">
        <v>0</v>
      </c>
    </row>
    <row r="9" spans="1:15" ht="11.25" x14ac:dyDescent="0.15">
      <c r="A9" s="2001" t="s">
        <v>378</v>
      </c>
      <c r="B9" s="718">
        <f t="shared" si="1"/>
        <v>1</v>
      </c>
      <c r="C9" s="438">
        <v>0</v>
      </c>
      <c r="D9" s="438">
        <v>0</v>
      </c>
      <c r="E9" s="438">
        <v>0</v>
      </c>
      <c r="F9" s="438">
        <v>0</v>
      </c>
      <c r="G9" s="438">
        <v>1</v>
      </c>
    </row>
    <row r="10" spans="1:15" ht="11.25" x14ac:dyDescent="0.15">
      <c r="A10" s="2001" t="s">
        <v>379</v>
      </c>
      <c r="B10" s="718">
        <f t="shared" si="1"/>
        <v>1</v>
      </c>
      <c r="C10" s="438">
        <v>0</v>
      </c>
      <c r="D10" s="438">
        <v>0</v>
      </c>
      <c r="E10" s="438">
        <v>1</v>
      </c>
      <c r="F10" s="438">
        <v>0</v>
      </c>
      <c r="G10" s="438">
        <v>0</v>
      </c>
    </row>
    <row r="11" spans="1:15" ht="11.25" x14ac:dyDescent="0.15">
      <c r="A11" s="2001" t="s">
        <v>380</v>
      </c>
      <c r="B11" s="718">
        <f t="shared" si="1"/>
        <v>1</v>
      </c>
      <c r="C11" s="438">
        <v>0</v>
      </c>
      <c r="D11" s="438">
        <v>1</v>
      </c>
      <c r="E11" s="438">
        <v>0</v>
      </c>
      <c r="F11" s="438">
        <v>0</v>
      </c>
      <c r="G11" s="438">
        <v>0</v>
      </c>
    </row>
    <row r="12" spans="1:15" ht="11.25" x14ac:dyDescent="0.15">
      <c r="A12" s="2001" t="s">
        <v>381</v>
      </c>
      <c r="B12" s="718">
        <f t="shared" si="1"/>
        <v>1</v>
      </c>
      <c r="C12" s="438">
        <v>0</v>
      </c>
      <c r="D12" s="438">
        <v>0</v>
      </c>
      <c r="E12" s="438">
        <v>0</v>
      </c>
      <c r="F12" s="438">
        <v>1</v>
      </c>
      <c r="G12" s="438">
        <v>0</v>
      </c>
    </row>
    <row r="13" spans="1:15" ht="11.25" x14ac:dyDescent="0.15">
      <c r="A13" s="2001" t="s">
        <v>382</v>
      </c>
      <c r="B13" s="718">
        <f t="shared" si="1"/>
        <v>1</v>
      </c>
      <c r="C13" s="438">
        <v>1</v>
      </c>
      <c r="D13" s="438">
        <v>0</v>
      </c>
      <c r="E13" s="438">
        <v>0</v>
      </c>
      <c r="F13" s="438">
        <v>0</v>
      </c>
      <c r="G13" s="438">
        <v>0</v>
      </c>
    </row>
    <row r="14" spans="1:15" ht="11.25" x14ac:dyDescent="0.15">
      <c r="A14" s="2001" t="s">
        <v>383</v>
      </c>
      <c r="B14" s="718">
        <f t="shared" si="1"/>
        <v>1</v>
      </c>
      <c r="C14" s="438">
        <v>0</v>
      </c>
      <c r="D14" s="438">
        <v>0</v>
      </c>
      <c r="E14" s="438">
        <v>1</v>
      </c>
      <c r="F14" s="438">
        <v>0</v>
      </c>
      <c r="G14" s="438">
        <v>0</v>
      </c>
    </row>
    <row r="15" spans="1:15" ht="11.25" x14ac:dyDescent="0.15">
      <c r="A15" s="2001" t="s">
        <v>384</v>
      </c>
      <c r="B15" s="718">
        <f t="shared" si="1"/>
        <v>1</v>
      </c>
      <c r="C15" s="438">
        <v>0</v>
      </c>
      <c r="D15" s="438">
        <v>0</v>
      </c>
      <c r="E15" s="438">
        <v>1</v>
      </c>
      <c r="F15" s="438">
        <v>0</v>
      </c>
      <c r="G15" s="438">
        <v>0</v>
      </c>
    </row>
    <row r="16" spans="1:15" ht="11.25" x14ac:dyDescent="0.15">
      <c r="A16" s="2001" t="s">
        <v>385</v>
      </c>
      <c r="B16" s="718">
        <f t="shared" si="1"/>
        <v>1</v>
      </c>
      <c r="C16" s="438">
        <v>0</v>
      </c>
      <c r="D16" s="438">
        <v>1</v>
      </c>
      <c r="E16" s="438">
        <v>0</v>
      </c>
      <c r="F16" s="438">
        <v>0</v>
      </c>
      <c r="G16" s="438">
        <v>0</v>
      </c>
    </row>
    <row r="17" spans="1:13" ht="11.25" x14ac:dyDescent="0.15">
      <c r="A17" s="2001" t="s">
        <v>386</v>
      </c>
      <c r="B17" s="718">
        <f t="shared" si="1"/>
        <v>1</v>
      </c>
      <c r="C17" s="438">
        <v>0</v>
      </c>
      <c r="D17" s="438">
        <v>1</v>
      </c>
      <c r="E17" s="438">
        <v>0</v>
      </c>
      <c r="F17" s="438">
        <v>0</v>
      </c>
      <c r="G17" s="438">
        <v>0</v>
      </c>
    </row>
    <row r="18" spans="1:13" ht="11.25" x14ac:dyDescent="0.15">
      <c r="A18" s="2001" t="s">
        <v>387</v>
      </c>
      <c r="B18" s="718">
        <f t="shared" si="1"/>
        <v>1</v>
      </c>
      <c r="C18" s="438">
        <v>0</v>
      </c>
      <c r="D18" s="438">
        <v>0</v>
      </c>
      <c r="E18" s="438">
        <v>0</v>
      </c>
      <c r="F18" s="438">
        <v>1</v>
      </c>
      <c r="G18" s="438">
        <v>0</v>
      </c>
    </row>
    <row r="19" spans="1:13" ht="11.25" x14ac:dyDescent="0.15">
      <c r="A19" s="2001" t="s">
        <v>388</v>
      </c>
      <c r="B19" s="718">
        <f t="shared" si="1"/>
        <v>1</v>
      </c>
      <c r="C19" s="438">
        <v>0</v>
      </c>
      <c r="D19" s="438">
        <v>0</v>
      </c>
      <c r="E19" s="438">
        <v>0</v>
      </c>
      <c r="F19" s="438">
        <v>0</v>
      </c>
      <c r="G19" s="438">
        <v>1</v>
      </c>
    </row>
    <row r="20" spans="1:13" ht="11.25" x14ac:dyDescent="0.15">
      <c r="A20" s="2001" t="s">
        <v>389</v>
      </c>
      <c r="B20" s="718">
        <f t="shared" si="1"/>
        <v>1</v>
      </c>
      <c r="C20" s="438">
        <v>0</v>
      </c>
      <c r="D20" s="438">
        <v>1</v>
      </c>
      <c r="E20" s="438">
        <v>0</v>
      </c>
      <c r="F20" s="438">
        <v>0</v>
      </c>
      <c r="G20" s="438">
        <v>0</v>
      </c>
    </row>
    <row r="21" spans="1:13" ht="11.25" x14ac:dyDescent="0.15">
      <c r="A21" s="2001" t="s">
        <v>390</v>
      </c>
      <c r="B21" s="718">
        <f t="shared" si="1"/>
        <v>2</v>
      </c>
      <c r="C21" s="438"/>
      <c r="D21" s="438"/>
      <c r="E21" s="438">
        <v>1</v>
      </c>
      <c r="F21" s="438"/>
      <c r="G21" s="438">
        <v>1</v>
      </c>
    </row>
    <row r="22" spans="1:13" ht="32.25" x14ac:dyDescent="0.15">
      <c r="A22" s="2001" t="s">
        <v>391</v>
      </c>
      <c r="B22" s="718">
        <f t="shared" si="1"/>
        <v>1</v>
      </c>
      <c r="C22" s="438">
        <v>0</v>
      </c>
      <c r="D22" s="438">
        <v>0</v>
      </c>
      <c r="E22" s="438">
        <v>1</v>
      </c>
      <c r="F22" s="438">
        <v>0</v>
      </c>
      <c r="G22" s="438">
        <v>0</v>
      </c>
    </row>
    <row r="23" spans="1:13" x14ac:dyDescent="0.15">
      <c r="A23" s="2009"/>
      <c r="B23" s="2009"/>
      <c r="C23" s="171"/>
      <c r="D23" s="171"/>
      <c r="E23" s="171"/>
      <c r="F23" s="171"/>
      <c r="G23" s="171"/>
      <c r="I23" s="171"/>
      <c r="J23" s="171"/>
      <c r="K23" s="171"/>
      <c r="L23" s="171"/>
      <c r="M23" s="171"/>
    </row>
    <row r="24" spans="1:13" x14ac:dyDescent="0.15">
      <c r="A24" s="2461" t="s">
        <v>392</v>
      </c>
      <c r="B24" s="2461"/>
      <c r="C24" s="2461"/>
      <c r="D24" s="2461"/>
      <c r="E24" s="2461"/>
      <c r="F24" s="2461"/>
      <c r="G24" s="2461"/>
      <c r="I24" s="171"/>
      <c r="J24" s="171"/>
      <c r="K24" s="171"/>
      <c r="L24" s="171"/>
      <c r="M24" s="171"/>
    </row>
    <row r="25" spans="1:13" x14ac:dyDescent="0.15">
      <c r="A25" s="2462" t="s">
        <v>393</v>
      </c>
      <c r="B25" s="2462"/>
      <c r="C25" s="2462"/>
      <c r="D25" s="2462"/>
      <c r="E25" s="2462"/>
      <c r="F25" s="2462"/>
      <c r="G25" s="2462"/>
      <c r="I25" s="171"/>
      <c r="J25" s="171"/>
      <c r="K25" s="171"/>
      <c r="L25" s="171"/>
      <c r="M25" s="171"/>
    </row>
    <row r="26" spans="1:13" x14ac:dyDescent="0.15">
      <c r="A26" s="2457" t="s">
        <v>394</v>
      </c>
      <c r="B26" s="2457"/>
      <c r="C26" s="2457"/>
      <c r="D26" s="2457"/>
      <c r="E26" s="2457"/>
      <c r="F26" s="2457"/>
      <c r="G26" s="2457"/>
      <c r="I26" s="171"/>
      <c r="J26" s="171"/>
      <c r="K26" s="171"/>
      <c r="L26" s="171"/>
      <c r="M26" s="171"/>
    </row>
    <row r="27" spans="1:13" x14ac:dyDescent="0.15">
      <c r="A27" s="2457" t="s">
        <v>395</v>
      </c>
      <c r="B27" s="2457"/>
      <c r="C27" s="2457"/>
      <c r="D27" s="2457"/>
      <c r="E27" s="2457"/>
      <c r="F27" s="2457"/>
      <c r="G27" s="2457"/>
      <c r="I27" s="171"/>
      <c r="J27" s="171"/>
      <c r="K27" s="171"/>
      <c r="L27" s="171"/>
      <c r="M27" s="171"/>
    </row>
    <row r="28" spans="1:13" x14ac:dyDescent="0.15">
      <c r="A28" s="2457" t="s">
        <v>396</v>
      </c>
      <c r="B28" s="2457"/>
      <c r="C28" s="2457"/>
      <c r="D28" s="2457"/>
      <c r="E28" s="2457"/>
      <c r="F28" s="2457"/>
      <c r="G28" s="2457"/>
      <c r="I28" s="171"/>
      <c r="J28" s="171"/>
      <c r="K28" s="171"/>
      <c r="L28" s="171"/>
      <c r="M28" s="171"/>
    </row>
    <row r="29" spans="1:13" x14ac:dyDescent="0.15">
      <c r="A29" s="2457" t="s">
        <v>397</v>
      </c>
      <c r="B29" s="2457"/>
      <c r="C29" s="2457"/>
      <c r="D29" s="2457"/>
      <c r="E29" s="2457"/>
      <c r="F29" s="2457"/>
      <c r="G29" s="2457"/>
      <c r="I29" s="171"/>
      <c r="J29" s="171"/>
      <c r="K29" s="171"/>
      <c r="L29" s="171"/>
      <c r="M29" s="171"/>
    </row>
    <row r="30" spans="1:13" x14ac:dyDescent="0.15">
      <c r="A30" s="2457" t="s">
        <v>398</v>
      </c>
      <c r="B30" s="2457"/>
      <c r="C30" s="2457"/>
      <c r="D30" s="2457"/>
      <c r="E30" s="2457"/>
      <c r="F30" s="2457"/>
      <c r="G30" s="2457"/>
      <c r="I30" s="171"/>
      <c r="J30" s="171"/>
      <c r="K30" s="171"/>
      <c r="L30" s="171"/>
      <c r="M30" s="171"/>
    </row>
    <row r="31" spans="1:13" x14ac:dyDescent="0.15">
      <c r="A31" s="2457" t="s">
        <v>399</v>
      </c>
      <c r="B31" s="2457"/>
      <c r="C31" s="2457"/>
      <c r="D31" s="2457"/>
      <c r="E31" s="2457"/>
      <c r="F31" s="2457"/>
      <c r="G31" s="2457"/>
      <c r="I31" s="171"/>
      <c r="J31" s="171"/>
      <c r="K31" s="171"/>
      <c r="L31" s="171"/>
      <c r="M31" s="171"/>
    </row>
    <row r="32" spans="1:13" x14ac:dyDescent="0.15">
      <c r="A32" s="2457" t="s">
        <v>400</v>
      </c>
      <c r="B32" s="2457"/>
      <c r="C32" s="2457"/>
      <c r="D32" s="2457"/>
      <c r="E32" s="2457"/>
      <c r="F32" s="2457"/>
      <c r="G32" s="2457"/>
      <c r="I32" s="171"/>
      <c r="J32" s="171"/>
      <c r="K32" s="171"/>
      <c r="L32" s="171"/>
      <c r="M32" s="171"/>
    </row>
    <row r="33" spans="1:13" x14ac:dyDescent="0.15">
      <c r="A33" s="2457" t="s">
        <v>401</v>
      </c>
      <c r="B33" s="2457"/>
      <c r="C33" s="2457"/>
      <c r="D33" s="2457"/>
      <c r="E33" s="2457"/>
      <c r="F33" s="2457"/>
      <c r="G33" s="2457"/>
      <c r="I33" s="171"/>
      <c r="J33" s="171"/>
      <c r="K33" s="171"/>
      <c r="L33" s="171"/>
      <c r="M33" s="171"/>
    </row>
    <row r="34" spans="1:13" x14ac:dyDescent="0.15">
      <c r="A34" s="2462" t="s">
        <v>402</v>
      </c>
      <c r="B34" s="2462"/>
      <c r="C34" s="2462"/>
      <c r="D34" s="2462"/>
      <c r="E34" s="2462"/>
      <c r="F34" s="2462"/>
      <c r="G34" s="2462"/>
      <c r="I34" s="171"/>
      <c r="J34" s="171"/>
      <c r="K34" s="171"/>
      <c r="L34" s="171"/>
      <c r="M34" s="171"/>
    </row>
    <row r="35" spans="1:13" ht="11.25" customHeight="1" x14ac:dyDescent="0.15">
      <c r="A35" s="2414" t="s">
        <v>326</v>
      </c>
      <c r="B35" s="2414"/>
      <c r="C35" s="2414"/>
      <c r="D35" s="2414"/>
      <c r="E35" s="2414"/>
      <c r="F35" s="2414"/>
      <c r="G35" s="2414"/>
    </row>
    <row r="36" spans="1:13" ht="12" customHeight="1" x14ac:dyDescent="0.15">
      <c r="A36" s="2463" t="s">
        <v>403</v>
      </c>
      <c r="B36" s="2463"/>
      <c r="C36" s="2463"/>
      <c r="D36" s="2463"/>
      <c r="E36" s="2463"/>
      <c r="F36" s="2463"/>
      <c r="G36" s="2463"/>
    </row>
    <row r="37" spans="1:13" ht="11.25" customHeight="1" x14ac:dyDescent="0.15">
      <c r="A37" s="2009"/>
      <c r="B37" s="2009"/>
      <c r="C37" s="2009"/>
      <c r="D37" s="2009"/>
      <c r="E37" s="2009"/>
      <c r="F37" s="2009"/>
      <c r="G37" s="2009"/>
    </row>
    <row r="39" spans="1:13" x14ac:dyDescent="0.15">
      <c r="A39" s="172"/>
      <c r="B39" s="171"/>
      <c r="H39" s="171"/>
    </row>
    <row r="40" spans="1:13" x14ac:dyDescent="0.15">
      <c r="A40" s="172"/>
      <c r="B40" s="171"/>
      <c r="H40" s="171"/>
    </row>
    <row r="41" spans="1:13" x14ac:dyDescent="0.15">
      <c r="A41" s="172"/>
      <c r="B41" s="171"/>
      <c r="H41" s="171"/>
    </row>
    <row r="42" spans="1:13" x14ac:dyDescent="0.15">
      <c r="A42" s="172"/>
      <c r="B42" s="171"/>
      <c r="H42" s="171"/>
    </row>
  </sheetData>
  <mergeCells count="19">
    <mergeCell ref="A36:G36"/>
    <mergeCell ref="A30:G30"/>
    <mergeCell ref="A31:G31"/>
    <mergeCell ref="A32:G32"/>
    <mergeCell ref="A33:G33"/>
    <mergeCell ref="A34:G34"/>
    <mergeCell ref="A35:G35"/>
    <mergeCell ref="A29:G29"/>
    <mergeCell ref="A2:G2"/>
    <mergeCell ref="A3:G3"/>
    <mergeCell ref="A4:A6"/>
    <mergeCell ref="B4:B6"/>
    <mergeCell ref="C4:G4"/>
    <mergeCell ref="C5:G5"/>
    <mergeCell ref="A24:G24"/>
    <mergeCell ref="A25:G25"/>
    <mergeCell ref="A26:G26"/>
    <mergeCell ref="A27:G27"/>
    <mergeCell ref="A28:G28"/>
  </mergeCells>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9">
    <pageSetUpPr fitToPage="1"/>
  </sheetPr>
  <dimension ref="A2:D82"/>
  <sheetViews>
    <sheetView zoomScaleNormal="100" workbookViewId="0">
      <selection activeCell="F31" sqref="F31"/>
    </sheetView>
  </sheetViews>
  <sheetFormatPr baseColWidth="10" defaultRowHeight="10.5" x14ac:dyDescent="0.15"/>
  <cols>
    <col min="1" max="1" width="100" style="265" customWidth="1"/>
    <col min="2" max="2" width="15.7109375" style="265" customWidth="1"/>
    <col min="3" max="3" width="13.85546875" style="265" customWidth="1"/>
    <col min="4" max="4" width="15.28515625" style="265" customWidth="1"/>
    <col min="5" max="16384" width="11.42578125" style="265"/>
  </cols>
  <sheetData>
    <row r="2" spans="1:4" ht="22.5" customHeight="1" x14ac:dyDescent="0.15">
      <c r="A2" s="3518" t="s">
        <v>4074</v>
      </c>
      <c r="B2" s="3518"/>
    </row>
    <row r="3" spans="1:4" x14ac:dyDescent="0.15">
      <c r="A3" s="1389"/>
      <c r="B3" s="1389"/>
    </row>
    <row r="4" spans="1:4" s="1906" customFormat="1" ht="22.5" customHeight="1" x14ac:dyDescent="0.25">
      <c r="A4" s="1890" t="s">
        <v>2858</v>
      </c>
      <c r="B4" s="231" t="s">
        <v>4075</v>
      </c>
    </row>
    <row r="5" spans="1:4" x14ac:dyDescent="0.15">
      <c r="A5" s="1389" t="s">
        <v>141</v>
      </c>
      <c r="B5" s="236">
        <f>+B6+B10+B21+B35+B57</f>
        <v>236735772.84</v>
      </c>
      <c r="C5" s="236"/>
      <c r="D5" s="268"/>
    </row>
    <row r="6" spans="1:4" x14ac:dyDescent="0.15">
      <c r="A6" s="1389" t="s">
        <v>3535</v>
      </c>
      <c r="B6" s="236">
        <f>SUM(B7)</f>
        <v>13000</v>
      </c>
      <c r="D6" s="1907"/>
    </row>
    <row r="7" spans="1:4" x14ac:dyDescent="0.15">
      <c r="A7" s="1908" t="s">
        <v>2540</v>
      </c>
      <c r="B7" s="236">
        <f>SUM(B8:B9)</f>
        <v>13000</v>
      </c>
      <c r="D7" s="1893"/>
    </row>
    <row r="8" spans="1:4" x14ac:dyDescent="0.15">
      <c r="A8" s="1909" t="s">
        <v>4076</v>
      </c>
      <c r="B8" s="217">
        <v>0</v>
      </c>
      <c r="D8" s="17"/>
    </row>
    <row r="9" spans="1:4" x14ac:dyDescent="0.15">
      <c r="A9" s="1909" t="s">
        <v>4077</v>
      </c>
      <c r="B9" s="217">
        <v>13000</v>
      </c>
      <c r="D9" s="200"/>
    </row>
    <row r="10" spans="1:4" x14ac:dyDescent="0.15">
      <c r="A10" s="1389" t="s">
        <v>4078</v>
      </c>
      <c r="B10" s="236">
        <f>+B11+B16+B18</f>
        <v>7209696.9900000002</v>
      </c>
      <c r="D10" s="17"/>
    </row>
    <row r="11" spans="1:4" x14ac:dyDescent="0.15">
      <c r="A11" s="1908" t="s">
        <v>4045</v>
      </c>
      <c r="B11" s="236">
        <f>SUM(B12:B15)</f>
        <v>6929397.2300000004</v>
      </c>
      <c r="C11" s="217"/>
      <c r="D11" s="17"/>
    </row>
    <row r="12" spans="1:4" x14ac:dyDescent="0.15">
      <c r="A12" s="1909" t="s">
        <v>4079</v>
      </c>
      <c r="B12" s="217">
        <v>331245</v>
      </c>
      <c r="D12" s="237"/>
    </row>
    <row r="13" spans="1:4" x14ac:dyDescent="0.15">
      <c r="A13" s="1909" t="s">
        <v>4080</v>
      </c>
      <c r="B13" s="217">
        <v>0</v>
      </c>
      <c r="D13" s="200"/>
    </row>
    <row r="14" spans="1:4" x14ac:dyDescent="0.15">
      <c r="A14" s="1909" t="s">
        <v>4081</v>
      </c>
      <c r="B14" s="217">
        <v>5276627.58</v>
      </c>
      <c r="D14" s="17"/>
    </row>
    <row r="15" spans="1:4" x14ac:dyDescent="0.15">
      <c r="A15" s="1909" t="s">
        <v>4082</v>
      </c>
      <c r="B15" s="217">
        <v>1321524.6499999999</v>
      </c>
      <c r="D15" s="17"/>
    </row>
    <row r="16" spans="1:4" x14ac:dyDescent="0.15">
      <c r="A16" s="1908" t="s">
        <v>4046</v>
      </c>
      <c r="B16" s="236">
        <f>SUM(B17)</f>
        <v>277871</v>
      </c>
      <c r="D16" s="17"/>
    </row>
    <row r="17" spans="1:4" x14ac:dyDescent="0.15">
      <c r="A17" s="1909" t="s">
        <v>4083</v>
      </c>
      <c r="B17" s="217">
        <v>277871</v>
      </c>
      <c r="D17" s="17"/>
    </row>
    <row r="18" spans="1:4" x14ac:dyDescent="0.15">
      <c r="A18" s="1908" t="s">
        <v>4047</v>
      </c>
      <c r="B18" s="236">
        <f>SUM(B19:B20)</f>
        <v>2428.7600000000002</v>
      </c>
      <c r="D18" s="200"/>
    </row>
    <row r="19" spans="1:4" x14ac:dyDescent="0.15">
      <c r="A19" s="1909" t="s">
        <v>4084</v>
      </c>
      <c r="B19" s="217">
        <v>2428.7600000000002</v>
      </c>
      <c r="D19" s="17"/>
    </row>
    <row r="20" spans="1:4" x14ac:dyDescent="0.15">
      <c r="A20" s="1909" t="s">
        <v>4085</v>
      </c>
      <c r="B20" s="217">
        <v>0</v>
      </c>
      <c r="D20" s="17"/>
    </row>
    <row r="21" spans="1:4" x14ac:dyDescent="0.15">
      <c r="A21" s="1389" t="s">
        <v>3540</v>
      </c>
      <c r="B21" s="236">
        <f>+B22+B24+B29+B27</f>
        <v>10911405.169999998</v>
      </c>
      <c r="C21" s="236"/>
      <c r="D21" s="17"/>
    </row>
    <row r="22" spans="1:4" x14ac:dyDescent="0.15">
      <c r="A22" s="1908" t="s">
        <v>4048</v>
      </c>
      <c r="B22" s="236">
        <f>SUM(B23)</f>
        <v>0</v>
      </c>
      <c r="D22" s="17"/>
    </row>
    <row r="23" spans="1:4" x14ac:dyDescent="0.15">
      <c r="A23" s="1909" t="s">
        <v>4086</v>
      </c>
      <c r="B23" s="217">
        <v>0</v>
      </c>
      <c r="D23" s="200"/>
    </row>
    <row r="24" spans="1:4" x14ac:dyDescent="0.15">
      <c r="A24" s="1908" t="s">
        <v>1671</v>
      </c>
      <c r="B24" s="236">
        <f>SUM(B25:B26)</f>
        <v>6242661.2899999991</v>
      </c>
      <c r="D24" s="17"/>
    </row>
    <row r="25" spans="1:4" ht="21" x14ac:dyDescent="0.15">
      <c r="A25" s="1909" t="s">
        <v>4087</v>
      </c>
      <c r="B25" s="217">
        <v>2417747.38</v>
      </c>
      <c r="D25" s="17"/>
    </row>
    <row r="26" spans="1:4" x14ac:dyDescent="0.15">
      <c r="A26" s="1909" t="s">
        <v>4088</v>
      </c>
      <c r="B26" s="217">
        <v>3824913.9099999997</v>
      </c>
    </row>
    <row r="27" spans="1:4" s="268" customFormat="1" x14ac:dyDescent="0.15">
      <c r="A27" s="1908" t="s">
        <v>1644</v>
      </c>
      <c r="B27" s="236">
        <f>SUM(B28)</f>
        <v>0</v>
      </c>
    </row>
    <row r="28" spans="1:4" x14ac:dyDescent="0.15">
      <c r="A28" s="1909" t="s">
        <v>4089</v>
      </c>
      <c r="B28" s="217">
        <v>0</v>
      </c>
    </row>
    <row r="29" spans="1:4" x14ac:dyDescent="0.15">
      <c r="A29" s="1908" t="s">
        <v>1645</v>
      </c>
      <c r="B29" s="236">
        <f>SUM(B30:B34)</f>
        <v>4668743.88</v>
      </c>
    </row>
    <row r="30" spans="1:4" x14ac:dyDescent="0.15">
      <c r="A30" s="1909" t="s">
        <v>4090</v>
      </c>
      <c r="B30" s="217">
        <v>0</v>
      </c>
    </row>
    <row r="31" spans="1:4" x14ac:dyDescent="0.15">
      <c r="A31" s="1909" t="s">
        <v>4091</v>
      </c>
      <c r="B31" s="217">
        <v>630762.46</v>
      </c>
    </row>
    <row r="32" spans="1:4" x14ac:dyDescent="0.15">
      <c r="A32" s="1909" t="s">
        <v>4092</v>
      </c>
      <c r="B32" s="217">
        <v>1364865.86</v>
      </c>
    </row>
    <row r="33" spans="1:2" x14ac:dyDescent="0.15">
      <c r="A33" s="1909" t="s">
        <v>4093</v>
      </c>
      <c r="B33" s="217">
        <v>2673115.56</v>
      </c>
    </row>
    <row r="34" spans="1:2" x14ac:dyDescent="0.15">
      <c r="A34" s="1909" t="s">
        <v>4094</v>
      </c>
      <c r="B34" s="217">
        <v>0</v>
      </c>
    </row>
    <row r="35" spans="1:2" x14ac:dyDescent="0.15">
      <c r="A35" s="1389" t="s">
        <v>3542</v>
      </c>
      <c r="B35" s="236">
        <f>+B36+B44+B49+B55</f>
        <v>25758427.710000001</v>
      </c>
    </row>
    <row r="36" spans="1:2" x14ac:dyDescent="0.15">
      <c r="A36" s="1908" t="s">
        <v>2866</v>
      </c>
      <c r="B36" s="236">
        <f>SUM(B37:B43)</f>
        <v>819622.10000000009</v>
      </c>
    </row>
    <row r="37" spans="1:2" x14ac:dyDescent="0.15">
      <c r="A37" s="1909" t="s">
        <v>4095</v>
      </c>
      <c r="B37" s="217">
        <v>0</v>
      </c>
    </row>
    <row r="38" spans="1:2" x14ac:dyDescent="0.15">
      <c r="A38" s="1909" t="s">
        <v>4096</v>
      </c>
      <c r="B38" s="217">
        <v>0</v>
      </c>
    </row>
    <row r="39" spans="1:2" x14ac:dyDescent="0.15">
      <c r="A39" s="1909" t="s">
        <v>4097</v>
      </c>
      <c r="B39" s="217">
        <v>108262.02</v>
      </c>
    </row>
    <row r="40" spans="1:2" x14ac:dyDescent="0.15">
      <c r="A40" s="1909" t="s">
        <v>4098</v>
      </c>
      <c r="B40" s="217">
        <v>0</v>
      </c>
    </row>
    <row r="41" spans="1:2" x14ac:dyDescent="0.15">
      <c r="A41" s="1909" t="s">
        <v>4099</v>
      </c>
      <c r="B41" s="217">
        <v>246860.15</v>
      </c>
    </row>
    <row r="42" spans="1:2" x14ac:dyDescent="0.15">
      <c r="A42" s="1909" t="s">
        <v>4100</v>
      </c>
      <c r="B42" s="217">
        <v>400930.93000000005</v>
      </c>
    </row>
    <row r="43" spans="1:2" x14ac:dyDescent="0.15">
      <c r="A43" s="1909" t="s">
        <v>4101</v>
      </c>
      <c r="B43" s="217">
        <v>63569</v>
      </c>
    </row>
    <row r="44" spans="1:2" x14ac:dyDescent="0.15">
      <c r="A44" s="1908" t="s">
        <v>2867</v>
      </c>
      <c r="B44" s="236">
        <f>SUM(B45:B48)</f>
        <v>1818277.4</v>
      </c>
    </row>
    <row r="45" spans="1:2" x14ac:dyDescent="0.15">
      <c r="A45" s="1909" t="s">
        <v>4102</v>
      </c>
      <c r="B45" s="217">
        <v>172900</v>
      </c>
    </row>
    <row r="46" spans="1:2" x14ac:dyDescent="0.15">
      <c r="A46" s="1909" t="s">
        <v>4103</v>
      </c>
      <c r="B46" s="217">
        <v>0</v>
      </c>
    </row>
    <row r="47" spans="1:2" x14ac:dyDescent="0.15">
      <c r="A47" s="1909" t="s">
        <v>4104</v>
      </c>
      <c r="B47" s="217">
        <v>1512689.72</v>
      </c>
    </row>
    <row r="48" spans="1:2" x14ac:dyDescent="0.15">
      <c r="A48" s="1909" t="s">
        <v>4105</v>
      </c>
      <c r="B48" s="217">
        <v>132687.67999999999</v>
      </c>
    </row>
    <row r="49" spans="1:3" x14ac:dyDescent="0.15">
      <c r="A49" s="1908" t="s">
        <v>2543</v>
      </c>
      <c r="B49" s="236">
        <f>SUM(B50:B54)</f>
        <v>22744277.760000002</v>
      </c>
      <c r="C49" s="236"/>
    </row>
    <row r="50" spans="1:3" x14ac:dyDescent="0.15">
      <c r="A50" s="1909" t="s">
        <v>4106</v>
      </c>
      <c r="B50" s="217">
        <v>109509.98000000001</v>
      </c>
    </row>
    <row r="51" spans="1:3" x14ac:dyDescent="0.15">
      <c r="A51" s="1909" t="s">
        <v>4107</v>
      </c>
      <c r="B51" s="217">
        <v>5825148.7400000002</v>
      </c>
    </row>
    <row r="52" spans="1:3" x14ac:dyDescent="0.15">
      <c r="A52" s="1909" t="s">
        <v>4108</v>
      </c>
      <c r="B52" s="217">
        <v>185000</v>
      </c>
    </row>
    <row r="53" spans="1:3" x14ac:dyDescent="0.15">
      <c r="A53" s="1909" t="s">
        <v>4109</v>
      </c>
      <c r="B53" s="217">
        <v>16516952.52</v>
      </c>
    </row>
    <row r="54" spans="1:3" x14ac:dyDescent="0.15">
      <c r="A54" s="1909" t="s">
        <v>4110</v>
      </c>
      <c r="B54" s="217">
        <v>107666.51999999999</v>
      </c>
    </row>
    <row r="55" spans="1:3" x14ac:dyDescent="0.15">
      <c r="A55" s="1908" t="s">
        <v>4049</v>
      </c>
      <c r="B55" s="236">
        <f>SUM(B56)</f>
        <v>376250.45</v>
      </c>
    </row>
    <row r="56" spans="1:3" x14ac:dyDescent="0.15">
      <c r="A56" s="1909" t="s">
        <v>4111</v>
      </c>
      <c r="B56" s="217">
        <v>376250.45</v>
      </c>
    </row>
    <row r="57" spans="1:3" x14ac:dyDescent="0.15">
      <c r="A57" s="1389" t="s">
        <v>3543</v>
      </c>
      <c r="B57" s="236">
        <f>+B58+B60</f>
        <v>192843242.97</v>
      </c>
    </row>
    <row r="58" spans="1:3" x14ac:dyDescent="0.15">
      <c r="A58" s="1908" t="s">
        <v>4050</v>
      </c>
      <c r="B58" s="236">
        <f>SUM(B59)</f>
        <v>4240818</v>
      </c>
    </row>
    <row r="59" spans="1:3" x14ac:dyDescent="0.15">
      <c r="A59" s="1909" t="s">
        <v>4112</v>
      </c>
      <c r="B59" s="217">
        <v>4240818</v>
      </c>
    </row>
    <row r="60" spans="1:3" x14ac:dyDescent="0.15">
      <c r="A60" s="1908" t="s">
        <v>2898</v>
      </c>
      <c r="B60" s="236">
        <f>SUM(B61:B78)</f>
        <v>188602424.97</v>
      </c>
      <c r="C60" s="236"/>
    </row>
    <row r="61" spans="1:3" x14ac:dyDescent="0.15">
      <c r="A61" s="1909" t="s">
        <v>4113</v>
      </c>
      <c r="B61" s="217">
        <v>2880302.5</v>
      </c>
    </row>
    <row r="62" spans="1:3" x14ac:dyDescent="0.15">
      <c r="A62" s="1909" t="s">
        <v>4114</v>
      </c>
      <c r="B62" s="217">
        <v>1527639.47</v>
      </c>
    </row>
    <row r="63" spans="1:3" x14ac:dyDescent="0.15">
      <c r="A63" s="1909" t="s">
        <v>4115</v>
      </c>
      <c r="B63" s="217">
        <v>32485289.470000003</v>
      </c>
    </row>
    <row r="64" spans="1:3" x14ac:dyDescent="0.15">
      <c r="A64" s="1909" t="s">
        <v>4116</v>
      </c>
      <c r="B64" s="217">
        <v>15975740.920000002</v>
      </c>
    </row>
    <row r="65" spans="1:3" x14ac:dyDescent="0.15">
      <c r="A65" s="1909" t="s">
        <v>4117</v>
      </c>
      <c r="B65" s="217">
        <v>3332215.88</v>
      </c>
    </row>
    <row r="66" spans="1:3" x14ac:dyDescent="0.15">
      <c r="A66" s="1909" t="s">
        <v>4118</v>
      </c>
      <c r="B66" s="217">
        <v>937</v>
      </c>
    </row>
    <row r="67" spans="1:3" x14ac:dyDescent="0.15">
      <c r="A67" s="1909" t="s">
        <v>4119</v>
      </c>
      <c r="B67" s="217">
        <v>1646057.78</v>
      </c>
    </row>
    <row r="68" spans="1:3" x14ac:dyDescent="0.15">
      <c r="A68" s="1909" t="s">
        <v>4120</v>
      </c>
      <c r="B68" s="217">
        <v>32964915.609999999</v>
      </c>
    </row>
    <row r="69" spans="1:3" x14ac:dyDescent="0.15">
      <c r="A69" s="1909" t="s">
        <v>4121</v>
      </c>
      <c r="B69" s="217">
        <v>115983.67</v>
      </c>
    </row>
    <row r="70" spans="1:3" ht="21" x14ac:dyDescent="0.15">
      <c r="A70" s="1909" t="s">
        <v>4122</v>
      </c>
      <c r="B70" s="217">
        <v>17380297.360000003</v>
      </c>
    </row>
    <row r="71" spans="1:3" x14ac:dyDescent="0.15">
      <c r="A71" s="1909" t="s">
        <v>4123</v>
      </c>
      <c r="B71" s="217">
        <v>15912526.43</v>
      </c>
    </row>
    <row r="72" spans="1:3" x14ac:dyDescent="0.15">
      <c r="A72" s="1909" t="s">
        <v>4124</v>
      </c>
      <c r="B72" s="217">
        <v>14269717.99</v>
      </c>
    </row>
    <row r="73" spans="1:3" x14ac:dyDescent="0.15">
      <c r="A73" s="1909" t="s">
        <v>4125</v>
      </c>
      <c r="B73" s="217">
        <v>0</v>
      </c>
    </row>
    <row r="74" spans="1:3" x14ac:dyDescent="0.15">
      <c r="A74" s="1909" t="s">
        <v>4126</v>
      </c>
      <c r="B74" s="217">
        <v>0</v>
      </c>
    </row>
    <row r="75" spans="1:3" x14ac:dyDescent="0.15">
      <c r="A75" s="1909" t="s">
        <v>4127</v>
      </c>
      <c r="B75" s="217">
        <v>6883427.9300000006</v>
      </c>
    </row>
    <row r="76" spans="1:3" ht="21" x14ac:dyDescent="0.15">
      <c r="A76" s="1909" t="s">
        <v>4128</v>
      </c>
      <c r="B76" s="217">
        <v>0</v>
      </c>
    </row>
    <row r="77" spans="1:3" x14ac:dyDescent="0.15">
      <c r="A77" s="1909" t="s">
        <v>4129</v>
      </c>
      <c r="B77" s="217">
        <v>43141793.489999995</v>
      </c>
    </row>
    <row r="78" spans="1:3" x14ac:dyDescent="0.15">
      <c r="A78" s="1909" t="s">
        <v>4130</v>
      </c>
      <c r="B78" s="217">
        <v>85579.47</v>
      </c>
    </row>
    <row r="80" spans="1:3" ht="22.5" customHeight="1" x14ac:dyDescent="0.15">
      <c r="A80" s="3490" t="s">
        <v>3986</v>
      </c>
      <c r="B80" s="3490"/>
      <c r="C80" s="1910"/>
    </row>
    <row r="81" spans="1:3" ht="11.25" customHeight="1" x14ac:dyDescent="0.15">
      <c r="A81" s="3505" t="s">
        <v>20</v>
      </c>
      <c r="B81" s="3505"/>
      <c r="C81" s="1892"/>
    </row>
    <row r="82" spans="1:3" ht="22.5" customHeight="1" x14ac:dyDescent="0.15">
      <c r="A82" s="3512" t="s">
        <v>3991</v>
      </c>
      <c r="B82" s="3512"/>
      <c r="C82" s="1770"/>
    </row>
  </sheetData>
  <mergeCells count="4">
    <mergeCell ref="A2:B2"/>
    <mergeCell ref="A80:B80"/>
    <mergeCell ref="A81:B81"/>
    <mergeCell ref="A82:B82"/>
  </mergeCells>
  <pageMargins left="0.70866141732283472" right="0.70866141732283472" top="0.74803149606299213" bottom="0.74803149606299213" header="0.31496062992125984" footer="0.31496062992125984"/>
  <pageSetup paperSize="9" scale="81"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0">
    <pageSetUpPr fitToPage="1"/>
  </sheetPr>
  <dimension ref="A2:N30"/>
  <sheetViews>
    <sheetView workbookViewId="0">
      <selection activeCell="A2" sqref="A2"/>
    </sheetView>
  </sheetViews>
  <sheetFormatPr baseColWidth="10" defaultRowHeight="10.5" x14ac:dyDescent="0.15"/>
  <cols>
    <col min="1" max="1" width="39.85546875" style="265" customWidth="1"/>
    <col min="2" max="2" width="17.140625" style="1898" bestFit="1" customWidth="1"/>
    <col min="3" max="4" width="14.7109375" style="1898" bestFit="1" customWidth="1"/>
    <col min="5" max="6" width="15.85546875" style="1898" bestFit="1" customWidth="1"/>
    <col min="7" max="7" width="15.5703125" style="1898" customWidth="1"/>
    <col min="8" max="8" width="18" style="1898" bestFit="1" customWidth="1"/>
    <col min="9" max="9" width="14.7109375" style="1898" bestFit="1" customWidth="1"/>
    <col min="10" max="10" width="16.85546875" style="1898" bestFit="1" customWidth="1"/>
    <col min="11" max="11" width="13" style="1898" bestFit="1" customWidth="1"/>
    <col min="12" max="14" width="14.28515625" style="1898" customWidth="1"/>
    <col min="15" max="15" width="17.140625" style="265" bestFit="1" customWidth="1"/>
    <col min="16" max="16384" width="11.42578125" style="265"/>
  </cols>
  <sheetData>
    <row r="2" spans="1:14" s="268" customFormat="1" ht="11.25" x14ac:dyDescent="0.15">
      <c r="A2" s="2020" t="s">
        <v>4217</v>
      </c>
      <c r="B2" s="1911"/>
      <c r="C2" s="1911"/>
      <c r="D2" s="1911"/>
      <c r="E2" s="1911"/>
      <c r="F2" s="1911"/>
      <c r="G2" s="1911"/>
      <c r="H2" s="1911"/>
      <c r="I2" s="1911"/>
      <c r="J2" s="1911"/>
      <c r="K2" s="1911"/>
      <c r="L2" s="1911"/>
      <c r="M2" s="1911"/>
      <c r="N2" s="1911"/>
    </row>
    <row r="3" spans="1:14" s="268" customFormat="1" x14ac:dyDescent="0.15">
      <c r="B3" s="1911"/>
      <c r="C3" s="1911"/>
      <c r="D3" s="1911"/>
      <c r="E3" s="1911"/>
      <c r="F3" s="1911"/>
      <c r="G3" s="1911"/>
      <c r="H3" s="1911"/>
      <c r="I3" s="1911"/>
      <c r="J3" s="1911"/>
      <c r="K3" s="1911"/>
      <c r="L3" s="1911"/>
      <c r="M3" s="1911"/>
      <c r="N3" s="1911"/>
    </row>
    <row r="4" spans="1:14" s="268" customFormat="1" ht="11.25" x14ac:dyDescent="0.15">
      <c r="A4" s="2521" t="s">
        <v>2858</v>
      </c>
      <c r="B4" s="2512" t="s">
        <v>141</v>
      </c>
      <c r="C4" s="2512" t="s">
        <v>4131</v>
      </c>
      <c r="D4" s="2512"/>
      <c r="E4" s="2512"/>
      <c r="F4" s="2512"/>
      <c r="G4" s="2512"/>
      <c r="H4" s="2512"/>
      <c r="I4" s="2512"/>
      <c r="J4" s="2512"/>
      <c r="K4" s="2512"/>
      <c r="L4" s="2512"/>
      <c r="M4" s="2512"/>
      <c r="N4" s="2512"/>
    </row>
    <row r="5" spans="1:14" ht="15" customHeight="1" x14ac:dyDescent="0.15">
      <c r="A5" s="2521"/>
      <c r="B5" s="2512"/>
      <c r="C5" s="240" t="s">
        <v>3925</v>
      </c>
      <c r="D5" s="240" t="s">
        <v>3926</v>
      </c>
      <c r="E5" s="240" t="s">
        <v>3927</v>
      </c>
      <c r="F5" s="240" t="s">
        <v>3115</v>
      </c>
      <c r="G5" s="240" t="s">
        <v>4132</v>
      </c>
      <c r="H5" s="240" t="s">
        <v>3929</v>
      </c>
      <c r="I5" s="240" t="s">
        <v>3123</v>
      </c>
      <c r="J5" s="240" t="s">
        <v>3930</v>
      </c>
      <c r="K5" s="240" t="s">
        <v>3932</v>
      </c>
      <c r="L5" s="240" t="s">
        <v>3931</v>
      </c>
      <c r="M5" s="240" t="s">
        <v>117</v>
      </c>
      <c r="N5" s="240" t="s">
        <v>116</v>
      </c>
    </row>
    <row r="6" spans="1:14" x14ac:dyDescent="0.15">
      <c r="A6" s="1389" t="s">
        <v>141</v>
      </c>
      <c r="B6" s="1912">
        <f>+B7+B9+B13+B18+B23</f>
        <v>236735772.83999997</v>
      </c>
      <c r="C6" s="1912">
        <f t="shared" ref="C6:N6" si="0">+C7+C9+C13+C18+C23</f>
        <v>7424514.3100000005</v>
      </c>
      <c r="D6" s="1912">
        <f t="shared" si="0"/>
        <v>7320163.3600000003</v>
      </c>
      <c r="E6" s="1912">
        <f t="shared" si="0"/>
        <v>30868952.989999998</v>
      </c>
      <c r="F6" s="1912">
        <f t="shared" si="0"/>
        <v>20419918.309999995</v>
      </c>
      <c r="G6" s="1912">
        <f t="shared" si="0"/>
        <v>112910132.25999999</v>
      </c>
      <c r="H6" s="1912">
        <f t="shared" si="0"/>
        <v>43003886.919999987</v>
      </c>
      <c r="I6" s="1912">
        <f t="shared" si="0"/>
        <v>3831929.82</v>
      </c>
      <c r="J6" s="1912">
        <f t="shared" si="0"/>
        <v>9586148.0800000019</v>
      </c>
      <c r="K6" s="1912">
        <f t="shared" si="0"/>
        <v>111551</v>
      </c>
      <c r="L6" s="1912">
        <f t="shared" si="0"/>
        <v>1221029.79</v>
      </c>
      <c r="M6" s="1912">
        <f t="shared" si="0"/>
        <v>37546</v>
      </c>
      <c r="N6" s="1912">
        <f t="shared" si="0"/>
        <v>0</v>
      </c>
    </row>
    <row r="7" spans="1:14" x14ac:dyDescent="0.15">
      <c r="A7" s="1389" t="s">
        <v>3535</v>
      </c>
      <c r="B7" s="1912">
        <f>SUM(B8)</f>
        <v>13000</v>
      </c>
      <c r="C7" s="1912">
        <f>SUM(C8)</f>
        <v>0</v>
      </c>
      <c r="D7" s="1912">
        <f t="shared" ref="D7:N7" si="1">SUM(D8)</f>
        <v>6000</v>
      </c>
      <c r="E7" s="1912">
        <f t="shared" si="1"/>
        <v>7000</v>
      </c>
      <c r="F7" s="1912">
        <f t="shared" si="1"/>
        <v>0</v>
      </c>
      <c r="G7" s="1912">
        <f t="shared" si="1"/>
        <v>0</v>
      </c>
      <c r="H7" s="1912">
        <f t="shared" si="1"/>
        <v>0</v>
      </c>
      <c r="I7" s="1912">
        <f t="shared" si="1"/>
        <v>0</v>
      </c>
      <c r="J7" s="1912">
        <f t="shared" si="1"/>
        <v>0</v>
      </c>
      <c r="K7" s="1912">
        <f t="shared" si="1"/>
        <v>0</v>
      </c>
      <c r="L7" s="1912">
        <f t="shared" si="1"/>
        <v>0</v>
      </c>
      <c r="M7" s="1912">
        <f t="shared" si="1"/>
        <v>0</v>
      </c>
      <c r="N7" s="1912">
        <f t="shared" si="1"/>
        <v>0</v>
      </c>
    </row>
    <row r="8" spans="1:14" x14ac:dyDescent="0.15">
      <c r="A8" s="1662" t="s">
        <v>2540</v>
      </c>
      <c r="B8" s="219">
        <f>+SUM(C8:N8)</f>
        <v>13000</v>
      </c>
      <c r="C8" s="219">
        <v>0</v>
      </c>
      <c r="D8" s="219">
        <v>6000</v>
      </c>
      <c r="E8" s="219">
        <v>7000</v>
      </c>
      <c r="F8" s="219">
        <v>0</v>
      </c>
      <c r="G8" s="219">
        <v>0</v>
      </c>
      <c r="H8" s="219">
        <v>0</v>
      </c>
      <c r="I8" s="219">
        <v>0</v>
      </c>
      <c r="J8" s="219">
        <v>0</v>
      </c>
      <c r="K8" s="219">
        <v>0</v>
      </c>
      <c r="L8" s="219">
        <v>0</v>
      </c>
      <c r="M8" s="219">
        <v>0</v>
      </c>
      <c r="N8" s="219">
        <v>0</v>
      </c>
    </row>
    <row r="9" spans="1:14" ht="11.25" customHeight="1" x14ac:dyDescent="0.15">
      <c r="A9" s="1389" t="s">
        <v>4078</v>
      </c>
      <c r="B9" s="1912">
        <f>SUM(B10:B12)</f>
        <v>7209696.9899999993</v>
      </c>
      <c r="C9" s="1912">
        <f>SUM(C10:C12)</f>
        <v>621483</v>
      </c>
      <c r="D9" s="1912">
        <f t="shared" ref="D9:N9" si="2">SUM(D10:D12)</f>
        <v>323377.76</v>
      </c>
      <c r="E9" s="1912">
        <f t="shared" si="2"/>
        <v>0</v>
      </c>
      <c r="F9" s="1912">
        <f t="shared" si="2"/>
        <v>0</v>
      </c>
      <c r="G9" s="1912">
        <f t="shared" si="2"/>
        <v>5737064.6099999994</v>
      </c>
      <c r="H9" s="1912">
        <f t="shared" si="2"/>
        <v>201855</v>
      </c>
      <c r="I9" s="1912">
        <f t="shared" si="2"/>
        <v>0</v>
      </c>
      <c r="J9" s="1912">
        <f t="shared" si="2"/>
        <v>325916.62</v>
      </c>
      <c r="K9" s="1912">
        <f t="shared" si="2"/>
        <v>0</v>
      </c>
      <c r="L9" s="1912">
        <f t="shared" si="2"/>
        <v>0</v>
      </c>
      <c r="M9" s="1912">
        <f t="shared" si="2"/>
        <v>0</v>
      </c>
      <c r="N9" s="1912">
        <f t="shared" si="2"/>
        <v>0</v>
      </c>
    </row>
    <row r="10" spans="1:14" x14ac:dyDescent="0.15">
      <c r="A10" s="1662" t="s">
        <v>4045</v>
      </c>
      <c r="B10" s="219">
        <f>+SUM(C10:N10)</f>
        <v>6929397.2299999995</v>
      </c>
      <c r="C10" s="219">
        <v>621483</v>
      </c>
      <c r="D10" s="219">
        <v>320949</v>
      </c>
      <c r="E10" s="219">
        <v>0</v>
      </c>
      <c r="F10" s="219">
        <v>0</v>
      </c>
      <c r="G10" s="219">
        <v>5630847.6099999994</v>
      </c>
      <c r="H10" s="219">
        <v>30201</v>
      </c>
      <c r="I10" s="219">
        <v>0</v>
      </c>
      <c r="J10" s="219">
        <v>325916.62</v>
      </c>
      <c r="K10" s="219">
        <v>0</v>
      </c>
      <c r="L10" s="219">
        <v>0</v>
      </c>
      <c r="M10" s="219">
        <v>0</v>
      </c>
      <c r="N10" s="219">
        <v>0</v>
      </c>
    </row>
    <row r="11" spans="1:14" x14ac:dyDescent="0.15">
      <c r="A11" s="1662" t="s">
        <v>4046</v>
      </c>
      <c r="B11" s="219">
        <f>+SUM(C11:N11)</f>
        <v>277871</v>
      </c>
      <c r="C11" s="219">
        <v>0</v>
      </c>
      <c r="D11" s="219">
        <v>0</v>
      </c>
      <c r="E11" s="219">
        <v>0</v>
      </c>
      <c r="F11" s="219">
        <v>0</v>
      </c>
      <c r="G11" s="219">
        <v>106217</v>
      </c>
      <c r="H11" s="219">
        <v>171654</v>
      </c>
      <c r="I11" s="219">
        <v>0</v>
      </c>
      <c r="J11" s="219">
        <v>0</v>
      </c>
      <c r="K11" s="219">
        <v>0</v>
      </c>
      <c r="L11" s="219">
        <v>0</v>
      </c>
      <c r="M11" s="219">
        <v>0</v>
      </c>
      <c r="N11" s="219">
        <v>0</v>
      </c>
    </row>
    <row r="12" spans="1:14" x14ac:dyDescent="0.15">
      <c r="A12" s="1662" t="s">
        <v>4047</v>
      </c>
      <c r="B12" s="217">
        <f>+SUM(C12:N12)</f>
        <v>2428.7600000000002</v>
      </c>
      <c r="C12" s="219">
        <v>0</v>
      </c>
      <c r="D12" s="219">
        <v>2428.7600000000002</v>
      </c>
      <c r="E12" s="219">
        <v>0</v>
      </c>
      <c r="F12" s="219">
        <v>0</v>
      </c>
      <c r="G12" s="219">
        <v>0</v>
      </c>
      <c r="H12" s="219">
        <v>0</v>
      </c>
      <c r="I12" s="219">
        <v>0</v>
      </c>
      <c r="J12" s="219">
        <v>0</v>
      </c>
      <c r="K12" s="219">
        <v>0</v>
      </c>
      <c r="L12" s="219">
        <v>0</v>
      </c>
      <c r="M12" s="219">
        <v>0</v>
      </c>
      <c r="N12" s="219">
        <v>0</v>
      </c>
    </row>
    <row r="13" spans="1:14" x14ac:dyDescent="0.15">
      <c r="A13" s="1389" t="s">
        <v>3540</v>
      </c>
      <c r="B13" s="1912">
        <f>SUM(B14:B17)</f>
        <v>10911405.169999998</v>
      </c>
      <c r="C13" s="1912">
        <f>SUM(C14:C17)</f>
        <v>417618.83999999997</v>
      </c>
      <c r="D13" s="1912">
        <f t="shared" ref="D13:N13" si="3">SUM(D14:D17)</f>
        <v>852494.4</v>
      </c>
      <c r="E13" s="1912">
        <f t="shared" si="3"/>
        <v>90814</v>
      </c>
      <c r="F13" s="1912">
        <f t="shared" si="3"/>
        <v>14291</v>
      </c>
      <c r="G13" s="1912">
        <f t="shared" si="3"/>
        <v>5268259.1400000006</v>
      </c>
      <c r="H13" s="1912">
        <f t="shared" si="3"/>
        <v>1980540.6</v>
      </c>
      <c r="I13" s="1912">
        <f t="shared" si="3"/>
        <v>14167.02</v>
      </c>
      <c r="J13" s="1912">
        <f t="shared" si="3"/>
        <v>2073220.17</v>
      </c>
      <c r="K13" s="1912">
        <f t="shared" si="3"/>
        <v>0</v>
      </c>
      <c r="L13" s="1912">
        <f t="shared" si="3"/>
        <v>200000</v>
      </c>
      <c r="M13" s="1912">
        <f t="shared" si="3"/>
        <v>0</v>
      </c>
      <c r="N13" s="1912">
        <f t="shared" si="3"/>
        <v>0</v>
      </c>
    </row>
    <row r="14" spans="1:14" x14ac:dyDescent="0.15">
      <c r="A14" s="1662" t="s">
        <v>4048</v>
      </c>
      <c r="B14" s="219">
        <f>+SUM(C14:N14)</f>
        <v>0</v>
      </c>
      <c r="C14" s="219">
        <v>0</v>
      </c>
      <c r="D14" s="219">
        <v>0</v>
      </c>
      <c r="E14" s="219">
        <v>0</v>
      </c>
      <c r="F14" s="219">
        <v>0</v>
      </c>
      <c r="G14" s="219">
        <v>0</v>
      </c>
      <c r="H14" s="219">
        <v>0</v>
      </c>
      <c r="I14" s="219">
        <v>0</v>
      </c>
      <c r="J14" s="219">
        <v>0</v>
      </c>
      <c r="K14" s="219">
        <v>0</v>
      </c>
      <c r="L14" s="219">
        <v>0</v>
      </c>
      <c r="M14" s="219">
        <v>0</v>
      </c>
      <c r="N14" s="219">
        <v>0</v>
      </c>
    </row>
    <row r="15" spans="1:14" x14ac:dyDescent="0.15">
      <c r="A15" s="1662" t="s">
        <v>1671</v>
      </c>
      <c r="B15" s="219">
        <f>+SUM(C15:N15)</f>
        <v>6242661.2899999991</v>
      </c>
      <c r="C15" s="219">
        <v>6250</v>
      </c>
      <c r="D15" s="219">
        <v>531889.4</v>
      </c>
      <c r="E15" s="219">
        <v>3618</v>
      </c>
      <c r="F15" s="219">
        <v>14291</v>
      </c>
      <c r="G15" s="219">
        <v>3657907.14</v>
      </c>
      <c r="H15" s="219">
        <v>161987.14000000001</v>
      </c>
      <c r="I15" s="219">
        <v>0</v>
      </c>
      <c r="J15" s="219">
        <v>1666718.6099999999</v>
      </c>
      <c r="K15" s="219">
        <v>0</v>
      </c>
      <c r="L15" s="219">
        <v>200000</v>
      </c>
      <c r="M15" s="219">
        <v>0</v>
      </c>
      <c r="N15" s="219">
        <v>0</v>
      </c>
    </row>
    <row r="16" spans="1:14" x14ac:dyDescent="0.15">
      <c r="A16" s="1662" t="s">
        <v>1644</v>
      </c>
      <c r="B16" s="219">
        <f>+SUM(C16:N16)</f>
        <v>0</v>
      </c>
      <c r="C16" s="219">
        <v>0</v>
      </c>
      <c r="D16" s="219">
        <v>0</v>
      </c>
      <c r="E16" s="219">
        <v>0</v>
      </c>
      <c r="F16" s="219">
        <v>0</v>
      </c>
      <c r="G16" s="219">
        <v>0</v>
      </c>
      <c r="H16" s="219">
        <v>0</v>
      </c>
      <c r="I16" s="219">
        <v>0</v>
      </c>
      <c r="J16" s="219">
        <v>0</v>
      </c>
      <c r="K16" s="219">
        <v>0</v>
      </c>
      <c r="L16" s="219">
        <v>0</v>
      </c>
      <c r="M16" s="219">
        <v>0</v>
      </c>
      <c r="N16" s="219">
        <v>0</v>
      </c>
    </row>
    <row r="17" spans="1:14" x14ac:dyDescent="0.15">
      <c r="A17" s="1662" t="s">
        <v>1645</v>
      </c>
      <c r="B17" s="219">
        <f>+SUM(C17:N17)</f>
        <v>4668743.879999999</v>
      </c>
      <c r="C17" s="219">
        <v>411368.83999999997</v>
      </c>
      <c r="D17" s="219">
        <v>320605</v>
      </c>
      <c r="E17" s="219">
        <v>87196</v>
      </c>
      <c r="F17" s="219">
        <v>0</v>
      </c>
      <c r="G17" s="219">
        <v>1610352</v>
      </c>
      <c r="H17" s="219">
        <v>1818553.46</v>
      </c>
      <c r="I17" s="219">
        <v>14167.02</v>
      </c>
      <c r="J17" s="219">
        <v>406501.56</v>
      </c>
      <c r="K17" s="219">
        <v>0</v>
      </c>
      <c r="L17" s="219">
        <v>0</v>
      </c>
      <c r="M17" s="219">
        <v>0</v>
      </c>
      <c r="N17" s="219">
        <v>0</v>
      </c>
    </row>
    <row r="18" spans="1:14" ht="21" customHeight="1" x14ac:dyDescent="0.15">
      <c r="A18" s="1389" t="s">
        <v>3542</v>
      </c>
      <c r="B18" s="1912">
        <f>SUM(B19:B22)</f>
        <v>25758427.710000001</v>
      </c>
      <c r="C18" s="1912">
        <f>SUM(C19:C22)</f>
        <v>119052.75</v>
      </c>
      <c r="D18" s="1912">
        <f t="shared" ref="D18:N18" si="4">SUM(D19:D22)</f>
        <v>475033.49</v>
      </c>
      <c r="E18" s="1912">
        <f t="shared" si="4"/>
        <v>1366474.9</v>
      </c>
      <c r="F18" s="1912">
        <f t="shared" si="4"/>
        <v>1658369.56</v>
      </c>
      <c r="G18" s="1912">
        <f t="shared" si="4"/>
        <v>13407637.279999999</v>
      </c>
      <c r="H18" s="1912">
        <f t="shared" si="4"/>
        <v>4105226.3499999996</v>
      </c>
      <c r="I18" s="1912">
        <f t="shared" si="4"/>
        <v>218459.49</v>
      </c>
      <c r="J18" s="1912">
        <f t="shared" si="4"/>
        <v>4147211.5900000003</v>
      </c>
      <c r="K18" s="1912">
        <f t="shared" si="4"/>
        <v>7575</v>
      </c>
      <c r="L18" s="1912">
        <f t="shared" si="4"/>
        <v>246412.30000000002</v>
      </c>
      <c r="M18" s="1912">
        <f t="shared" si="4"/>
        <v>6975</v>
      </c>
      <c r="N18" s="1912">
        <f t="shared" si="4"/>
        <v>0</v>
      </c>
    </row>
    <row r="19" spans="1:14" x14ac:dyDescent="0.15">
      <c r="A19" s="1662" t="s">
        <v>2866</v>
      </c>
      <c r="B19" s="219">
        <f>+SUM(C19:N19)</f>
        <v>819622.10000000009</v>
      </c>
      <c r="C19" s="219">
        <v>90532</v>
      </c>
      <c r="D19" s="219">
        <v>0</v>
      </c>
      <c r="E19" s="219">
        <v>273571.03000000003</v>
      </c>
      <c r="F19" s="219">
        <v>0</v>
      </c>
      <c r="G19" s="219">
        <v>28654</v>
      </c>
      <c r="H19" s="219">
        <v>175120.15</v>
      </c>
      <c r="I19" s="219">
        <v>0</v>
      </c>
      <c r="J19" s="219">
        <v>251744.92</v>
      </c>
      <c r="K19" s="219">
        <v>0</v>
      </c>
      <c r="L19" s="219">
        <v>0</v>
      </c>
      <c r="M19" s="219">
        <v>0</v>
      </c>
      <c r="N19" s="219">
        <v>0</v>
      </c>
    </row>
    <row r="20" spans="1:14" x14ac:dyDescent="0.15">
      <c r="A20" s="1662" t="s">
        <v>2867</v>
      </c>
      <c r="B20" s="219">
        <f t="shared" ref="B20:B22" si="5">+SUM(C20:N20)</f>
        <v>1818277.4</v>
      </c>
      <c r="C20" s="219">
        <v>0</v>
      </c>
      <c r="D20" s="219">
        <v>24201</v>
      </c>
      <c r="E20" s="219">
        <v>294499.45</v>
      </c>
      <c r="F20" s="219">
        <v>433782.82</v>
      </c>
      <c r="G20" s="219">
        <v>70480.040000000008</v>
      </c>
      <c r="H20" s="219">
        <v>887851.45</v>
      </c>
      <c r="I20" s="219">
        <v>0</v>
      </c>
      <c r="J20" s="219">
        <v>107462.64</v>
      </c>
      <c r="K20" s="219">
        <v>0</v>
      </c>
      <c r="L20" s="219">
        <v>0</v>
      </c>
      <c r="M20" s="219">
        <v>0</v>
      </c>
      <c r="N20" s="219">
        <v>0</v>
      </c>
    </row>
    <row r="21" spans="1:14" x14ac:dyDescent="0.15">
      <c r="A21" s="1662" t="s">
        <v>2543</v>
      </c>
      <c r="B21" s="219">
        <f t="shared" si="5"/>
        <v>22744277.760000002</v>
      </c>
      <c r="C21" s="219">
        <v>28520.75</v>
      </c>
      <c r="D21" s="219">
        <v>450832.49</v>
      </c>
      <c r="E21" s="219">
        <v>798172.42</v>
      </c>
      <c r="F21" s="219">
        <v>977260.68</v>
      </c>
      <c r="G21" s="219">
        <v>13226968.560000001</v>
      </c>
      <c r="H21" s="219">
        <v>3005307.04</v>
      </c>
      <c r="I21" s="219">
        <v>218459.49</v>
      </c>
      <c r="J21" s="219">
        <v>3777794.0300000003</v>
      </c>
      <c r="K21" s="219">
        <v>7575</v>
      </c>
      <c r="L21" s="219">
        <v>246412.30000000002</v>
      </c>
      <c r="M21" s="219">
        <v>6975</v>
      </c>
      <c r="N21" s="219">
        <v>0</v>
      </c>
    </row>
    <row r="22" spans="1:14" x14ac:dyDescent="0.15">
      <c r="A22" s="1662" t="s">
        <v>4049</v>
      </c>
      <c r="B22" s="219">
        <f t="shared" si="5"/>
        <v>376250.45</v>
      </c>
      <c r="C22" s="219">
        <v>0</v>
      </c>
      <c r="D22" s="219">
        <v>0</v>
      </c>
      <c r="E22" s="219">
        <v>232</v>
      </c>
      <c r="F22" s="219">
        <v>247326.06</v>
      </c>
      <c r="G22" s="219">
        <v>81534.679999999993</v>
      </c>
      <c r="H22" s="219">
        <v>36947.71</v>
      </c>
      <c r="I22" s="219">
        <v>0</v>
      </c>
      <c r="J22" s="219">
        <v>10210</v>
      </c>
      <c r="K22" s="219">
        <v>0</v>
      </c>
      <c r="L22" s="219">
        <v>0</v>
      </c>
      <c r="M22" s="219">
        <v>0</v>
      </c>
      <c r="N22" s="219">
        <v>0</v>
      </c>
    </row>
    <row r="23" spans="1:14" x14ac:dyDescent="0.15">
      <c r="A23" s="1389" t="s">
        <v>3543</v>
      </c>
      <c r="B23" s="1912">
        <f>SUM(B24:B25)</f>
        <v>192843242.96999997</v>
      </c>
      <c r="C23" s="1912">
        <f>SUM(C24:C25)</f>
        <v>6266359.7200000007</v>
      </c>
      <c r="D23" s="1912">
        <f t="shared" ref="D23:N23" si="6">SUM(D24:D25)</f>
        <v>5663257.71</v>
      </c>
      <c r="E23" s="1912">
        <f t="shared" si="6"/>
        <v>29404664.09</v>
      </c>
      <c r="F23" s="1912">
        <f t="shared" si="6"/>
        <v>18747257.749999996</v>
      </c>
      <c r="G23" s="1912">
        <f t="shared" si="6"/>
        <v>88497171.229999989</v>
      </c>
      <c r="H23" s="1912">
        <f t="shared" si="6"/>
        <v>36716264.969999984</v>
      </c>
      <c r="I23" s="1912">
        <f t="shared" si="6"/>
        <v>3599303.31</v>
      </c>
      <c r="J23" s="1912">
        <f t="shared" si="6"/>
        <v>3039799.7000000007</v>
      </c>
      <c r="K23" s="1912">
        <f t="shared" si="6"/>
        <v>103976</v>
      </c>
      <c r="L23" s="1912">
        <f t="shared" si="6"/>
        <v>774617.49</v>
      </c>
      <c r="M23" s="1912">
        <f t="shared" si="6"/>
        <v>30571</v>
      </c>
      <c r="N23" s="1912">
        <f t="shared" si="6"/>
        <v>0</v>
      </c>
    </row>
    <row r="24" spans="1:14" x14ac:dyDescent="0.15">
      <c r="A24" s="1662" t="s">
        <v>4050</v>
      </c>
      <c r="B24" s="219">
        <f>+SUM(C24:N24)</f>
        <v>4240818</v>
      </c>
      <c r="C24" s="219">
        <v>0</v>
      </c>
      <c r="D24" s="219">
        <v>0</v>
      </c>
      <c r="E24" s="219">
        <v>0</v>
      </c>
      <c r="F24" s="219">
        <v>0</v>
      </c>
      <c r="G24" s="219">
        <v>3898661</v>
      </c>
      <c r="H24" s="219">
        <v>0</v>
      </c>
      <c r="I24" s="219">
        <v>0</v>
      </c>
      <c r="J24" s="219">
        <v>342157</v>
      </c>
      <c r="K24" s="219">
        <v>0</v>
      </c>
      <c r="L24" s="219">
        <v>0</v>
      </c>
      <c r="M24" s="219">
        <v>0</v>
      </c>
      <c r="N24" s="219">
        <v>0</v>
      </c>
    </row>
    <row r="25" spans="1:14" x14ac:dyDescent="0.15">
      <c r="A25" s="1662" t="s">
        <v>2898</v>
      </c>
      <c r="B25" s="219">
        <f>+SUM(C25:N25)</f>
        <v>188602424.96999997</v>
      </c>
      <c r="C25" s="219">
        <v>6266359.7200000007</v>
      </c>
      <c r="D25" s="219">
        <v>5663257.71</v>
      </c>
      <c r="E25" s="219">
        <v>29404664.09</v>
      </c>
      <c r="F25" s="219">
        <v>18747257.749999996</v>
      </c>
      <c r="G25" s="219">
        <v>84598510.229999989</v>
      </c>
      <c r="H25" s="219">
        <v>36716264.969999984</v>
      </c>
      <c r="I25" s="219">
        <v>3599303.31</v>
      </c>
      <c r="J25" s="219">
        <v>2697642.7000000007</v>
      </c>
      <c r="K25" s="219">
        <v>103976</v>
      </c>
      <c r="L25" s="219">
        <v>774617.49</v>
      </c>
      <c r="M25" s="219">
        <v>30571</v>
      </c>
      <c r="N25" s="219">
        <v>0</v>
      </c>
    </row>
    <row r="27" spans="1:14" ht="11.25" customHeight="1" x14ac:dyDescent="0.15">
      <c r="A27" s="3526" t="s">
        <v>3933</v>
      </c>
      <c r="B27" s="3526"/>
      <c r="C27" s="3526"/>
      <c r="D27" s="3526"/>
      <c r="E27" s="3526"/>
      <c r="F27" s="3526"/>
      <c r="G27" s="3526"/>
      <c r="H27" s="3526"/>
      <c r="I27" s="3526"/>
    </row>
    <row r="28" spans="1:14" ht="11.25" customHeight="1" x14ac:dyDescent="0.15">
      <c r="A28" s="3527" t="s">
        <v>3934</v>
      </c>
      <c r="B28" s="3527"/>
      <c r="C28" s="3527"/>
      <c r="D28" s="3527"/>
      <c r="E28" s="3527"/>
      <c r="F28" s="3527"/>
      <c r="G28" s="3527"/>
      <c r="H28" s="3527"/>
      <c r="I28" s="3527"/>
    </row>
    <row r="29" spans="1:14" ht="11.25" customHeight="1" x14ac:dyDescent="0.15">
      <c r="A29" s="3505" t="s">
        <v>20</v>
      </c>
      <c r="B29" s="3505"/>
      <c r="C29" s="3505"/>
      <c r="D29" s="3505"/>
      <c r="E29" s="3505"/>
      <c r="F29" s="3505"/>
      <c r="G29" s="3505"/>
      <c r="H29" s="3505"/>
      <c r="I29" s="3505"/>
    </row>
    <row r="30" spans="1:14" ht="11.25" customHeight="1" x14ac:dyDescent="0.15">
      <c r="A30" s="2537" t="s">
        <v>1183</v>
      </c>
      <c r="B30" s="2537"/>
      <c r="C30" s="2537"/>
      <c r="D30" s="2537"/>
      <c r="E30" s="2537"/>
      <c r="F30" s="2537"/>
      <c r="G30" s="2537"/>
      <c r="H30" s="2537"/>
      <c r="I30" s="2537"/>
    </row>
  </sheetData>
  <mergeCells count="7">
    <mergeCell ref="A30:I30"/>
    <mergeCell ref="A4:A5"/>
    <mergeCell ref="B4:B5"/>
    <mergeCell ref="C4:N4"/>
    <mergeCell ref="A27:I27"/>
    <mergeCell ref="A28:I28"/>
    <mergeCell ref="A29:I29"/>
  </mergeCells>
  <pageMargins left="0.70866141732283472" right="0.70866141732283472" top="0.74803149606299213" bottom="0.74803149606299213" header="0.31496062992125984" footer="0.31496062992125984"/>
  <pageSetup paperSize="9" scale="74" orientation="landscape"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1"/>
  <dimension ref="A2:L30"/>
  <sheetViews>
    <sheetView zoomScaleNormal="100" workbookViewId="0">
      <selection activeCell="A13" sqref="A13"/>
    </sheetView>
  </sheetViews>
  <sheetFormatPr baseColWidth="10" defaultRowHeight="10.5" x14ac:dyDescent="0.15"/>
  <cols>
    <col min="1" max="1" width="40" style="265" customWidth="1"/>
    <col min="2" max="2" width="14.28515625" style="265" customWidth="1"/>
    <col min="3" max="3" width="15.42578125" style="265" customWidth="1"/>
    <col min="4" max="4" width="20" style="265" customWidth="1"/>
    <col min="5" max="5" width="12.140625" style="265" customWidth="1"/>
    <col min="6" max="6" width="11.85546875" style="265" bestFit="1" customWidth="1"/>
    <col min="7" max="8" width="13.85546875" style="265" customWidth="1"/>
    <col min="9" max="9" width="20.85546875" style="265" customWidth="1"/>
    <col min="10" max="10" width="17.140625" style="265" bestFit="1" customWidth="1"/>
    <col min="11" max="11" width="11.42578125" style="265" customWidth="1"/>
    <col min="12" max="16384" width="11.42578125" style="265"/>
  </cols>
  <sheetData>
    <row r="2" spans="1:12" x14ac:dyDescent="0.15">
      <c r="A2" s="3530" t="s">
        <v>4221</v>
      </c>
      <c r="B2" s="3530"/>
      <c r="C2" s="3530"/>
      <c r="D2" s="3530"/>
      <c r="E2" s="3530"/>
      <c r="F2" s="3530"/>
      <c r="G2" s="3530"/>
      <c r="H2" s="3530"/>
      <c r="I2" s="3530"/>
      <c r="J2" s="1483"/>
      <c r="K2" s="1483"/>
      <c r="L2" s="1483"/>
    </row>
    <row r="3" spans="1:12" x14ac:dyDescent="0.15">
      <c r="A3" s="1355"/>
      <c r="B3" s="1662"/>
      <c r="C3" s="1483"/>
      <c r="D3" s="1483"/>
      <c r="E3" s="1483"/>
      <c r="F3" s="1483"/>
      <c r="G3" s="1483"/>
      <c r="H3" s="1483"/>
      <c r="I3" s="1483"/>
      <c r="J3" s="1483"/>
      <c r="K3" s="1483"/>
      <c r="L3" s="1483"/>
    </row>
    <row r="4" spans="1:12" x14ac:dyDescent="0.15">
      <c r="A4" s="2521" t="s">
        <v>2858</v>
      </c>
      <c r="B4" s="2521" t="s">
        <v>141</v>
      </c>
      <c r="C4" s="3531" t="s">
        <v>982</v>
      </c>
      <c r="D4" s="3532"/>
      <c r="E4" s="3532"/>
      <c r="F4" s="3532"/>
      <c r="G4" s="3532"/>
      <c r="H4" s="3532"/>
      <c r="I4" s="3533"/>
      <c r="J4" s="1483"/>
      <c r="K4" s="1483"/>
      <c r="L4" s="1483"/>
    </row>
    <row r="5" spans="1:12" ht="32.25" x14ac:dyDescent="0.15">
      <c r="A5" s="2521"/>
      <c r="B5" s="2521"/>
      <c r="C5" s="240" t="s">
        <v>10</v>
      </c>
      <c r="D5" s="240" t="s">
        <v>11</v>
      </c>
      <c r="E5" s="240" t="s">
        <v>14</v>
      </c>
      <c r="F5" s="240" t="s">
        <v>350</v>
      </c>
      <c r="G5" s="240" t="s">
        <v>303</v>
      </c>
      <c r="H5" s="240" t="s">
        <v>18</v>
      </c>
      <c r="I5" s="240" t="s">
        <v>4133</v>
      </c>
    </row>
    <row r="6" spans="1:12" x14ac:dyDescent="0.15">
      <c r="A6" s="1355" t="s">
        <v>141</v>
      </c>
      <c r="B6" s="1646">
        <f t="shared" ref="B6:I6" si="0">+B7+B9+B13+B18+B23</f>
        <v>236735772.83999997</v>
      </c>
      <c r="C6" s="1646">
        <f t="shared" si="0"/>
        <v>6197363.620000002</v>
      </c>
      <c r="D6" s="1646">
        <f t="shared" si="0"/>
        <v>185527460.75999996</v>
      </c>
      <c r="E6" s="1646">
        <f t="shared" si="0"/>
        <v>6773.6</v>
      </c>
      <c r="F6" s="1646">
        <f t="shared" si="0"/>
        <v>1512.81</v>
      </c>
      <c r="G6" s="1646">
        <f t="shared" si="0"/>
        <v>32070</v>
      </c>
      <c r="H6" s="1646">
        <f t="shared" si="0"/>
        <v>3950</v>
      </c>
      <c r="I6" s="1646">
        <f t="shared" si="0"/>
        <v>44966642.049999997</v>
      </c>
      <c r="J6" s="1759"/>
    </row>
    <row r="7" spans="1:12" x14ac:dyDescent="0.15">
      <c r="A7" s="1389" t="s">
        <v>3535</v>
      </c>
      <c r="B7" s="1646">
        <f>SUM(B8)</f>
        <v>13000</v>
      </c>
      <c r="C7" s="1646">
        <f t="shared" ref="C7:I7" si="1">SUM(C8)</f>
        <v>0</v>
      </c>
      <c r="D7" s="1646">
        <f t="shared" si="1"/>
        <v>13000</v>
      </c>
      <c r="E7" s="1646">
        <f t="shared" si="1"/>
        <v>0</v>
      </c>
      <c r="F7" s="1646">
        <f t="shared" si="1"/>
        <v>0</v>
      </c>
      <c r="G7" s="1646">
        <f t="shared" si="1"/>
        <v>0</v>
      </c>
      <c r="H7" s="1646">
        <f t="shared" si="1"/>
        <v>0</v>
      </c>
      <c r="I7" s="1646">
        <f t="shared" si="1"/>
        <v>0</v>
      </c>
      <c r="J7" s="1759"/>
    </row>
    <row r="8" spans="1:12" x14ac:dyDescent="0.15">
      <c r="A8" s="1909" t="s">
        <v>2540</v>
      </c>
      <c r="B8" s="1652">
        <f>+SUM(C8:I8)</f>
        <v>13000</v>
      </c>
      <c r="C8" s="1652">
        <v>0</v>
      </c>
      <c r="D8" s="1652">
        <v>13000</v>
      </c>
      <c r="E8" s="1652">
        <v>0</v>
      </c>
      <c r="F8" s="1652">
        <v>0</v>
      </c>
      <c r="G8" s="1652">
        <v>0</v>
      </c>
      <c r="H8" s="1652">
        <v>0</v>
      </c>
      <c r="I8" s="1652">
        <v>0</v>
      </c>
      <c r="J8" s="1759"/>
    </row>
    <row r="9" spans="1:12" x14ac:dyDescent="0.15">
      <c r="A9" s="1389" t="s">
        <v>4078</v>
      </c>
      <c r="B9" s="1646">
        <f>SUM(B10:B12)</f>
        <v>7209696.9899999993</v>
      </c>
      <c r="C9" s="1646">
        <f>SUM(C10:C12)</f>
        <v>200063.28999999998</v>
      </c>
      <c r="D9" s="1646">
        <f t="shared" ref="D9:I9" si="2">SUM(D10:D12)</f>
        <v>6993767.6999999993</v>
      </c>
      <c r="E9" s="1646">
        <f t="shared" si="2"/>
        <v>0</v>
      </c>
      <c r="F9" s="1646">
        <f t="shared" si="2"/>
        <v>0</v>
      </c>
      <c r="G9" s="1646">
        <f t="shared" si="2"/>
        <v>0</v>
      </c>
      <c r="H9" s="1646">
        <f t="shared" si="2"/>
        <v>3950</v>
      </c>
      <c r="I9" s="1646">
        <f t="shared" si="2"/>
        <v>11916</v>
      </c>
      <c r="J9" s="1759"/>
    </row>
    <row r="10" spans="1:12" x14ac:dyDescent="0.15">
      <c r="A10" s="1909" t="s">
        <v>4045</v>
      </c>
      <c r="B10" s="1652">
        <f>+SUM(C10:I10)</f>
        <v>6929397.2299999995</v>
      </c>
      <c r="C10" s="1652">
        <v>200063.28999999998</v>
      </c>
      <c r="D10" s="1652">
        <v>6725383.9399999995</v>
      </c>
      <c r="E10" s="1652">
        <v>0</v>
      </c>
      <c r="F10" s="1652">
        <v>0</v>
      </c>
      <c r="G10" s="1652">
        <v>0</v>
      </c>
      <c r="H10" s="1652">
        <v>3950</v>
      </c>
      <c r="I10" s="1652">
        <v>0</v>
      </c>
      <c r="J10" s="1759"/>
    </row>
    <row r="11" spans="1:12" x14ac:dyDescent="0.15">
      <c r="A11" s="1909" t="s">
        <v>4046</v>
      </c>
      <c r="B11" s="1652">
        <f t="shared" ref="B11:B12" si="3">+SUM(C11:I11)</f>
        <v>277871</v>
      </c>
      <c r="C11" s="1652">
        <v>0</v>
      </c>
      <c r="D11" s="1652">
        <v>265955</v>
      </c>
      <c r="E11" s="1652">
        <v>0</v>
      </c>
      <c r="F11" s="1652">
        <v>0</v>
      </c>
      <c r="G11" s="1652">
        <v>0</v>
      </c>
      <c r="H11" s="1652">
        <v>0</v>
      </c>
      <c r="I11" s="1652">
        <v>11916</v>
      </c>
      <c r="J11" s="1759"/>
    </row>
    <row r="12" spans="1:12" x14ac:dyDescent="0.15">
      <c r="A12" s="1909" t="s">
        <v>4047</v>
      </c>
      <c r="B12" s="1652">
        <f t="shared" si="3"/>
        <v>2428.7600000000002</v>
      </c>
      <c r="C12" s="1652">
        <v>0</v>
      </c>
      <c r="D12" s="1652">
        <v>2428.7600000000002</v>
      </c>
      <c r="E12" s="1652">
        <v>0</v>
      </c>
      <c r="F12" s="1652">
        <v>0</v>
      </c>
      <c r="G12" s="1652">
        <v>0</v>
      </c>
      <c r="H12" s="1652">
        <v>0</v>
      </c>
      <c r="I12" s="1652">
        <v>0</v>
      </c>
      <c r="J12" s="1759"/>
    </row>
    <row r="13" spans="1:12" x14ac:dyDescent="0.15">
      <c r="A13" s="1389" t="s">
        <v>3540</v>
      </c>
      <c r="B13" s="1646">
        <f>SUM(B14:B17)</f>
        <v>10911405.169999998</v>
      </c>
      <c r="C13" s="1646">
        <f>SUM(C14:C17)</f>
        <v>0</v>
      </c>
      <c r="D13" s="1646">
        <f t="shared" ref="D13:I13" si="4">SUM(D14:D17)</f>
        <v>10904990.359999999</v>
      </c>
      <c r="E13" s="1646">
        <f t="shared" si="4"/>
        <v>0</v>
      </c>
      <c r="F13" s="1646">
        <f t="shared" si="4"/>
        <v>1512.81</v>
      </c>
      <c r="G13" s="1646">
        <f t="shared" si="4"/>
        <v>0</v>
      </c>
      <c r="H13" s="1646">
        <f t="shared" si="4"/>
        <v>0</v>
      </c>
      <c r="I13" s="1646">
        <f t="shared" si="4"/>
        <v>4902</v>
      </c>
      <c r="J13" s="1759"/>
    </row>
    <row r="14" spans="1:12" x14ac:dyDescent="0.15">
      <c r="A14" s="1909" t="s">
        <v>4048</v>
      </c>
      <c r="B14" s="1652">
        <f>SUM(C14:I14)</f>
        <v>0</v>
      </c>
      <c r="C14" s="1652">
        <v>0</v>
      </c>
      <c r="D14" s="1652">
        <v>0</v>
      </c>
      <c r="E14" s="1652">
        <v>0</v>
      </c>
      <c r="F14" s="1652">
        <v>0</v>
      </c>
      <c r="G14" s="1652">
        <v>0</v>
      </c>
      <c r="H14" s="1652">
        <v>0</v>
      </c>
      <c r="I14" s="1652">
        <v>0</v>
      </c>
      <c r="J14" s="1759"/>
    </row>
    <row r="15" spans="1:12" x14ac:dyDescent="0.15">
      <c r="A15" s="1909" t="s">
        <v>1671</v>
      </c>
      <c r="B15" s="1652">
        <f t="shared" ref="B15:B17" si="5">SUM(C15:I15)</f>
        <v>6242661.2899999991</v>
      </c>
      <c r="C15" s="1652">
        <v>0</v>
      </c>
      <c r="D15" s="1652">
        <v>6236246.4799999995</v>
      </c>
      <c r="E15" s="1652">
        <v>0</v>
      </c>
      <c r="F15" s="1652">
        <v>1512.81</v>
      </c>
      <c r="G15" s="1652">
        <v>0</v>
      </c>
      <c r="H15" s="1652">
        <v>0</v>
      </c>
      <c r="I15" s="1652">
        <v>4902</v>
      </c>
      <c r="J15" s="1759"/>
    </row>
    <row r="16" spans="1:12" x14ac:dyDescent="0.15">
      <c r="A16" s="1909" t="s">
        <v>1644</v>
      </c>
      <c r="B16" s="1652">
        <f t="shared" si="5"/>
        <v>0</v>
      </c>
      <c r="C16" s="1652">
        <v>0</v>
      </c>
      <c r="D16" s="1652">
        <v>0</v>
      </c>
      <c r="E16" s="1652">
        <v>0</v>
      </c>
      <c r="F16" s="1652">
        <v>0</v>
      </c>
      <c r="G16" s="1652">
        <v>0</v>
      </c>
      <c r="H16" s="1652">
        <v>0</v>
      </c>
      <c r="I16" s="1652">
        <v>0</v>
      </c>
      <c r="J16" s="1759"/>
    </row>
    <row r="17" spans="1:10" x14ac:dyDescent="0.15">
      <c r="A17" s="1909" t="s">
        <v>1645</v>
      </c>
      <c r="B17" s="1652">
        <f t="shared" si="5"/>
        <v>4668743.88</v>
      </c>
      <c r="C17" s="1652">
        <v>0</v>
      </c>
      <c r="D17" s="1652">
        <v>4668743.88</v>
      </c>
      <c r="E17" s="1652">
        <v>0</v>
      </c>
      <c r="F17" s="1652">
        <v>0</v>
      </c>
      <c r="G17" s="1652">
        <v>0</v>
      </c>
      <c r="H17" s="1652">
        <v>0</v>
      </c>
      <c r="I17" s="1652">
        <v>0</v>
      </c>
      <c r="J17" s="1759"/>
    </row>
    <row r="18" spans="1:10" ht="21" x14ac:dyDescent="0.15">
      <c r="A18" s="1389" t="s">
        <v>3542</v>
      </c>
      <c r="B18" s="1646">
        <f>SUM(B19:B22)</f>
        <v>25758427.709999997</v>
      </c>
      <c r="C18" s="1646">
        <f t="shared" ref="C18:I18" si="6">SUM(C19:C22)</f>
        <v>14307.890000000001</v>
      </c>
      <c r="D18" s="1646">
        <f t="shared" si="6"/>
        <v>25503607.039999995</v>
      </c>
      <c r="E18" s="1646">
        <f t="shared" si="6"/>
        <v>0</v>
      </c>
      <c r="F18" s="1646">
        <f t="shared" si="6"/>
        <v>0</v>
      </c>
      <c r="G18" s="1646">
        <f t="shared" si="6"/>
        <v>0</v>
      </c>
      <c r="H18" s="1646">
        <f t="shared" si="6"/>
        <v>0</v>
      </c>
      <c r="I18" s="1646">
        <f t="shared" si="6"/>
        <v>240512.78</v>
      </c>
      <c r="J18" s="1759"/>
    </row>
    <row r="19" spans="1:10" x14ac:dyDescent="0.15">
      <c r="A19" s="1909" t="s">
        <v>2866</v>
      </c>
      <c r="B19" s="1652">
        <f>+SUM(C19:I19)</f>
        <v>819622.10000000009</v>
      </c>
      <c r="C19" s="1652">
        <v>0</v>
      </c>
      <c r="D19" s="1652">
        <v>819622.10000000009</v>
      </c>
      <c r="E19" s="1652">
        <v>0</v>
      </c>
      <c r="F19" s="1652">
        <v>0</v>
      </c>
      <c r="G19" s="1652">
        <v>0</v>
      </c>
      <c r="H19" s="1652">
        <v>0</v>
      </c>
      <c r="I19" s="1652">
        <v>0</v>
      </c>
      <c r="J19" s="1759"/>
    </row>
    <row r="20" spans="1:10" x14ac:dyDescent="0.15">
      <c r="A20" s="1909" t="s">
        <v>2867</v>
      </c>
      <c r="B20" s="1652">
        <f t="shared" ref="B20:B22" si="7">+SUM(C20:I20)</f>
        <v>1818277.4</v>
      </c>
      <c r="C20" s="1652">
        <v>12310.04</v>
      </c>
      <c r="D20" s="1652">
        <v>1805967.3599999999</v>
      </c>
      <c r="E20" s="1652">
        <v>0</v>
      </c>
      <c r="F20" s="1652">
        <v>0</v>
      </c>
      <c r="G20" s="1652">
        <v>0</v>
      </c>
      <c r="H20" s="1652">
        <v>0</v>
      </c>
      <c r="I20" s="1652">
        <v>0</v>
      </c>
      <c r="J20" s="1759"/>
    </row>
    <row r="21" spans="1:10" x14ac:dyDescent="0.15">
      <c r="A21" s="1909" t="s">
        <v>2543</v>
      </c>
      <c r="B21" s="1652">
        <f t="shared" si="7"/>
        <v>22744277.759999998</v>
      </c>
      <c r="C21" s="237">
        <v>1997.8500000000001</v>
      </c>
      <c r="D21" s="237">
        <v>22501767.129999995</v>
      </c>
      <c r="E21" s="237">
        <v>0</v>
      </c>
      <c r="F21" s="237">
        <v>0</v>
      </c>
      <c r="G21" s="237">
        <v>0</v>
      </c>
      <c r="H21" s="237">
        <v>0</v>
      </c>
      <c r="I21" s="237">
        <v>240512.78</v>
      </c>
      <c r="J21" s="1759"/>
    </row>
    <row r="22" spans="1:10" x14ac:dyDescent="0.15">
      <c r="A22" s="1909" t="s">
        <v>4049</v>
      </c>
      <c r="B22" s="1652">
        <f t="shared" si="7"/>
        <v>376250.45</v>
      </c>
      <c r="C22" s="1652">
        <v>0</v>
      </c>
      <c r="D22" s="1652">
        <v>376250.45</v>
      </c>
      <c r="E22" s="1652">
        <v>0</v>
      </c>
      <c r="F22" s="1652">
        <v>0</v>
      </c>
      <c r="G22" s="1652">
        <v>0</v>
      </c>
      <c r="H22" s="1652">
        <v>0</v>
      </c>
      <c r="I22" s="1652">
        <v>0</v>
      </c>
      <c r="J22" s="1759"/>
    </row>
    <row r="23" spans="1:10" x14ac:dyDescent="0.15">
      <c r="A23" s="1389" t="s">
        <v>3543</v>
      </c>
      <c r="B23" s="1646">
        <f>SUM(B24:B25)</f>
        <v>192843242.96999997</v>
      </c>
      <c r="C23" s="1646">
        <f t="shared" ref="C23:I23" si="8">SUM(C24:C25)</f>
        <v>5982992.4400000023</v>
      </c>
      <c r="D23" s="1646">
        <f t="shared" si="8"/>
        <v>142112095.65999997</v>
      </c>
      <c r="E23" s="1646">
        <f t="shared" si="8"/>
        <v>6773.6</v>
      </c>
      <c r="F23" s="1646">
        <f t="shared" si="8"/>
        <v>0</v>
      </c>
      <c r="G23" s="1646">
        <f t="shared" si="8"/>
        <v>32070</v>
      </c>
      <c r="H23" s="1646">
        <f t="shared" si="8"/>
        <v>0</v>
      </c>
      <c r="I23" s="1646">
        <f t="shared" si="8"/>
        <v>44709311.269999996</v>
      </c>
      <c r="J23" s="1759"/>
    </row>
    <row r="24" spans="1:10" x14ac:dyDescent="0.15">
      <c r="A24" s="1909" t="s">
        <v>4050</v>
      </c>
      <c r="B24" s="1652">
        <f>+SUM(C24:I24)</f>
        <v>4240818</v>
      </c>
      <c r="C24" s="1652">
        <v>0</v>
      </c>
      <c r="D24" s="1652">
        <v>4240818</v>
      </c>
      <c r="E24" s="1652">
        <v>0</v>
      </c>
      <c r="F24" s="1652">
        <v>0</v>
      </c>
      <c r="G24" s="1652">
        <v>0</v>
      </c>
      <c r="H24" s="1652">
        <v>0</v>
      </c>
      <c r="I24" s="1652">
        <v>0</v>
      </c>
      <c r="J24" s="1759"/>
    </row>
    <row r="25" spans="1:10" x14ac:dyDescent="0.15">
      <c r="A25" s="1909" t="s">
        <v>2898</v>
      </c>
      <c r="B25" s="1652">
        <f>+SUM(C25:I25)</f>
        <v>188602424.96999997</v>
      </c>
      <c r="C25" s="1652">
        <v>5982992.4400000023</v>
      </c>
      <c r="D25" s="1652">
        <v>137871277.65999997</v>
      </c>
      <c r="E25" s="1652">
        <v>6773.6</v>
      </c>
      <c r="F25" s="1652">
        <v>0</v>
      </c>
      <c r="G25" s="1652">
        <v>32070</v>
      </c>
      <c r="H25" s="1652">
        <v>0</v>
      </c>
      <c r="I25" s="1652">
        <v>44709311.269999996</v>
      </c>
      <c r="J25" s="1759"/>
    </row>
    <row r="27" spans="1:10" ht="42.75" customHeight="1" x14ac:dyDescent="0.15">
      <c r="A27" s="2499" t="s">
        <v>4043</v>
      </c>
      <c r="B27" s="2499"/>
      <c r="C27" s="2499"/>
      <c r="D27" s="2499"/>
      <c r="E27" s="2499"/>
      <c r="F27" s="2499"/>
      <c r="G27" s="2499"/>
      <c r="H27" s="2499"/>
      <c r="I27" s="2499"/>
      <c r="J27" s="1483"/>
    </row>
    <row r="28" spans="1:10" ht="22.5" customHeight="1" x14ac:dyDescent="0.15">
      <c r="A28" s="2504" t="s">
        <v>4134</v>
      </c>
      <c r="B28" s="2504"/>
      <c r="C28" s="2504"/>
      <c r="D28" s="2504"/>
      <c r="E28" s="2504"/>
      <c r="F28" s="2504"/>
      <c r="G28" s="2504"/>
      <c r="H28" s="2504"/>
      <c r="I28" s="2504"/>
      <c r="J28" s="1483"/>
    </row>
    <row r="29" spans="1:10" x14ac:dyDescent="0.15">
      <c r="A29" s="3528" t="s">
        <v>20</v>
      </c>
      <c r="B29" s="3528"/>
      <c r="C29" s="3528"/>
      <c r="D29" s="3528"/>
      <c r="E29" s="3528"/>
      <c r="F29" s="3528"/>
      <c r="G29" s="3528"/>
    </row>
    <row r="30" spans="1:10" x14ac:dyDescent="0.15">
      <c r="A30" s="3529" t="s">
        <v>1183</v>
      </c>
      <c r="B30" s="3529"/>
      <c r="C30" s="3529"/>
      <c r="D30" s="3529"/>
      <c r="E30" s="3529"/>
      <c r="F30" s="3529"/>
      <c r="G30" s="3529"/>
    </row>
  </sheetData>
  <mergeCells count="8">
    <mergeCell ref="A29:G29"/>
    <mergeCell ref="A30:G30"/>
    <mergeCell ref="A2:I2"/>
    <mergeCell ref="A4:A5"/>
    <mergeCell ref="B4:B5"/>
    <mergeCell ref="C4:I4"/>
    <mergeCell ref="A27:I27"/>
    <mergeCell ref="A28:I28"/>
  </mergeCells>
  <pageMargins left="0.7" right="0.7" top="0.75" bottom="0.75" header="0.3" footer="0.3"/>
  <pageSetup paperSize="9" orientation="portrait" verticalDpi="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2"/>
  <dimension ref="A2:L67"/>
  <sheetViews>
    <sheetView workbookViewId="0">
      <selection activeCell="A13" sqref="A13"/>
    </sheetView>
  </sheetViews>
  <sheetFormatPr baseColWidth="10" defaultRowHeight="10.5" x14ac:dyDescent="0.15"/>
  <cols>
    <col min="1" max="1" width="57.140625" style="265" customWidth="1"/>
    <col min="2" max="2" width="15.7109375" style="265" bestFit="1" customWidth="1"/>
    <col min="3" max="3" width="13.140625" style="265" customWidth="1"/>
    <col min="4" max="4" width="15.7109375" style="265" customWidth="1"/>
    <col min="5" max="8" width="13.140625" style="265" customWidth="1"/>
    <col min="9" max="9" width="17" style="265" customWidth="1"/>
    <col min="10" max="10" width="11.42578125" style="265"/>
    <col min="11" max="11" width="15" style="265" customWidth="1"/>
    <col min="12" max="16384" width="11.42578125" style="265"/>
  </cols>
  <sheetData>
    <row r="2" spans="1:12" ht="18.75" customHeight="1" x14ac:dyDescent="0.15">
      <c r="A2" s="3534" t="s">
        <v>4222</v>
      </c>
      <c r="B2" s="3534"/>
      <c r="C2" s="3534"/>
      <c r="D2" s="3534"/>
      <c r="E2" s="3534"/>
      <c r="F2" s="3534"/>
      <c r="G2" s="3534"/>
      <c r="H2" s="3534"/>
      <c r="I2" s="3534"/>
      <c r="J2" s="1895"/>
      <c r="K2" s="1483"/>
      <c r="L2" s="1483"/>
    </row>
    <row r="3" spans="1:12" x14ac:dyDescent="0.15">
      <c r="A3" s="1389"/>
      <c r="B3" s="1389"/>
      <c r="C3" s="1389"/>
      <c r="D3" s="1389"/>
      <c r="E3" s="1389"/>
      <c r="F3" s="1389"/>
      <c r="G3" s="1389"/>
      <c r="H3" s="1389"/>
      <c r="I3" s="1389"/>
      <c r="J3" s="1389"/>
      <c r="K3" s="1483"/>
      <c r="L3" s="1483"/>
    </row>
    <row r="4" spans="1:12" ht="15" customHeight="1" x14ac:dyDescent="0.15">
      <c r="A4" s="2521" t="s">
        <v>4135</v>
      </c>
      <c r="B4" s="3535" t="s">
        <v>69</v>
      </c>
      <c r="C4" s="3531" t="s">
        <v>982</v>
      </c>
      <c r="D4" s="3532"/>
      <c r="E4" s="3532"/>
      <c r="F4" s="3532"/>
      <c r="G4" s="3532"/>
      <c r="H4" s="3532"/>
      <c r="I4" s="3533"/>
      <c r="J4" s="1389"/>
      <c r="K4" s="1483"/>
      <c r="L4" s="1483"/>
    </row>
    <row r="5" spans="1:12" ht="32.25" x14ac:dyDescent="0.15">
      <c r="A5" s="2521"/>
      <c r="B5" s="3536"/>
      <c r="C5" s="231" t="s">
        <v>10</v>
      </c>
      <c r="D5" s="231" t="s">
        <v>11</v>
      </c>
      <c r="E5" s="231" t="s">
        <v>14</v>
      </c>
      <c r="F5" s="231" t="s">
        <v>350</v>
      </c>
      <c r="G5" s="231" t="s">
        <v>303</v>
      </c>
      <c r="H5" s="231" t="s">
        <v>18</v>
      </c>
      <c r="I5" s="240" t="s">
        <v>4136</v>
      </c>
    </row>
    <row r="6" spans="1:12" ht="15" customHeight="1" x14ac:dyDescent="0.15">
      <c r="A6" s="1389" t="s">
        <v>141</v>
      </c>
      <c r="B6" s="236">
        <f t="shared" ref="B6:I6" si="0">+B27+B10+B7+B45+B19</f>
        <v>236735772.84</v>
      </c>
      <c r="C6" s="236">
        <f t="shared" si="0"/>
        <v>6197363.6199999992</v>
      </c>
      <c r="D6" s="236">
        <f t="shared" si="0"/>
        <v>185527460.76000005</v>
      </c>
      <c r="E6" s="236">
        <f t="shared" si="0"/>
        <v>6773.6</v>
      </c>
      <c r="F6" s="236">
        <f t="shared" si="0"/>
        <v>1512.81</v>
      </c>
      <c r="G6" s="236">
        <f t="shared" si="0"/>
        <v>32070</v>
      </c>
      <c r="H6" s="236">
        <f t="shared" si="0"/>
        <v>3950</v>
      </c>
      <c r="I6" s="236">
        <f t="shared" si="0"/>
        <v>44966642.049999997</v>
      </c>
      <c r="K6" s="236"/>
    </row>
    <row r="7" spans="1:12" x14ac:dyDescent="0.15">
      <c r="A7" s="1389" t="s">
        <v>3535</v>
      </c>
      <c r="B7" s="236">
        <f>+B8</f>
        <v>13000</v>
      </c>
      <c r="C7" s="236">
        <f t="shared" ref="C7:I7" si="1">+C8</f>
        <v>0</v>
      </c>
      <c r="D7" s="236">
        <f t="shared" si="1"/>
        <v>13000</v>
      </c>
      <c r="E7" s="236">
        <f t="shared" si="1"/>
        <v>0</v>
      </c>
      <c r="F7" s="236">
        <f t="shared" si="1"/>
        <v>0</v>
      </c>
      <c r="G7" s="236">
        <f t="shared" si="1"/>
        <v>0</v>
      </c>
      <c r="H7" s="236">
        <f t="shared" si="1"/>
        <v>0</v>
      </c>
      <c r="I7" s="236">
        <f t="shared" si="1"/>
        <v>0</v>
      </c>
    </row>
    <row r="8" spans="1:12" x14ac:dyDescent="0.15">
      <c r="A8" s="1908" t="s">
        <v>2540</v>
      </c>
      <c r="B8" s="236">
        <f>SUM(B9)</f>
        <v>13000</v>
      </c>
      <c r="C8" s="236">
        <f t="shared" ref="C8:I8" si="2">SUM(C9)</f>
        <v>0</v>
      </c>
      <c r="D8" s="236">
        <f t="shared" si="2"/>
        <v>13000</v>
      </c>
      <c r="E8" s="236">
        <f t="shared" si="2"/>
        <v>0</v>
      </c>
      <c r="F8" s="236">
        <f t="shared" si="2"/>
        <v>0</v>
      </c>
      <c r="G8" s="236">
        <f t="shared" si="2"/>
        <v>0</v>
      </c>
      <c r="H8" s="236">
        <f t="shared" si="2"/>
        <v>0</v>
      </c>
      <c r="I8" s="236">
        <f t="shared" si="2"/>
        <v>0</v>
      </c>
    </row>
    <row r="9" spans="1:12" x14ac:dyDescent="0.15">
      <c r="A9" s="1909" t="s">
        <v>4077</v>
      </c>
      <c r="B9" s="217">
        <f>+SUM(C9:I9)</f>
        <v>13000</v>
      </c>
      <c r="C9" s="217">
        <v>0</v>
      </c>
      <c r="D9" s="217">
        <v>13000</v>
      </c>
      <c r="E9" s="217">
        <v>0</v>
      </c>
      <c r="F9" s="217">
        <v>0</v>
      </c>
      <c r="G9" s="217">
        <v>0</v>
      </c>
      <c r="H9" s="217">
        <v>0</v>
      </c>
      <c r="I9" s="217">
        <v>0</v>
      </c>
    </row>
    <row r="10" spans="1:12" x14ac:dyDescent="0.15">
      <c r="A10" s="1389" t="s">
        <v>4078</v>
      </c>
      <c r="B10" s="236">
        <f>+B11+B15+B17</f>
        <v>7209696.9900000002</v>
      </c>
      <c r="C10" s="236">
        <f t="shared" ref="C10:I10" si="3">+C11+C15+C17</f>
        <v>200063.28999999998</v>
      </c>
      <c r="D10" s="236">
        <f t="shared" si="3"/>
        <v>6993767.6999999993</v>
      </c>
      <c r="E10" s="236">
        <f t="shared" si="3"/>
        <v>0</v>
      </c>
      <c r="F10" s="236">
        <f t="shared" si="3"/>
        <v>0</v>
      </c>
      <c r="G10" s="236">
        <f t="shared" si="3"/>
        <v>0</v>
      </c>
      <c r="H10" s="236">
        <f t="shared" si="3"/>
        <v>3950</v>
      </c>
      <c r="I10" s="236">
        <f t="shared" si="3"/>
        <v>11916</v>
      </c>
    </row>
    <row r="11" spans="1:12" x14ac:dyDescent="0.15">
      <c r="A11" s="1908" t="s">
        <v>4045</v>
      </c>
      <c r="B11" s="236">
        <f t="shared" ref="B11:I11" si="4">SUM(B12:B14)</f>
        <v>6929397.2300000004</v>
      </c>
      <c r="C11" s="236">
        <f t="shared" si="4"/>
        <v>200063.28999999998</v>
      </c>
      <c r="D11" s="236">
        <f t="shared" si="4"/>
        <v>6725383.9399999995</v>
      </c>
      <c r="E11" s="236">
        <f t="shared" si="4"/>
        <v>0</v>
      </c>
      <c r="F11" s="236">
        <f t="shared" si="4"/>
        <v>0</v>
      </c>
      <c r="G11" s="236">
        <f t="shared" si="4"/>
        <v>0</v>
      </c>
      <c r="H11" s="236">
        <f t="shared" si="4"/>
        <v>3950</v>
      </c>
      <c r="I11" s="236">
        <f t="shared" si="4"/>
        <v>0</v>
      </c>
    </row>
    <row r="12" spans="1:12" x14ac:dyDescent="0.15">
      <c r="A12" s="1909" t="s">
        <v>4079</v>
      </c>
      <c r="B12" s="217">
        <f>+SUM(C12:I12)</f>
        <v>331245</v>
      </c>
      <c r="C12" s="217">
        <v>0</v>
      </c>
      <c r="D12" s="217">
        <v>331245</v>
      </c>
      <c r="E12" s="217">
        <v>0</v>
      </c>
      <c r="F12" s="217">
        <v>0</v>
      </c>
      <c r="G12" s="217">
        <v>0</v>
      </c>
      <c r="H12" s="217">
        <v>0</v>
      </c>
      <c r="I12" s="217">
        <v>0</v>
      </c>
    </row>
    <row r="13" spans="1:12" x14ac:dyDescent="0.15">
      <c r="A13" s="1909" t="s">
        <v>4081</v>
      </c>
      <c r="B13" s="217">
        <f t="shared" ref="B13" si="5">+SUM(C13:I13)</f>
        <v>5276627.58</v>
      </c>
      <c r="C13" s="217">
        <v>2100</v>
      </c>
      <c r="D13" s="217">
        <v>5274527.58</v>
      </c>
      <c r="E13" s="217">
        <v>0</v>
      </c>
      <c r="F13" s="217">
        <v>0</v>
      </c>
      <c r="G13" s="217">
        <v>0</v>
      </c>
      <c r="H13" s="217">
        <v>0</v>
      </c>
      <c r="I13" s="217">
        <v>0</v>
      </c>
    </row>
    <row r="14" spans="1:12" x14ac:dyDescent="0.15">
      <c r="A14" s="1909" t="s">
        <v>4082</v>
      </c>
      <c r="B14" s="217">
        <f>+SUM(C14:I14)</f>
        <v>1321524.6499999999</v>
      </c>
      <c r="C14" s="217">
        <v>197963.28999999998</v>
      </c>
      <c r="D14" s="217">
        <v>1119611.3599999999</v>
      </c>
      <c r="E14" s="217">
        <v>0</v>
      </c>
      <c r="F14" s="217">
        <v>0</v>
      </c>
      <c r="G14" s="217">
        <v>0</v>
      </c>
      <c r="H14" s="217">
        <v>3950</v>
      </c>
      <c r="I14" s="217">
        <v>0</v>
      </c>
    </row>
    <row r="15" spans="1:12" x14ac:dyDescent="0.15">
      <c r="A15" s="1908" t="s">
        <v>4046</v>
      </c>
      <c r="B15" s="236">
        <f>SUM(B16)</f>
        <v>277871</v>
      </c>
      <c r="C15" s="236">
        <f t="shared" ref="C15:I15" si="6">SUM(C16)</f>
        <v>0</v>
      </c>
      <c r="D15" s="236">
        <f t="shared" si="6"/>
        <v>265955</v>
      </c>
      <c r="E15" s="236">
        <f t="shared" si="6"/>
        <v>0</v>
      </c>
      <c r="F15" s="236">
        <f t="shared" si="6"/>
        <v>0</v>
      </c>
      <c r="G15" s="236">
        <f t="shared" si="6"/>
        <v>0</v>
      </c>
      <c r="H15" s="236">
        <f t="shared" si="6"/>
        <v>0</v>
      </c>
      <c r="I15" s="236">
        <f t="shared" si="6"/>
        <v>11916</v>
      </c>
    </row>
    <row r="16" spans="1:12" x14ac:dyDescent="0.15">
      <c r="A16" s="1909" t="s">
        <v>4083</v>
      </c>
      <c r="B16" s="217">
        <f>+SUM(C16:I16)</f>
        <v>277871</v>
      </c>
      <c r="C16" s="217">
        <v>0</v>
      </c>
      <c r="D16" s="217">
        <v>265955</v>
      </c>
      <c r="E16" s="217">
        <v>0</v>
      </c>
      <c r="F16" s="217">
        <v>0</v>
      </c>
      <c r="G16" s="217">
        <v>0</v>
      </c>
      <c r="H16" s="217">
        <v>0</v>
      </c>
      <c r="I16" s="217">
        <v>11916</v>
      </c>
    </row>
    <row r="17" spans="1:11" s="268" customFormat="1" x14ac:dyDescent="0.15">
      <c r="A17" s="1908" t="s">
        <v>4047</v>
      </c>
      <c r="B17" s="236">
        <f>SUM(B18)</f>
        <v>2428.7600000000002</v>
      </c>
      <c r="C17" s="236">
        <f t="shared" ref="C17:I17" si="7">+C18</f>
        <v>0</v>
      </c>
      <c r="D17" s="236">
        <f t="shared" si="7"/>
        <v>2428.7600000000002</v>
      </c>
      <c r="E17" s="236">
        <f t="shared" si="7"/>
        <v>0</v>
      </c>
      <c r="F17" s="236">
        <f t="shared" si="7"/>
        <v>0</v>
      </c>
      <c r="G17" s="236">
        <f t="shared" si="7"/>
        <v>0</v>
      </c>
      <c r="H17" s="236">
        <f t="shared" si="7"/>
        <v>0</v>
      </c>
      <c r="I17" s="236">
        <f t="shared" si="7"/>
        <v>0</v>
      </c>
    </row>
    <row r="18" spans="1:11" x14ac:dyDescent="0.15">
      <c r="A18" s="1909" t="s">
        <v>4084</v>
      </c>
      <c r="B18" s="217">
        <f>+SUM(C18:I18)</f>
        <v>2428.7600000000002</v>
      </c>
      <c r="C18" s="217">
        <v>0</v>
      </c>
      <c r="D18" s="217">
        <v>2428.7600000000002</v>
      </c>
      <c r="E18" s="217">
        <v>0</v>
      </c>
      <c r="F18" s="217">
        <v>0</v>
      </c>
      <c r="G18" s="217">
        <v>0</v>
      </c>
      <c r="H18" s="217">
        <v>0</v>
      </c>
      <c r="I18" s="217">
        <v>0</v>
      </c>
    </row>
    <row r="19" spans="1:11" x14ac:dyDescent="0.15">
      <c r="A19" s="1389" t="s">
        <v>3540</v>
      </c>
      <c r="B19" s="236">
        <f>+B20+B23</f>
        <v>10911405.169999998</v>
      </c>
      <c r="C19" s="236">
        <f t="shared" ref="C19:I19" si="8">+C20+C23</f>
        <v>0</v>
      </c>
      <c r="D19" s="236">
        <f t="shared" si="8"/>
        <v>10904990.359999999</v>
      </c>
      <c r="E19" s="236">
        <f t="shared" si="8"/>
        <v>0</v>
      </c>
      <c r="F19" s="236">
        <f t="shared" si="8"/>
        <v>1512.81</v>
      </c>
      <c r="G19" s="236">
        <f t="shared" si="8"/>
        <v>0</v>
      </c>
      <c r="H19" s="236">
        <f t="shared" si="8"/>
        <v>0</v>
      </c>
      <c r="I19" s="236">
        <f t="shared" si="8"/>
        <v>4902</v>
      </c>
    </row>
    <row r="20" spans="1:11" x14ac:dyDescent="0.15">
      <c r="A20" s="1908" t="s">
        <v>1671</v>
      </c>
      <c r="B20" s="236">
        <f>SUM(B21:B22)</f>
        <v>6242661.2899999991</v>
      </c>
      <c r="C20" s="236">
        <f t="shared" ref="C20:I20" si="9">SUM(C21:C22)</f>
        <v>0</v>
      </c>
      <c r="D20" s="236">
        <f t="shared" si="9"/>
        <v>6236246.4799999995</v>
      </c>
      <c r="E20" s="236">
        <f t="shared" si="9"/>
        <v>0</v>
      </c>
      <c r="F20" s="236">
        <f t="shared" si="9"/>
        <v>1512.81</v>
      </c>
      <c r="G20" s="236">
        <f t="shared" si="9"/>
        <v>0</v>
      </c>
      <c r="H20" s="236">
        <f t="shared" si="9"/>
        <v>0</v>
      </c>
      <c r="I20" s="236">
        <f t="shared" si="9"/>
        <v>4902</v>
      </c>
    </row>
    <row r="21" spans="1:11" ht="31.5" x14ac:dyDescent="0.15">
      <c r="A21" s="1909" t="s">
        <v>4087</v>
      </c>
      <c r="B21" s="217">
        <f>SUM(C21:I21)</f>
        <v>2417747.38</v>
      </c>
      <c r="C21" s="217">
        <v>0</v>
      </c>
      <c r="D21" s="217">
        <v>2417747.38</v>
      </c>
      <c r="E21" s="217">
        <v>0</v>
      </c>
      <c r="F21" s="217">
        <v>0</v>
      </c>
      <c r="G21" s="217">
        <v>0</v>
      </c>
      <c r="H21" s="217">
        <v>0</v>
      </c>
      <c r="I21" s="217">
        <v>0</v>
      </c>
    </row>
    <row r="22" spans="1:11" ht="21" x14ac:dyDescent="0.15">
      <c r="A22" s="1909" t="s">
        <v>4088</v>
      </c>
      <c r="B22" s="217">
        <f>SUM(C22:I22)</f>
        <v>3824913.9099999997</v>
      </c>
      <c r="C22" s="217">
        <v>0</v>
      </c>
      <c r="D22" s="217">
        <v>3818499.0999999996</v>
      </c>
      <c r="E22" s="217">
        <v>0</v>
      </c>
      <c r="F22" s="217">
        <v>1512.81</v>
      </c>
      <c r="G22" s="217">
        <v>0</v>
      </c>
      <c r="H22" s="217">
        <v>0</v>
      </c>
      <c r="I22" s="217">
        <v>4902</v>
      </c>
    </row>
    <row r="23" spans="1:11" x14ac:dyDescent="0.15">
      <c r="A23" s="1908" t="s">
        <v>1645</v>
      </c>
      <c r="B23" s="236">
        <f t="shared" ref="B23:I23" si="10">SUM(B24:B26)</f>
        <v>4668743.88</v>
      </c>
      <c r="C23" s="236">
        <f t="shared" si="10"/>
        <v>0</v>
      </c>
      <c r="D23" s="236">
        <f t="shared" si="10"/>
        <v>4668743.88</v>
      </c>
      <c r="E23" s="236">
        <f t="shared" si="10"/>
        <v>0</v>
      </c>
      <c r="F23" s="236">
        <f t="shared" si="10"/>
        <v>0</v>
      </c>
      <c r="G23" s="236">
        <f t="shared" si="10"/>
        <v>0</v>
      </c>
      <c r="H23" s="236">
        <f t="shared" si="10"/>
        <v>0</v>
      </c>
      <c r="I23" s="236">
        <f t="shared" si="10"/>
        <v>0</v>
      </c>
    </row>
    <row r="24" spans="1:11" ht="21" x14ac:dyDescent="0.15">
      <c r="A24" s="1909" t="s">
        <v>4091</v>
      </c>
      <c r="B24" s="217">
        <f>SUM(C24:I24)</f>
        <v>630762.46</v>
      </c>
      <c r="C24" s="217">
        <v>0</v>
      </c>
      <c r="D24" s="217">
        <v>630762.46</v>
      </c>
      <c r="E24" s="217">
        <v>0</v>
      </c>
      <c r="F24" s="217">
        <v>0</v>
      </c>
      <c r="G24" s="217">
        <v>0</v>
      </c>
      <c r="H24" s="217">
        <v>0</v>
      </c>
      <c r="I24" s="217">
        <v>0</v>
      </c>
    </row>
    <row r="25" spans="1:11" x14ac:dyDescent="0.15">
      <c r="A25" s="1909" t="s">
        <v>4092</v>
      </c>
      <c r="B25" s="217">
        <f t="shared" ref="B25:B26" si="11">SUM(C25:I25)</f>
        <v>1364865.86</v>
      </c>
      <c r="C25" s="217">
        <v>0</v>
      </c>
      <c r="D25" s="217">
        <v>1364865.86</v>
      </c>
      <c r="E25" s="217">
        <v>0</v>
      </c>
      <c r="F25" s="217">
        <v>0</v>
      </c>
      <c r="G25" s="217">
        <v>0</v>
      </c>
      <c r="H25" s="217">
        <v>0</v>
      </c>
      <c r="I25" s="217">
        <v>0</v>
      </c>
    </row>
    <row r="26" spans="1:11" x14ac:dyDescent="0.15">
      <c r="A26" s="1909" t="s">
        <v>4093</v>
      </c>
      <c r="B26" s="217">
        <f t="shared" si="11"/>
        <v>2673115.56</v>
      </c>
      <c r="C26" s="217">
        <v>0</v>
      </c>
      <c r="D26" s="217">
        <v>2673115.56</v>
      </c>
      <c r="E26" s="217">
        <v>0</v>
      </c>
      <c r="F26" s="217">
        <v>0</v>
      </c>
      <c r="G26" s="217">
        <v>0</v>
      </c>
      <c r="H26" s="217">
        <v>0</v>
      </c>
      <c r="I26" s="217">
        <v>0</v>
      </c>
    </row>
    <row r="27" spans="1:11" x14ac:dyDescent="0.15">
      <c r="A27" s="1389" t="s">
        <v>3542</v>
      </c>
      <c r="B27" s="236">
        <f t="shared" ref="B27:I27" si="12">SUM(B28,B33,B37,B43)</f>
        <v>25758427.710000001</v>
      </c>
      <c r="C27" s="236">
        <f t="shared" si="12"/>
        <v>14307.890000000001</v>
      </c>
      <c r="D27" s="236">
        <f t="shared" si="12"/>
        <v>25503607.039999999</v>
      </c>
      <c r="E27" s="236">
        <f t="shared" si="12"/>
        <v>0</v>
      </c>
      <c r="F27" s="236">
        <f t="shared" si="12"/>
        <v>0</v>
      </c>
      <c r="G27" s="236">
        <f t="shared" si="12"/>
        <v>0</v>
      </c>
      <c r="H27" s="236">
        <f t="shared" si="12"/>
        <v>0</v>
      </c>
      <c r="I27" s="236">
        <f t="shared" si="12"/>
        <v>240512.78</v>
      </c>
      <c r="K27" s="217"/>
    </row>
    <row r="28" spans="1:11" x14ac:dyDescent="0.15">
      <c r="A28" s="1908" t="s">
        <v>2866</v>
      </c>
      <c r="B28" s="236">
        <f>SUM(B29:B32)</f>
        <v>819622.10000000009</v>
      </c>
      <c r="C28" s="236">
        <f t="shared" ref="C28:I28" si="13">SUM(C29:C32)</f>
        <v>0</v>
      </c>
      <c r="D28" s="236">
        <f t="shared" si="13"/>
        <v>819622.10000000009</v>
      </c>
      <c r="E28" s="236">
        <f t="shared" si="13"/>
        <v>0</v>
      </c>
      <c r="F28" s="236">
        <f t="shared" si="13"/>
        <v>0</v>
      </c>
      <c r="G28" s="236">
        <f t="shared" si="13"/>
        <v>0</v>
      </c>
      <c r="H28" s="236">
        <f t="shared" si="13"/>
        <v>0</v>
      </c>
      <c r="I28" s="236">
        <f t="shared" si="13"/>
        <v>0</v>
      </c>
    </row>
    <row r="29" spans="1:11" ht="21" x14ac:dyDescent="0.15">
      <c r="A29" s="1909" t="s">
        <v>4097</v>
      </c>
      <c r="B29" s="217">
        <f>+SUM(C29:I29)</f>
        <v>108262.02</v>
      </c>
      <c r="C29" s="217">
        <v>0</v>
      </c>
      <c r="D29" s="217">
        <v>108262.02</v>
      </c>
      <c r="E29" s="217">
        <v>0</v>
      </c>
      <c r="F29" s="217">
        <v>0</v>
      </c>
      <c r="G29" s="217">
        <v>0</v>
      </c>
      <c r="H29" s="217">
        <v>0</v>
      </c>
      <c r="I29" s="217">
        <v>0</v>
      </c>
      <c r="K29" s="217"/>
    </row>
    <row r="30" spans="1:11" x14ac:dyDescent="0.15">
      <c r="A30" s="1909" t="s">
        <v>4099</v>
      </c>
      <c r="B30" s="217">
        <f t="shared" ref="B30:B32" si="14">+SUM(C30:I30)</f>
        <v>246860.15</v>
      </c>
      <c r="C30" s="217">
        <v>0</v>
      </c>
      <c r="D30" s="217">
        <v>246860.15</v>
      </c>
      <c r="E30" s="217">
        <v>0</v>
      </c>
      <c r="F30" s="217">
        <v>0</v>
      </c>
      <c r="G30" s="217">
        <v>0</v>
      </c>
      <c r="H30" s="217">
        <v>0</v>
      </c>
      <c r="I30" s="217">
        <v>0</v>
      </c>
    </row>
    <row r="31" spans="1:11" ht="21" x14ac:dyDescent="0.15">
      <c r="A31" s="1909" t="s">
        <v>4100</v>
      </c>
      <c r="B31" s="217">
        <f t="shared" si="14"/>
        <v>400930.93000000005</v>
      </c>
      <c r="C31" s="217">
        <v>0</v>
      </c>
      <c r="D31" s="217">
        <v>400930.93000000005</v>
      </c>
      <c r="E31" s="217">
        <v>0</v>
      </c>
      <c r="F31" s="217">
        <v>0</v>
      </c>
      <c r="G31" s="217">
        <v>0</v>
      </c>
      <c r="H31" s="217">
        <v>0</v>
      </c>
      <c r="I31" s="217">
        <v>0</v>
      </c>
    </row>
    <row r="32" spans="1:11" ht="21" x14ac:dyDescent="0.15">
      <c r="A32" s="1909" t="s">
        <v>4101</v>
      </c>
      <c r="B32" s="217">
        <f t="shared" si="14"/>
        <v>63569</v>
      </c>
      <c r="C32" s="217">
        <v>0</v>
      </c>
      <c r="D32" s="217">
        <v>63569</v>
      </c>
      <c r="E32" s="217">
        <v>0</v>
      </c>
      <c r="F32" s="217">
        <v>0</v>
      </c>
      <c r="G32" s="217">
        <v>0</v>
      </c>
      <c r="H32" s="217">
        <v>0</v>
      </c>
      <c r="I32" s="217">
        <v>0</v>
      </c>
    </row>
    <row r="33" spans="1:9" x14ac:dyDescent="0.15">
      <c r="A33" s="1908" t="s">
        <v>2867</v>
      </c>
      <c r="B33" s="236">
        <f>SUM(B34:B36)</f>
        <v>1818277.4</v>
      </c>
      <c r="C33" s="236">
        <f t="shared" ref="C33:I33" si="15">SUM(C34:C36)</f>
        <v>12310.04</v>
      </c>
      <c r="D33" s="236">
        <f t="shared" si="15"/>
        <v>1805967.3599999999</v>
      </c>
      <c r="E33" s="236">
        <f t="shared" si="15"/>
        <v>0</v>
      </c>
      <c r="F33" s="236">
        <f t="shared" si="15"/>
        <v>0</v>
      </c>
      <c r="G33" s="236">
        <f t="shared" si="15"/>
        <v>0</v>
      </c>
      <c r="H33" s="236">
        <f t="shared" si="15"/>
        <v>0</v>
      </c>
      <c r="I33" s="236">
        <f t="shared" si="15"/>
        <v>0</v>
      </c>
    </row>
    <row r="34" spans="1:9" x14ac:dyDescent="0.15">
      <c r="A34" s="1909" t="s">
        <v>4102</v>
      </c>
      <c r="B34" s="217">
        <f>SUM(C34:I34)</f>
        <v>172900</v>
      </c>
      <c r="C34" s="236">
        <v>0</v>
      </c>
      <c r="D34" s="217">
        <v>172900</v>
      </c>
      <c r="E34" s="236">
        <v>0</v>
      </c>
      <c r="F34" s="236">
        <v>0</v>
      </c>
      <c r="G34" s="236">
        <v>0</v>
      </c>
      <c r="H34" s="236">
        <v>0</v>
      </c>
      <c r="I34" s="236">
        <v>0</v>
      </c>
    </row>
    <row r="35" spans="1:9" x14ac:dyDescent="0.15">
      <c r="A35" s="1909" t="s">
        <v>4104</v>
      </c>
      <c r="B35" s="217">
        <f t="shared" ref="B35:B36" si="16">SUM(C35:I35)</f>
        <v>1512689.72</v>
      </c>
      <c r="C35" s="217">
        <v>0</v>
      </c>
      <c r="D35" s="217">
        <v>1512689.72</v>
      </c>
      <c r="E35" s="236">
        <v>0</v>
      </c>
      <c r="F35" s="236">
        <v>0</v>
      </c>
      <c r="G35" s="236">
        <v>0</v>
      </c>
      <c r="H35" s="236">
        <v>0</v>
      </c>
      <c r="I35" s="236">
        <v>0</v>
      </c>
    </row>
    <row r="36" spans="1:9" x14ac:dyDescent="0.15">
      <c r="A36" s="1909" t="s">
        <v>4105</v>
      </c>
      <c r="B36" s="217">
        <f t="shared" si="16"/>
        <v>132687.67999999999</v>
      </c>
      <c r="C36" s="217">
        <v>12310.04</v>
      </c>
      <c r="D36" s="217">
        <v>120377.64</v>
      </c>
      <c r="E36" s="236">
        <v>0</v>
      </c>
      <c r="F36" s="236">
        <v>0</v>
      </c>
      <c r="G36" s="236">
        <v>0</v>
      </c>
      <c r="H36" s="236">
        <v>0</v>
      </c>
      <c r="I36" s="236">
        <v>0</v>
      </c>
    </row>
    <row r="37" spans="1:9" x14ac:dyDescent="0.15">
      <c r="A37" s="1908" t="s">
        <v>2543</v>
      </c>
      <c r="B37" s="236">
        <f>SUM(B38:B42)</f>
        <v>22744277.760000002</v>
      </c>
      <c r="C37" s="236">
        <f t="shared" ref="C37:I37" si="17">SUM(C38:C42)</f>
        <v>1997.85</v>
      </c>
      <c r="D37" s="236">
        <f t="shared" si="17"/>
        <v>22501767.129999999</v>
      </c>
      <c r="E37" s="236">
        <f t="shared" si="17"/>
        <v>0</v>
      </c>
      <c r="F37" s="236">
        <f t="shared" si="17"/>
        <v>0</v>
      </c>
      <c r="G37" s="236">
        <f t="shared" si="17"/>
        <v>0</v>
      </c>
      <c r="H37" s="236">
        <f t="shared" si="17"/>
        <v>0</v>
      </c>
      <c r="I37" s="236">
        <f t="shared" si="17"/>
        <v>240512.78</v>
      </c>
    </row>
    <row r="38" spans="1:9" ht="21" x14ac:dyDescent="0.15">
      <c r="A38" s="1909" t="s">
        <v>4106</v>
      </c>
      <c r="B38" s="217">
        <f>+SUM(C38:I38)</f>
        <v>109509.98000000001</v>
      </c>
      <c r="C38" s="217">
        <v>0</v>
      </c>
      <c r="D38" s="217">
        <v>109509.98000000001</v>
      </c>
      <c r="E38" s="217">
        <v>0</v>
      </c>
      <c r="F38" s="217">
        <v>0</v>
      </c>
      <c r="G38" s="217">
        <v>0</v>
      </c>
      <c r="H38" s="217">
        <v>0</v>
      </c>
      <c r="I38" s="217">
        <v>0</v>
      </c>
    </row>
    <row r="39" spans="1:9" x14ac:dyDescent="0.15">
      <c r="A39" s="1909" t="s">
        <v>4107</v>
      </c>
      <c r="B39" s="217">
        <f t="shared" ref="B39:B42" si="18">+SUM(C39:I39)</f>
        <v>5825148.7400000002</v>
      </c>
      <c r="C39" s="217">
        <v>0</v>
      </c>
      <c r="D39" s="217">
        <v>5825148.7400000002</v>
      </c>
      <c r="E39" s="217">
        <v>0</v>
      </c>
      <c r="F39" s="217">
        <v>0</v>
      </c>
      <c r="G39" s="217">
        <v>0</v>
      </c>
      <c r="H39" s="217">
        <v>0</v>
      </c>
      <c r="I39" s="217">
        <v>0</v>
      </c>
    </row>
    <row r="40" spans="1:9" x14ac:dyDescent="0.15">
      <c r="A40" s="1909" t="s">
        <v>4108</v>
      </c>
      <c r="B40" s="217">
        <f t="shared" si="18"/>
        <v>185000</v>
      </c>
      <c r="C40" s="217">
        <v>0</v>
      </c>
      <c r="D40" s="217">
        <v>185000</v>
      </c>
      <c r="E40" s="217">
        <v>0</v>
      </c>
      <c r="F40" s="217">
        <v>0</v>
      </c>
      <c r="G40" s="217">
        <v>0</v>
      </c>
      <c r="H40" s="217">
        <v>0</v>
      </c>
      <c r="I40" s="217">
        <v>0</v>
      </c>
    </row>
    <row r="41" spans="1:9" ht="21" x14ac:dyDescent="0.15">
      <c r="A41" s="1909" t="s">
        <v>4109</v>
      </c>
      <c r="B41" s="217">
        <f t="shared" si="18"/>
        <v>16516952.52</v>
      </c>
      <c r="C41" s="217">
        <v>1997.85</v>
      </c>
      <c r="D41" s="217">
        <v>16274441.890000001</v>
      </c>
      <c r="E41" s="217">
        <v>0</v>
      </c>
      <c r="F41" s="217">
        <v>0</v>
      </c>
      <c r="G41" s="217">
        <v>0</v>
      </c>
      <c r="H41" s="217">
        <v>0</v>
      </c>
      <c r="I41" s="217">
        <v>240512.78</v>
      </c>
    </row>
    <row r="42" spans="1:9" x14ac:dyDescent="0.15">
      <c r="A42" s="1909" t="s">
        <v>4110</v>
      </c>
      <c r="B42" s="217">
        <f t="shared" si="18"/>
        <v>107666.51999999999</v>
      </c>
      <c r="C42" s="217">
        <v>0</v>
      </c>
      <c r="D42" s="217">
        <v>107666.51999999999</v>
      </c>
      <c r="E42" s="217">
        <v>0</v>
      </c>
      <c r="F42" s="217">
        <v>0</v>
      </c>
      <c r="G42" s="217">
        <v>0</v>
      </c>
      <c r="H42" s="217">
        <v>0</v>
      </c>
      <c r="I42" s="217">
        <v>0</v>
      </c>
    </row>
    <row r="43" spans="1:9" x14ac:dyDescent="0.15">
      <c r="A43" s="1908" t="s">
        <v>4049</v>
      </c>
      <c r="B43" s="236">
        <f>SUM(B44)</f>
        <v>376250.45</v>
      </c>
      <c r="C43" s="236">
        <f t="shared" ref="C43:I43" si="19">SUM(C44)</f>
        <v>0</v>
      </c>
      <c r="D43" s="236">
        <f t="shared" si="19"/>
        <v>376250.45</v>
      </c>
      <c r="E43" s="236">
        <f t="shared" si="19"/>
        <v>0</v>
      </c>
      <c r="F43" s="236">
        <f t="shared" si="19"/>
        <v>0</v>
      </c>
      <c r="G43" s="236">
        <f t="shared" si="19"/>
        <v>0</v>
      </c>
      <c r="H43" s="236">
        <f t="shared" si="19"/>
        <v>0</v>
      </c>
      <c r="I43" s="236">
        <f t="shared" si="19"/>
        <v>0</v>
      </c>
    </row>
    <row r="44" spans="1:9" x14ac:dyDescent="0.15">
      <c r="A44" s="1909" t="s">
        <v>4111</v>
      </c>
      <c r="B44" s="217">
        <f>+SUM(C44:I44)</f>
        <v>376250.45</v>
      </c>
      <c r="C44" s="217">
        <v>0</v>
      </c>
      <c r="D44" s="217">
        <v>376250.45</v>
      </c>
      <c r="E44" s="217">
        <v>0</v>
      </c>
      <c r="F44" s="217">
        <v>0</v>
      </c>
      <c r="G44" s="217">
        <v>0</v>
      </c>
      <c r="H44" s="217">
        <v>0</v>
      </c>
      <c r="I44" s="217">
        <v>0</v>
      </c>
    </row>
    <row r="45" spans="1:9" x14ac:dyDescent="0.15">
      <c r="A45" s="1389" t="s">
        <v>3543</v>
      </c>
      <c r="B45" s="236">
        <f>+B46+B48</f>
        <v>192843242.97</v>
      </c>
      <c r="C45" s="236">
        <f t="shared" ref="C45:I45" si="20">+C46+C48</f>
        <v>5982992.4399999995</v>
      </c>
      <c r="D45" s="236">
        <f t="shared" si="20"/>
        <v>142112095.66000003</v>
      </c>
      <c r="E45" s="236">
        <f t="shared" si="20"/>
        <v>6773.6</v>
      </c>
      <c r="F45" s="236">
        <f t="shared" si="20"/>
        <v>0</v>
      </c>
      <c r="G45" s="236">
        <f t="shared" si="20"/>
        <v>32070</v>
      </c>
      <c r="H45" s="236">
        <f t="shared" si="20"/>
        <v>0</v>
      </c>
      <c r="I45" s="236">
        <f t="shared" si="20"/>
        <v>44709311.269999996</v>
      </c>
    </row>
    <row r="46" spans="1:9" x14ac:dyDescent="0.15">
      <c r="A46" s="1908" t="s">
        <v>4050</v>
      </c>
      <c r="B46" s="236">
        <f>SUM(B47)</f>
        <v>4240818</v>
      </c>
      <c r="C46" s="236">
        <f t="shared" ref="C46:I46" si="21">SUM(C47)</f>
        <v>0</v>
      </c>
      <c r="D46" s="236">
        <f t="shared" si="21"/>
        <v>4240818</v>
      </c>
      <c r="E46" s="236">
        <f t="shared" si="21"/>
        <v>0</v>
      </c>
      <c r="F46" s="236">
        <f t="shared" si="21"/>
        <v>0</v>
      </c>
      <c r="G46" s="236">
        <f t="shared" si="21"/>
        <v>0</v>
      </c>
      <c r="H46" s="236">
        <f t="shared" si="21"/>
        <v>0</v>
      </c>
      <c r="I46" s="236">
        <f t="shared" si="21"/>
        <v>0</v>
      </c>
    </row>
    <row r="47" spans="1:9" x14ac:dyDescent="0.15">
      <c r="A47" s="1909" t="s">
        <v>4112</v>
      </c>
      <c r="B47" s="217">
        <f>+SUM(C47:I47)</f>
        <v>4240818</v>
      </c>
      <c r="C47" s="217">
        <v>0</v>
      </c>
      <c r="D47" s="217">
        <v>4240818</v>
      </c>
      <c r="E47" s="217">
        <v>0</v>
      </c>
      <c r="F47" s="217">
        <v>0</v>
      </c>
      <c r="G47" s="217">
        <v>0</v>
      </c>
      <c r="H47" s="217">
        <v>0</v>
      </c>
      <c r="I47" s="217">
        <v>0</v>
      </c>
    </row>
    <row r="48" spans="1:9" x14ac:dyDescent="0.15">
      <c r="A48" s="1908" t="s">
        <v>2898</v>
      </c>
      <c r="B48" s="236">
        <f>SUM(B49:B63)</f>
        <v>188602424.97</v>
      </c>
      <c r="C48" s="236">
        <f t="shared" ref="C48:I48" si="22">SUM(C49:C63)</f>
        <v>5982992.4399999995</v>
      </c>
      <c r="D48" s="236">
        <f t="shared" si="22"/>
        <v>137871277.66000003</v>
      </c>
      <c r="E48" s="236">
        <f t="shared" si="22"/>
        <v>6773.6</v>
      </c>
      <c r="F48" s="236">
        <f t="shared" si="22"/>
        <v>0</v>
      </c>
      <c r="G48" s="236">
        <f t="shared" si="22"/>
        <v>32070</v>
      </c>
      <c r="H48" s="236">
        <f t="shared" si="22"/>
        <v>0</v>
      </c>
      <c r="I48" s="236">
        <f t="shared" si="22"/>
        <v>44709311.269999996</v>
      </c>
    </row>
    <row r="49" spans="1:9" x14ac:dyDescent="0.15">
      <c r="A49" s="1909" t="s">
        <v>4113</v>
      </c>
      <c r="B49" s="217">
        <f>+SUM(C49:I49)</f>
        <v>2880302.5</v>
      </c>
      <c r="C49" s="217">
        <v>0</v>
      </c>
      <c r="D49" s="217">
        <v>2880302.5</v>
      </c>
      <c r="E49" s="217">
        <v>0</v>
      </c>
      <c r="F49" s="217">
        <v>0</v>
      </c>
      <c r="G49" s="217">
        <v>0</v>
      </c>
      <c r="H49" s="217">
        <v>0</v>
      </c>
      <c r="I49" s="217">
        <v>0</v>
      </c>
    </row>
    <row r="50" spans="1:9" ht="21" x14ac:dyDescent="0.15">
      <c r="A50" s="1909" t="s">
        <v>4114</v>
      </c>
      <c r="B50" s="217">
        <f t="shared" ref="B50:B63" si="23">+SUM(C50:I50)</f>
        <v>1527639.47</v>
      </c>
      <c r="C50" s="217">
        <v>1135.32</v>
      </c>
      <c r="D50" s="217">
        <v>1477507.21</v>
      </c>
      <c r="E50" s="217">
        <v>0</v>
      </c>
      <c r="F50" s="217">
        <v>0</v>
      </c>
      <c r="G50" s="217">
        <v>0</v>
      </c>
      <c r="H50" s="217">
        <v>0</v>
      </c>
      <c r="I50" s="217">
        <v>48996.94</v>
      </c>
    </row>
    <row r="51" spans="1:9" ht="21" x14ac:dyDescent="0.15">
      <c r="A51" s="1909" t="s">
        <v>4115</v>
      </c>
      <c r="B51" s="217">
        <f t="shared" si="23"/>
        <v>32485289.470000006</v>
      </c>
      <c r="C51" s="217">
        <v>457036.66000000003</v>
      </c>
      <c r="D51" s="217">
        <v>31991977.210000005</v>
      </c>
      <c r="E51" s="217">
        <v>6773.6</v>
      </c>
      <c r="F51" s="217">
        <v>0</v>
      </c>
      <c r="G51" s="217">
        <v>0</v>
      </c>
      <c r="H51" s="217">
        <v>0</v>
      </c>
      <c r="I51" s="217">
        <v>29502</v>
      </c>
    </row>
    <row r="52" spans="1:9" x14ac:dyDescent="0.15">
      <c r="A52" s="1909" t="s">
        <v>4116</v>
      </c>
      <c r="B52" s="217">
        <f t="shared" si="23"/>
        <v>15975740.920000002</v>
      </c>
      <c r="C52" s="217">
        <v>3148983.52</v>
      </c>
      <c r="D52" s="217">
        <v>12826757.400000002</v>
      </c>
      <c r="E52" s="217">
        <v>0</v>
      </c>
      <c r="F52" s="217">
        <v>0</v>
      </c>
      <c r="G52" s="217">
        <v>0</v>
      </c>
      <c r="H52" s="217">
        <v>0</v>
      </c>
      <c r="I52" s="217">
        <v>0</v>
      </c>
    </row>
    <row r="53" spans="1:9" ht="21" x14ac:dyDescent="0.15">
      <c r="A53" s="1909" t="s">
        <v>4117</v>
      </c>
      <c r="B53" s="217">
        <f t="shared" si="23"/>
        <v>3332215.88</v>
      </c>
      <c r="C53" s="217">
        <v>0</v>
      </c>
      <c r="D53" s="217">
        <v>3279270.88</v>
      </c>
      <c r="E53" s="217">
        <v>0</v>
      </c>
      <c r="F53" s="217">
        <v>0</v>
      </c>
      <c r="G53" s="217">
        <v>32070</v>
      </c>
      <c r="H53" s="217">
        <v>0</v>
      </c>
      <c r="I53" s="217">
        <v>20875</v>
      </c>
    </row>
    <row r="54" spans="1:9" x14ac:dyDescent="0.15">
      <c r="A54" s="1909" t="s">
        <v>4118</v>
      </c>
      <c r="B54" s="217">
        <f t="shared" si="23"/>
        <v>937</v>
      </c>
      <c r="C54" s="217">
        <v>0</v>
      </c>
      <c r="D54" s="217">
        <v>937</v>
      </c>
      <c r="E54" s="217">
        <v>0</v>
      </c>
      <c r="F54" s="217">
        <v>0</v>
      </c>
      <c r="G54" s="217">
        <v>0</v>
      </c>
      <c r="H54" s="217">
        <v>0</v>
      </c>
      <c r="I54" s="217">
        <v>0</v>
      </c>
    </row>
    <row r="55" spans="1:9" x14ac:dyDescent="0.15">
      <c r="A55" s="1909" t="s">
        <v>4119</v>
      </c>
      <c r="B55" s="217">
        <f t="shared" si="23"/>
        <v>1646057.78</v>
      </c>
      <c r="C55" s="217">
        <v>0</v>
      </c>
      <c r="D55" s="217">
        <v>1501166.78</v>
      </c>
      <c r="E55" s="217">
        <v>0</v>
      </c>
      <c r="F55" s="217">
        <v>0</v>
      </c>
      <c r="G55" s="217">
        <v>0</v>
      </c>
      <c r="H55" s="217">
        <v>0</v>
      </c>
      <c r="I55" s="217">
        <v>144891</v>
      </c>
    </row>
    <row r="56" spans="1:9" x14ac:dyDescent="0.15">
      <c r="A56" s="1909" t="s">
        <v>4120</v>
      </c>
      <c r="B56" s="217">
        <f t="shared" si="23"/>
        <v>32964915.610000003</v>
      </c>
      <c r="C56" s="217">
        <v>2236918.44</v>
      </c>
      <c r="D56" s="217">
        <v>30588863.960000001</v>
      </c>
      <c r="E56" s="217">
        <v>0</v>
      </c>
      <c r="F56" s="217">
        <v>0</v>
      </c>
      <c r="G56" s="217">
        <v>0</v>
      </c>
      <c r="H56" s="217">
        <v>0</v>
      </c>
      <c r="I56" s="217">
        <v>139133.21</v>
      </c>
    </row>
    <row r="57" spans="1:9" ht="21" x14ac:dyDescent="0.15">
      <c r="A57" s="1909" t="s">
        <v>4121</v>
      </c>
      <c r="B57" s="217">
        <f t="shared" si="23"/>
        <v>115983.67</v>
      </c>
      <c r="C57" s="217">
        <v>78093</v>
      </c>
      <c r="D57" s="217">
        <v>37890.67</v>
      </c>
      <c r="E57" s="217">
        <v>0</v>
      </c>
      <c r="F57" s="217">
        <v>0</v>
      </c>
      <c r="G57" s="217">
        <v>0</v>
      </c>
      <c r="H57" s="217">
        <v>0</v>
      </c>
      <c r="I57" s="217">
        <v>0</v>
      </c>
    </row>
    <row r="58" spans="1:9" ht="31.5" x14ac:dyDescent="0.15">
      <c r="A58" s="1909" t="s">
        <v>4122</v>
      </c>
      <c r="B58" s="217">
        <f t="shared" si="23"/>
        <v>17380297.359999999</v>
      </c>
      <c r="C58" s="217">
        <v>0</v>
      </c>
      <c r="D58" s="217">
        <v>16319448.26</v>
      </c>
      <c r="E58" s="217">
        <v>0</v>
      </c>
      <c r="F58" s="217">
        <v>0</v>
      </c>
      <c r="G58" s="217">
        <v>0</v>
      </c>
      <c r="H58" s="217">
        <v>0</v>
      </c>
      <c r="I58" s="217">
        <v>1060849.1000000001</v>
      </c>
    </row>
    <row r="59" spans="1:9" ht="21" x14ac:dyDescent="0.15">
      <c r="A59" s="1909" t="s">
        <v>4123</v>
      </c>
      <c r="B59" s="217">
        <f t="shared" si="23"/>
        <v>15912526.43</v>
      </c>
      <c r="C59" s="217">
        <v>42825.5</v>
      </c>
      <c r="D59" s="217">
        <v>15869700.93</v>
      </c>
      <c r="E59" s="217">
        <v>0</v>
      </c>
      <c r="F59" s="217">
        <v>0</v>
      </c>
      <c r="G59" s="217">
        <v>0</v>
      </c>
      <c r="H59" s="217">
        <v>0</v>
      </c>
      <c r="I59" s="217">
        <v>0</v>
      </c>
    </row>
    <row r="60" spans="1:9" ht="21" x14ac:dyDescent="0.15">
      <c r="A60" s="1909" t="s">
        <v>4124</v>
      </c>
      <c r="B60" s="217">
        <f t="shared" si="23"/>
        <v>14269717.99</v>
      </c>
      <c r="C60" s="217">
        <v>18000</v>
      </c>
      <c r="D60" s="217">
        <v>14069136.630000001</v>
      </c>
      <c r="E60" s="217">
        <v>0</v>
      </c>
      <c r="F60" s="217">
        <v>0</v>
      </c>
      <c r="G60" s="217">
        <v>0</v>
      </c>
      <c r="H60" s="217">
        <v>0</v>
      </c>
      <c r="I60" s="217">
        <v>182581.36</v>
      </c>
    </row>
    <row r="61" spans="1:9" ht="21" x14ac:dyDescent="0.15">
      <c r="A61" s="1909" t="s">
        <v>4127</v>
      </c>
      <c r="B61" s="217">
        <f t="shared" si="23"/>
        <v>6883427.9300000006</v>
      </c>
      <c r="C61" s="217">
        <v>0</v>
      </c>
      <c r="D61" s="217">
        <v>6883427.9300000006</v>
      </c>
      <c r="E61" s="217">
        <v>0</v>
      </c>
      <c r="F61" s="217">
        <v>0</v>
      </c>
      <c r="G61" s="217">
        <v>0</v>
      </c>
      <c r="H61" s="217">
        <v>0</v>
      </c>
      <c r="I61" s="217">
        <v>0</v>
      </c>
    </row>
    <row r="62" spans="1:9" x14ac:dyDescent="0.15">
      <c r="A62" s="1909" t="s">
        <v>4129</v>
      </c>
      <c r="B62" s="217">
        <f t="shared" si="23"/>
        <v>43141793.489999995</v>
      </c>
      <c r="C62" s="217">
        <v>0</v>
      </c>
      <c r="D62" s="217">
        <v>59310.83</v>
      </c>
      <c r="E62" s="217">
        <v>0</v>
      </c>
      <c r="F62" s="217">
        <v>0</v>
      </c>
      <c r="G62" s="217">
        <v>0</v>
      </c>
      <c r="H62" s="217">
        <v>0</v>
      </c>
      <c r="I62" s="217">
        <v>43082482.659999996</v>
      </c>
    </row>
    <row r="63" spans="1:9" ht="21" x14ac:dyDescent="0.15">
      <c r="A63" s="1909" t="s">
        <v>4130</v>
      </c>
      <c r="B63" s="217">
        <f t="shared" si="23"/>
        <v>85579.47</v>
      </c>
      <c r="C63" s="217">
        <v>0</v>
      </c>
      <c r="D63" s="217">
        <v>85579.47</v>
      </c>
      <c r="E63" s="217">
        <v>0</v>
      </c>
      <c r="F63" s="217">
        <v>0</v>
      </c>
      <c r="G63" s="217">
        <v>0</v>
      </c>
      <c r="H63" s="217">
        <v>0</v>
      </c>
      <c r="I63" s="217">
        <v>0</v>
      </c>
    </row>
    <row r="65" spans="1:10" ht="30" customHeight="1" x14ac:dyDescent="0.15">
      <c r="A65" s="3522" t="s">
        <v>4043</v>
      </c>
      <c r="B65" s="3522"/>
      <c r="C65" s="3522"/>
      <c r="D65" s="3522"/>
      <c r="E65" s="3522"/>
      <c r="F65" s="3522"/>
      <c r="G65" s="3522"/>
      <c r="H65" s="3522"/>
      <c r="I65" s="3522"/>
      <c r="J65" s="1483"/>
    </row>
    <row r="66" spans="1:10" x14ac:dyDescent="0.15">
      <c r="A66" s="3528" t="s">
        <v>20</v>
      </c>
      <c r="B66" s="3528"/>
      <c r="C66" s="3528"/>
      <c r="D66" s="3528"/>
      <c r="E66" s="3528"/>
      <c r="F66" s="3528"/>
    </row>
    <row r="67" spans="1:10" x14ac:dyDescent="0.15">
      <c r="A67" s="3529" t="s">
        <v>1183</v>
      </c>
      <c r="B67" s="3529"/>
      <c r="C67" s="3529"/>
      <c r="D67" s="3529"/>
      <c r="E67" s="3529"/>
      <c r="F67" s="3529"/>
    </row>
  </sheetData>
  <mergeCells count="7">
    <mergeCell ref="A67:F67"/>
    <mergeCell ref="A2:I2"/>
    <mergeCell ref="A4:A5"/>
    <mergeCell ref="B4:B5"/>
    <mergeCell ref="C4:I4"/>
    <mergeCell ref="A65:I65"/>
    <mergeCell ref="A66:F66"/>
  </mergeCells>
  <pageMargins left="0.7" right="0.7" top="0.75" bottom="0.75" header="0.3" footer="0.3"/>
  <pageSetup paperSize="9" orientation="portrait" verticalDpi="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3">
    <pageSetUpPr fitToPage="1"/>
  </sheetPr>
  <dimension ref="A1:E81"/>
  <sheetViews>
    <sheetView zoomScale="90" zoomScaleNormal="90" workbookViewId="0">
      <selection activeCell="G55" sqref="G55"/>
    </sheetView>
  </sheetViews>
  <sheetFormatPr baseColWidth="10" defaultColWidth="11.5703125" defaultRowHeight="10.5" x14ac:dyDescent="0.15"/>
  <cols>
    <col min="1" max="1" width="23.7109375" style="179" customWidth="1"/>
    <col min="2" max="2" width="69.140625" style="179" customWidth="1"/>
    <col min="3" max="3" width="21.85546875" style="1983" customWidth="1"/>
    <col min="4" max="4" width="13.28515625" style="179" customWidth="1"/>
    <col min="5" max="16384" width="11.5703125" style="179"/>
  </cols>
  <sheetData>
    <row r="1" spans="1:5" ht="11.25" customHeight="1" x14ac:dyDescent="0.15"/>
    <row r="2" spans="1:5" ht="17.25" customHeight="1" x14ac:dyDescent="0.15">
      <c r="A2" s="3539" t="s">
        <v>3553</v>
      </c>
      <c r="B2" s="3539"/>
      <c r="C2" s="3539"/>
    </row>
    <row r="3" spans="1:5" ht="11.25" customHeight="1" thickBot="1" x14ac:dyDescent="0.2">
      <c r="A3" s="3540"/>
      <c r="B3" s="3540"/>
    </row>
    <row r="4" spans="1:5" ht="26.25" customHeight="1" x14ac:dyDescent="0.15">
      <c r="A4" s="3541" t="s">
        <v>3554</v>
      </c>
      <c r="B4" s="3542"/>
      <c r="C4" s="1695" t="s">
        <v>3555</v>
      </c>
    </row>
    <row r="5" spans="1:5" ht="12" customHeight="1" x14ac:dyDescent="0.15">
      <c r="A5" s="3543" t="s">
        <v>3556</v>
      </c>
      <c r="B5" s="3544"/>
      <c r="C5" s="1696">
        <v>39996703618.400002</v>
      </c>
    </row>
    <row r="6" spans="1:5" ht="12" customHeight="1" x14ac:dyDescent="0.15">
      <c r="A6" s="3543" t="s">
        <v>3557</v>
      </c>
      <c r="B6" s="3544"/>
      <c r="C6" s="1696">
        <f>C10</f>
        <v>147161836</v>
      </c>
      <c r="E6" s="1697"/>
    </row>
    <row r="7" spans="1:5" ht="12" customHeight="1" thickBot="1" x14ac:dyDescent="0.2">
      <c r="A7" s="3537" t="s">
        <v>3558</v>
      </c>
      <c r="B7" s="3538"/>
      <c r="C7" s="1698">
        <f>C6/C5</f>
        <v>3.6793491134679401E-3</v>
      </c>
      <c r="D7" s="218"/>
    </row>
    <row r="8" spans="1:5" ht="6" customHeight="1" x14ac:dyDescent="0.15"/>
    <row r="9" spans="1:5" ht="42" customHeight="1" x14ac:dyDescent="0.15">
      <c r="A9" s="254" t="s">
        <v>3559</v>
      </c>
      <c r="B9" s="254" t="s">
        <v>3560</v>
      </c>
      <c r="C9" s="1699" t="s">
        <v>3561</v>
      </c>
    </row>
    <row r="10" spans="1:5" ht="18.75" customHeight="1" x14ac:dyDescent="0.15">
      <c r="A10" s="3545" t="s">
        <v>3562</v>
      </c>
      <c r="B10" s="3546"/>
      <c r="C10" s="2021">
        <f>SUM(C11,C48)</f>
        <v>147161836</v>
      </c>
    </row>
    <row r="11" spans="1:5" ht="18.75" customHeight="1" x14ac:dyDescent="0.15">
      <c r="A11" s="3547" t="s">
        <v>3563</v>
      </c>
      <c r="B11" s="1700" t="s">
        <v>3564</v>
      </c>
      <c r="C11" s="1707">
        <f>SUM(C12,C42)</f>
        <v>98236398</v>
      </c>
    </row>
    <row r="12" spans="1:5" ht="11.25" customHeight="1" x14ac:dyDescent="0.15">
      <c r="A12" s="3548"/>
      <c r="B12" s="1701" t="s">
        <v>3565</v>
      </c>
      <c r="C12" s="1706">
        <f>SUM(C13:C41)</f>
        <v>67810925</v>
      </c>
    </row>
    <row r="13" spans="1:5" ht="11.25" customHeight="1" x14ac:dyDescent="0.15">
      <c r="A13" s="3548"/>
      <c r="B13" s="1702" t="s">
        <v>3566</v>
      </c>
      <c r="C13" s="1703">
        <v>670750</v>
      </c>
    </row>
    <row r="14" spans="1:5" ht="11.25" customHeight="1" x14ac:dyDescent="0.15">
      <c r="A14" s="3548"/>
      <c r="B14" s="1702" t="s">
        <v>3567</v>
      </c>
      <c r="C14" s="1703">
        <v>2630670</v>
      </c>
    </row>
    <row r="15" spans="1:5" ht="11.25" customHeight="1" x14ac:dyDescent="0.15">
      <c r="A15" s="3548"/>
      <c r="B15" s="1702" t="s">
        <v>3568</v>
      </c>
      <c r="C15" s="1703">
        <v>2430590</v>
      </c>
    </row>
    <row r="16" spans="1:5" ht="11.25" customHeight="1" x14ac:dyDescent="0.15">
      <c r="A16" s="3548"/>
      <c r="B16" s="1702" t="s">
        <v>3569</v>
      </c>
      <c r="C16" s="1703">
        <v>1687702</v>
      </c>
    </row>
    <row r="17" spans="1:4" ht="11.25" customHeight="1" x14ac:dyDescent="0.15">
      <c r="A17" s="3548"/>
      <c r="B17" s="1702" t="s">
        <v>3570</v>
      </c>
      <c r="C17" s="1703">
        <v>2522931</v>
      </c>
    </row>
    <row r="18" spans="1:4" ht="11.25" customHeight="1" x14ac:dyDescent="0.15">
      <c r="A18" s="3548"/>
      <c r="B18" s="1702" t="s">
        <v>3571</v>
      </c>
      <c r="C18" s="1703">
        <v>320913</v>
      </c>
    </row>
    <row r="19" spans="1:4" ht="11.25" customHeight="1" x14ac:dyDescent="0.15">
      <c r="A19" s="3548"/>
      <c r="B19" s="1702" t="s">
        <v>3572</v>
      </c>
      <c r="C19" s="1703">
        <v>871453</v>
      </c>
    </row>
    <row r="20" spans="1:4" ht="11.25" customHeight="1" x14ac:dyDescent="0.15">
      <c r="A20" s="3548"/>
      <c r="B20" s="1702" t="s">
        <v>3573</v>
      </c>
      <c r="C20" s="1703">
        <v>566500</v>
      </c>
      <c r="D20" s="1704"/>
    </row>
    <row r="21" spans="1:4" ht="11.25" customHeight="1" x14ac:dyDescent="0.15">
      <c r="A21" s="3548"/>
      <c r="B21" s="1702" t="s">
        <v>3574</v>
      </c>
      <c r="C21" s="1703">
        <v>14977</v>
      </c>
    </row>
    <row r="22" spans="1:4" ht="11.25" customHeight="1" x14ac:dyDescent="0.15">
      <c r="A22" s="3548"/>
      <c r="B22" s="1702" t="s">
        <v>3575</v>
      </c>
      <c r="C22" s="1703">
        <v>12900</v>
      </c>
    </row>
    <row r="23" spans="1:4" ht="11.25" customHeight="1" x14ac:dyDescent="0.15">
      <c r="A23" s="3548"/>
      <c r="B23" s="1705" t="s">
        <v>3576</v>
      </c>
      <c r="C23" s="1703">
        <v>284280</v>
      </c>
    </row>
    <row r="24" spans="1:4" ht="11.25" customHeight="1" x14ac:dyDescent="0.15">
      <c r="A24" s="3548"/>
      <c r="B24" s="1702" t="s">
        <v>3577</v>
      </c>
      <c r="C24" s="1703">
        <v>291490</v>
      </c>
    </row>
    <row r="25" spans="1:4" ht="11.25" customHeight="1" x14ac:dyDescent="0.15">
      <c r="A25" s="3548"/>
      <c r="B25" s="1702" t="s">
        <v>3578</v>
      </c>
      <c r="C25" s="1703">
        <v>1411651</v>
      </c>
      <c r="D25" s="1704"/>
    </row>
    <row r="26" spans="1:4" ht="11.25" customHeight="1" x14ac:dyDescent="0.15">
      <c r="A26" s="3548"/>
      <c r="B26" s="1702" t="s">
        <v>3579</v>
      </c>
      <c r="C26" s="1703">
        <v>917859</v>
      </c>
    </row>
    <row r="27" spans="1:4" ht="11.25" customHeight="1" x14ac:dyDescent="0.15">
      <c r="A27" s="3548"/>
      <c r="B27" s="1702" t="s">
        <v>3580</v>
      </c>
      <c r="C27" s="1703">
        <v>9158092</v>
      </c>
    </row>
    <row r="28" spans="1:4" ht="11.25" customHeight="1" x14ac:dyDescent="0.15">
      <c r="A28" s="3548"/>
      <c r="B28" s="1702" t="s">
        <v>3581</v>
      </c>
      <c r="C28" s="1703">
        <v>2496454</v>
      </c>
    </row>
    <row r="29" spans="1:4" ht="11.25" customHeight="1" x14ac:dyDescent="0.15">
      <c r="A29" s="3548"/>
      <c r="B29" s="1702" t="s">
        <v>3582</v>
      </c>
      <c r="C29" s="1703">
        <v>1124684</v>
      </c>
    </row>
    <row r="30" spans="1:4" ht="11.25" customHeight="1" x14ac:dyDescent="0.15">
      <c r="A30" s="3548"/>
      <c r="B30" s="1702" t="s">
        <v>3583</v>
      </c>
      <c r="C30" s="1703">
        <v>515000</v>
      </c>
    </row>
    <row r="31" spans="1:4" ht="11.25" customHeight="1" x14ac:dyDescent="0.15">
      <c r="A31" s="3548"/>
      <c r="B31" s="1702" t="s">
        <v>3584</v>
      </c>
      <c r="C31" s="1703">
        <v>3553501</v>
      </c>
    </row>
    <row r="32" spans="1:4" ht="11.25" customHeight="1" x14ac:dyDescent="0.15">
      <c r="A32" s="3548"/>
      <c r="B32" s="1702" t="s">
        <v>3585</v>
      </c>
      <c r="C32" s="1703">
        <v>2442734</v>
      </c>
    </row>
    <row r="33" spans="1:4" ht="11.25" customHeight="1" x14ac:dyDescent="0.15">
      <c r="A33" s="3548"/>
      <c r="B33" s="1702" t="s">
        <v>3586</v>
      </c>
      <c r="C33" s="1703">
        <v>1030000</v>
      </c>
    </row>
    <row r="34" spans="1:4" ht="11.25" customHeight="1" x14ac:dyDescent="0.15">
      <c r="A34" s="3548"/>
      <c r="B34" s="1702" t="s">
        <v>3587</v>
      </c>
      <c r="C34" s="1703">
        <v>2105011</v>
      </c>
    </row>
    <row r="35" spans="1:4" ht="11.25" customHeight="1" x14ac:dyDescent="0.15">
      <c r="A35" s="3548"/>
      <c r="B35" s="1702" t="s">
        <v>3588</v>
      </c>
      <c r="C35" s="1703">
        <v>1184500</v>
      </c>
    </row>
    <row r="36" spans="1:4" ht="11.25" customHeight="1" x14ac:dyDescent="0.15">
      <c r="A36" s="3548"/>
      <c r="B36" s="1702" t="s">
        <v>3589</v>
      </c>
      <c r="C36" s="1703">
        <v>2523471</v>
      </c>
    </row>
    <row r="37" spans="1:4" ht="11.25" customHeight="1" x14ac:dyDescent="0.15">
      <c r="A37" s="3548"/>
      <c r="B37" s="1702" t="s">
        <v>3590</v>
      </c>
      <c r="C37" s="1703">
        <v>3605000</v>
      </c>
    </row>
    <row r="38" spans="1:4" x14ac:dyDescent="0.15">
      <c r="A38" s="3548"/>
      <c r="B38" s="1702" t="s">
        <v>3591</v>
      </c>
      <c r="C38" s="1703">
        <v>1030000</v>
      </c>
    </row>
    <row r="39" spans="1:4" ht="11.25" customHeight="1" x14ac:dyDescent="0.15">
      <c r="A39" s="3548"/>
      <c r="B39" s="1702" t="s">
        <v>3592</v>
      </c>
      <c r="C39" s="1703">
        <v>5369920</v>
      </c>
    </row>
    <row r="40" spans="1:4" ht="11.25" customHeight="1" x14ac:dyDescent="0.15">
      <c r="A40" s="3548"/>
      <c r="B40" s="1702" t="s">
        <v>3593</v>
      </c>
      <c r="C40" s="1703">
        <v>15984307</v>
      </c>
      <c r="D40" s="1704"/>
    </row>
    <row r="41" spans="1:4" ht="21.75" x14ac:dyDescent="0.15">
      <c r="A41" s="3548"/>
      <c r="B41" s="1702" t="s">
        <v>3594</v>
      </c>
      <c r="C41" s="1703">
        <v>1053585</v>
      </c>
      <c r="D41" s="1704"/>
    </row>
    <row r="42" spans="1:4" ht="11.25" customHeight="1" x14ac:dyDescent="0.15">
      <c r="A42" s="3548"/>
      <c r="B42" s="1701" t="s">
        <v>3595</v>
      </c>
      <c r="C42" s="1706">
        <f>SUM(C43:C47)</f>
        <v>30425473</v>
      </c>
    </row>
    <row r="43" spans="1:4" ht="11.25" customHeight="1" x14ac:dyDescent="0.15">
      <c r="A43" s="3548"/>
      <c r="B43" s="1702" t="s">
        <v>3596</v>
      </c>
      <c r="C43" s="1703">
        <v>5424838</v>
      </c>
    </row>
    <row r="44" spans="1:4" ht="11.25" customHeight="1" x14ac:dyDescent="0.15">
      <c r="A44" s="3548"/>
      <c r="B44" s="1702" t="s">
        <v>3597</v>
      </c>
      <c r="C44" s="1703">
        <v>11258345</v>
      </c>
    </row>
    <row r="45" spans="1:4" ht="11.25" customHeight="1" x14ac:dyDescent="0.15">
      <c r="A45" s="3548"/>
      <c r="B45" s="1702" t="s">
        <v>3598</v>
      </c>
      <c r="C45" s="1703">
        <v>4555894</v>
      </c>
    </row>
    <row r="46" spans="1:4" ht="11.25" customHeight="1" x14ac:dyDescent="0.15">
      <c r="A46" s="3548"/>
      <c r="B46" s="1702" t="s">
        <v>3599</v>
      </c>
      <c r="C46" s="1703">
        <v>6732756</v>
      </c>
      <c r="D46" s="1704"/>
    </row>
    <row r="47" spans="1:4" ht="11.25" customHeight="1" x14ac:dyDescent="0.15">
      <c r="A47" s="3549"/>
      <c r="B47" s="1702" t="s">
        <v>3600</v>
      </c>
      <c r="C47" s="1703">
        <v>2453640</v>
      </c>
      <c r="D47" s="1704"/>
    </row>
    <row r="48" spans="1:4" ht="27.75" customHeight="1" x14ac:dyDescent="0.15">
      <c r="A48" s="3550" t="s">
        <v>3601</v>
      </c>
      <c r="B48" s="2291" t="s">
        <v>3602</v>
      </c>
      <c r="C48" s="1707">
        <f>SUM(C49,C61,C62)</f>
        <v>48925438</v>
      </c>
    </row>
    <row r="49" spans="1:4" ht="11.25" customHeight="1" x14ac:dyDescent="0.15">
      <c r="A49" s="3551"/>
      <c r="B49" s="1701" t="s">
        <v>3603</v>
      </c>
      <c r="C49" s="1706">
        <f>SUM(C50:C60)</f>
        <v>41638092</v>
      </c>
    </row>
    <row r="50" spans="1:4" ht="11.25" customHeight="1" x14ac:dyDescent="0.15">
      <c r="A50" s="3551"/>
      <c r="B50" s="1702" t="s">
        <v>3604</v>
      </c>
      <c r="C50" s="1703">
        <v>248622</v>
      </c>
    </row>
    <row r="51" spans="1:4" ht="11.25" customHeight="1" x14ac:dyDescent="0.15">
      <c r="A51" s="3551"/>
      <c r="B51" s="1702" t="s">
        <v>3605</v>
      </c>
      <c r="C51" s="1703">
        <v>447260</v>
      </c>
    </row>
    <row r="52" spans="1:4" ht="11.25" customHeight="1" x14ac:dyDescent="0.15">
      <c r="A52" s="3551"/>
      <c r="B52" s="1702" t="s">
        <v>3606</v>
      </c>
      <c r="C52" s="1703">
        <v>142234</v>
      </c>
    </row>
    <row r="53" spans="1:4" ht="11.25" customHeight="1" x14ac:dyDescent="0.15">
      <c r="A53" s="3551"/>
      <c r="B53" s="1702" t="s">
        <v>3607</v>
      </c>
      <c r="C53" s="1703">
        <v>251109</v>
      </c>
    </row>
    <row r="54" spans="1:4" ht="11.25" customHeight="1" x14ac:dyDescent="0.15">
      <c r="A54" s="3551"/>
      <c r="B54" s="1702" t="s">
        <v>3608</v>
      </c>
      <c r="C54" s="1703">
        <v>67228</v>
      </c>
    </row>
    <row r="55" spans="1:4" ht="11.25" customHeight="1" x14ac:dyDescent="0.15">
      <c r="A55" s="3551"/>
      <c r="B55" s="1702" t="s">
        <v>3609</v>
      </c>
      <c r="C55" s="1703">
        <v>103000</v>
      </c>
    </row>
    <row r="56" spans="1:4" ht="11.25" customHeight="1" x14ac:dyDescent="0.15">
      <c r="A56" s="3551"/>
      <c r="B56" s="1702" t="s">
        <v>3610</v>
      </c>
      <c r="C56" s="1703">
        <v>23203</v>
      </c>
    </row>
    <row r="57" spans="1:4" ht="11.25" customHeight="1" x14ac:dyDescent="0.15">
      <c r="A57" s="3551"/>
      <c r="B57" s="1702" t="s">
        <v>3611</v>
      </c>
      <c r="C57" s="1703">
        <v>1581104</v>
      </c>
    </row>
    <row r="58" spans="1:4" ht="11.25" customHeight="1" x14ac:dyDescent="0.15">
      <c r="A58" s="3551"/>
      <c r="B58" s="1708" t="s">
        <v>3612</v>
      </c>
      <c r="C58" s="1703">
        <v>5351955</v>
      </c>
    </row>
    <row r="59" spans="1:4" ht="11.25" customHeight="1" x14ac:dyDescent="0.15">
      <c r="A59" s="3551"/>
      <c r="B59" s="1708" t="s">
        <v>3613</v>
      </c>
      <c r="C59" s="1703">
        <v>560155</v>
      </c>
      <c r="D59" s="1704"/>
    </row>
    <row r="60" spans="1:4" ht="11.25" customHeight="1" x14ac:dyDescent="0.15">
      <c r="A60" s="3551"/>
      <c r="B60" s="1708" t="s">
        <v>3614</v>
      </c>
      <c r="C60" s="1703">
        <v>32862222</v>
      </c>
      <c r="D60" s="1704"/>
    </row>
    <row r="61" spans="1:4" ht="11.25" customHeight="1" x14ac:dyDescent="0.15">
      <c r="A61" s="3551"/>
      <c r="B61" s="1701" t="s">
        <v>3615</v>
      </c>
      <c r="C61" s="1706">
        <v>4799768</v>
      </c>
    </row>
    <row r="62" spans="1:4" ht="11.25" customHeight="1" x14ac:dyDescent="0.15">
      <c r="A62" s="3552"/>
      <c r="B62" s="1701" t="s">
        <v>3616</v>
      </c>
      <c r="C62" s="1706">
        <v>2487578</v>
      </c>
    </row>
    <row r="63" spans="1:4" ht="13.5" customHeight="1" x14ac:dyDescent="0.15">
      <c r="A63" s="2193"/>
      <c r="B63" s="2193"/>
      <c r="C63" s="2193"/>
      <c r="D63" s="2193"/>
    </row>
    <row r="64" spans="1:4" ht="21" customHeight="1" x14ac:dyDescent="0.15">
      <c r="A64" s="3553" t="s">
        <v>3617</v>
      </c>
      <c r="B64" s="3553"/>
      <c r="C64" s="3553"/>
      <c r="D64" s="2193"/>
    </row>
    <row r="65" spans="1:4" ht="15" customHeight="1" x14ac:dyDescent="0.15">
      <c r="A65" s="3553" t="s">
        <v>3618</v>
      </c>
      <c r="B65" s="3553"/>
      <c r="C65" s="3553"/>
      <c r="D65" s="2193"/>
    </row>
    <row r="66" spans="1:4" ht="15" customHeight="1" x14ac:dyDescent="0.15">
      <c r="A66" s="2537" t="s">
        <v>3619</v>
      </c>
      <c r="B66" s="2537"/>
      <c r="C66" s="2537"/>
      <c r="D66" s="2193"/>
    </row>
    <row r="67" spans="1:4" ht="15" customHeight="1" x14ac:dyDescent="0.15">
      <c r="A67" s="2537" t="s">
        <v>3620</v>
      </c>
      <c r="B67" s="2537"/>
      <c r="C67" s="2537"/>
      <c r="D67" s="2193"/>
    </row>
    <row r="68" spans="1:4" ht="21" customHeight="1" x14ac:dyDescent="0.15">
      <c r="A68" s="3553" t="s">
        <v>3621</v>
      </c>
      <c r="B68" s="3553"/>
      <c r="C68" s="3553"/>
      <c r="D68" s="2193"/>
    </row>
    <row r="69" spans="1:4" ht="15.75" customHeight="1" x14ac:dyDescent="0.15">
      <c r="A69" s="2537" t="s">
        <v>3622</v>
      </c>
      <c r="B69" s="2537"/>
      <c r="C69" s="2537"/>
      <c r="D69" s="2193"/>
    </row>
    <row r="70" spans="1:4" ht="16.5" customHeight="1" x14ac:dyDescent="0.15">
      <c r="A70" s="2537" t="s">
        <v>3623</v>
      </c>
      <c r="B70" s="2537"/>
      <c r="C70" s="2537"/>
      <c r="D70" s="2193"/>
    </row>
    <row r="71" spans="1:4" ht="21" customHeight="1" x14ac:dyDescent="0.15">
      <c r="A71" s="3442" t="s">
        <v>3624</v>
      </c>
      <c r="B71" s="3442"/>
      <c r="C71" s="3442"/>
      <c r="D71" s="2193"/>
    </row>
    <row r="72" spans="1:4" x14ac:dyDescent="0.15">
      <c r="A72" s="2533" t="s">
        <v>3625</v>
      </c>
      <c r="B72" s="2533"/>
      <c r="C72" s="2533"/>
      <c r="D72" s="2193"/>
    </row>
    <row r="73" spans="1:4" x14ac:dyDescent="0.15">
      <c r="A73" s="2193"/>
      <c r="B73" s="2193"/>
      <c r="C73" s="2193"/>
      <c r="D73" s="2193"/>
    </row>
    <row r="74" spans="1:4" x14ac:dyDescent="0.15">
      <c r="A74" s="2193"/>
      <c r="B74" s="2193"/>
      <c r="C74" s="2193"/>
      <c r="D74" s="2193"/>
    </row>
    <row r="75" spans="1:4" x14ac:dyDescent="0.15">
      <c r="A75" s="2193"/>
      <c r="B75" s="2193"/>
      <c r="C75" s="2193"/>
      <c r="D75" s="2193"/>
    </row>
    <row r="76" spans="1:4" x14ac:dyDescent="0.15">
      <c r="A76" s="2193"/>
      <c r="B76" s="2193"/>
      <c r="C76" s="2193"/>
      <c r="D76" s="2193"/>
    </row>
    <row r="77" spans="1:4" x14ac:dyDescent="0.15">
      <c r="A77" s="2193"/>
      <c r="B77" s="2193"/>
      <c r="C77" s="2193"/>
      <c r="D77" s="2193"/>
    </row>
    <row r="78" spans="1:4" x14ac:dyDescent="0.15">
      <c r="A78" s="2193"/>
      <c r="B78" s="2193"/>
      <c r="C78" s="2193"/>
      <c r="D78" s="2193"/>
    </row>
    <row r="79" spans="1:4" x14ac:dyDescent="0.15">
      <c r="A79" s="2193"/>
      <c r="B79" s="2193"/>
      <c r="C79" s="2193"/>
      <c r="D79" s="2193"/>
    </row>
    <row r="80" spans="1:4" x14ac:dyDescent="0.15">
      <c r="A80" s="2193"/>
      <c r="B80" s="2193"/>
      <c r="C80" s="2193"/>
      <c r="D80" s="2193"/>
    </row>
    <row r="81" spans="1:4" x14ac:dyDescent="0.15">
      <c r="A81" s="2193"/>
      <c r="B81" s="2193"/>
      <c r="C81" s="2193"/>
      <c r="D81" s="2193"/>
    </row>
  </sheetData>
  <mergeCells count="18">
    <mergeCell ref="A72:C72"/>
    <mergeCell ref="A10:B10"/>
    <mergeCell ref="A11:A47"/>
    <mergeCell ref="A48:A62"/>
    <mergeCell ref="A64:C64"/>
    <mergeCell ref="A65:C65"/>
    <mergeCell ref="A66:C66"/>
    <mergeCell ref="A67:C67"/>
    <mergeCell ref="A68:C68"/>
    <mergeCell ref="A69:C69"/>
    <mergeCell ref="A70:C70"/>
    <mergeCell ref="A71:C71"/>
    <mergeCell ref="A7:B7"/>
    <mergeCell ref="A2:C2"/>
    <mergeCell ref="A3:B3"/>
    <mergeCell ref="A4:B4"/>
    <mergeCell ref="A5:B5"/>
    <mergeCell ref="A6:B6"/>
  </mergeCells>
  <pageMargins left="0.70866141732283472" right="0.70866141732283472" top="0.74803149606299213" bottom="0.74803149606299213" header="0.31496062992125984" footer="0.31496062992125984"/>
  <pageSetup paperSize="281" scale="54" orientation="portrait"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4">
    <pageSetUpPr fitToPage="1"/>
  </sheetPr>
  <dimension ref="A1:C58"/>
  <sheetViews>
    <sheetView zoomScaleNormal="100" workbookViewId="0">
      <selection activeCell="B21" sqref="B21"/>
    </sheetView>
  </sheetViews>
  <sheetFormatPr baseColWidth="10" defaultRowHeight="10.5" x14ac:dyDescent="0.15"/>
  <cols>
    <col min="1" max="1" width="39.28515625" style="2195" customWidth="1"/>
    <col min="2" max="2" width="41.7109375" style="2195" customWidth="1"/>
    <col min="3" max="3" width="31.5703125" style="2195" customWidth="1"/>
    <col min="4" max="16384" width="11.42578125" style="2195"/>
  </cols>
  <sheetData>
    <row r="1" spans="1:3" ht="15" customHeight="1" x14ac:dyDescent="0.15"/>
    <row r="2" spans="1:3" ht="22.5" customHeight="1" x14ac:dyDescent="0.15">
      <c r="A2" s="3556" t="s">
        <v>3626</v>
      </c>
      <c r="B2" s="3557"/>
      <c r="C2" s="3557"/>
    </row>
    <row r="3" spans="1:3" ht="11.25" thickBot="1" x14ac:dyDescent="0.2">
      <c r="A3" s="3558"/>
      <c r="B3" s="3557"/>
    </row>
    <row r="4" spans="1:3" ht="18.75" customHeight="1" x14ac:dyDescent="0.15">
      <c r="A4" s="3559" t="s">
        <v>3554</v>
      </c>
      <c r="B4" s="3560"/>
      <c r="C4" s="1709" t="s">
        <v>3555</v>
      </c>
    </row>
    <row r="5" spans="1:3" ht="12" customHeight="1" x14ac:dyDescent="0.15">
      <c r="A5" s="3554" t="s">
        <v>3627</v>
      </c>
      <c r="B5" s="3555"/>
      <c r="C5" s="1710">
        <v>39996703618.400002</v>
      </c>
    </row>
    <row r="6" spans="1:3" ht="12" customHeight="1" x14ac:dyDescent="0.15">
      <c r="A6" s="3554" t="s">
        <v>3628</v>
      </c>
      <c r="B6" s="3555"/>
      <c r="C6" s="1711">
        <v>7605054</v>
      </c>
    </row>
    <row r="7" spans="1:3" ht="12" customHeight="1" x14ac:dyDescent="0.15">
      <c r="A7" s="3554" t="s">
        <v>3629</v>
      </c>
      <c r="B7" s="3555"/>
      <c r="C7" s="1712">
        <f>C6/C5</f>
        <v>1.90142019516363E-4</v>
      </c>
    </row>
    <row r="8" spans="1:3" ht="18.75" customHeight="1" x14ac:dyDescent="0.15">
      <c r="A8" s="3561"/>
      <c r="B8" s="3562"/>
      <c r="C8" s="3563"/>
    </row>
    <row r="9" spans="1:3" ht="31.5" customHeight="1" x14ac:dyDescent="0.15">
      <c r="A9" s="1713" t="s">
        <v>3559</v>
      </c>
      <c r="B9" s="2194" t="s">
        <v>3560</v>
      </c>
      <c r="C9" s="1714" t="s">
        <v>3630</v>
      </c>
    </row>
    <row r="10" spans="1:3" ht="15" customHeight="1" x14ac:dyDescent="0.15">
      <c r="A10" s="1715" t="s">
        <v>3631</v>
      </c>
      <c r="B10" s="1716"/>
      <c r="C10" s="1717">
        <f>SUM(C11)</f>
        <v>7605054</v>
      </c>
    </row>
    <row r="11" spans="1:3" ht="11.25" customHeight="1" x14ac:dyDescent="0.15">
      <c r="A11" s="3564" t="s">
        <v>3632</v>
      </c>
      <c r="B11" s="1718" t="s">
        <v>3633</v>
      </c>
      <c r="C11" s="1710">
        <f>SUM(C12:C14)</f>
        <v>7605054</v>
      </c>
    </row>
    <row r="12" spans="1:3" ht="11.25" customHeight="1" x14ac:dyDescent="0.15">
      <c r="A12" s="3565"/>
      <c r="B12" s="1719" t="s">
        <v>3634</v>
      </c>
      <c r="C12" s="1720">
        <v>4133172</v>
      </c>
    </row>
    <row r="13" spans="1:3" ht="11.25" customHeight="1" x14ac:dyDescent="0.15">
      <c r="A13" s="3565"/>
      <c r="B13" s="1719" t="s">
        <v>3635</v>
      </c>
      <c r="C13" s="1720">
        <v>766983</v>
      </c>
    </row>
    <row r="14" spans="1:3" ht="11.25" customHeight="1" thickBot="1" x14ac:dyDescent="0.2">
      <c r="A14" s="3566"/>
      <c r="B14" s="1721" t="s">
        <v>3636</v>
      </c>
      <c r="C14" s="1722">
        <v>2704899</v>
      </c>
    </row>
    <row r="15" spans="1:3" ht="11.25" customHeight="1" x14ac:dyDescent="0.15">
      <c r="A15" s="3558"/>
      <c r="B15" s="3557"/>
      <c r="C15" s="3557"/>
    </row>
    <row r="16" spans="1:3" ht="24.95" customHeight="1" x14ac:dyDescent="0.15">
      <c r="A16" s="3567" t="s">
        <v>3637</v>
      </c>
      <c r="B16" s="3567"/>
      <c r="C16" s="3567"/>
    </row>
    <row r="17" spans="1:3" x14ac:dyDescent="0.15">
      <c r="A17" s="3568" t="s">
        <v>3625</v>
      </c>
      <c r="B17" s="3569"/>
      <c r="C17" s="3569"/>
    </row>
    <row r="18" spans="1:3" ht="15" customHeight="1" x14ac:dyDescent="0.15">
      <c r="A18" s="738"/>
      <c r="B18" s="738"/>
      <c r="C18" s="296"/>
    </row>
    <row r="19" spans="1:3" x14ac:dyDescent="0.15">
      <c r="A19" s="296"/>
      <c r="B19" s="296"/>
      <c r="C19" s="296"/>
    </row>
    <row r="20" spans="1:3" ht="19.5" customHeight="1" x14ac:dyDescent="0.15"/>
    <row r="21" spans="1:3" ht="22.5" customHeight="1" x14ac:dyDescent="0.15"/>
    <row r="22" spans="1:3" ht="15" customHeight="1" x14ac:dyDescent="0.15"/>
    <row r="23" spans="1:3" ht="24.95" customHeight="1" x14ac:dyDescent="0.15"/>
    <row r="24" spans="1:3" ht="24.95" customHeight="1" x14ac:dyDescent="0.15"/>
    <row r="25" spans="1:3" ht="24.95" customHeight="1" x14ac:dyDescent="0.15"/>
    <row r="26" spans="1:3" ht="24.95" customHeight="1" x14ac:dyDescent="0.15"/>
    <row r="27" spans="1:3" ht="24.95" customHeight="1" x14ac:dyDescent="0.15"/>
    <row r="28" spans="1:3" ht="24.95" customHeight="1" x14ac:dyDescent="0.15"/>
    <row r="29" spans="1:3" ht="24.95" customHeight="1" x14ac:dyDescent="0.15"/>
    <row r="30" spans="1:3" ht="24.95" customHeight="1" x14ac:dyDescent="0.15"/>
    <row r="31" spans="1:3" ht="24.95" customHeight="1" x14ac:dyDescent="0.15"/>
    <row r="32" spans="1:3" ht="24.95"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row r="47" ht="24.95" customHeight="1" x14ac:dyDescent="0.15"/>
    <row r="48" ht="24.95" customHeight="1" x14ac:dyDescent="0.15"/>
    <row r="49" ht="24.95" customHeight="1" x14ac:dyDescent="0.15"/>
    <row r="50" ht="24.95" customHeight="1" x14ac:dyDescent="0.15"/>
    <row r="51" ht="24.95" customHeight="1" x14ac:dyDescent="0.15"/>
    <row r="52" ht="24.95" customHeight="1" x14ac:dyDescent="0.15"/>
    <row r="53" ht="24.95" customHeight="1" x14ac:dyDescent="0.15"/>
    <row r="54" ht="24.95" customHeight="1" x14ac:dyDescent="0.15"/>
    <row r="55" ht="24.95" customHeight="1" x14ac:dyDescent="0.15"/>
    <row r="56" ht="24.95" customHeight="1" x14ac:dyDescent="0.15"/>
    <row r="57" ht="24.95" customHeight="1" x14ac:dyDescent="0.15"/>
    <row r="58" ht="24.95" customHeight="1" x14ac:dyDescent="0.15"/>
  </sheetData>
  <mergeCells count="11">
    <mergeCell ref="A8:C8"/>
    <mergeCell ref="A11:A14"/>
    <mergeCell ref="A15:C15"/>
    <mergeCell ref="A16:C16"/>
    <mergeCell ref="A17:C17"/>
    <mergeCell ref="A7:B7"/>
    <mergeCell ref="A2:C2"/>
    <mergeCell ref="A3:B3"/>
    <mergeCell ref="A4:B4"/>
    <mergeCell ref="A5:B5"/>
    <mergeCell ref="A6:B6"/>
  </mergeCells>
  <pageMargins left="0.70866141732283472" right="0.70866141732283472" top="0.74803149606299213" bottom="0.74803149606299213" header="0.31496062992125984" footer="0.31496062992125984"/>
  <pageSetup scale="72"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5">
    <pageSetUpPr fitToPage="1"/>
  </sheetPr>
  <dimension ref="A1:D60"/>
  <sheetViews>
    <sheetView zoomScale="80" zoomScaleNormal="80" workbookViewId="0">
      <selection activeCell="A11" sqref="A11:A12"/>
    </sheetView>
  </sheetViews>
  <sheetFormatPr baseColWidth="10" defaultRowHeight="10.5" x14ac:dyDescent="0.15"/>
  <cols>
    <col min="1" max="1" width="25.42578125" style="1983" customWidth="1"/>
    <col min="2" max="2" width="64.28515625" style="1983" customWidth="1"/>
    <col min="3" max="3" width="32.140625" style="1983" customWidth="1"/>
    <col min="4" max="4" width="12.5703125" style="1983" bestFit="1" customWidth="1"/>
    <col min="5" max="16384" width="11.42578125" style="1983"/>
  </cols>
  <sheetData>
    <row r="1" spans="1:4" ht="11.25" customHeight="1" x14ac:dyDescent="0.15"/>
    <row r="2" spans="1:4" ht="22.5" customHeight="1" x14ac:dyDescent="0.15">
      <c r="A2" s="3539" t="s">
        <v>3638</v>
      </c>
      <c r="B2" s="3539"/>
      <c r="C2" s="3539"/>
    </row>
    <row r="3" spans="1:4" ht="11.25" customHeight="1" thickBot="1" x14ac:dyDescent="0.2">
      <c r="A3" s="3572"/>
      <c r="B3" s="2501"/>
    </row>
    <row r="4" spans="1:4" x14ac:dyDescent="0.15">
      <c r="A4" s="3573" t="s">
        <v>3554</v>
      </c>
      <c r="B4" s="3574"/>
      <c r="C4" s="1695" t="s">
        <v>3555</v>
      </c>
    </row>
    <row r="5" spans="1:4" ht="12" customHeight="1" x14ac:dyDescent="0.15">
      <c r="A5" s="3543" t="s">
        <v>3627</v>
      </c>
      <c r="B5" s="3544"/>
      <c r="C5" s="1696">
        <v>39996703618.400002</v>
      </c>
    </row>
    <row r="6" spans="1:4" ht="12" customHeight="1" x14ac:dyDescent="0.15">
      <c r="A6" s="3543" t="s">
        <v>3639</v>
      </c>
      <c r="B6" s="3544"/>
      <c r="C6" s="2022">
        <f>C10</f>
        <v>158303655</v>
      </c>
      <c r="D6" s="1723"/>
    </row>
    <row r="7" spans="1:4" ht="22.5" customHeight="1" thickBot="1" x14ac:dyDescent="0.2">
      <c r="A7" s="3537" t="s">
        <v>3640</v>
      </c>
      <c r="B7" s="3538"/>
      <c r="C7" s="2023">
        <f>C6/C5</f>
        <v>3.9579175451642549E-3</v>
      </c>
    </row>
    <row r="8" spans="1:4" ht="18.75" customHeight="1" thickBot="1" x14ac:dyDescent="0.2"/>
    <row r="9" spans="1:4" ht="15" customHeight="1" x14ac:dyDescent="0.15">
      <c r="A9" s="1724" t="s">
        <v>3559</v>
      </c>
      <c r="B9" s="1725" t="s">
        <v>2661</v>
      </c>
      <c r="C9" s="1726" t="s">
        <v>3641</v>
      </c>
    </row>
    <row r="10" spans="1:4" ht="15" customHeight="1" x14ac:dyDescent="0.15">
      <c r="A10" s="1727" t="s">
        <v>3642</v>
      </c>
      <c r="B10" s="1728"/>
      <c r="C10" s="1729">
        <f>SUM(C11,C13,C19,C21,C24,C26,C28,C31,C44,C46,C48)</f>
        <v>158303655</v>
      </c>
    </row>
    <row r="11" spans="1:4" ht="24.75" customHeight="1" x14ac:dyDescent="0.15">
      <c r="A11" s="3575" t="s">
        <v>3643</v>
      </c>
      <c r="B11" s="1730" t="s">
        <v>3644</v>
      </c>
      <c r="C11" s="1696">
        <f>SUM(C12)</f>
        <v>11216973</v>
      </c>
      <c r="D11" s="1697"/>
    </row>
    <row r="12" spans="1:4" x14ac:dyDescent="0.15">
      <c r="A12" s="3576"/>
      <c r="B12" s="1731" t="s">
        <v>3645</v>
      </c>
      <c r="C12" s="1732">
        <v>11216973</v>
      </c>
    </row>
    <row r="13" spans="1:4" x14ac:dyDescent="0.15">
      <c r="A13" s="3571" t="s">
        <v>3646</v>
      </c>
      <c r="B13" s="1733" t="s">
        <v>3647</v>
      </c>
      <c r="C13" s="1734">
        <f>SUM(C14:C18)</f>
        <v>9930632</v>
      </c>
      <c r="D13" s="1697"/>
    </row>
    <row r="14" spans="1:4" x14ac:dyDescent="0.15">
      <c r="A14" s="3577"/>
      <c r="B14" s="1735" t="s">
        <v>3648</v>
      </c>
      <c r="C14" s="1736">
        <v>6624706</v>
      </c>
    </row>
    <row r="15" spans="1:4" x14ac:dyDescent="0.15">
      <c r="A15" s="3577"/>
      <c r="B15" s="1735" t="s">
        <v>3649</v>
      </c>
      <c r="C15" s="1736">
        <v>1823557</v>
      </c>
    </row>
    <row r="16" spans="1:4" x14ac:dyDescent="0.15">
      <c r="A16" s="3577"/>
      <c r="B16" s="1735" t="s">
        <v>3650</v>
      </c>
      <c r="C16" s="1736">
        <v>248212</v>
      </c>
    </row>
    <row r="17" spans="1:4" x14ac:dyDescent="0.15">
      <c r="A17" s="3577"/>
      <c r="B17" s="1735" t="s">
        <v>3651</v>
      </c>
      <c r="C17" s="1736">
        <v>822157</v>
      </c>
    </row>
    <row r="18" spans="1:4" x14ac:dyDescent="0.15">
      <c r="A18" s="3578"/>
      <c r="B18" s="1737" t="s">
        <v>3652</v>
      </c>
      <c r="C18" s="1736">
        <v>412000</v>
      </c>
    </row>
    <row r="19" spans="1:4" ht="18.75" customHeight="1" x14ac:dyDescent="0.15">
      <c r="A19" s="3571" t="s">
        <v>3653</v>
      </c>
      <c r="B19" s="1733" t="s">
        <v>3654</v>
      </c>
      <c r="C19" s="1734">
        <f>SUM(C20:C20)</f>
        <v>14129371</v>
      </c>
      <c r="D19" s="1697"/>
    </row>
    <row r="20" spans="1:4" ht="15.75" customHeight="1" x14ac:dyDescent="0.15">
      <c r="A20" s="3577"/>
      <c r="B20" s="1991" t="s">
        <v>3655</v>
      </c>
      <c r="C20" s="1738">
        <v>14129371</v>
      </c>
    </row>
    <row r="21" spans="1:4" x14ac:dyDescent="0.15">
      <c r="A21" s="3571" t="s">
        <v>3656</v>
      </c>
      <c r="B21" s="1733" t="s">
        <v>3657</v>
      </c>
      <c r="C21" s="1734">
        <f>SUM(C22:C23)</f>
        <v>6355095</v>
      </c>
      <c r="D21" s="1697"/>
    </row>
    <row r="22" spans="1:4" ht="11.25" x14ac:dyDescent="0.15">
      <c r="A22" s="3577"/>
      <c r="B22" s="1991" t="s">
        <v>3658</v>
      </c>
      <c r="C22" s="1739">
        <v>3125906</v>
      </c>
    </row>
    <row r="23" spans="1:4" ht="11.25" x14ac:dyDescent="0.15">
      <c r="A23" s="3578"/>
      <c r="B23" s="1740" t="s">
        <v>3659</v>
      </c>
      <c r="C23" s="1739">
        <v>3229189</v>
      </c>
    </row>
    <row r="24" spans="1:4" ht="21" x14ac:dyDescent="0.15">
      <c r="A24" s="3579" t="s">
        <v>3660</v>
      </c>
      <c r="B24" s="1733" t="s">
        <v>3661</v>
      </c>
      <c r="C24" s="1734">
        <f>SUM(C25:C25)</f>
        <v>90640</v>
      </c>
      <c r="D24" s="1697"/>
    </row>
    <row r="25" spans="1:4" x14ac:dyDescent="0.15">
      <c r="A25" s="3580"/>
      <c r="B25" s="1991" t="s">
        <v>3662</v>
      </c>
      <c r="C25" s="1741">
        <v>90640</v>
      </c>
    </row>
    <row r="26" spans="1:4" ht="18.75" customHeight="1" x14ac:dyDescent="0.15">
      <c r="A26" s="3570" t="s">
        <v>3663</v>
      </c>
      <c r="B26" s="1730" t="s">
        <v>3664</v>
      </c>
      <c r="C26" s="1696">
        <f>SUM(C27)</f>
        <v>19667147</v>
      </c>
      <c r="D26" s="1697"/>
    </row>
    <row r="27" spans="1:4" ht="16.5" customHeight="1" x14ac:dyDescent="0.15">
      <c r="A27" s="3571"/>
      <c r="B27" s="1731" t="s">
        <v>3665</v>
      </c>
      <c r="C27" s="1732">
        <v>19667147</v>
      </c>
    </row>
    <row r="28" spans="1:4" ht="21" x14ac:dyDescent="0.15">
      <c r="A28" s="3581" t="s">
        <v>3666</v>
      </c>
      <c r="B28" s="1733" t="s">
        <v>3667</v>
      </c>
      <c r="C28" s="1742">
        <f>SUM(C29:C30)</f>
        <v>16169190</v>
      </c>
      <c r="D28" s="1697"/>
    </row>
    <row r="29" spans="1:4" ht="11.25" x14ac:dyDescent="0.15">
      <c r="A29" s="3582"/>
      <c r="B29" s="1991" t="s">
        <v>3668</v>
      </c>
      <c r="C29" s="1736">
        <v>5784480</v>
      </c>
    </row>
    <row r="30" spans="1:4" x14ac:dyDescent="0.15">
      <c r="A30" s="3583"/>
      <c r="B30" s="1991" t="s">
        <v>3669</v>
      </c>
      <c r="C30" s="1736">
        <v>10384710</v>
      </c>
    </row>
    <row r="31" spans="1:4" ht="10.5" customHeight="1" x14ac:dyDescent="0.15">
      <c r="A31" s="3571" t="s">
        <v>3670</v>
      </c>
      <c r="B31" s="1733" t="s">
        <v>3671</v>
      </c>
      <c r="C31" s="1734">
        <f>SUM(C32:C43)</f>
        <v>79147443</v>
      </c>
      <c r="D31" s="1697"/>
    </row>
    <row r="32" spans="1:4" x14ac:dyDescent="0.15">
      <c r="A32" s="3577"/>
      <c r="B32" s="1991" t="s">
        <v>3672</v>
      </c>
      <c r="C32" s="1736">
        <v>3567027</v>
      </c>
    </row>
    <row r="33" spans="1:4" x14ac:dyDescent="0.15">
      <c r="A33" s="3577"/>
      <c r="B33" s="1991" t="s">
        <v>3673</v>
      </c>
      <c r="C33" s="1736">
        <v>453594</v>
      </c>
    </row>
    <row r="34" spans="1:4" x14ac:dyDescent="0.15">
      <c r="A34" s="3577"/>
      <c r="B34" s="1991" t="s">
        <v>3674</v>
      </c>
      <c r="C34" s="1736">
        <v>115238</v>
      </c>
    </row>
    <row r="35" spans="1:4" x14ac:dyDescent="0.15">
      <c r="A35" s="3577"/>
      <c r="B35" s="1991" t="s">
        <v>3675</v>
      </c>
      <c r="C35" s="1736">
        <v>3530</v>
      </c>
    </row>
    <row r="36" spans="1:4" x14ac:dyDescent="0.15">
      <c r="A36" s="3577"/>
      <c r="B36" s="1991" t="s">
        <v>3676</v>
      </c>
      <c r="C36" s="1736">
        <v>266882</v>
      </c>
    </row>
    <row r="37" spans="1:4" x14ac:dyDescent="0.15">
      <c r="A37" s="3577"/>
      <c r="B37" s="1991" t="s">
        <v>3677</v>
      </c>
      <c r="C37" s="1736">
        <v>2575000</v>
      </c>
    </row>
    <row r="38" spans="1:4" x14ac:dyDescent="0.15">
      <c r="A38" s="3577"/>
      <c r="B38" s="1991" t="s">
        <v>3678</v>
      </c>
      <c r="C38" s="1736">
        <v>8176625</v>
      </c>
    </row>
    <row r="39" spans="1:4" x14ac:dyDescent="0.15">
      <c r="A39" s="3577"/>
      <c r="B39" s="1991" t="s">
        <v>3679</v>
      </c>
      <c r="C39" s="1736">
        <v>33732875</v>
      </c>
    </row>
    <row r="40" spans="1:4" x14ac:dyDescent="0.15">
      <c r="A40" s="3577"/>
      <c r="B40" s="1991" t="s">
        <v>3680</v>
      </c>
      <c r="C40" s="1736">
        <v>4000527</v>
      </c>
    </row>
    <row r="41" spans="1:4" ht="11.25" x14ac:dyDescent="0.15">
      <c r="A41" s="3578"/>
      <c r="B41" s="2024" t="s">
        <v>4223</v>
      </c>
      <c r="C41" s="1736">
        <v>2465917</v>
      </c>
    </row>
    <row r="42" spans="1:4" ht="21" customHeight="1" x14ac:dyDescent="0.15">
      <c r="A42" s="3571" t="s">
        <v>4335</v>
      </c>
      <c r="B42" s="1991" t="s">
        <v>3681</v>
      </c>
      <c r="C42" s="1736">
        <v>23201246</v>
      </c>
    </row>
    <row r="43" spans="1:4" ht="11.25" x14ac:dyDescent="0.15">
      <c r="A43" s="3578"/>
      <c r="B43" s="1991" t="s">
        <v>3682</v>
      </c>
      <c r="C43" s="1736">
        <v>588982</v>
      </c>
    </row>
    <row r="44" spans="1:4" ht="21" customHeight="1" x14ac:dyDescent="0.15">
      <c r="A44" s="3584" t="s">
        <v>3683</v>
      </c>
      <c r="B44" s="1733" t="s">
        <v>3684</v>
      </c>
      <c r="C44" s="1734">
        <f>SUM(C45:C45)</f>
        <v>168863</v>
      </c>
      <c r="D44" s="1697"/>
    </row>
    <row r="45" spans="1:4" ht="31.5" x14ac:dyDescent="0.15">
      <c r="A45" s="3585"/>
      <c r="B45" s="1991" t="s">
        <v>3685</v>
      </c>
      <c r="C45" s="1739">
        <v>168863</v>
      </c>
    </row>
    <row r="46" spans="1:4" ht="24" customHeight="1" x14ac:dyDescent="0.15">
      <c r="A46" s="3571" t="s">
        <v>3686</v>
      </c>
      <c r="B46" s="1733" t="s">
        <v>3687</v>
      </c>
      <c r="C46" s="1734">
        <f>SUM(C47)</f>
        <v>334750</v>
      </c>
      <c r="D46" s="1697"/>
    </row>
    <row r="47" spans="1:4" ht="15" customHeight="1" x14ac:dyDescent="0.15">
      <c r="A47" s="3578"/>
      <c r="B47" s="1740" t="s">
        <v>3688</v>
      </c>
      <c r="C47" s="1736">
        <v>334750</v>
      </c>
    </row>
    <row r="48" spans="1:4" x14ac:dyDescent="0.15">
      <c r="A48" s="3571" t="s">
        <v>3689</v>
      </c>
      <c r="B48" s="1733" t="s">
        <v>3690</v>
      </c>
      <c r="C48" s="1743">
        <f>SUM(C49:C51)</f>
        <v>1093551</v>
      </c>
      <c r="D48" s="1697"/>
    </row>
    <row r="49" spans="1:3" x14ac:dyDescent="0.15">
      <c r="A49" s="3577"/>
      <c r="B49" s="1991" t="s">
        <v>3691</v>
      </c>
      <c r="C49" s="1736">
        <v>1076855</v>
      </c>
    </row>
    <row r="50" spans="1:3" x14ac:dyDescent="0.15">
      <c r="A50" s="3577"/>
      <c r="B50" s="1991" t="s">
        <v>3692</v>
      </c>
      <c r="C50" s="1736">
        <v>9270</v>
      </c>
    </row>
    <row r="51" spans="1:3" ht="21.75" thickBot="1" x14ac:dyDescent="0.2">
      <c r="A51" s="3586"/>
      <c r="B51" s="1744" t="s">
        <v>3693</v>
      </c>
      <c r="C51" s="1745">
        <v>7426</v>
      </c>
    </row>
    <row r="53" spans="1:3" ht="22.5" customHeight="1" x14ac:dyDescent="0.15">
      <c r="A53" s="3444" t="s">
        <v>3637</v>
      </c>
      <c r="B53" s="3444"/>
      <c r="C53" s="3444"/>
    </row>
    <row r="54" spans="1:3" x14ac:dyDescent="0.15">
      <c r="A54" s="1983" t="s">
        <v>3694</v>
      </c>
    </row>
    <row r="55" spans="1:3" x14ac:dyDescent="0.15">
      <c r="A55" s="3444" t="s">
        <v>3695</v>
      </c>
      <c r="B55" s="3444"/>
      <c r="C55" s="3444"/>
    </row>
    <row r="56" spans="1:3" x14ac:dyDescent="0.15">
      <c r="A56" s="3444" t="s">
        <v>3696</v>
      </c>
      <c r="B56" s="3444"/>
      <c r="C56" s="3444"/>
    </row>
    <row r="57" spans="1:3" ht="30" customHeight="1" x14ac:dyDescent="0.15">
      <c r="A57" s="3444" t="s">
        <v>3697</v>
      </c>
      <c r="B57" s="3444"/>
      <c r="C57" s="3444"/>
    </row>
    <row r="58" spans="1:3" ht="22.5" customHeight="1" x14ac:dyDescent="0.15">
      <c r="A58" s="2534" t="s">
        <v>3698</v>
      </c>
      <c r="B58" s="2534"/>
      <c r="C58" s="2534"/>
    </row>
    <row r="59" spans="1:3" ht="27" customHeight="1" x14ac:dyDescent="0.15">
      <c r="A59" s="3444" t="s">
        <v>4224</v>
      </c>
      <c r="B59" s="3444"/>
      <c r="C59" s="3444"/>
    </row>
    <row r="60" spans="1:3" ht="17.25" customHeight="1" x14ac:dyDescent="0.15">
      <c r="A60" s="1983" t="s">
        <v>3625</v>
      </c>
    </row>
  </sheetData>
  <mergeCells count="24">
    <mergeCell ref="A59:C59"/>
    <mergeCell ref="A28:A30"/>
    <mergeCell ref="A31:A41"/>
    <mergeCell ref="A42:A43"/>
    <mergeCell ref="A44:A45"/>
    <mergeCell ref="A46:A47"/>
    <mergeCell ref="A48:A51"/>
    <mergeCell ref="A53:C53"/>
    <mergeCell ref="A55:C55"/>
    <mergeCell ref="A56:C56"/>
    <mergeCell ref="A57:C57"/>
    <mergeCell ref="A58:C58"/>
    <mergeCell ref="A26:A27"/>
    <mergeCell ref="A2:C2"/>
    <mergeCell ref="A3:B3"/>
    <mergeCell ref="A4:B4"/>
    <mergeCell ref="A5:B5"/>
    <mergeCell ref="A6:B6"/>
    <mergeCell ref="A7:B7"/>
    <mergeCell ref="A11:A12"/>
    <mergeCell ref="A13:A18"/>
    <mergeCell ref="A19:A20"/>
    <mergeCell ref="A21:A23"/>
    <mergeCell ref="A24:A25"/>
  </mergeCells>
  <pageMargins left="0.70866141732283472" right="0.70866141732283472" top="0.74803149606299213" bottom="0.74803149606299213" header="0.31496062992125984" footer="0.31496062992125984"/>
  <pageSetup paperSize="281" scale="72"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6">
    <pageSetUpPr fitToPage="1"/>
  </sheetPr>
  <dimension ref="A1:G54"/>
  <sheetViews>
    <sheetView zoomScale="80" zoomScaleNormal="80" workbookViewId="0">
      <selection activeCell="A58" sqref="A58:XFD61"/>
    </sheetView>
  </sheetViews>
  <sheetFormatPr baseColWidth="10" defaultRowHeight="10.5" x14ac:dyDescent="0.15"/>
  <cols>
    <col min="1" max="1" width="43" style="2191" customWidth="1"/>
    <col min="2" max="2" width="60.7109375" style="2191" customWidth="1"/>
    <col min="3" max="3" width="30.7109375" style="2191" customWidth="1"/>
    <col min="4" max="4" width="10" style="2193" customWidth="1"/>
    <col min="5" max="5" width="15.28515625" style="2191" customWidth="1"/>
    <col min="6" max="16384" width="11.42578125" style="2191"/>
  </cols>
  <sheetData>
    <row r="1" spans="1:5" ht="15" customHeight="1" x14ac:dyDescent="0.15"/>
    <row r="2" spans="1:5" ht="20.25" customHeight="1" x14ac:dyDescent="0.15">
      <c r="A2" s="3539" t="s">
        <v>3699</v>
      </c>
      <c r="B2" s="3539"/>
      <c r="C2" s="3539"/>
    </row>
    <row r="3" spans="1:5" x14ac:dyDescent="0.15">
      <c r="B3" s="3572"/>
      <c r="C3" s="2501"/>
    </row>
    <row r="4" spans="1:5" x14ac:dyDescent="0.15">
      <c r="A4" s="3589" t="s">
        <v>3554</v>
      </c>
      <c r="B4" s="3590"/>
      <c r="C4" s="1746" t="s">
        <v>3555</v>
      </c>
    </row>
    <row r="5" spans="1:5" x14ac:dyDescent="0.15">
      <c r="A5" s="3587" t="s">
        <v>3700</v>
      </c>
      <c r="B5" s="3588"/>
      <c r="C5" s="1747">
        <v>39996703618.400002</v>
      </c>
    </row>
    <row r="6" spans="1:5" x14ac:dyDescent="0.15">
      <c r="A6" s="3587" t="s">
        <v>3701</v>
      </c>
      <c r="B6" s="3588"/>
      <c r="C6" s="1748">
        <v>106782180</v>
      </c>
    </row>
    <row r="7" spans="1:5" x14ac:dyDescent="0.15">
      <c r="A7" s="3587" t="s">
        <v>3640</v>
      </c>
      <c r="B7" s="3588"/>
      <c r="C7" s="1749">
        <f>+C6/C5</f>
        <v>2.6697745148896758E-3</v>
      </c>
    </row>
    <row r="8" spans="1:5" x14ac:dyDescent="0.15">
      <c r="B8" s="1750"/>
      <c r="C8" s="2193"/>
    </row>
    <row r="9" spans="1:5" ht="27" customHeight="1" x14ac:dyDescent="0.15">
      <c r="A9" s="2192" t="s">
        <v>3559</v>
      </c>
      <c r="B9" s="2192" t="s">
        <v>2661</v>
      </c>
      <c r="C9" s="2192" t="s">
        <v>3630</v>
      </c>
      <c r="D9" s="237"/>
    </row>
    <row r="10" spans="1:5" x14ac:dyDescent="0.15">
      <c r="A10" s="3592" t="s">
        <v>3702</v>
      </c>
      <c r="B10" s="3593"/>
      <c r="C10" s="1751">
        <f>SUM(C11,C18,C23,C29,C33,C38,C36)</f>
        <v>106782180</v>
      </c>
      <c r="D10" s="237"/>
      <c r="E10" s="1752"/>
    </row>
    <row r="11" spans="1:5" ht="11.25" x14ac:dyDescent="0.15">
      <c r="A11" s="3594" t="s">
        <v>3703</v>
      </c>
      <c r="B11" s="1701" t="s">
        <v>3704</v>
      </c>
      <c r="C11" s="1751">
        <f>SUM(C12:C17)</f>
        <v>988985</v>
      </c>
      <c r="D11" s="1753"/>
    </row>
    <row r="12" spans="1:5" x14ac:dyDescent="0.15">
      <c r="A12" s="3594"/>
      <c r="B12" s="1754" t="s">
        <v>3705</v>
      </c>
      <c r="C12" s="1703">
        <v>103275</v>
      </c>
      <c r="D12" s="237"/>
    </row>
    <row r="13" spans="1:5" ht="21" x14ac:dyDescent="0.15">
      <c r="A13" s="3594"/>
      <c r="B13" s="1705" t="s">
        <v>3706</v>
      </c>
      <c r="C13" s="1703">
        <v>67778</v>
      </c>
    </row>
    <row r="14" spans="1:5" x14ac:dyDescent="0.15">
      <c r="A14" s="3594"/>
      <c r="B14" s="1754" t="s">
        <v>3707</v>
      </c>
      <c r="C14" s="1703">
        <v>129303</v>
      </c>
    </row>
    <row r="15" spans="1:5" x14ac:dyDescent="0.15">
      <c r="A15" s="3594"/>
      <c r="B15" s="1754" t="s">
        <v>3708</v>
      </c>
      <c r="C15" s="1703">
        <v>291983</v>
      </c>
      <c r="D15" s="1669"/>
    </row>
    <row r="16" spans="1:5" x14ac:dyDescent="0.15">
      <c r="A16" s="3594"/>
      <c r="B16" s="1754" t="s">
        <v>3709</v>
      </c>
      <c r="C16" s="1703">
        <v>341782</v>
      </c>
      <c r="D16" s="1669"/>
    </row>
    <row r="17" spans="1:7" x14ac:dyDescent="0.15">
      <c r="A17" s="3594"/>
      <c r="B17" s="1754" t="s">
        <v>3710</v>
      </c>
      <c r="C17" s="1703">
        <v>54864</v>
      </c>
      <c r="D17" s="1669"/>
    </row>
    <row r="18" spans="1:7" ht="11.25" x14ac:dyDescent="0.15">
      <c r="A18" s="3595" t="s">
        <v>3711</v>
      </c>
      <c r="B18" s="1701" t="s">
        <v>3712</v>
      </c>
      <c r="C18" s="1751">
        <f>SUM(C19:C22)</f>
        <v>1525067</v>
      </c>
      <c r="D18" s="1755"/>
    </row>
    <row r="19" spans="1:7" x14ac:dyDescent="0.15">
      <c r="A19" s="3595"/>
      <c r="B19" s="2196" t="s">
        <v>3713</v>
      </c>
      <c r="C19" s="1756">
        <v>400641</v>
      </c>
      <c r="D19" s="1755"/>
    </row>
    <row r="20" spans="1:7" x14ac:dyDescent="0.15">
      <c r="A20" s="3595"/>
      <c r="B20" s="2196" t="s">
        <v>3714</v>
      </c>
      <c r="C20" s="1756">
        <v>403181</v>
      </c>
    </row>
    <row r="21" spans="1:7" x14ac:dyDescent="0.15">
      <c r="A21" s="3595"/>
      <c r="B21" s="1757" t="s">
        <v>3715</v>
      </c>
      <c r="C21" s="1758">
        <v>595812</v>
      </c>
      <c r="D21" s="1759"/>
    </row>
    <row r="22" spans="1:7" ht="11.25" x14ac:dyDescent="0.15">
      <c r="A22" s="3595"/>
      <c r="B22" s="1757" t="s">
        <v>3716</v>
      </c>
      <c r="C22" s="1758">
        <v>125433</v>
      </c>
    </row>
    <row r="23" spans="1:7" ht="11.25" x14ac:dyDescent="0.15">
      <c r="A23" s="3596" t="s">
        <v>3717</v>
      </c>
      <c r="B23" s="1701" t="s">
        <v>3718</v>
      </c>
      <c r="C23" s="1760">
        <f>SUM(C24:C28)</f>
        <v>1139451</v>
      </c>
      <c r="D23" s="237"/>
    </row>
    <row r="24" spans="1:7" x14ac:dyDescent="0.15">
      <c r="A24" s="3597"/>
      <c r="B24" s="2196" t="s">
        <v>3719</v>
      </c>
      <c r="C24" s="1761">
        <v>595092</v>
      </c>
      <c r="D24" s="237"/>
    </row>
    <row r="25" spans="1:7" x14ac:dyDescent="0.15">
      <c r="A25" s="3597"/>
      <c r="B25" s="2196" t="s">
        <v>3720</v>
      </c>
      <c r="C25" s="1761">
        <v>258582</v>
      </c>
      <c r="D25" s="237"/>
    </row>
    <row r="26" spans="1:7" x14ac:dyDescent="0.15">
      <c r="A26" s="3597"/>
      <c r="B26" s="2196" t="s">
        <v>3721</v>
      </c>
      <c r="C26" s="1762">
        <v>142991</v>
      </c>
      <c r="D26" s="237"/>
    </row>
    <row r="27" spans="1:7" x14ac:dyDescent="0.15">
      <c r="A27" s="3597"/>
      <c r="B27" s="2196" t="s">
        <v>3722</v>
      </c>
      <c r="C27" s="1762">
        <v>58963</v>
      </c>
      <c r="D27" s="237"/>
    </row>
    <row r="28" spans="1:7" x14ac:dyDescent="0.15">
      <c r="A28" s="3598"/>
      <c r="B28" s="2196" t="s">
        <v>3723</v>
      </c>
      <c r="C28" s="1763">
        <v>83823</v>
      </c>
      <c r="D28" s="237"/>
    </row>
    <row r="29" spans="1:7" ht="11.25" x14ac:dyDescent="0.15">
      <c r="A29" s="3596" t="s">
        <v>3724</v>
      </c>
      <c r="B29" s="1701" t="s">
        <v>3725</v>
      </c>
      <c r="C29" s="1760">
        <f>SUM(C30:C32)</f>
        <v>1100038</v>
      </c>
      <c r="D29" s="237"/>
    </row>
    <row r="30" spans="1:7" x14ac:dyDescent="0.15">
      <c r="A30" s="3597"/>
      <c r="B30" s="2196" t="s">
        <v>3726</v>
      </c>
      <c r="C30" s="1761">
        <v>399491</v>
      </c>
      <c r="D30" s="237"/>
    </row>
    <row r="31" spans="1:7" ht="21" x14ac:dyDescent="0.15">
      <c r="A31" s="3597"/>
      <c r="B31" s="2196" t="s">
        <v>3727</v>
      </c>
      <c r="C31" s="1762">
        <v>502886</v>
      </c>
      <c r="G31" s="2193"/>
    </row>
    <row r="32" spans="1:7" s="2193" customFormat="1" ht="11.25" x14ac:dyDescent="0.15">
      <c r="A32" s="3598"/>
      <c r="B32" s="2196" t="s">
        <v>3728</v>
      </c>
      <c r="C32" s="1762">
        <v>197661</v>
      </c>
      <c r="E32" s="2191"/>
      <c r="F32" s="2191"/>
      <c r="G32" s="2191"/>
    </row>
    <row r="33" spans="1:6" ht="11.25" x14ac:dyDescent="0.15">
      <c r="A33" s="3595" t="s">
        <v>3729</v>
      </c>
      <c r="B33" s="1764" t="s">
        <v>3730</v>
      </c>
      <c r="C33" s="1765">
        <f>SUM(C34:C35)</f>
        <v>51799171</v>
      </c>
    </row>
    <row r="34" spans="1:6" ht="11.25" x14ac:dyDescent="0.15">
      <c r="A34" s="3595"/>
      <c r="B34" s="2196" t="s">
        <v>3731</v>
      </c>
      <c r="C34" s="1762">
        <v>13517573</v>
      </c>
    </row>
    <row r="35" spans="1:6" ht="11.25" x14ac:dyDescent="0.15">
      <c r="A35" s="3595"/>
      <c r="B35" s="2196" t="s">
        <v>3732</v>
      </c>
      <c r="C35" s="1762">
        <v>38281598</v>
      </c>
    </row>
    <row r="36" spans="1:6" ht="11.25" x14ac:dyDescent="0.15">
      <c r="A36" s="3599" t="s">
        <v>3733</v>
      </c>
      <c r="B36" s="2197" t="s">
        <v>3734</v>
      </c>
      <c r="C36" s="1766">
        <f>SUM(C37)</f>
        <v>50229468</v>
      </c>
    </row>
    <row r="37" spans="1:6" x14ac:dyDescent="0.15">
      <c r="A37" s="3599"/>
      <c r="B37" s="2196" t="s">
        <v>3735</v>
      </c>
      <c r="C37" s="1767">
        <v>50229468</v>
      </c>
    </row>
    <row r="38" spans="1:6" ht="11.25" x14ac:dyDescent="0.15">
      <c r="A38" s="3595" t="s">
        <v>3736</v>
      </c>
      <c r="B38" s="1701" t="s">
        <v>3737</v>
      </c>
      <c r="C38" s="1768" t="s">
        <v>181</v>
      </c>
      <c r="E38" s="2193"/>
      <c r="F38" s="2193"/>
    </row>
    <row r="39" spans="1:6" x14ac:dyDescent="0.15">
      <c r="A39" s="3594"/>
      <c r="B39" s="2196" t="s">
        <v>3738</v>
      </c>
      <c r="C39" s="1769" t="s">
        <v>181</v>
      </c>
    </row>
    <row r="40" spans="1:6" x14ac:dyDescent="0.15">
      <c r="A40" s="1770"/>
    </row>
    <row r="41" spans="1:6" ht="15" customHeight="1" x14ac:dyDescent="0.15">
      <c r="A41" s="3591" t="s">
        <v>3739</v>
      </c>
      <c r="B41" s="3591"/>
      <c r="C41" s="3591"/>
    </row>
    <row r="42" spans="1:6" ht="36.75" customHeight="1" x14ac:dyDescent="0.15">
      <c r="A42" s="3591" t="s">
        <v>3740</v>
      </c>
      <c r="B42" s="3591"/>
      <c r="C42" s="3591"/>
    </row>
    <row r="43" spans="1:6" ht="26.25" customHeight="1" x14ac:dyDescent="0.15">
      <c r="A43" s="3591" t="s">
        <v>3741</v>
      </c>
      <c r="B43" s="3591"/>
      <c r="C43" s="3591"/>
    </row>
    <row r="44" spans="1:6" x14ac:dyDescent="0.15">
      <c r="A44" s="3591" t="s">
        <v>3742</v>
      </c>
      <c r="B44" s="3591"/>
      <c r="C44" s="3591"/>
    </row>
    <row r="45" spans="1:6" ht="33.75" customHeight="1" x14ac:dyDescent="0.15">
      <c r="A45" s="3591" t="s">
        <v>3743</v>
      </c>
      <c r="B45" s="3591"/>
      <c r="C45" s="3591"/>
    </row>
    <row r="46" spans="1:6" x14ac:dyDescent="0.15">
      <c r="A46" s="3591" t="s">
        <v>3744</v>
      </c>
      <c r="B46" s="3591"/>
      <c r="C46" s="3591"/>
    </row>
    <row r="47" spans="1:6" ht="15" customHeight="1" x14ac:dyDescent="0.15">
      <c r="A47" s="3591" t="s">
        <v>3745</v>
      </c>
      <c r="B47" s="3591"/>
      <c r="C47" s="3591"/>
    </row>
    <row r="48" spans="1:6" ht="23.25" customHeight="1" x14ac:dyDescent="0.15">
      <c r="A48" s="3591" t="s">
        <v>3746</v>
      </c>
      <c r="B48" s="3591"/>
      <c r="C48" s="3591"/>
    </row>
    <row r="49" spans="1:3" ht="36" customHeight="1" x14ac:dyDescent="0.15">
      <c r="A49" s="3591" t="s">
        <v>3747</v>
      </c>
      <c r="B49" s="3591"/>
      <c r="C49" s="3591"/>
    </row>
    <row r="50" spans="1:3" ht="15" customHeight="1" x14ac:dyDescent="0.15">
      <c r="A50" s="3591" t="s">
        <v>3748</v>
      </c>
      <c r="B50" s="3591"/>
      <c r="C50" s="3591"/>
    </row>
    <row r="51" spans="1:3" ht="22.5" customHeight="1" x14ac:dyDescent="0.15">
      <c r="A51" s="3600" t="s">
        <v>3749</v>
      </c>
      <c r="B51" s="3591"/>
      <c r="C51" s="3591"/>
    </row>
    <row r="52" spans="1:3" ht="44.25" customHeight="1" x14ac:dyDescent="0.15">
      <c r="A52" s="2534" t="s">
        <v>3750</v>
      </c>
      <c r="B52" s="2534"/>
      <c r="C52" s="2534"/>
    </row>
    <row r="53" spans="1:3" x14ac:dyDescent="0.15">
      <c r="A53" s="2292" t="s">
        <v>3751</v>
      </c>
      <c r="B53" s="2293"/>
      <c r="C53" s="2293"/>
    </row>
    <row r="54" spans="1:3" ht="33.75" customHeight="1" x14ac:dyDescent="0.15">
      <c r="A54" s="3601" t="s">
        <v>3752</v>
      </c>
      <c r="B54" s="3601"/>
      <c r="C54" s="3601"/>
    </row>
  </sheetData>
  <mergeCells count="27">
    <mergeCell ref="A51:C51"/>
    <mergeCell ref="A52:C52"/>
    <mergeCell ref="A54:C54"/>
    <mergeCell ref="A45:C45"/>
    <mergeCell ref="A46:C46"/>
    <mergeCell ref="A47:C47"/>
    <mergeCell ref="A48:C48"/>
    <mergeCell ref="A49:C49"/>
    <mergeCell ref="A50:C50"/>
    <mergeCell ref="A44:C44"/>
    <mergeCell ref="A10:B10"/>
    <mergeCell ref="A11:A17"/>
    <mergeCell ref="A18:A22"/>
    <mergeCell ref="A23:A28"/>
    <mergeCell ref="A29:A32"/>
    <mergeCell ref="A33:A35"/>
    <mergeCell ref="A36:A37"/>
    <mergeCell ref="A38:A39"/>
    <mergeCell ref="A41:C41"/>
    <mergeCell ref="A42:C42"/>
    <mergeCell ref="A43:C43"/>
    <mergeCell ref="A7:B7"/>
    <mergeCell ref="A2:C2"/>
    <mergeCell ref="B3:C3"/>
    <mergeCell ref="A4:B4"/>
    <mergeCell ref="A5:B5"/>
    <mergeCell ref="A6:B6"/>
  </mergeCells>
  <pageMargins left="0.70866141732283472" right="0.70866141732283472" top="0.74803149606299213" bottom="0.74803149606299213" header="0.31496062992125984" footer="0.31496062992125984"/>
  <pageSetup scale="63"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7">
    <pageSetUpPr fitToPage="1"/>
  </sheetPr>
  <dimension ref="A2:G31"/>
  <sheetViews>
    <sheetView zoomScaleNormal="100" workbookViewId="0">
      <selection activeCell="B26" sqref="B26"/>
    </sheetView>
  </sheetViews>
  <sheetFormatPr baseColWidth="10" defaultColWidth="9.140625" defaultRowHeight="10.5" x14ac:dyDescent="0.15"/>
  <cols>
    <col min="1" max="1" width="73.7109375" style="296" customWidth="1"/>
    <col min="2" max="2" width="20.140625" style="296" customWidth="1"/>
    <col min="3" max="3" width="9.140625" style="296" customWidth="1"/>
    <col min="4" max="5" width="13.7109375" style="296" customWidth="1"/>
    <col min="6" max="6" width="14.140625" style="296" bestFit="1" customWidth="1"/>
    <col min="7" max="256" width="9.140625" style="296"/>
    <col min="257" max="257" width="65.140625" style="296" customWidth="1"/>
    <col min="258" max="258" width="33.28515625" style="296" customWidth="1"/>
    <col min="259" max="259" width="0" style="296" hidden="1" customWidth="1"/>
    <col min="260" max="260" width="55.28515625" style="296" customWidth="1"/>
    <col min="261" max="512" width="9.140625" style="296"/>
    <col min="513" max="513" width="65.140625" style="296" customWidth="1"/>
    <col min="514" max="514" width="33.28515625" style="296" customWidth="1"/>
    <col min="515" max="515" width="0" style="296" hidden="1" customWidth="1"/>
    <col min="516" max="516" width="55.28515625" style="296" customWidth="1"/>
    <col min="517" max="768" width="9.140625" style="296"/>
    <col min="769" max="769" width="65.140625" style="296" customWidth="1"/>
    <col min="770" max="770" width="33.28515625" style="296" customWidth="1"/>
    <col min="771" max="771" width="0" style="296" hidden="1" customWidth="1"/>
    <col min="772" max="772" width="55.28515625" style="296" customWidth="1"/>
    <col min="773" max="1024" width="9.140625" style="296"/>
    <col min="1025" max="1025" width="65.140625" style="296" customWidth="1"/>
    <col min="1026" max="1026" width="33.28515625" style="296" customWidth="1"/>
    <col min="1027" max="1027" width="0" style="296" hidden="1" customWidth="1"/>
    <col min="1028" max="1028" width="55.28515625" style="296" customWidth="1"/>
    <col min="1029" max="1280" width="9.140625" style="296"/>
    <col min="1281" max="1281" width="65.140625" style="296" customWidth="1"/>
    <col min="1282" max="1282" width="33.28515625" style="296" customWidth="1"/>
    <col min="1283" max="1283" width="0" style="296" hidden="1" customWidth="1"/>
    <col min="1284" max="1284" width="55.28515625" style="296" customWidth="1"/>
    <col min="1285" max="1536" width="9.140625" style="296"/>
    <col min="1537" max="1537" width="65.140625" style="296" customWidth="1"/>
    <col min="1538" max="1538" width="33.28515625" style="296" customWidth="1"/>
    <col min="1539" max="1539" width="0" style="296" hidden="1" customWidth="1"/>
    <col min="1540" max="1540" width="55.28515625" style="296" customWidth="1"/>
    <col min="1541" max="1792" width="9.140625" style="296"/>
    <col min="1793" max="1793" width="65.140625" style="296" customWidth="1"/>
    <col min="1794" max="1794" width="33.28515625" style="296" customWidth="1"/>
    <col min="1795" max="1795" width="0" style="296" hidden="1" customWidth="1"/>
    <col min="1796" max="1796" width="55.28515625" style="296" customWidth="1"/>
    <col min="1797" max="2048" width="9.140625" style="296"/>
    <col min="2049" max="2049" width="65.140625" style="296" customWidth="1"/>
    <col min="2050" max="2050" width="33.28515625" style="296" customWidth="1"/>
    <col min="2051" max="2051" width="0" style="296" hidden="1" customWidth="1"/>
    <col min="2052" max="2052" width="55.28515625" style="296" customWidth="1"/>
    <col min="2053" max="2304" width="9.140625" style="296"/>
    <col min="2305" max="2305" width="65.140625" style="296" customWidth="1"/>
    <col min="2306" max="2306" width="33.28515625" style="296" customWidth="1"/>
    <col min="2307" max="2307" width="0" style="296" hidden="1" customWidth="1"/>
    <col min="2308" max="2308" width="55.28515625" style="296" customWidth="1"/>
    <col min="2309" max="2560" width="9.140625" style="296"/>
    <col min="2561" max="2561" width="65.140625" style="296" customWidth="1"/>
    <col min="2562" max="2562" width="33.28515625" style="296" customWidth="1"/>
    <col min="2563" max="2563" width="0" style="296" hidden="1" customWidth="1"/>
    <col min="2564" max="2564" width="55.28515625" style="296" customWidth="1"/>
    <col min="2565" max="2816" width="9.140625" style="296"/>
    <col min="2817" max="2817" width="65.140625" style="296" customWidth="1"/>
    <col min="2818" max="2818" width="33.28515625" style="296" customWidth="1"/>
    <col min="2819" max="2819" width="0" style="296" hidden="1" customWidth="1"/>
    <col min="2820" max="2820" width="55.28515625" style="296" customWidth="1"/>
    <col min="2821" max="3072" width="9.140625" style="296"/>
    <col min="3073" max="3073" width="65.140625" style="296" customWidth="1"/>
    <col min="3074" max="3074" width="33.28515625" style="296" customWidth="1"/>
    <col min="3075" max="3075" width="0" style="296" hidden="1" customWidth="1"/>
    <col min="3076" max="3076" width="55.28515625" style="296" customWidth="1"/>
    <col min="3077" max="3328" width="9.140625" style="296"/>
    <col min="3329" max="3329" width="65.140625" style="296" customWidth="1"/>
    <col min="3330" max="3330" width="33.28515625" style="296" customWidth="1"/>
    <col min="3331" max="3331" width="0" style="296" hidden="1" customWidth="1"/>
    <col min="3332" max="3332" width="55.28515625" style="296" customWidth="1"/>
    <col min="3333" max="3584" width="9.140625" style="296"/>
    <col min="3585" max="3585" width="65.140625" style="296" customWidth="1"/>
    <col min="3586" max="3586" width="33.28515625" style="296" customWidth="1"/>
    <col min="3587" max="3587" width="0" style="296" hidden="1" customWidth="1"/>
    <col min="3588" max="3588" width="55.28515625" style="296" customWidth="1"/>
    <col min="3589" max="3840" width="9.140625" style="296"/>
    <col min="3841" max="3841" width="65.140625" style="296" customWidth="1"/>
    <col min="3842" max="3842" width="33.28515625" style="296" customWidth="1"/>
    <col min="3843" max="3843" width="0" style="296" hidden="1" customWidth="1"/>
    <col min="3844" max="3844" width="55.28515625" style="296" customWidth="1"/>
    <col min="3845" max="4096" width="9.140625" style="296"/>
    <col min="4097" max="4097" width="65.140625" style="296" customWidth="1"/>
    <col min="4098" max="4098" width="33.28515625" style="296" customWidth="1"/>
    <col min="4099" max="4099" width="0" style="296" hidden="1" customWidth="1"/>
    <col min="4100" max="4100" width="55.28515625" style="296" customWidth="1"/>
    <col min="4101" max="4352" width="9.140625" style="296"/>
    <col min="4353" max="4353" width="65.140625" style="296" customWidth="1"/>
    <col min="4354" max="4354" width="33.28515625" style="296" customWidth="1"/>
    <col min="4355" max="4355" width="0" style="296" hidden="1" customWidth="1"/>
    <col min="4356" max="4356" width="55.28515625" style="296" customWidth="1"/>
    <col min="4357" max="4608" width="9.140625" style="296"/>
    <col min="4609" max="4609" width="65.140625" style="296" customWidth="1"/>
    <col min="4610" max="4610" width="33.28515625" style="296" customWidth="1"/>
    <col min="4611" max="4611" width="0" style="296" hidden="1" customWidth="1"/>
    <col min="4612" max="4612" width="55.28515625" style="296" customWidth="1"/>
    <col min="4613" max="4864" width="9.140625" style="296"/>
    <col min="4865" max="4865" width="65.140625" style="296" customWidth="1"/>
    <col min="4866" max="4866" width="33.28515625" style="296" customWidth="1"/>
    <col min="4867" max="4867" width="0" style="296" hidden="1" customWidth="1"/>
    <col min="4868" max="4868" width="55.28515625" style="296" customWidth="1"/>
    <col min="4869" max="5120" width="9.140625" style="296"/>
    <col min="5121" max="5121" width="65.140625" style="296" customWidth="1"/>
    <col min="5122" max="5122" width="33.28515625" style="296" customWidth="1"/>
    <col min="5123" max="5123" width="0" style="296" hidden="1" customWidth="1"/>
    <col min="5124" max="5124" width="55.28515625" style="296" customWidth="1"/>
    <col min="5125" max="5376" width="9.140625" style="296"/>
    <col min="5377" max="5377" width="65.140625" style="296" customWidth="1"/>
    <col min="5378" max="5378" width="33.28515625" style="296" customWidth="1"/>
    <col min="5379" max="5379" width="0" style="296" hidden="1" customWidth="1"/>
    <col min="5380" max="5380" width="55.28515625" style="296" customWidth="1"/>
    <col min="5381" max="5632" width="9.140625" style="296"/>
    <col min="5633" max="5633" width="65.140625" style="296" customWidth="1"/>
    <col min="5634" max="5634" width="33.28515625" style="296" customWidth="1"/>
    <col min="5635" max="5635" width="0" style="296" hidden="1" customWidth="1"/>
    <col min="5636" max="5636" width="55.28515625" style="296" customWidth="1"/>
    <col min="5637" max="5888" width="9.140625" style="296"/>
    <col min="5889" max="5889" width="65.140625" style="296" customWidth="1"/>
    <col min="5890" max="5890" width="33.28515625" style="296" customWidth="1"/>
    <col min="5891" max="5891" width="0" style="296" hidden="1" customWidth="1"/>
    <col min="5892" max="5892" width="55.28515625" style="296" customWidth="1"/>
    <col min="5893" max="6144" width="9.140625" style="296"/>
    <col min="6145" max="6145" width="65.140625" style="296" customWidth="1"/>
    <col min="6146" max="6146" width="33.28515625" style="296" customWidth="1"/>
    <col min="6147" max="6147" width="0" style="296" hidden="1" customWidth="1"/>
    <col min="6148" max="6148" width="55.28515625" style="296" customWidth="1"/>
    <col min="6149" max="6400" width="9.140625" style="296"/>
    <col min="6401" max="6401" width="65.140625" style="296" customWidth="1"/>
    <col min="6402" max="6402" width="33.28515625" style="296" customWidth="1"/>
    <col min="6403" max="6403" width="0" style="296" hidden="1" customWidth="1"/>
    <col min="6404" max="6404" width="55.28515625" style="296" customWidth="1"/>
    <col min="6405" max="6656" width="9.140625" style="296"/>
    <col min="6657" max="6657" width="65.140625" style="296" customWidth="1"/>
    <col min="6658" max="6658" width="33.28515625" style="296" customWidth="1"/>
    <col min="6659" max="6659" width="0" style="296" hidden="1" customWidth="1"/>
    <col min="6660" max="6660" width="55.28515625" style="296" customWidth="1"/>
    <col min="6661" max="6912" width="9.140625" style="296"/>
    <col min="6913" max="6913" width="65.140625" style="296" customWidth="1"/>
    <col min="6914" max="6914" width="33.28515625" style="296" customWidth="1"/>
    <col min="6915" max="6915" width="0" style="296" hidden="1" customWidth="1"/>
    <col min="6916" max="6916" width="55.28515625" style="296" customWidth="1"/>
    <col min="6917" max="7168" width="9.140625" style="296"/>
    <col min="7169" max="7169" width="65.140625" style="296" customWidth="1"/>
    <col min="7170" max="7170" width="33.28515625" style="296" customWidth="1"/>
    <col min="7171" max="7171" width="0" style="296" hidden="1" customWidth="1"/>
    <col min="7172" max="7172" width="55.28515625" style="296" customWidth="1"/>
    <col min="7173" max="7424" width="9.140625" style="296"/>
    <col min="7425" max="7425" width="65.140625" style="296" customWidth="1"/>
    <col min="7426" max="7426" width="33.28515625" style="296" customWidth="1"/>
    <col min="7427" max="7427" width="0" style="296" hidden="1" customWidth="1"/>
    <col min="7428" max="7428" width="55.28515625" style="296" customWidth="1"/>
    <col min="7429" max="7680" width="9.140625" style="296"/>
    <col min="7681" max="7681" width="65.140625" style="296" customWidth="1"/>
    <col min="7682" max="7682" width="33.28515625" style="296" customWidth="1"/>
    <col min="7683" max="7683" width="0" style="296" hidden="1" customWidth="1"/>
    <col min="7684" max="7684" width="55.28515625" style="296" customWidth="1"/>
    <col min="7685" max="7936" width="9.140625" style="296"/>
    <col min="7937" max="7937" width="65.140625" style="296" customWidth="1"/>
    <col min="7938" max="7938" width="33.28515625" style="296" customWidth="1"/>
    <col min="7939" max="7939" width="0" style="296" hidden="1" customWidth="1"/>
    <col min="7940" max="7940" width="55.28515625" style="296" customWidth="1"/>
    <col min="7941" max="8192" width="9.140625" style="296"/>
    <col min="8193" max="8193" width="65.140625" style="296" customWidth="1"/>
    <col min="8194" max="8194" width="33.28515625" style="296" customWidth="1"/>
    <col min="8195" max="8195" width="0" style="296" hidden="1" customWidth="1"/>
    <col min="8196" max="8196" width="55.28515625" style="296" customWidth="1"/>
    <col min="8197" max="8448" width="9.140625" style="296"/>
    <col min="8449" max="8449" width="65.140625" style="296" customWidth="1"/>
    <col min="8450" max="8450" width="33.28515625" style="296" customWidth="1"/>
    <col min="8451" max="8451" width="0" style="296" hidden="1" customWidth="1"/>
    <col min="8452" max="8452" width="55.28515625" style="296" customWidth="1"/>
    <col min="8453" max="8704" width="9.140625" style="296"/>
    <col min="8705" max="8705" width="65.140625" style="296" customWidth="1"/>
    <col min="8706" max="8706" width="33.28515625" style="296" customWidth="1"/>
    <col min="8707" max="8707" width="0" style="296" hidden="1" customWidth="1"/>
    <col min="8708" max="8708" width="55.28515625" style="296" customWidth="1"/>
    <col min="8709" max="8960" width="9.140625" style="296"/>
    <col min="8961" max="8961" width="65.140625" style="296" customWidth="1"/>
    <col min="8962" max="8962" width="33.28515625" style="296" customWidth="1"/>
    <col min="8963" max="8963" width="0" style="296" hidden="1" customWidth="1"/>
    <col min="8964" max="8964" width="55.28515625" style="296" customWidth="1"/>
    <col min="8965" max="9216" width="9.140625" style="296"/>
    <col min="9217" max="9217" width="65.140625" style="296" customWidth="1"/>
    <col min="9218" max="9218" width="33.28515625" style="296" customWidth="1"/>
    <col min="9219" max="9219" width="0" style="296" hidden="1" customWidth="1"/>
    <col min="9220" max="9220" width="55.28515625" style="296" customWidth="1"/>
    <col min="9221" max="9472" width="9.140625" style="296"/>
    <col min="9473" max="9473" width="65.140625" style="296" customWidth="1"/>
    <col min="9474" max="9474" width="33.28515625" style="296" customWidth="1"/>
    <col min="9475" max="9475" width="0" style="296" hidden="1" customWidth="1"/>
    <col min="9476" max="9476" width="55.28515625" style="296" customWidth="1"/>
    <col min="9477" max="9728" width="9.140625" style="296"/>
    <col min="9729" max="9729" width="65.140625" style="296" customWidth="1"/>
    <col min="9730" max="9730" width="33.28515625" style="296" customWidth="1"/>
    <col min="9731" max="9731" width="0" style="296" hidden="1" customWidth="1"/>
    <col min="9732" max="9732" width="55.28515625" style="296" customWidth="1"/>
    <col min="9733" max="9984" width="9.140625" style="296"/>
    <col min="9985" max="9985" width="65.140625" style="296" customWidth="1"/>
    <col min="9986" max="9986" width="33.28515625" style="296" customWidth="1"/>
    <col min="9987" max="9987" width="0" style="296" hidden="1" customWidth="1"/>
    <col min="9988" max="9988" width="55.28515625" style="296" customWidth="1"/>
    <col min="9989" max="10240" width="9.140625" style="296"/>
    <col min="10241" max="10241" width="65.140625" style="296" customWidth="1"/>
    <col min="10242" max="10242" width="33.28515625" style="296" customWidth="1"/>
    <col min="10243" max="10243" width="0" style="296" hidden="1" customWidth="1"/>
    <col min="10244" max="10244" width="55.28515625" style="296" customWidth="1"/>
    <col min="10245" max="10496" width="9.140625" style="296"/>
    <col min="10497" max="10497" width="65.140625" style="296" customWidth="1"/>
    <col min="10498" max="10498" width="33.28515625" style="296" customWidth="1"/>
    <col min="10499" max="10499" width="0" style="296" hidden="1" customWidth="1"/>
    <col min="10500" max="10500" width="55.28515625" style="296" customWidth="1"/>
    <col min="10501" max="10752" width="9.140625" style="296"/>
    <col min="10753" max="10753" width="65.140625" style="296" customWidth="1"/>
    <col min="10754" max="10754" width="33.28515625" style="296" customWidth="1"/>
    <col min="10755" max="10755" width="0" style="296" hidden="1" customWidth="1"/>
    <col min="10756" max="10756" width="55.28515625" style="296" customWidth="1"/>
    <col min="10757" max="11008" width="9.140625" style="296"/>
    <col min="11009" max="11009" width="65.140625" style="296" customWidth="1"/>
    <col min="11010" max="11010" width="33.28515625" style="296" customWidth="1"/>
    <col min="11011" max="11011" width="0" style="296" hidden="1" customWidth="1"/>
    <col min="11012" max="11012" width="55.28515625" style="296" customWidth="1"/>
    <col min="11013" max="11264" width="9.140625" style="296"/>
    <col min="11265" max="11265" width="65.140625" style="296" customWidth="1"/>
    <col min="11266" max="11266" width="33.28515625" style="296" customWidth="1"/>
    <col min="11267" max="11267" width="0" style="296" hidden="1" customWidth="1"/>
    <col min="11268" max="11268" width="55.28515625" style="296" customWidth="1"/>
    <col min="11269" max="11520" width="9.140625" style="296"/>
    <col min="11521" max="11521" width="65.140625" style="296" customWidth="1"/>
    <col min="11522" max="11522" width="33.28515625" style="296" customWidth="1"/>
    <col min="11523" max="11523" width="0" style="296" hidden="1" customWidth="1"/>
    <col min="11524" max="11524" width="55.28515625" style="296" customWidth="1"/>
    <col min="11525" max="11776" width="9.140625" style="296"/>
    <col min="11777" max="11777" width="65.140625" style="296" customWidth="1"/>
    <col min="11778" max="11778" width="33.28515625" style="296" customWidth="1"/>
    <col min="11779" max="11779" width="0" style="296" hidden="1" customWidth="1"/>
    <col min="11780" max="11780" width="55.28515625" style="296" customWidth="1"/>
    <col min="11781" max="12032" width="9.140625" style="296"/>
    <col min="12033" max="12033" width="65.140625" style="296" customWidth="1"/>
    <col min="12034" max="12034" width="33.28515625" style="296" customWidth="1"/>
    <col min="12035" max="12035" width="0" style="296" hidden="1" customWidth="1"/>
    <col min="12036" max="12036" width="55.28515625" style="296" customWidth="1"/>
    <col min="12037" max="12288" width="9.140625" style="296"/>
    <col min="12289" max="12289" width="65.140625" style="296" customWidth="1"/>
    <col min="12290" max="12290" width="33.28515625" style="296" customWidth="1"/>
    <col min="12291" max="12291" width="0" style="296" hidden="1" customWidth="1"/>
    <col min="12292" max="12292" width="55.28515625" style="296" customWidth="1"/>
    <col min="12293" max="12544" width="9.140625" style="296"/>
    <col min="12545" max="12545" width="65.140625" style="296" customWidth="1"/>
    <col min="12546" max="12546" width="33.28515625" style="296" customWidth="1"/>
    <col min="12547" max="12547" width="0" style="296" hidden="1" customWidth="1"/>
    <col min="12548" max="12548" width="55.28515625" style="296" customWidth="1"/>
    <col min="12549" max="12800" width="9.140625" style="296"/>
    <col min="12801" max="12801" width="65.140625" style="296" customWidth="1"/>
    <col min="12802" max="12802" width="33.28515625" style="296" customWidth="1"/>
    <col min="12803" max="12803" width="0" style="296" hidden="1" customWidth="1"/>
    <col min="12804" max="12804" width="55.28515625" style="296" customWidth="1"/>
    <col min="12805" max="13056" width="9.140625" style="296"/>
    <col min="13057" max="13057" width="65.140625" style="296" customWidth="1"/>
    <col min="13058" max="13058" width="33.28515625" style="296" customWidth="1"/>
    <col min="13059" max="13059" width="0" style="296" hidden="1" customWidth="1"/>
    <col min="13060" max="13060" width="55.28515625" style="296" customWidth="1"/>
    <col min="13061" max="13312" width="9.140625" style="296"/>
    <col min="13313" max="13313" width="65.140625" style="296" customWidth="1"/>
    <col min="13314" max="13314" width="33.28515625" style="296" customWidth="1"/>
    <col min="13315" max="13315" width="0" style="296" hidden="1" customWidth="1"/>
    <col min="13316" max="13316" width="55.28515625" style="296" customWidth="1"/>
    <col min="13317" max="13568" width="9.140625" style="296"/>
    <col min="13569" max="13569" width="65.140625" style="296" customWidth="1"/>
    <col min="13570" max="13570" width="33.28515625" style="296" customWidth="1"/>
    <col min="13571" max="13571" width="0" style="296" hidden="1" customWidth="1"/>
    <col min="13572" max="13572" width="55.28515625" style="296" customWidth="1"/>
    <col min="13573" max="13824" width="9.140625" style="296"/>
    <col min="13825" max="13825" width="65.140625" style="296" customWidth="1"/>
    <col min="13826" max="13826" width="33.28515625" style="296" customWidth="1"/>
    <col min="13827" max="13827" width="0" style="296" hidden="1" customWidth="1"/>
    <col min="13828" max="13828" width="55.28515625" style="296" customWidth="1"/>
    <col min="13829" max="14080" width="9.140625" style="296"/>
    <col min="14081" max="14081" width="65.140625" style="296" customWidth="1"/>
    <col min="14082" max="14082" width="33.28515625" style="296" customWidth="1"/>
    <col min="14083" max="14083" width="0" style="296" hidden="1" customWidth="1"/>
    <col min="14084" max="14084" width="55.28515625" style="296" customWidth="1"/>
    <col min="14085" max="14336" width="9.140625" style="296"/>
    <col min="14337" max="14337" width="65.140625" style="296" customWidth="1"/>
    <col min="14338" max="14338" width="33.28515625" style="296" customWidth="1"/>
    <col min="14339" max="14339" width="0" style="296" hidden="1" customWidth="1"/>
    <col min="14340" max="14340" width="55.28515625" style="296" customWidth="1"/>
    <col min="14341" max="14592" width="9.140625" style="296"/>
    <col min="14593" max="14593" width="65.140625" style="296" customWidth="1"/>
    <col min="14594" max="14594" width="33.28515625" style="296" customWidth="1"/>
    <col min="14595" max="14595" width="0" style="296" hidden="1" customWidth="1"/>
    <col min="14596" max="14596" width="55.28515625" style="296" customWidth="1"/>
    <col min="14597" max="14848" width="9.140625" style="296"/>
    <col min="14849" max="14849" width="65.140625" style="296" customWidth="1"/>
    <col min="14850" max="14850" width="33.28515625" style="296" customWidth="1"/>
    <col min="14851" max="14851" width="0" style="296" hidden="1" customWidth="1"/>
    <col min="14852" max="14852" width="55.28515625" style="296" customWidth="1"/>
    <col min="14853" max="15104" width="9.140625" style="296"/>
    <col min="15105" max="15105" width="65.140625" style="296" customWidth="1"/>
    <col min="15106" max="15106" width="33.28515625" style="296" customWidth="1"/>
    <col min="15107" max="15107" width="0" style="296" hidden="1" customWidth="1"/>
    <col min="15108" max="15108" width="55.28515625" style="296" customWidth="1"/>
    <col min="15109" max="15360" width="9.140625" style="296"/>
    <col min="15361" max="15361" width="65.140625" style="296" customWidth="1"/>
    <col min="15362" max="15362" width="33.28515625" style="296" customWidth="1"/>
    <col min="15363" max="15363" width="0" style="296" hidden="1" customWidth="1"/>
    <col min="15364" max="15364" width="55.28515625" style="296" customWidth="1"/>
    <col min="15365" max="15616" width="9.140625" style="296"/>
    <col min="15617" max="15617" width="65.140625" style="296" customWidth="1"/>
    <col min="15618" max="15618" width="33.28515625" style="296" customWidth="1"/>
    <col min="15619" max="15619" width="0" style="296" hidden="1" customWidth="1"/>
    <col min="15620" max="15620" width="55.28515625" style="296" customWidth="1"/>
    <col min="15621" max="15872" width="9.140625" style="296"/>
    <col min="15873" max="15873" width="65.140625" style="296" customWidth="1"/>
    <col min="15874" max="15874" width="33.28515625" style="296" customWidth="1"/>
    <col min="15875" max="15875" width="0" style="296" hidden="1" customWidth="1"/>
    <col min="15876" max="15876" width="55.28515625" style="296" customWidth="1"/>
    <col min="15877" max="16128" width="9.140625" style="296"/>
    <col min="16129" max="16129" width="65.140625" style="296" customWidth="1"/>
    <col min="16130" max="16130" width="33.28515625" style="296" customWidth="1"/>
    <col min="16131" max="16131" width="0" style="296" hidden="1" customWidth="1"/>
    <col min="16132" max="16132" width="55.28515625" style="296" customWidth="1"/>
    <col min="16133" max="16384" width="9.140625" style="296"/>
  </cols>
  <sheetData>
    <row r="2" spans="1:6" ht="22.5" customHeight="1" x14ac:dyDescent="0.15">
      <c r="A2" s="3602" t="s">
        <v>3753</v>
      </c>
      <c r="B2" s="3602"/>
    </row>
    <row r="3" spans="1:6" ht="6.75" customHeight="1" x14ac:dyDescent="0.15">
      <c r="A3" s="1771"/>
      <c r="B3" s="1771"/>
    </row>
    <row r="4" spans="1:6" x14ac:dyDescent="0.15">
      <c r="A4" s="1992" t="s">
        <v>3754</v>
      </c>
      <c r="B4" s="1992" t="s">
        <v>727</v>
      </c>
    </row>
    <row r="5" spans="1:6" x14ac:dyDescent="0.15">
      <c r="A5" s="451" t="s">
        <v>141</v>
      </c>
      <c r="B5" s="1772">
        <f>+B6+B7+B8</f>
        <v>1</v>
      </c>
    </row>
    <row r="6" spans="1:6" x14ac:dyDescent="0.15">
      <c r="A6" s="1773" t="s">
        <v>3755</v>
      </c>
      <c r="B6" s="2025">
        <v>0.4700596665840921</v>
      </c>
    </row>
    <row r="7" spans="1:6" ht="21" x14ac:dyDescent="0.15">
      <c r="A7" s="1773" t="s">
        <v>3629</v>
      </c>
      <c r="B7" s="2025">
        <v>2.429182215145791E-2</v>
      </c>
      <c r="C7" s="2026"/>
      <c r="D7" s="2026"/>
      <c r="E7" s="2026"/>
    </row>
    <row r="8" spans="1:6" ht="21" x14ac:dyDescent="0.15">
      <c r="A8" s="1773" t="s">
        <v>3640</v>
      </c>
      <c r="B8" s="2025">
        <v>0.50564851126444998</v>
      </c>
      <c r="C8" s="2027"/>
      <c r="D8" s="2027"/>
      <c r="E8" s="2027"/>
    </row>
    <row r="9" spans="1:6" x14ac:dyDescent="0.15">
      <c r="A9" s="461"/>
      <c r="B9" s="461"/>
      <c r="C9" s="2026"/>
      <c r="D9" s="2026"/>
      <c r="E9" s="2026"/>
    </row>
    <row r="10" spans="1:6" ht="22.5" customHeight="1" x14ac:dyDescent="0.15">
      <c r="A10" s="2531" t="s">
        <v>3625</v>
      </c>
      <c r="B10" s="2531"/>
      <c r="C10" s="2027"/>
      <c r="D10" s="2027"/>
      <c r="E10" s="2027"/>
    </row>
    <row r="11" spans="1:6" x14ac:dyDescent="0.15">
      <c r="C11" s="2026"/>
      <c r="D11" s="2026"/>
      <c r="E11" s="2026"/>
    </row>
    <row r="12" spans="1:6" x14ac:dyDescent="0.15">
      <c r="C12" s="2027"/>
      <c r="D12" s="2027"/>
      <c r="E12" s="2027"/>
    </row>
    <row r="13" spans="1:6" x14ac:dyDescent="0.15">
      <c r="C13" s="2026"/>
      <c r="D13" s="2026"/>
      <c r="E13" s="2026"/>
    </row>
    <row r="14" spans="1:6" x14ac:dyDescent="0.15">
      <c r="E14" s="2012"/>
      <c r="F14" s="2025"/>
    </row>
    <row r="15" spans="1:6" x14ac:dyDescent="0.15">
      <c r="E15" s="2012"/>
      <c r="F15" s="2025"/>
    </row>
    <row r="16" spans="1:6" x14ac:dyDescent="0.15">
      <c r="E16" s="2012"/>
      <c r="F16" s="2025"/>
    </row>
    <row r="17" spans="4:7" x14ac:dyDescent="0.15">
      <c r="E17" s="2028"/>
      <c r="F17" s="2025"/>
    </row>
    <row r="23" spans="4:7" x14ac:dyDescent="0.15">
      <c r="F23" s="2012"/>
      <c r="G23" s="2025"/>
    </row>
    <row r="24" spans="4:7" x14ac:dyDescent="0.15">
      <c r="F24" s="2012"/>
      <c r="G24" s="2025"/>
    </row>
    <row r="25" spans="4:7" x14ac:dyDescent="0.15">
      <c r="F25" s="2012"/>
      <c r="G25" s="2025"/>
    </row>
    <row r="26" spans="4:7" x14ac:dyDescent="0.15">
      <c r="F26" s="2029"/>
      <c r="G26" s="2025"/>
    </row>
    <row r="27" spans="4:7" x14ac:dyDescent="0.15">
      <c r="D27" s="738"/>
      <c r="E27" s="738"/>
      <c r="F27" s="738"/>
    </row>
    <row r="28" spans="4:7" x14ac:dyDescent="0.15">
      <c r="D28" s="209"/>
      <c r="E28" s="2030"/>
      <c r="F28" s="738"/>
    </row>
    <row r="29" spans="4:7" x14ac:dyDescent="0.15">
      <c r="D29" s="209"/>
      <c r="E29" s="2026"/>
      <c r="F29" s="738"/>
    </row>
    <row r="30" spans="4:7" x14ac:dyDescent="0.15">
      <c r="D30" s="209"/>
      <c r="E30" s="2027"/>
      <c r="F30" s="738"/>
    </row>
    <row r="31" spans="4:7" x14ac:dyDescent="0.15">
      <c r="D31" s="738"/>
      <c r="E31" s="738"/>
      <c r="F31" s="738"/>
    </row>
  </sheetData>
  <mergeCells count="2">
    <mergeCell ref="A2:B2"/>
    <mergeCell ref="A10:B10"/>
  </mergeCells>
  <pageMargins left="0.70866141732283472" right="0.70866141732283472" top="0.74803149606299213" bottom="0.74803149606299213" header="0.31496062992125984" footer="0.31496062992125984"/>
  <pageSetup scale="95"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8"/>
  <dimension ref="A1:G26"/>
  <sheetViews>
    <sheetView zoomScaleNormal="100" workbookViewId="0">
      <selection activeCell="J12" sqref="J12"/>
    </sheetView>
  </sheetViews>
  <sheetFormatPr baseColWidth="10" defaultRowHeight="10.5" x14ac:dyDescent="0.15"/>
  <cols>
    <col min="1" max="1" width="39.28515625" style="25" bestFit="1" customWidth="1"/>
    <col min="2" max="2" width="11.140625" style="25" customWidth="1"/>
    <col min="3" max="3" width="15.85546875" style="25" customWidth="1"/>
    <col min="4" max="4" width="16.85546875" style="25" customWidth="1"/>
    <col min="5" max="5" width="17.85546875" style="25" customWidth="1"/>
    <col min="6" max="16384" width="11.42578125" style="25"/>
  </cols>
  <sheetData>
    <row r="1" spans="1:7" ht="10.5" customHeight="1" x14ac:dyDescent="0.15"/>
    <row r="2" spans="1:7" ht="33.75" customHeight="1" x14ac:dyDescent="0.15">
      <c r="A2" s="3603" t="s">
        <v>4225</v>
      </c>
      <c r="B2" s="3603"/>
      <c r="C2" s="3603"/>
      <c r="D2" s="3603"/>
      <c r="E2" s="3603"/>
      <c r="F2" s="296"/>
      <c r="G2" s="296"/>
    </row>
    <row r="3" spans="1:7" ht="11.25" customHeight="1" x14ac:dyDescent="0.15">
      <c r="A3" s="3604"/>
      <c r="B3" s="3604"/>
      <c r="C3" s="3604"/>
      <c r="D3" s="3604"/>
      <c r="E3" s="3604"/>
    </row>
    <row r="4" spans="1:7" ht="15" customHeight="1" x14ac:dyDescent="0.15">
      <c r="A4" s="3605" t="s">
        <v>1</v>
      </c>
      <c r="B4" s="2528" t="s">
        <v>983</v>
      </c>
      <c r="C4" s="2528"/>
      <c r="D4" s="3606"/>
      <c r="E4" s="2527" t="s">
        <v>984</v>
      </c>
    </row>
    <row r="5" spans="1:7" ht="27" customHeight="1" x14ac:dyDescent="0.15">
      <c r="A5" s="3605"/>
      <c r="B5" s="245" t="s">
        <v>141</v>
      </c>
      <c r="C5" s="245" t="s">
        <v>985</v>
      </c>
      <c r="D5" s="1774" t="s">
        <v>986</v>
      </c>
      <c r="E5" s="2527"/>
    </row>
    <row r="6" spans="1:7" ht="15" customHeight="1" x14ac:dyDescent="0.15">
      <c r="A6" s="1775" t="s">
        <v>141</v>
      </c>
      <c r="B6" s="247">
        <f>SUM(B7:B21)</f>
        <v>863</v>
      </c>
      <c r="C6" s="247">
        <f>SUM(C7:C21)</f>
        <v>28</v>
      </c>
      <c r="D6" s="247">
        <f>SUM(D7:D21)</f>
        <v>835</v>
      </c>
      <c r="E6" s="1776">
        <f>SUM(E7:E21)</f>
        <v>926</v>
      </c>
    </row>
    <row r="7" spans="1:7" ht="15" customHeight="1" x14ac:dyDescent="0.15">
      <c r="A7" s="1777" t="s">
        <v>5</v>
      </c>
      <c r="B7" s="247">
        <f t="shared" ref="B7:B21" si="0">SUM(C7:D7)</f>
        <v>9</v>
      </c>
      <c r="C7" s="248">
        <v>0</v>
      </c>
      <c r="D7" s="248">
        <v>9</v>
      </c>
      <c r="E7" s="1778">
        <v>9</v>
      </c>
    </row>
    <row r="8" spans="1:7" ht="15" customHeight="1" x14ac:dyDescent="0.15">
      <c r="A8" s="1777" t="s">
        <v>6</v>
      </c>
      <c r="B8" s="247">
        <f t="shared" si="0"/>
        <v>28</v>
      </c>
      <c r="C8" s="248">
        <v>2</v>
      </c>
      <c r="D8" s="248">
        <v>26</v>
      </c>
      <c r="E8" s="1778">
        <v>26</v>
      </c>
    </row>
    <row r="9" spans="1:7" ht="15" customHeight="1" x14ac:dyDescent="0.15">
      <c r="A9" s="1777" t="s">
        <v>7</v>
      </c>
      <c r="B9" s="247">
        <f t="shared" si="0"/>
        <v>46</v>
      </c>
      <c r="C9" s="248">
        <v>0</v>
      </c>
      <c r="D9" s="248">
        <v>46</v>
      </c>
      <c r="E9" s="1778">
        <v>48</v>
      </c>
    </row>
    <row r="10" spans="1:7" ht="15" customHeight="1" x14ac:dyDescent="0.15">
      <c r="A10" s="1777" t="s">
        <v>8</v>
      </c>
      <c r="B10" s="247">
        <f t="shared" si="0"/>
        <v>12</v>
      </c>
      <c r="C10" s="248">
        <v>0</v>
      </c>
      <c r="D10" s="248">
        <v>12</v>
      </c>
      <c r="E10" s="1778">
        <v>13</v>
      </c>
    </row>
    <row r="11" spans="1:7" ht="15" customHeight="1" x14ac:dyDescent="0.15">
      <c r="A11" s="1777" t="s">
        <v>9</v>
      </c>
      <c r="B11" s="247">
        <f t="shared" si="0"/>
        <v>23</v>
      </c>
      <c r="C11" s="248">
        <v>1</v>
      </c>
      <c r="D11" s="248">
        <v>22</v>
      </c>
      <c r="E11" s="1778">
        <v>26</v>
      </c>
    </row>
    <row r="12" spans="1:7" ht="15" customHeight="1" x14ac:dyDescent="0.15">
      <c r="A12" s="1777" t="s">
        <v>10</v>
      </c>
      <c r="B12" s="247">
        <f t="shared" si="0"/>
        <v>104</v>
      </c>
      <c r="C12" s="248">
        <v>0</v>
      </c>
      <c r="D12" s="248">
        <v>104</v>
      </c>
      <c r="E12" s="1778">
        <v>121</v>
      </c>
    </row>
    <row r="13" spans="1:7" ht="15" customHeight="1" x14ac:dyDescent="0.15">
      <c r="A13" s="1777" t="s">
        <v>11</v>
      </c>
      <c r="B13" s="247">
        <f t="shared" si="0"/>
        <v>426</v>
      </c>
      <c r="C13" s="248">
        <v>17</v>
      </c>
      <c r="D13" s="248">
        <v>409</v>
      </c>
      <c r="E13" s="1778">
        <v>465</v>
      </c>
    </row>
    <row r="14" spans="1:7" ht="15" customHeight="1" x14ac:dyDescent="0.15">
      <c r="A14" s="1777" t="s">
        <v>12</v>
      </c>
      <c r="B14" s="247">
        <f t="shared" si="0"/>
        <v>39</v>
      </c>
      <c r="C14" s="248">
        <v>0</v>
      </c>
      <c r="D14" s="248">
        <v>39</v>
      </c>
      <c r="E14" s="1778">
        <v>40</v>
      </c>
    </row>
    <row r="15" spans="1:7" ht="15" customHeight="1" x14ac:dyDescent="0.15">
      <c r="A15" s="1777" t="s">
        <v>13</v>
      </c>
      <c r="B15" s="247">
        <f t="shared" si="0"/>
        <v>47</v>
      </c>
      <c r="C15" s="248">
        <v>0</v>
      </c>
      <c r="D15" s="248">
        <v>47</v>
      </c>
      <c r="E15" s="1778">
        <v>50</v>
      </c>
    </row>
    <row r="16" spans="1:7" ht="15" customHeight="1" x14ac:dyDescent="0.15">
      <c r="A16" s="1777" t="s">
        <v>14</v>
      </c>
      <c r="B16" s="247">
        <f t="shared" si="0"/>
        <v>71</v>
      </c>
      <c r="C16" s="248">
        <v>3</v>
      </c>
      <c r="D16" s="248">
        <v>68</v>
      </c>
      <c r="E16" s="1778">
        <v>71</v>
      </c>
    </row>
    <row r="17" spans="1:5" ht="15" customHeight="1" x14ac:dyDescent="0.15">
      <c r="A17" s="1777" t="s">
        <v>15</v>
      </c>
      <c r="B17" s="247">
        <f t="shared" si="0"/>
        <v>22</v>
      </c>
      <c r="C17" s="248">
        <v>4</v>
      </c>
      <c r="D17" s="248">
        <v>18</v>
      </c>
      <c r="E17" s="1778">
        <v>20</v>
      </c>
    </row>
    <row r="18" spans="1:5" ht="15" customHeight="1" x14ac:dyDescent="0.15">
      <c r="A18" s="1777" t="s">
        <v>16</v>
      </c>
      <c r="B18" s="247">
        <f t="shared" si="0"/>
        <v>3</v>
      </c>
      <c r="C18" s="248">
        <v>0</v>
      </c>
      <c r="D18" s="248">
        <v>3</v>
      </c>
      <c r="E18" s="1778">
        <v>4</v>
      </c>
    </row>
    <row r="19" spans="1:5" ht="15" customHeight="1" x14ac:dyDescent="0.15">
      <c r="A19" s="1777" t="s">
        <v>17</v>
      </c>
      <c r="B19" s="247">
        <f t="shared" si="0"/>
        <v>29</v>
      </c>
      <c r="C19" s="248">
        <v>1</v>
      </c>
      <c r="D19" s="248">
        <v>28</v>
      </c>
      <c r="E19" s="1778">
        <v>29</v>
      </c>
    </row>
    <row r="20" spans="1:5" ht="15" customHeight="1" x14ac:dyDescent="0.15">
      <c r="A20" s="1777" t="s">
        <v>18</v>
      </c>
      <c r="B20" s="247">
        <f t="shared" si="0"/>
        <v>2</v>
      </c>
      <c r="C20" s="248">
        <v>0</v>
      </c>
      <c r="D20" s="248">
        <v>2</v>
      </c>
      <c r="E20" s="1778">
        <v>2</v>
      </c>
    </row>
    <row r="21" spans="1:5" ht="15" customHeight="1" x14ac:dyDescent="0.15">
      <c r="A21" s="1777" t="s">
        <v>19</v>
      </c>
      <c r="B21" s="247">
        <f t="shared" si="0"/>
        <v>2</v>
      </c>
      <c r="C21" s="248">
        <v>0</v>
      </c>
      <c r="D21" s="248">
        <v>2</v>
      </c>
      <c r="E21" s="1778">
        <v>2</v>
      </c>
    </row>
    <row r="22" spans="1:5" ht="11.25" customHeight="1" x14ac:dyDescent="0.15">
      <c r="A22" s="1779"/>
      <c r="B22" s="247"/>
      <c r="C22" s="1780"/>
      <c r="D22" s="1780"/>
      <c r="E22" s="1780"/>
    </row>
    <row r="23" spans="1:5" ht="15" customHeight="1" x14ac:dyDescent="0.15">
      <c r="A23" s="3607" t="s">
        <v>20</v>
      </c>
      <c r="B23" s="3607"/>
      <c r="C23" s="3607"/>
      <c r="D23" s="3607"/>
      <c r="E23" s="3607"/>
    </row>
    <row r="24" spans="1:5" ht="15" customHeight="1" x14ac:dyDescent="0.15">
      <c r="A24" s="3108" t="s">
        <v>987</v>
      </c>
      <c r="B24" s="3108"/>
      <c r="C24" s="3108"/>
      <c r="D24" s="3108"/>
      <c r="E24" s="3108"/>
    </row>
    <row r="25" spans="1:5" ht="15" customHeight="1" x14ac:dyDescent="0.15"/>
    <row r="26" spans="1:5" ht="15" customHeight="1" x14ac:dyDescent="0.15"/>
  </sheetData>
  <mergeCells count="7">
    <mergeCell ref="A24:E24"/>
    <mergeCell ref="A2:E2"/>
    <mergeCell ref="A3:E3"/>
    <mergeCell ref="A4:A5"/>
    <mergeCell ref="B4:D4"/>
    <mergeCell ref="E4:E5"/>
    <mergeCell ref="A23:E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C21"/>
  <sheetViews>
    <sheetView workbookViewId="0">
      <selection activeCell="G8" sqref="G8"/>
    </sheetView>
  </sheetViews>
  <sheetFormatPr baseColWidth="10" defaultColWidth="9.140625" defaultRowHeight="10.5" x14ac:dyDescent="0.15"/>
  <cols>
    <col min="1" max="1" width="37.5703125" style="97" customWidth="1"/>
    <col min="2" max="2" width="60.7109375" style="97" customWidth="1"/>
    <col min="3" max="3" width="21.42578125" style="97" customWidth="1"/>
    <col min="4" max="16384" width="9.140625" style="97"/>
  </cols>
  <sheetData>
    <row r="2" spans="1:3" ht="23.25" customHeight="1" x14ac:dyDescent="0.15">
      <c r="A2" s="2464" t="s">
        <v>404</v>
      </c>
      <c r="B2" s="2464"/>
      <c r="C2" s="2464"/>
    </row>
    <row r="3" spans="1:3" ht="10.5" customHeight="1" x14ac:dyDescent="0.15">
      <c r="A3" s="173"/>
      <c r="B3" s="173"/>
    </row>
    <row r="4" spans="1:3" x14ac:dyDescent="0.15">
      <c r="A4" s="2402" t="s">
        <v>405</v>
      </c>
      <c r="B4" s="2374" t="s">
        <v>406</v>
      </c>
      <c r="C4" s="2374"/>
    </row>
    <row r="5" spans="1:3" x14ac:dyDescent="0.15">
      <c r="A5" s="2403"/>
      <c r="B5" s="2042" t="s">
        <v>407</v>
      </c>
      <c r="C5" s="174" t="s">
        <v>141</v>
      </c>
    </row>
    <row r="6" spans="1:3" x14ac:dyDescent="0.15">
      <c r="A6" s="1996" t="s">
        <v>141</v>
      </c>
      <c r="B6" s="2035">
        <f>SUM(B7,B8,B9,B10,B11,B14)</f>
        <v>0</v>
      </c>
      <c r="C6" s="2036">
        <f>SUM(C7:C14)</f>
        <v>6</v>
      </c>
    </row>
    <row r="7" spans="1:3" ht="22.5" customHeight="1" x14ac:dyDescent="0.15">
      <c r="A7" s="2037" t="s">
        <v>408</v>
      </c>
      <c r="B7" s="2038">
        <v>0</v>
      </c>
      <c r="C7" s="438" t="s">
        <v>193</v>
      </c>
    </row>
    <row r="8" spans="1:3" ht="21" x14ac:dyDescent="0.15">
      <c r="A8" s="2037" t="s">
        <v>409</v>
      </c>
      <c r="B8" s="2039" t="s">
        <v>410</v>
      </c>
      <c r="C8" s="438">
        <v>1</v>
      </c>
    </row>
    <row r="9" spans="1:3" ht="22.5" customHeight="1" x14ac:dyDescent="0.15">
      <c r="A9" s="2037" t="s">
        <v>411</v>
      </c>
      <c r="B9" s="2040" t="s">
        <v>412</v>
      </c>
      <c r="C9" s="438">
        <v>1</v>
      </c>
    </row>
    <row r="10" spans="1:3" ht="22.5" customHeight="1" x14ac:dyDescent="0.15">
      <c r="A10" s="2010" t="s">
        <v>375</v>
      </c>
      <c r="B10" s="2041">
        <v>0</v>
      </c>
      <c r="C10" s="438">
        <v>0</v>
      </c>
    </row>
    <row r="11" spans="1:3" x14ac:dyDescent="0.15">
      <c r="A11" s="2465" t="s">
        <v>413</v>
      </c>
      <c r="B11" s="2039" t="s">
        <v>414</v>
      </c>
      <c r="C11" s="434">
        <v>3</v>
      </c>
    </row>
    <row r="12" spans="1:3" ht="11.25" x14ac:dyDescent="0.15">
      <c r="A12" s="2465"/>
      <c r="B12" s="2006" t="s">
        <v>415</v>
      </c>
      <c r="C12" s="434">
        <v>0</v>
      </c>
    </row>
    <row r="13" spans="1:3" ht="31.5" x14ac:dyDescent="0.15">
      <c r="A13" s="2465"/>
      <c r="B13" s="2006" t="s">
        <v>416</v>
      </c>
      <c r="C13" s="434">
        <v>0</v>
      </c>
    </row>
    <row r="14" spans="1:3" ht="22.5" customHeight="1" x14ac:dyDescent="0.15">
      <c r="A14" s="2004" t="s">
        <v>417</v>
      </c>
      <c r="B14" s="443" t="s">
        <v>418</v>
      </c>
      <c r="C14" s="434">
        <v>1</v>
      </c>
    </row>
    <row r="15" spans="1:3" x14ac:dyDescent="0.15">
      <c r="A15" s="1993"/>
      <c r="B15" s="1488"/>
      <c r="C15" s="2009"/>
    </row>
    <row r="16" spans="1:3" x14ac:dyDescent="0.15">
      <c r="A16" s="2345" t="s">
        <v>419</v>
      </c>
      <c r="B16" s="2345"/>
      <c r="C16" s="2345"/>
    </row>
    <row r="17" spans="1:3" ht="11.25" customHeight="1" x14ac:dyDescent="0.15">
      <c r="A17" s="2469" t="s">
        <v>420</v>
      </c>
      <c r="B17" s="2469"/>
      <c r="C17" s="2469"/>
    </row>
    <row r="18" spans="1:3" ht="22.5" customHeight="1" x14ac:dyDescent="0.15">
      <c r="A18" s="2466" t="s">
        <v>421</v>
      </c>
      <c r="B18" s="2466"/>
      <c r="C18" s="2466"/>
    </row>
    <row r="19" spans="1:3" x14ac:dyDescent="0.15">
      <c r="A19" s="2467" t="s">
        <v>422</v>
      </c>
      <c r="B19" s="2467"/>
      <c r="C19" s="2467"/>
    </row>
    <row r="20" spans="1:3" x14ac:dyDescent="0.15">
      <c r="A20" s="2390" t="s">
        <v>326</v>
      </c>
      <c r="B20" s="2390"/>
      <c r="C20" s="2390"/>
    </row>
    <row r="21" spans="1:3" x14ac:dyDescent="0.15">
      <c r="A21" s="2468" t="s">
        <v>327</v>
      </c>
      <c r="B21" s="2468"/>
      <c r="C21" s="2468"/>
    </row>
  </sheetData>
  <mergeCells count="10">
    <mergeCell ref="A18:C18"/>
    <mergeCell ref="A19:C19"/>
    <mergeCell ref="A20:C20"/>
    <mergeCell ref="A21:C21"/>
    <mergeCell ref="A17:C17"/>
    <mergeCell ref="A2:C2"/>
    <mergeCell ref="A4:A5"/>
    <mergeCell ref="B4:C4"/>
    <mergeCell ref="A11:A13"/>
    <mergeCell ref="A16:C16"/>
  </mergeCells>
  <pageMargins left="0.78740157480314965" right="0.78740157480314965" top="0.78740157480314965" bottom="0.78740157480314965" header="0.78740157480314965" footer="0.78740157480314965"/>
  <pageSetup paperSize="9" orientation="portrait" horizontalDpi="4294967294" verticalDpi="1200" r:id="rId1"/>
  <headerFooter alignWithMargins="0">
    <oddFooter>&amp;L&amp;C&amp;R</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9"/>
  <dimension ref="A1:J27"/>
  <sheetViews>
    <sheetView zoomScaleNormal="100" workbookViewId="0">
      <selection activeCell="J12" sqref="J12"/>
    </sheetView>
  </sheetViews>
  <sheetFormatPr baseColWidth="10" defaultRowHeight="10.5" x14ac:dyDescent="0.15"/>
  <cols>
    <col min="1" max="1" width="19.5703125" style="25" customWidth="1"/>
    <col min="2" max="2" width="15.28515625" style="25" customWidth="1"/>
    <col min="3" max="10" width="10.28515625" style="25" customWidth="1"/>
    <col min="11" max="16384" width="11.42578125" style="25"/>
  </cols>
  <sheetData>
    <row r="1" spans="1:10" ht="15" customHeight="1" x14ac:dyDescent="0.15"/>
    <row r="2" spans="1:10" ht="22.5" customHeight="1" x14ac:dyDescent="0.15">
      <c r="A2" s="3610" t="s">
        <v>4226</v>
      </c>
      <c r="B2" s="3610"/>
      <c r="C2" s="3610"/>
      <c r="D2" s="3610"/>
      <c r="E2" s="3610"/>
      <c r="F2" s="3610"/>
      <c r="G2" s="3610"/>
      <c r="H2" s="3610"/>
      <c r="I2" s="3610"/>
      <c r="J2" s="3610"/>
    </row>
    <row r="3" spans="1:10" ht="11.25" customHeight="1" x14ac:dyDescent="0.15">
      <c r="A3" s="3611"/>
      <c r="B3" s="3611"/>
      <c r="C3" s="3611"/>
      <c r="D3" s="3611"/>
      <c r="E3" s="3611"/>
      <c r="F3" s="3611"/>
      <c r="G3" s="3611"/>
      <c r="H3" s="3611"/>
      <c r="I3" s="3611"/>
      <c r="J3" s="3611"/>
    </row>
    <row r="4" spans="1:10" ht="15" customHeight="1" x14ac:dyDescent="0.15">
      <c r="A4" s="3612" t="s">
        <v>1</v>
      </c>
      <c r="B4" s="3612" t="s">
        <v>3756</v>
      </c>
      <c r="C4" s="3613" t="s">
        <v>3757</v>
      </c>
      <c r="D4" s="3613"/>
      <c r="E4" s="3613"/>
      <c r="F4" s="3613"/>
      <c r="G4" s="3613"/>
      <c r="H4" s="3613"/>
      <c r="I4" s="3613"/>
      <c r="J4" s="3613"/>
    </row>
    <row r="5" spans="1:10" ht="15" customHeight="1" x14ac:dyDescent="0.15">
      <c r="A5" s="3612"/>
      <c r="B5" s="3612"/>
      <c r="C5" s="3612" t="s">
        <v>990</v>
      </c>
      <c r="D5" s="3614" t="s">
        <v>966</v>
      </c>
      <c r="E5" s="3614"/>
      <c r="F5" s="3614"/>
      <c r="G5" s="3612" t="s">
        <v>991</v>
      </c>
      <c r="H5" s="3614" t="s">
        <v>967</v>
      </c>
      <c r="I5" s="3614"/>
      <c r="J5" s="3614"/>
    </row>
    <row r="6" spans="1:10" ht="25.5" customHeight="1" x14ac:dyDescent="0.15">
      <c r="A6" s="3612"/>
      <c r="B6" s="3612"/>
      <c r="C6" s="3612"/>
      <c r="D6" s="1781" t="s">
        <v>3758</v>
      </c>
      <c r="E6" s="1781" t="s">
        <v>3759</v>
      </c>
      <c r="F6" s="1781" t="s">
        <v>3760</v>
      </c>
      <c r="G6" s="3612"/>
      <c r="H6" s="1781" t="s">
        <v>3758</v>
      </c>
      <c r="I6" s="1781" t="s">
        <v>3759</v>
      </c>
      <c r="J6" s="1781" t="s">
        <v>3760</v>
      </c>
    </row>
    <row r="7" spans="1:10" ht="15" customHeight="1" x14ac:dyDescent="0.15">
      <c r="A7" s="1775" t="s">
        <v>141</v>
      </c>
      <c r="B7" s="1782">
        <f t="shared" ref="B7:B22" si="0">SUM(C7+G7)</f>
        <v>926</v>
      </c>
      <c r="C7" s="1782">
        <f t="shared" ref="C7:J7" si="1">SUM(C8:C22)</f>
        <v>744</v>
      </c>
      <c r="D7" s="1782">
        <f t="shared" si="1"/>
        <v>50</v>
      </c>
      <c r="E7" s="1782">
        <f t="shared" si="1"/>
        <v>335</v>
      </c>
      <c r="F7" s="1782">
        <f t="shared" si="1"/>
        <v>359</v>
      </c>
      <c r="G7" s="1782">
        <f t="shared" si="1"/>
        <v>182</v>
      </c>
      <c r="H7" s="1782">
        <f t="shared" si="1"/>
        <v>5</v>
      </c>
      <c r="I7" s="1782">
        <f t="shared" si="1"/>
        <v>92</v>
      </c>
      <c r="J7" s="1782">
        <f t="shared" si="1"/>
        <v>85</v>
      </c>
    </row>
    <row r="8" spans="1:10" ht="15" customHeight="1" x14ac:dyDescent="0.15">
      <c r="A8" s="1777" t="s">
        <v>5</v>
      </c>
      <c r="B8" s="1782">
        <f t="shared" si="0"/>
        <v>9</v>
      </c>
      <c r="C8" s="1782">
        <f t="shared" ref="C8:C22" si="2">SUM(D8:F8)</f>
        <v>6</v>
      </c>
      <c r="D8" s="248">
        <v>1</v>
      </c>
      <c r="E8" s="248">
        <v>1</v>
      </c>
      <c r="F8" s="248">
        <v>4</v>
      </c>
      <c r="G8" s="1782">
        <f t="shared" ref="G8:G22" si="3">SUM(H8:J8)</f>
        <v>3</v>
      </c>
      <c r="H8" s="248">
        <v>0</v>
      </c>
      <c r="I8" s="248">
        <v>0</v>
      </c>
      <c r="J8" s="248">
        <v>3</v>
      </c>
    </row>
    <row r="9" spans="1:10" ht="15" customHeight="1" x14ac:dyDescent="0.15">
      <c r="A9" s="1777" t="s">
        <v>6</v>
      </c>
      <c r="B9" s="1782">
        <f t="shared" si="0"/>
        <v>26</v>
      </c>
      <c r="C9" s="1782">
        <f t="shared" si="2"/>
        <v>21</v>
      </c>
      <c r="D9" s="248">
        <v>0</v>
      </c>
      <c r="E9" s="248">
        <v>12</v>
      </c>
      <c r="F9" s="248">
        <v>9</v>
      </c>
      <c r="G9" s="1782">
        <f t="shared" si="3"/>
        <v>5</v>
      </c>
      <c r="H9" s="248">
        <v>1</v>
      </c>
      <c r="I9" s="248">
        <v>1</v>
      </c>
      <c r="J9" s="248">
        <v>3</v>
      </c>
    </row>
    <row r="10" spans="1:10" ht="15" customHeight="1" x14ac:dyDescent="0.15">
      <c r="A10" s="1777" t="s">
        <v>7</v>
      </c>
      <c r="B10" s="1782">
        <f t="shared" si="0"/>
        <v>48</v>
      </c>
      <c r="C10" s="1782">
        <f t="shared" si="2"/>
        <v>37</v>
      </c>
      <c r="D10" s="248">
        <v>3</v>
      </c>
      <c r="E10" s="248">
        <v>12</v>
      </c>
      <c r="F10" s="248">
        <v>22</v>
      </c>
      <c r="G10" s="1782">
        <f t="shared" si="3"/>
        <v>11</v>
      </c>
      <c r="H10" s="248">
        <v>1</v>
      </c>
      <c r="I10" s="248">
        <v>1</v>
      </c>
      <c r="J10" s="248">
        <v>9</v>
      </c>
    </row>
    <row r="11" spans="1:10" ht="15" customHeight="1" x14ac:dyDescent="0.15">
      <c r="A11" s="1777" t="s">
        <v>8</v>
      </c>
      <c r="B11" s="1782">
        <f t="shared" si="0"/>
        <v>13</v>
      </c>
      <c r="C11" s="1782">
        <f t="shared" si="2"/>
        <v>9</v>
      </c>
      <c r="D11" s="248">
        <v>2</v>
      </c>
      <c r="E11" s="248">
        <v>3</v>
      </c>
      <c r="F11" s="248">
        <v>4</v>
      </c>
      <c r="G11" s="1782">
        <f t="shared" si="3"/>
        <v>4</v>
      </c>
      <c r="H11" s="248">
        <v>0</v>
      </c>
      <c r="I11" s="248">
        <v>3</v>
      </c>
      <c r="J11" s="248">
        <v>1</v>
      </c>
    </row>
    <row r="12" spans="1:10" ht="15" customHeight="1" x14ac:dyDescent="0.15">
      <c r="A12" s="1777" t="s">
        <v>9</v>
      </c>
      <c r="B12" s="1782">
        <f t="shared" si="0"/>
        <v>26</v>
      </c>
      <c r="C12" s="1782">
        <f t="shared" si="2"/>
        <v>23</v>
      </c>
      <c r="D12" s="248">
        <v>1</v>
      </c>
      <c r="E12" s="248">
        <v>12</v>
      </c>
      <c r="F12" s="248">
        <v>10</v>
      </c>
      <c r="G12" s="1782">
        <f t="shared" si="3"/>
        <v>3</v>
      </c>
      <c r="H12" s="248">
        <v>0</v>
      </c>
      <c r="I12" s="248">
        <v>1</v>
      </c>
      <c r="J12" s="248">
        <v>2</v>
      </c>
    </row>
    <row r="13" spans="1:10" ht="15" customHeight="1" x14ac:dyDescent="0.15">
      <c r="A13" s="1777" t="s">
        <v>10</v>
      </c>
      <c r="B13" s="1782">
        <f t="shared" si="0"/>
        <v>121</v>
      </c>
      <c r="C13" s="1782">
        <f t="shared" si="2"/>
        <v>98</v>
      </c>
      <c r="D13" s="248">
        <v>4</v>
      </c>
      <c r="E13" s="248">
        <v>51</v>
      </c>
      <c r="F13" s="248">
        <v>43</v>
      </c>
      <c r="G13" s="1782">
        <f t="shared" si="3"/>
        <v>23</v>
      </c>
      <c r="H13" s="248">
        <v>0</v>
      </c>
      <c r="I13" s="248">
        <v>12</v>
      </c>
      <c r="J13" s="248">
        <v>11</v>
      </c>
    </row>
    <row r="14" spans="1:10" ht="15" customHeight="1" x14ac:dyDescent="0.15">
      <c r="A14" s="1777" t="s">
        <v>11</v>
      </c>
      <c r="B14" s="1782">
        <f t="shared" si="0"/>
        <v>465</v>
      </c>
      <c r="C14" s="1782">
        <f t="shared" si="2"/>
        <v>372</v>
      </c>
      <c r="D14" s="248">
        <v>27</v>
      </c>
      <c r="E14" s="248">
        <v>172</v>
      </c>
      <c r="F14" s="248">
        <v>173</v>
      </c>
      <c r="G14" s="1782">
        <f t="shared" si="3"/>
        <v>93</v>
      </c>
      <c r="H14" s="248">
        <v>2</v>
      </c>
      <c r="I14" s="248">
        <v>54</v>
      </c>
      <c r="J14" s="248">
        <v>37</v>
      </c>
    </row>
    <row r="15" spans="1:10" ht="15" customHeight="1" x14ac:dyDescent="0.15">
      <c r="A15" s="1777" t="s">
        <v>12</v>
      </c>
      <c r="B15" s="1782">
        <f t="shared" si="0"/>
        <v>40</v>
      </c>
      <c r="C15" s="1782">
        <f t="shared" si="2"/>
        <v>33</v>
      </c>
      <c r="D15" s="248">
        <v>1</v>
      </c>
      <c r="E15" s="248">
        <v>17</v>
      </c>
      <c r="F15" s="248">
        <v>15</v>
      </c>
      <c r="G15" s="1782">
        <f t="shared" si="3"/>
        <v>7</v>
      </c>
      <c r="H15" s="248">
        <v>0</v>
      </c>
      <c r="I15" s="248">
        <v>3</v>
      </c>
      <c r="J15" s="248">
        <v>4</v>
      </c>
    </row>
    <row r="16" spans="1:10" ht="15" customHeight="1" x14ac:dyDescent="0.15">
      <c r="A16" s="1777" t="s">
        <v>13</v>
      </c>
      <c r="B16" s="1782">
        <f t="shared" si="0"/>
        <v>50</v>
      </c>
      <c r="C16" s="1782">
        <f t="shared" si="2"/>
        <v>34</v>
      </c>
      <c r="D16" s="248">
        <v>1</v>
      </c>
      <c r="E16" s="248">
        <v>12</v>
      </c>
      <c r="F16" s="248">
        <v>21</v>
      </c>
      <c r="G16" s="1782">
        <f t="shared" si="3"/>
        <v>16</v>
      </c>
      <c r="H16" s="248">
        <v>0</v>
      </c>
      <c r="I16" s="248">
        <v>7</v>
      </c>
      <c r="J16" s="248">
        <v>9</v>
      </c>
    </row>
    <row r="17" spans="1:10" ht="15" customHeight="1" x14ac:dyDescent="0.15">
      <c r="A17" s="1777" t="s">
        <v>14</v>
      </c>
      <c r="B17" s="1782">
        <f t="shared" si="0"/>
        <v>71</v>
      </c>
      <c r="C17" s="1782">
        <f t="shared" si="2"/>
        <v>59</v>
      </c>
      <c r="D17" s="248">
        <v>3</v>
      </c>
      <c r="E17" s="248">
        <v>18</v>
      </c>
      <c r="F17" s="248">
        <v>38</v>
      </c>
      <c r="G17" s="1782">
        <f t="shared" si="3"/>
        <v>12</v>
      </c>
      <c r="H17" s="248">
        <v>1</v>
      </c>
      <c r="I17" s="248">
        <v>7</v>
      </c>
      <c r="J17" s="248">
        <v>4</v>
      </c>
    </row>
    <row r="18" spans="1:10" ht="15" customHeight="1" x14ac:dyDescent="0.15">
      <c r="A18" s="1777" t="s">
        <v>15</v>
      </c>
      <c r="B18" s="1782">
        <f t="shared" si="0"/>
        <v>20</v>
      </c>
      <c r="C18" s="1782">
        <f t="shared" si="2"/>
        <v>18</v>
      </c>
      <c r="D18" s="248">
        <v>0</v>
      </c>
      <c r="E18" s="248">
        <v>7</v>
      </c>
      <c r="F18" s="248">
        <v>11</v>
      </c>
      <c r="G18" s="1782">
        <f t="shared" si="3"/>
        <v>2</v>
      </c>
      <c r="H18" s="248">
        <v>0</v>
      </c>
      <c r="I18" s="248">
        <v>1</v>
      </c>
      <c r="J18" s="248">
        <v>1</v>
      </c>
    </row>
    <row r="19" spans="1:10" ht="15" customHeight="1" x14ac:dyDescent="0.15">
      <c r="A19" s="1777" t="s">
        <v>16</v>
      </c>
      <c r="B19" s="1782">
        <f t="shared" si="0"/>
        <v>4</v>
      </c>
      <c r="C19" s="1782">
        <f t="shared" si="2"/>
        <v>4</v>
      </c>
      <c r="D19" s="248">
        <v>0</v>
      </c>
      <c r="E19" s="248">
        <v>4</v>
      </c>
      <c r="F19" s="248">
        <v>0</v>
      </c>
      <c r="G19" s="1782">
        <f t="shared" si="3"/>
        <v>0</v>
      </c>
      <c r="H19" s="248">
        <v>0</v>
      </c>
      <c r="I19" s="248">
        <v>0</v>
      </c>
      <c r="J19" s="248">
        <v>0</v>
      </c>
    </row>
    <row r="20" spans="1:10" ht="15" customHeight="1" x14ac:dyDescent="0.15">
      <c r="A20" s="1777" t="s">
        <v>17</v>
      </c>
      <c r="B20" s="1782">
        <f t="shared" si="0"/>
        <v>29</v>
      </c>
      <c r="C20" s="1782">
        <f t="shared" si="2"/>
        <v>27</v>
      </c>
      <c r="D20" s="248">
        <v>7</v>
      </c>
      <c r="E20" s="248">
        <v>13</v>
      </c>
      <c r="F20" s="248">
        <v>7</v>
      </c>
      <c r="G20" s="1782">
        <f t="shared" si="3"/>
        <v>2</v>
      </c>
      <c r="H20" s="248">
        <v>0</v>
      </c>
      <c r="I20" s="248">
        <v>2</v>
      </c>
      <c r="J20" s="248">
        <v>0</v>
      </c>
    </row>
    <row r="21" spans="1:10" ht="15" customHeight="1" x14ac:dyDescent="0.15">
      <c r="A21" s="1777" t="s">
        <v>18</v>
      </c>
      <c r="B21" s="1782">
        <f t="shared" si="0"/>
        <v>2</v>
      </c>
      <c r="C21" s="1782">
        <f t="shared" si="2"/>
        <v>2</v>
      </c>
      <c r="D21" s="248">
        <v>0</v>
      </c>
      <c r="E21" s="248">
        <v>1</v>
      </c>
      <c r="F21" s="248">
        <v>1</v>
      </c>
      <c r="G21" s="1782">
        <f t="shared" si="3"/>
        <v>0</v>
      </c>
      <c r="H21" s="248">
        <v>0</v>
      </c>
      <c r="I21" s="248">
        <v>0</v>
      </c>
      <c r="J21" s="248">
        <v>0</v>
      </c>
    </row>
    <row r="22" spans="1:10" ht="15" customHeight="1" x14ac:dyDescent="0.15">
      <c r="A22" s="1777" t="s">
        <v>19</v>
      </c>
      <c r="B22" s="1782">
        <f t="shared" si="0"/>
        <v>2</v>
      </c>
      <c r="C22" s="1782">
        <f t="shared" si="2"/>
        <v>1</v>
      </c>
      <c r="D22" s="248">
        <v>0</v>
      </c>
      <c r="E22" s="248">
        <v>0</v>
      </c>
      <c r="F22" s="248">
        <v>1</v>
      </c>
      <c r="G22" s="1782">
        <f t="shared" si="3"/>
        <v>1</v>
      </c>
      <c r="H22" s="248">
        <v>0</v>
      </c>
      <c r="I22" s="248">
        <v>0</v>
      </c>
      <c r="J22" s="248">
        <v>1</v>
      </c>
    </row>
    <row r="23" spans="1:10" ht="11.25" customHeight="1" x14ac:dyDescent="0.15">
      <c r="A23" s="3127"/>
      <c r="B23" s="3127"/>
      <c r="C23" s="3127"/>
      <c r="D23" s="3127"/>
      <c r="E23" s="3127"/>
      <c r="F23" s="3127"/>
      <c r="G23" s="3127"/>
      <c r="H23" s="3127"/>
      <c r="I23" s="3127"/>
      <c r="J23" s="3127"/>
    </row>
    <row r="24" spans="1:10" x14ac:dyDescent="0.15">
      <c r="A24" s="3608" t="s">
        <v>3761</v>
      </c>
      <c r="B24" s="3608"/>
      <c r="C24" s="3608"/>
      <c r="D24" s="3608"/>
      <c r="E24" s="3608"/>
      <c r="F24" s="3608"/>
      <c r="G24" s="3608"/>
      <c r="H24" s="3608"/>
      <c r="I24" s="3608"/>
      <c r="J24" s="3608"/>
    </row>
    <row r="25" spans="1:10" x14ac:dyDescent="0.15">
      <c r="A25" s="3609" t="s">
        <v>20</v>
      </c>
      <c r="B25" s="3609"/>
      <c r="C25" s="3609"/>
      <c r="D25" s="3609"/>
      <c r="E25" s="3609"/>
      <c r="F25" s="3609"/>
      <c r="G25" s="3609"/>
      <c r="H25" s="3609"/>
      <c r="I25" s="3609"/>
      <c r="J25" s="3609"/>
    </row>
    <row r="26" spans="1:10" x14ac:dyDescent="0.15">
      <c r="A26" s="3108" t="s">
        <v>987</v>
      </c>
      <c r="B26" s="3108"/>
      <c r="C26" s="3108"/>
      <c r="D26" s="3108"/>
      <c r="E26" s="3108"/>
      <c r="F26" s="3108"/>
      <c r="G26" s="3108"/>
      <c r="H26" s="3108"/>
      <c r="I26" s="3108"/>
      <c r="J26" s="3108"/>
    </row>
    <row r="27" spans="1:10" ht="15" customHeight="1" x14ac:dyDescent="0.15"/>
  </sheetData>
  <mergeCells count="13">
    <mergeCell ref="A23:J23"/>
    <mergeCell ref="A24:J24"/>
    <mergeCell ref="A25:J25"/>
    <mergeCell ref="A26:J26"/>
    <mergeCell ref="A2:J2"/>
    <mergeCell ref="A3:J3"/>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9" orientation="landscape" verticalDpi="599"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0"/>
  <dimension ref="A1:I26"/>
  <sheetViews>
    <sheetView zoomScaleNormal="100" workbookViewId="0">
      <selection activeCell="J12" sqref="J12"/>
    </sheetView>
  </sheetViews>
  <sheetFormatPr baseColWidth="10" defaultRowHeight="10.5" x14ac:dyDescent="0.15"/>
  <cols>
    <col min="1" max="1" width="17.28515625" style="25" customWidth="1"/>
    <col min="2" max="2" width="11.5703125" style="25" customWidth="1"/>
    <col min="3" max="3" width="14.140625" style="25" customWidth="1"/>
    <col min="4" max="4" width="14.28515625" style="25" customWidth="1"/>
    <col min="5" max="5" width="14" style="25" customWidth="1"/>
    <col min="6" max="6" width="10" style="25" customWidth="1"/>
    <col min="7" max="7" width="15.28515625" style="25" customWidth="1"/>
    <col min="8" max="9" width="14.7109375" style="25" customWidth="1"/>
    <col min="10" max="16384" width="11.42578125" style="25"/>
  </cols>
  <sheetData>
    <row r="1" spans="1:9" ht="15" customHeight="1" x14ac:dyDescent="0.15"/>
    <row r="2" spans="1:9" ht="21" customHeight="1" x14ac:dyDescent="0.15">
      <c r="A2" s="3617" t="s">
        <v>4227</v>
      </c>
      <c r="B2" s="3618"/>
      <c r="C2" s="3618"/>
      <c r="D2" s="3618"/>
      <c r="E2" s="3618"/>
      <c r="F2" s="3618"/>
      <c r="G2" s="3618"/>
      <c r="H2" s="3618"/>
      <c r="I2" s="3618"/>
    </row>
    <row r="3" spans="1:9" ht="11.25" customHeight="1" x14ac:dyDescent="0.15">
      <c r="A3" s="3619"/>
      <c r="B3" s="3619"/>
      <c r="C3" s="3619"/>
      <c r="D3" s="3619"/>
      <c r="E3" s="3619"/>
      <c r="F3" s="3619"/>
      <c r="G3" s="3619"/>
      <c r="H3" s="3619"/>
      <c r="I3" s="3619"/>
    </row>
    <row r="4" spans="1:9" ht="38.25" customHeight="1" x14ac:dyDescent="0.15">
      <c r="A4" s="2527" t="s">
        <v>1</v>
      </c>
      <c r="B4" s="2527" t="s">
        <v>141</v>
      </c>
      <c r="C4" s="2527" t="s">
        <v>3762</v>
      </c>
      <c r="D4" s="2527"/>
      <c r="E4" s="2527" t="s">
        <v>984</v>
      </c>
      <c r="F4" s="2527" t="s">
        <v>141</v>
      </c>
      <c r="G4" s="2527" t="s">
        <v>3763</v>
      </c>
      <c r="H4" s="2527"/>
      <c r="I4" s="2527" t="s">
        <v>984</v>
      </c>
    </row>
    <row r="5" spans="1:9" ht="31.5" customHeight="1" x14ac:dyDescent="0.15">
      <c r="A5" s="2527"/>
      <c r="B5" s="2527"/>
      <c r="C5" s="245" t="s">
        <v>985</v>
      </c>
      <c r="D5" s="245" t="s">
        <v>986</v>
      </c>
      <c r="E5" s="2527"/>
      <c r="F5" s="2527"/>
      <c r="G5" s="245" t="s">
        <v>985</v>
      </c>
      <c r="H5" s="245" t="s">
        <v>986</v>
      </c>
      <c r="I5" s="2527"/>
    </row>
    <row r="6" spans="1:9" x14ac:dyDescent="0.15">
      <c r="A6" s="1775" t="s">
        <v>141</v>
      </c>
      <c r="B6" s="247">
        <f t="shared" ref="B6:H6" si="0">SUM(B7:B21)</f>
        <v>80</v>
      </c>
      <c r="C6" s="247">
        <f t="shared" si="0"/>
        <v>5</v>
      </c>
      <c r="D6" s="247">
        <f t="shared" si="0"/>
        <v>75</v>
      </c>
      <c r="E6" s="247">
        <f t="shared" si="0"/>
        <v>78</v>
      </c>
      <c r="F6" s="247">
        <f>SUM(F7:F21)</f>
        <v>326</v>
      </c>
      <c r="G6" s="247">
        <f t="shared" si="0"/>
        <v>5</v>
      </c>
      <c r="H6" s="247">
        <f t="shared" si="0"/>
        <v>321</v>
      </c>
      <c r="I6" s="247">
        <f>SUM(I7:I21)</f>
        <v>357</v>
      </c>
    </row>
    <row r="7" spans="1:9" ht="15" customHeight="1" x14ac:dyDescent="0.15">
      <c r="A7" s="1777" t="s">
        <v>5</v>
      </c>
      <c r="B7" s="247">
        <f>SUM(C7+D7)</f>
        <v>2</v>
      </c>
      <c r="C7" s="248">
        <v>1</v>
      </c>
      <c r="D7" s="248">
        <v>1</v>
      </c>
      <c r="E7" s="248">
        <v>1</v>
      </c>
      <c r="F7" s="247">
        <f t="shared" ref="F7:F21" si="1">SUM(G7+H7)</f>
        <v>4</v>
      </c>
      <c r="G7" s="248">
        <v>0</v>
      </c>
      <c r="H7" s="248">
        <v>4</v>
      </c>
      <c r="I7" s="248">
        <v>4</v>
      </c>
    </row>
    <row r="8" spans="1:9" ht="15" customHeight="1" x14ac:dyDescent="0.15">
      <c r="A8" s="1777" t="s">
        <v>6</v>
      </c>
      <c r="B8" s="247">
        <f t="shared" ref="B8:B21" si="2">SUM(C8+D8)</f>
        <v>3</v>
      </c>
      <c r="C8" s="248">
        <v>1</v>
      </c>
      <c r="D8" s="248">
        <v>2</v>
      </c>
      <c r="E8" s="248">
        <v>2</v>
      </c>
      <c r="F8" s="247">
        <f t="shared" si="1"/>
        <v>20</v>
      </c>
      <c r="G8" s="248">
        <v>0</v>
      </c>
      <c r="H8" s="248">
        <v>20</v>
      </c>
      <c r="I8" s="248">
        <v>24</v>
      </c>
    </row>
    <row r="9" spans="1:9" ht="15" customHeight="1" x14ac:dyDescent="0.15">
      <c r="A9" s="1777" t="s">
        <v>7</v>
      </c>
      <c r="B9" s="247">
        <f t="shared" si="2"/>
        <v>8</v>
      </c>
      <c r="C9" s="248">
        <v>0</v>
      </c>
      <c r="D9" s="248">
        <v>8</v>
      </c>
      <c r="E9" s="248">
        <v>8</v>
      </c>
      <c r="F9" s="247">
        <f t="shared" si="1"/>
        <v>63</v>
      </c>
      <c r="G9" s="248">
        <v>0</v>
      </c>
      <c r="H9" s="248">
        <v>63</v>
      </c>
      <c r="I9" s="248">
        <v>75</v>
      </c>
    </row>
    <row r="10" spans="1:9" ht="15" customHeight="1" x14ac:dyDescent="0.15">
      <c r="A10" s="1777" t="s">
        <v>8</v>
      </c>
      <c r="B10" s="247">
        <f t="shared" si="2"/>
        <v>5</v>
      </c>
      <c r="C10" s="248">
        <v>0</v>
      </c>
      <c r="D10" s="248">
        <v>5</v>
      </c>
      <c r="E10" s="248">
        <v>7</v>
      </c>
      <c r="F10" s="247">
        <f t="shared" si="1"/>
        <v>8</v>
      </c>
      <c r="G10" s="248">
        <v>0</v>
      </c>
      <c r="H10" s="248">
        <v>8</v>
      </c>
      <c r="I10" s="248">
        <v>9</v>
      </c>
    </row>
    <row r="11" spans="1:9" ht="15" customHeight="1" x14ac:dyDescent="0.15">
      <c r="A11" s="1777" t="s">
        <v>9</v>
      </c>
      <c r="B11" s="247">
        <f t="shared" si="2"/>
        <v>9</v>
      </c>
      <c r="C11" s="248">
        <v>0</v>
      </c>
      <c r="D11" s="248">
        <v>9</v>
      </c>
      <c r="E11" s="248">
        <v>10</v>
      </c>
      <c r="F11" s="247">
        <f t="shared" si="1"/>
        <v>18</v>
      </c>
      <c r="G11" s="248">
        <v>0</v>
      </c>
      <c r="H11" s="248">
        <v>18</v>
      </c>
      <c r="I11" s="248">
        <v>20</v>
      </c>
    </row>
    <row r="12" spans="1:9" ht="15" customHeight="1" x14ac:dyDescent="0.15">
      <c r="A12" s="1777" t="s">
        <v>10</v>
      </c>
      <c r="B12" s="247">
        <f t="shared" si="2"/>
        <v>20</v>
      </c>
      <c r="C12" s="248">
        <v>0</v>
      </c>
      <c r="D12" s="248">
        <v>20</v>
      </c>
      <c r="E12" s="248">
        <v>20</v>
      </c>
      <c r="F12" s="247">
        <f t="shared" si="1"/>
        <v>74</v>
      </c>
      <c r="G12" s="248">
        <v>1</v>
      </c>
      <c r="H12" s="248">
        <v>73</v>
      </c>
      <c r="I12" s="248">
        <v>78</v>
      </c>
    </row>
    <row r="13" spans="1:9" ht="15" customHeight="1" x14ac:dyDescent="0.15">
      <c r="A13" s="1777" t="s">
        <v>11</v>
      </c>
      <c r="B13" s="247">
        <f t="shared" si="2"/>
        <v>6</v>
      </c>
      <c r="C13" s="248">
        <v>0</v>
      </c>
      <c r="D13" s="248">
        <v>6</v>
      </c>
      <c r="E13" s="248">
        <v>6</v>
      </c>
      <c r="F13" s="247">
        <f t="shared" si="1"/>
        <v>33</v>
      </c>
      <c r="G13" s="248">
        <v>0</v>
      </c>
      <c r="H13" s="248">
        <v>33</v>
      </c>
      <c r="I13" s="248">
        <v>33</v>
      </c>
    </row>
    <row r="14" spans="1:9" ht="15" customHeight="1" x14ac:dyDescent="0.15">
      <c r="A14" s="1777" t="s">
        <v>12</v>
      </c>
      <c r="B14" s="247">
        <f t="shared" si="2"/>
        <v>5</v>
      </c>
      <c r="C14" s="248">
        <v>0</v>
      </c>
      <c r="D14" s="248">
        <v>5</v>
      </c>
      <c r="E14" s="248">
        <v>5</v>
      </c>
      <c r="F14" s="247">
        <f t="shared" si="1"/>
        <v>20</v>
      </c>
      <c r="G14" s="248">
        <v>0</v>
      </c>
      <c r="H14" s="248">
        <v>20</v>
      </c>
      <c r="I14" s="248">
        <v>25</v>
      </c>
    </row>
    <row r="15" spans="1:9" ht="15" customHeight="1" x14ac:dyDescent="0.15">
      <c r="A15" s="1777" t="s">
        <v>13</v>
      </c>
      <c r="B15" s="247">
        <f t="shared" si="2"/>
        <v>5</v>
      </c>
      <c r="C15" s="248">
        <v>0</v>
      </c>
      <c r="D15" s="248">
        <v>5</v>
      </c>
      <c r="E15" s="248">
        <v>5</v>
      </c>
      <c r="F15" s="247">
        <f t="shared" si="1"/>
        <v>21</v>
      </c>
      <c r="G15" s="248">
        <v>0</v>
      </c>
      <c r="H15" s="248">
        <v>21</v>
      </c>
      <c r="I15" s="248">
        <v>22</v>
      </c>
    </row>
    <row r="16" spans="1:9" ht="15" customHeight="1" x14ac:dyDescent="0.15">
      <c r="A16" s="1777" t="s">
        <v>14</v>
      </c>
      <c r="B16" s="247">
        <f t="shared" si="2"/>
        <v>12</v>
      </c>
      <c r="C16" s="248">
        <v>2</v>
      </c>
      <c r="D16" s="248">
        <v>10</v>
      </c>
      <c r="E16" s="248">
        <v>10</v>
      </c>
      <c r="F16" s="247">
        <f t="shared" si="1"/>
        <v>40</v>
      </c>
      <c r="G16" s="248">
        <v>2</v>
      </c>
      <c r="H16" s="248">
        <v>38</v>
      </c>
      <c r="I16" s="248">
        <v>42</v>
      </c>
    </row>
    <row r="17" spans="1:9" ht="15" customHeight="1" x14ac:dyDescent="0.15">
      <c r="A17" s="1777" t="s">
        <v>15</v>
      </c>
      <c r="B17" s="247">
        <f t="shared" si="2"/>
        <v>2</v>
      </c>
      <c r="C17" s="248">
        <v>1</v>
      </c>
      <c r="D17" s="248">
        <v>1</v>
      </c>
      <c r="E17" s="248">
        <v>1</v>
      </c>
      <c r="F17" s="247">
        <f t="shared" si="1"/>
        <v>11</v>
      </c>
      <c r="G17" s="248">
        <v>2</v>
      </c>
      <c r="H17" s="248">
        <v>9</v>
      </c>
      <c r="I17" s="248">
        <v>10</v>
      </c>
    </row>
    <row r="18" spans="1:9" ht="15" customHeight="1" x14ac:dyDescent="0.15">
      <c r="A18" s="1777" t="s">
        <v>16</v>
      </c>
      <c r="B18" s="247">
        <f t="shared" si="2"/>
        <v>0</v>
      </c>
      <c r="C18" s="248">
        <v>0</v>
      </c>
      <c r="D18" s="248">
        <v>0</v>
      </c>
      <c r="E18" s="248">
        <v>0</v>
      </c>
      <c r="F18" s="247">
        <f t="shared" si="1"/>
        <v>2</v>
      </c>
      <c r="G18" s="248">
        <v>0</v>
      </c>
      <c r="H18" s="248">
        <v>2</v>
      </c>
      <c r="I18" s="248">
        <v>2</v>
      </c>
    </row>
    <row r="19" spans="1:9" ht="15" customHeight="1" x14ac:dyDescent="0.15">
      <c r="A19" s="1777" t="s">
        <v>17</v>
      </c>
      <c r="B19" s="247">
        <f t="shared" si="2"/>
        <v>3</v>
      </c>
      <c r="C19" s="248">
        <v>0</v>
      </c>
      <c r="D19" s="248">
        <v>3</v>
      </c>
      <c r="E19" s="248">
        <v>3</v>
      </c>
      <c r="F19" s="247">
        <f t="shared" si="1"/>
        <v>12</v>
      </c>
      <c r="G19" s="248">
        <v>0</v>
      </c>
      <c r="H19" s="248">
        <v>12</v>
      </c>
      <c r="I19" s="248">
        <v>13</v>
      </c>
    </row>
    <row r="20" spans="1:9" ht="15" customHeight="1" x14ac:dyDescent="0.15">
      <c r="A20" s="1777" t="s">
        <v>18</v>
      </c>
      <c r="B20" s="247">
        <f t="shared" si="2"/>
        <v>0</v>
      </c>
      <c r="C20" s="248">
        <v>0</v>
      </c>
      <c r="D20" s="248">
        <v>0</v>
      </c>
      <c r="E20" s="248">
        <v>0</v>
      </c>
      <c r="F20" s="247">
        <f t="shared" si="1"/>
        <v>0</v>
      </c>
      <c r="G20" s="248">
        <v>0</v>
      </c>
      <c r="H20" s="248">
        <v>0</v>
      </c>
      <c r="I20" s="248">
        <v>0</v>
      </c>
    </row>
    <row r="21" spans="1:9" ht="15" customHeight="1" x14ac:dyDescent="0.15">
      <c r="A21" s="1777" t="s">
        <v>19</v>
      </c>
      <c r="B21" s="247">
        <f t="shared" si="2"/>
        <v>0</v>
      </c>
      <c r="C21" s="248">
        <v>0</v>
      </c>
      <c r="D21" s="248">
        <v>0</v>
      </c>
      <c r="E21" s="248">
        <v>0</v>
      </c>
      <c r="F21" s="247">
        <f t="shared" si="1"/>
        <v>0</v>
      </c>
      <c r="G21" s="248">
        <v>0</v>
      </c>
      <c r="H21" s="248">
        <v>0</v>
      </c>
      <c r="I21" s="248">
        <v>0</v>
      </c>
    </row>
    <row r="22" spans="1:9" ht="11.25" customHeight="1" x14ac:dyDescent="0.15">
      <c r="A22" s="3615"/>
      <c r="B22" s="3615"/>
      <c r="C22" s="3615"/>
      <c r="D22" s="3615"/>
      <c r="E22" s="3615"/>
      <c r="F22" s="3615"/>
      <c r="G22" s="3615"/>
      <c r="H22" s="3615"/>
      <c r="I22" s="3615"/>
    </row>
    <row r="23" spans="1:9" x14ac:dyDescent="0.15">
      <c r="A23" s="3616" t="s">
        <v>20</v>
      </c>
      <c r="B23" s="3616"/>
      <c r="C23" s="3616"/>
      <c r="D23" s="3616"/>
      <c r="E23" s="3616"/>
      <c r="F23" s="3616"/>
      <c r="G23" s="3616"/>
      <c r="H23" s="3616"/>
      <c r="I23" s="3616"/>
    </row>
    <row r="24" spans="1:9" x14ac:dyDescent="0.15">
      <c r="A24" s="3152" t="s">
        <v>987</v>
      </c>
      <c r="B24" s="3152"/>
      <c r="C24" s="3152"/>
      <c r="D24" s="3152"/>
      <c r="E24" s="3152"/>
      <c r="F24" s="3152"/>
      <c r="G24" s="3152"/>
      <c r="H24" s="3152"/>
      <c r="I24" s="3152"/>
    </row>
    <row r="25" spans="1:9" ht="15" customHeight="1" x14ac:dyDescent="0.15"/>
    <row r="26" spans="1:9" ht="15" customHeight="1" x14ac:dyDescent="0.15"/>
  </sheetData>
  <mergeCells count="12">
    <mergeCell ref="A22:I22"/>
    <mergeCell ref="A23:I23"/>
    <mergeCell ref="A24:I24"/>
    <mergeCell ref="A2:I2"/>
    <mergeCell ref="A3:I3"/>
    <mergeCell ref="A4:A5"/>
    <mergeCell ref="B4:B5"/>
    <mergeCell ref="C4:D4"/>
    <mergeCell ref="E4:E5"/>
    <mergeCell ref="F4:F5"/>
    <mergeCell ref="G4:H4"/>
    <mergeCell ref="I4:I5"/>
  </mergeCells>
  <pageMargins left="0.7" right="0.7" top="0.75" bottom="0.75" header="0.3" footer="0.3"/>
  <pageSetup paperSize="9" orientation="portrait" verticalDpi="599"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1"/>
  <dimension ref="A2:J26"/>
  <sheetViews>
    <sheetView zoomScaleNormal="100" workbookViewId="0">
      <selection activeCell="J12" sqref="J12"/>
    </sheetView>
  </sheetViews>
  <sheetFormatPr baseColWidth="10" defaultRowHeight="10.5" x14ac:dyDescent="0.15"/>
  <cols>
    <col min="1" max="1" width="18.28515625" style="25" customWidth="1"/>
    <col min="2" max="2" width="11" style="25" customWidth="1"/>
    <col min="3" max="3" width="13.140625" style="25" customWidth="1"/>
    <col min="4" max="10" width="9.85546875" style="25" customWidth="1"/>
    <col min="11" max="16384" width="11.42578125" style="25"/>
  </cols>
  <sheetData>
    <row r="2" spans="1:10" ht="36.75" customHeight="1" x14ac:dyDescent="0.15">
      <c r="A2" s="3620" t="s">
        <v>4228</v>
      </c>
      <c r="B2" s="3620"/>
      <c r="C2" s="3620"/>
      <c r="D2" s="3620"/>
      <c r="E2" s="3620"/>
      <c r="F2" s="3620"/>
      <c r="G2" s="3620"/>
      <c r="H2" s="3620"/>
      <c r="I2" s="3620"/>
      <c r="J2" s="3620"/>
    </row>
    <row r="3" spans="1:10" ht="11.25" customHeight="1" x14ac:dyDescent="0.15">
      <c r="A3" s="3621"/>
      <c r="B3" s="3621"/>
      <c r="C3" s="3621"/>
      <c r="D3" s="3621"/>
      <c r="E3" s="3621"/>
      <c r="F3" s="3621"/>
      <c r="G3" s="3621"/>
      <c r="H3" s="3621"/>
      <c r="I3" s="3621"/>
      <c r="J3" s="3621"/>
    </row>
    <row r="4" spans="1:10" ht="15" customHeight="1" x14ac:dyDescent="0.15">
      <c r="A4" s="3112" t="s">
        <v>1</v>
      </c>
      <c r="B4" s="3112" t="s">
        <v>3764</v>
      </c>
      <c r="C4" s="3112"/>
      <c r="D4" s="3112"/>
      <c r="E4" s="3622" t="s">
        <v>3765</v>
      </c>
      <c r="F4" s="3622"/>
      <c r="G4" s="3622"/>
      <c r="H4" s="3622" t="s">
        <v>3766</v>
      </c>
      <c r="I4" s="3622"/>
      <c r="J4" s="3622"/>
    </row>
    <row r="5" spans="1:10" ht="15" customHeight="1" x14ac:dyDescent="0.15">
      <c r="A5" s="3112"/>
      <c r="B5" s="1783" t="s">
        <v>69</v>
      </c>
      <c r="C5" s="1783" t="s">
        <v>966</v>
      </c>
      <c r="D5" s="1606" t="s">
        <v>967</v>
      </c>
      <c r="E5" s="1783" t="s">
        <v>69</v>
      </c>
      <c r="F5" s="1783" t="s">
        <v>966</v>
      </c>
      <c r="G5" s="1606" t="s">
        <v>967</v>
      </c>
      <c r="H5" s="1783" t="s">
        <v>69</v>
      </c>
      <c r="I5" s="1783" t="s">
        <v>966</v>
      </c>
      <c r="J5" s="1606" t="s">
        <v>967</v>
      </c>
    </row>
    <row r="6" spans="1:10" x14ac:dyDescent="0.15">
      <c r="A6" s="1775" t="s">
        <v>141</v>
      </c>
      <c r="B6" s="1784">
        <f t="shared" ref="B6:B21" si="0">SUM(C6:D6)</f>
        <v>435</v>
      </c>
      <c r="C6" s="1784">
        <f t="shared" ref="C6:D6" si="1">SUM(F6+I6)</f>
        <v>342</v>
      </c>
      <c r="D6" s="1784">
        <f t="shared" si="1"/>
        <v>93</v>
      </c>
      <c r="E6" s="1785">
        <f t="shared" ref="E6:J6" si="2">SUM(E7:E21)</f>
        <v>78</v>
      </c>
      <c r="F6" s="1785">
        <f t="shared" si="2"/>
        <v>61</v>
      </c>
      <c r="G6" s="1785">
        <f t="shared" si="2"/>
        <v>17</v>
      </c>
      <c r="H6" s="1785">
        <f t="shared" si="2"/>
        <v>357</v>
      </c>
      <c r="I6" s="1785">
        <f t="shared" si="2"/>
        <v>281</v>
      </c>
      <c r="J6" s="1785">
        <f t="shared" si="2"/>
        <v>76</v>
      </c>
    </row>
    <row r="7" spans="1:10" ht="15" customHeight="1" x14ac:dyDescent="0.15">
      <c r="A7" s="1777" t="s">
        <v>5</v>
      </c>
      <c r="B7" s="1784">
        <f t="shared" si="0"/>
        <v>5</v>
      </c>
      <c r="C7" s="248">
        <v>1</v>
      </c>
      <c r="D7" s="248">
        <v>4</v>
      </c>
      <c r="E7" s="1785">
        <f t="shared" ref="E7:E21" si="3">SUM(F7:G7)</f>
        <v>1</v>
      </c>
      <c r="F7" s="248">
        <v>1</v>
      </c>
      <c r="G7" s="248">
        <v>0</v>
      </c>
      <c r="H7" s="1785">
        <f t="shared" ref="H7:H21" si="4">SUM(I7:J7)</f>
        <v>4</v>
      </c>
      <c r="I7" s="248">
        <v>0</v>
      </c>
      <c r="J7" s="248">
        <v>4</v>
      </c>
    </row>
    <row r="8" spans="1:10" ht="15" customHeight="1" x14ac:dyDescent="0.15">
      <c r="A8" s="1777" t="s">
        <v>6</v>
      </c>
      <c r="B8" s="1784">
        <f t="shared" si="0"/>
        <v>26</v>
      </c>
      <c r="C8" s="248">
        <v>16</v>
      </c>
      <c r="D8" s="248">
        <v>10</v>
      </c>
      <c r="E8" s="1785">
        <f t="shared" si="3"/>
        <v>2</v>
      </c>
      <c r="F8" s="248">
        <v>0</v>
      </c>
      <c r="G8" s="248">
        <v>2</v>
      </c>
      <c r="H8" s="1785">
        <f t="shared" si="4"/>
        <v>24</v>
      </c>
      <c r="I8" s="248">
        <v>16</v>
      </c>
      <c r="J8" s="248">
        <v>8</v>
      </c>
    </row>
    <row r="9" spans="1:10" ht="15" customHeight="1" x14ac:dyDescent="0.15">
      <c r="A9" s="1777" t="s">
        <v>7</v>
      </c>
      <c r="B9" s="1784">
        <f t="shared" si="0"/>
        <v>83</v>
      </c>
      <c r="C9" s="248">
        <v>63</v>
      </c>
      <c r="D9" s="248">
        <v>20</v>
      </c>
      <c r="E9" s="1785">
        <f t="shared" si="3"/>
        <v>8</v>
      </c>
      <c r="F9" s="248">
        <v>4</v>
      </c>
      <c r="G9" s="248">
        <v>4</v>
      </c>
      <c r="H9" s="1785">
        <f t="shared" si="4"/>
        <v>75</v>
      </c>
      <c r="I9" s="248">
        <v>59</v>
      </c>
      <c r="J9" s="248">
        <v>16</v>
      </c>
    </row>
    <row r="10" spans="1:10" ht="15" customHeight="1" x14ac:dyDescent="0.15">
      <c r="A10" s="1777" t="s">
        <v>8</v>
      </c>
      <c r="B10" s="1784">
        <f t="shared" si="0"/>
        <v>16</v>
      </c>
      <c r="C10" s="248">
        <v>15</v>
      </c>
      <c r="D10" s="248">
        <v>1</v>
      </c>
      <c r="E10" s="1785">
        <f t="shared" si="3"/>
        <v>7</v>
      </c>
      <c r="F10" s="248">
        <v>6</v>
      </c>
      <c r="G10" s="248">
        <v>1</v>
      </c>
      <c r="H10" s="1785">
        <f t="shared" si="4"/>
        <v>9</v>
      </c>
      <c r="I10" s="248">
        <v>9</v>
      </c>
      <c r="J10" s="248">
        <v>0</v>
      </c>
    </row>
    <row r="11" spans="1:10" ht="15" customHeight="1" x14ac:dyDescent="0.15">
      <c r="A11" s="1777" t="s">
        <v>9</v>
      </c>
      <c r="B11" s="1784">
        <f t="shared" si="0"/>
        <v>30</v>
      </c>
      <c r="C11" s="248">
        <v>26</v>
      </c>
      <c r="D11" s="248">
        <v>4</v>
      </c>
      <c r="E11" s="1785">
        <f t="shared" si="3"/>
        <v>10</v>
      </c>
      <c r="F11" s="248">
        <v>9</v>
      </c>
      <c r="G11" s="248">
        <v>1</v>
      </c>
      <c r="H11" s="1785">
        <f t="shared" si="4"/>
        <v>20</v>
      </c>
      <c r="I11" s="248">
        <v>17</v>
      </c>
      <c r="J11" s="248">
        <v>3</v>
      </c>
    </row>
    <row r="12" spans="1:10" ht="15" customHeight="1" x14ac:dyDescent="0.15">
      <c r="A12" s="1777" t="s">
        <v>10</v>
      </c>
      <c r="B12" s="1784">
        <f t="shared" si="0"/>
        <v>98</v>
      </c>
      <c r="C12" s="248">
        <v>73</v>
      </c>
      <c r="D12" s="248">
        <v>25</v>
      </c>
      <c r="E12" s="1785">
        <f t="shared" si="3"/>
        <v>20</v>
      </c>
      <c r="F12" s="248">
        <v>14</v>
      </c>
      <c r="G12" s="248">
        <v>6</v>
      </c>
      <c r="H12" s="1785">
        <f t="shared" si="4"/>
        <v>78</v>
      </c>
      <c r="I12" s="248">
        <v>59</v>
      </c>
      <c r="J12" s="248">
        <v>19</v>
      </c>
    </row>
    <row r="13" spans="1:10" ht="15" customHeight="1" x14ac:dyDescent="0.15">
      <c r="A13" s="1777" t="s">
        <v>11</v>
      </c>
      <c r="B13" s="1784">
        <f t="shared" si="0"/>
        <v>39</v>
      </c>
      <c r="C13" s="248">
        <v>35</v>
      </c>
      <c r="D13" s="248">
        <v>4</v>
      </c>
      <c r="E13" s="1785">
        <f t="shared" si="3"/>
        <v>6</v>
      </c>
      <c r="F13" s="248">
        <v>6</v>
      </c>
      <c r="G13" s="248">
        <v>0</v>
      </c>
      <c r="H13" s="1785">
        <f t="shared" si="4"/>
        <v>33</v>
      </c>
      <c r="I13" s="248">
        <v>29</v>
      </c>
      <c r="J13" s="248">
        <v>4</v>
      </c>
    </row>
    <row r="14" spans="1:10" ht="15" customHeight="1" x14ac:dyDescent="0.15">
      <c r="A14" s="1777" t="s">
        <v>12</v>
      </c>
      <c r="B14" s="1784">
        <f t="shared" si="0"/>
        <v>30</v>
      </c>
      <c r="C14" s="248">
        <v>24</v>
      </c>
      <c r="D14" s="248">
        <v>6</v>
      </c>
      <c r="E14" s="1785">
        <f t="shared" si="3"/>
        <v>5</v>
      </c>
      <c r="F14" s="248">
        <v>5</v>
      </c>
      <c r="G14" s="248">
        <v>0</v>
      </c>
      <c r="H14" s="1785">
        <f t="shared" si="4"/>
        <v>25</v>
      </c>
      <c r="I14" s="248">
        <v>19</v>
      </c>
      <c r="J14" s="248">
        <v>6</v>
      </c>
    </row>
    <row r="15" spans="1:10" ht="15" customHeight="1" x14ac:dyDescent="0.15">
      <c r="A15" s="1777" t="s">
        <v>13</v>
      </c>
      <c r="B15" s="1784">
        <f t="shared" si="0"/>
        <v>27</v>
      </c>
      <c r="C15" s="248">
        <v>21</v>
      </c>
      <c r="D15" s="248">
        <v>6</v>
      </c>
      <c r="E15" s="1785">
        <f t="shared" si="3"/>
        <v>5</v>
      </c>
      <c r="F15" s="248">
        <v>3</v>
      </c>
      <c r="G15" s="248">
        <v>2</v>
      </c>
      <c r="H15" s="1785">
        <f t="shared" si="4"/>
        <v>22</v>
      </c>
      <c r="I15" s="248">
        <v>18</v>
      </c>
      <c r="J15" s="248">
        <v>4</v>
      </c>
    </row>
    <row r="16" spans="1:10" ht="15" customHeight="1" x14ac:dyDescent="0.15">
      <c r="A16" s="1777" t="s">
        <v>14</v>
      </c>
      <c r="B16" s="1784">
        <f t="shared" si="0"/>
        <v>52</v>
      </c>
      <c r="C16" s="248">
        <v>40</v>
      </c>
      <c r="D16" s="248">
        <v>12</v>
      </c>
      <c r="E16" s="1785">
        <f t="shared" si="3"/>
        <v>10</v>
      </c>
      <c r="F16" s="248">
        <v>9</v>
      </c>
      <c r="G16" s="248">
        <v>1</v>
      </c>
      <c r="H16" s="1785">
        <f t="shared" si="4"/>
        <v>42</v>
      </c>
      <c r="I16" s="248">
        <v>31</v>
      </c>
      <c r="J16" s="248">
        <v>11</v>
      </c>
    </row>
    <row r="17" spans="1:10" ht="15" customHeight="1" x14ac:dyDescent="0.15">
      <c r="A17" s="1777" t="s">
        <v>15</v>
      </c>
      <c r="B17" s="1784">
        <f t="shared" si="0"/>
        <v>11</v>
      </c>
      <c r="C17" s="248">
        <v>11</v>
      </c>
      <c r="D17" s="248">
        <v>0</v>
      </c>
      <c r="E17" s="1785">
        <f t="shared" si="3"/>
        <v>1</v>
      </c>
      <c r="F17" s="248">
        <v>1</v>
      </c>
      <c r="G17" s="248">
        <v>0</v>
      </c>
      <c r="H17" s="1785">
        <f t="shared" si="4"/>
        <v>10</v>
      </c>
      <c r="I17" s="248">
        <v>10</v>
      </c>
      <c r="J17" s="248">
        <v>0</v>
      </c>
    </row>
    <row r="18" spans="1:10" ht="15" customHeight="1" x14ac:dyDescent="0.15">
      <c r="A18" s="1777" t="s">
        <v>16</v>
      </c>
      <c r="B18" s="1784">
        <f t="shared" si="0"/>
        <v>2</v>
      </c>
      <c r="C18" s="248">
        <v>2</v>
      </c>
      <c r="D18" s="248">
        <v>0</v>
      </c>
      <c r="E18" s="1785">
        <f t="shared" si="3"/>
        <v>0</v>
      </c>
      <c r="F18" s="248">
        <v>0</v>
      </c>
      <c r="G18" s="248">
        <v>0</v>
      </c>
      <c r="H18" s="1785">
        <f t="shared" si="4"/>
        <v>2</v>
      </c>
      <c r="I18" s="248">
        <v>2</v>
      </c>
      <c r="J18" s="248">
        <v>0</v>
      </c>
    </row>
    <row r="19" spans="1:10" ht="15" customHeight="1" x14ac:dyDescent="0.15">
      <c r="A19" s="1777" t="s">
        <v>17</v>
      </c>
      <c r="B19" s="1784">
        <f t="shared" si="0"/>
        <v>16</v>
      </c>
      <c r="C19" s="248">
        <v>15</v>
      </c>
      <c r="D19" s="248">
        <v>1</v>
      </c>
      <c r="E19" s="1785">
        <f t="shared" si="3"/>
        <v>3</v>
      </c>
      <c r="F19" s="248">
        <v>3</v>
      </c>
      <c r="G19" s="248">
        <v>0</v>
      </c>
      <c r="H19" s="1785">
        <f t="shared" si="4"/>
        <v>13</v>
      </c>
      <c r="I19" s="248">
        <v>12</v>
      </c>
      <c r="J19" s="248">
        <v>1</v>
      </c>
    </row>
    <row r="20" spans="1:10" ht="15" customHeight="1" x14ac:dyDescent="0.15">
      <c r="A20" s="1777" t="s">
        <v>18</v>
      </c>
      <c r="B20" s="1784">
        <f t="shared" si="0"/>
        <v>0</v>
      </c>
      <c r="C20" s="248">
        <v>0</v>
      </c>
      <c r="D20" s="248">
        <v>0</v>
      </c>
      <c r="E20" s="1785">
        <f t="shared" si="3"/>
        <v>0</v>
      </c>
      <c r="F20" s="248">
        <v>0</v>
      </c>
      <c r="G20" s="248">
        <v>0</v>
      </c>
      <c r="H20" s="1785">
        <f t="shared" si="4"/>
        <v>0</v>
      </c>
      <c r="I20" s="248">
        <v>0</v>
      </c>
      <c r="J20" s="248">
        <v>0</v>
      </c>
    </row>
    <row r="21" spans="1:10" ht="15" customHeight="1" x14ac:dyDescent="0.15">
      <c r="A21" s="1777" t="s">
        <v>19</v>
      </c>
      <c r="B21" s="1784">
        <f t="shared" si="0"/>
        <v>0</v>
      </c>
      <c r="C21" s="248">
        <v>0</v>
      </c>
      <c r="D21" s="248">
        <v>0</v>
      </c>
      <c r="E21" s="1785">
        <f t="shared" si="3"/>
        <v>0</v>
      </c>
      <c r="F21" s="248">
        <v>0</v>
      </c>
      <c r="G21" s="248">
        <v>0</v>
      </c>
      <c r="H21" s="1785">
        <f t="shared" si="4"/>
        <v>0</v>
      </c>
      <c r="I21" s="248">
        <v>0</v>
      </c>
      <c r="J21" s="248">
        <v>0</v>
      </c>
    </row>
    <row r="22" spans="1:10" ht="11.25" customHeight="1" x14ac:dyDescent="0.15">
      <c r="A22" s="3108"/>
      <c r="B22" s="3108"/>
      <c r="C22" s="3108"/>
      <c r="D22" s="3108"/>
      <c r="E22" s="3108"/>
      <c r="F22" s="3108"/>
      <c r="G22" s="3108"/>
      <c r="H22" s="3108"/>
      <c r="I22" s="3108"/>
      <c r="J22" s="3108"/>
    </row>
    <row r="23" spans="1:10" ht="15" customHeight="1" x14ac:dyDescent="0.15">
      <c r="A23" s="3108" t="s">
        <v>3767</v>
      </c>
      <c r="B23" s="3108"/>
      <c r="C23" s="3108"/>
      <c r="D23" s="3108"/>
      <c r="E23" s="3108"/>
      <c r="F23" s="3108"/>
      <c r="G23" s="3108"/>
      <c r="H23" s="3108"/>
      <c r="I23" s="3108"/>
      <c r="J23" s="3108"/>
    </row>
    <row r="24" spans="1:10" ht="15" customHeight="1" x14ac:dyDescent="0.15">
      <c r="A24" s="3609" t="s">
        <v>20</v>
      </c>
      <c r="B24" s="3609"/>
      <c r="C24" s="3609"/>
      <c r="D24" s="3609"/>
      <c r="E24" s="3609"/>
      <c r="F24" s="3609"/>
      <c r="G24" s="3609"/>
      <c r="H24" s="3609"/>
      <c r="I24" s="3609"/>
      <c r="J24" s="3609"/>
    </row>
    <row r="25" spans="1:10" ht="15" customHeight="1" x14ac:dyDescent="0.15">
      <c r="A25" s="3108" t="s">
        <v>987</v>
      </c>
      <c r="B25" s="3108"/>
      <c r="C25" s="3108"/>
      <c r="D25" s="3108"/>
      <c r="E25" s="3108"/>
      <c r="F25" s="3108"/>
      <c r="G25" s="3108"/>
      <c r="H25" s="3108"/>
      <c r="I25" s="3108"/>
      <c r="J25" s="3108"/>
    </row>
    <row r="26" spans="1:10" ht="15" customHeight="1" x14ac:dyDescent="0.15"/>
  </sheetData>
  <mergeCells count="10">
    <mergeCell ref="A22:J22"/>
    <mergeCell ref="A23:J23"/>
    <mergeCell ref="A24:J24"/>
    <mergeCell ref="A25:J25"/>
    <mergeCell ref="A2:J2"/>
    <mergeCell ref="A3:J3"/>
    <mergeCell ref="A4:A5"/>
    <mergeCell ref="B4:D4"/>
    <mergeCell ref="E4:G4"/>
    <mergeCell ref="H4:J4"/>
  </mergeCells>
  <pageMargins left="0.7" right="0.7" top="0.75" bottom="0.75" header="0.3" footer="0.3"/>
  <pageSetup paperSize="9" orientation="portrait" verticalDpi="599"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2"/>
  <dimension ref="A2:G26"/>
  <sheetViews>
    <sheetView zoomScaleNormal="100" workbookViewId="0">
      <selection activeCell="J12" sqref="J12"/>
    </sheetView>
  </sheetViews>
  <sheetFormatPr baseColWidth="10" defaultColWidth="9.140625" defaultRowHeight="12.75" x14ac:dyDescent="0.2"/>
  <cols>
    <col min="1" max="1" width="21.42578125" style="111" customWidth="1"/>
    <col min="2" max="2" width="10.7109375" style="111" customWidth="1"/>
    <col min="3" max="3" width="16.140625" style="111" customWidth="1"/>
    <col min="4" max="4" width="16.28515625" style="111" customWidth="1"/>
    <col min="5" max="5" width="16.7109375" style="111" customWidth="1"/>
    <col min="6" max="6" width="16.5703125" style="111" customWidth="1"/>
    <col min="7" max="7" width="16" style="111" customWidth="1"/>
    <col min="8" max="16384" width="9.140625" style="111"/>
  </cols>
  <sheetData>
    <row r="2" spans="1:7" ht="27" customHeight="1" x14ac:dyDescent="0.2">
      <c r="A2" s="2458" t="s">
        <v>4229</v>
      </c>
      <c r="B2" s="3623"/>
      <c r="C2" s="3623"/>
      <c r="D2" s="3623"/>
      <c r="E2" s="3623"/>
      <c r="F2" s="3623"/>
      <c r="G2" s="3623"/>
    </row>
    <row r="3" spans="1:7" ht="11.25" customHeight="1" x14ac:dyDescent="0.2">
      <c r="A3" s="3624"/>
      <c r="B3" s="2348"/>
      <c r="C3" s="2348"/>
      <c r="D3" s="2348"/>
      <c r="E3" s="2348"/>
      <c r="F3" s="2348"/>
      <c r="G3" s="2348"/>
    </row>
    <row r="4" spans="1:7" x14ac:dyDescent="0.2">
      <c r="A4" s="3377" t="s">
        <v>3768</v>
      </c>
      <c r="B4" s="2351" t="s">
        <v>69</v>
      </c>
      <c r="C4" s="2374" t="s">
        <v>3769</v>
      </c>
      <c r="D4" s="2375"/>
      <c r="E4" s="2375"/>
      <c r="F4" s="2375"/>
      <c r="G4" s="2375"/>
    </row>
    <row r="5" spans="1:7" ht="94.5" x14ac:dyDescent="0.2">
      <c r="A5" s="3377"/>
      <c r="B5" s="2351"/>
      <c r="C5" s="427" t="s">
        <v>3770</v>
      </c>
      <c r="D5" s="427" t="s">
        <v>3771</v>
      </c>
      <c r="E5" s="427" t="s">
        <v>3772</v>
      </c>
      <c r="F5" s="427" t="s">
        <v>3773</v>
      </c>
      <c r="G5" s="427" t="s">
        <v>3774</v>
      </c>
    </row>
    <row r="6" spans="1:7" s="479" customFormat="1" x14ac:dyDescent="0.2">
      <c r="A6" s="146" t="s">
        <v>141</v>
      </c>
      <c r="B6" s="1786">
        <f t="shared" ref="B6:B21" si="0">SUM(C6:G6)</f>
        <v>202</v>
      </c>
      <c r="C6" s="1787">
        <f t="shared" ref="C6:G6" si="1">SUM(C7:C21)</f>
        <v>14</v>
      </c>
      <c r="D6" s="1787">
        <f t="shared" si="1"/>
        <v>27</v>
      </c>
      <c r="E6" s="1787">
        <f t="shared" si="1"/>
        <v>7</v>
      </c>
      <c r="F6" s="1787">
        <f t="shared" si="1"/>
        <v>0</v>
      </c>
      <c r="G6" s="1787">
        <f t="shared" si="1"/>
        <v>154</v>
      </c>
    </row>
    <row r="7" spans="1:7" s="479" customFormat="1" x14ac:dyDescent="0.2">
      <c r="A7" s="476" t="s">
        <v>5</v>
      </c>
      <c r="B7" s="1786">
        <f t="shared" si="0"/>
        <v>10</v>
      </c>
      <c r="C7" s="1788">
        <v>0</v>
      </c>
      <c r="D7" s="1789">
        <v>2</v>
      </c>
      <c r="E7" s="1789">
        <v>0</v>
      </c>
      <c r="F7" s="1789">
        <v>0</v>
      </c>
      <c r="G7" s="1789">
        <v>8</v>
      </c>
    </row>
    <row r="8" spans="1:7" s="479" customFormat="1" x14ac:dyDescent="0.2">
      <c r="A8" s="476" t="s">
        <v>6</v>
      </c>
      <c r="B8" s="1786">
        <f t="shared" si="0"/>
        <v>19</v>
      </c>
      <c r="C8" s="1788">
        <v>0</v>
      </c>
      <c r="D8" s="1788">
        <v>1</v>
      </c>
      <c r="E8" s="1788">
        <v>4</v>
      </c>
      <c r="F8" s="1788">
        <v>0</v>
      </c>
      <c r="G8" s="1788">
        <v>14</v>
      </c>
    </row>
    <row r="9" spans="1:7" s="479" customFormat="1" x14ac:dyDescent="0.2">
      <c r="A9" s="476" t="s">
        <v>7</v>
      </c>
      <c r="B9" s="1786">
        <f t="shared" si="0"/>
        <v>5</v>
      </c>
      <c r="C9" s="1788">
        <v>0</v>
      </c>
      <c r="D9" s="1788">
        <v>1</v>
      </c>
      <c r="E9" s="1789">
        <v>0</v>
      </c>
      <c r="F9" s="1788">
        <v>0</v>
      </c>
      <c r="G9" s="1788">
        <v>4</v>
      </c>
    </row>
    <row r="10" spans="1:7" s="479" customFormat="1" x14ac:dyDescent="0.2">
      <c r="A10" s="476" t="s">
        <v>8</v>
      </c>
      <c r="B10" s="1786">
        <f t="shared" si="0"/>
        <v>0</v>
      </c>
      <c r="C10" s="1788">
        <v>0</v>
      </c>
      <c r="D10" s="1788">
        <v>0</v>
      </c>
      <c r="E10" s="1788">
        <v>0</v>
      </c>
      <c r="F10" s="1788">
        <v>0</v>
      </c>
      <c r="G10" s="1788">
        <v>0</v>
      </c>
    </row>
    <row r="11" spans="1:7" s="479" customFormat="1" x14ac:dyDescent="0.2">
      <c r="A11" s="476" t="s">
        <v>9</v>
      </c>
      <c r="B11" s="1786">
        <f t="shared" si="0"/>
        <v>1</v>
      </c>
      <c r="C11" s="1789">
        <v>0</v>
      </c>
      <c r="D11" s="1789">
        <v>0</v>
      </c>
      <c r="E11" s="1789">
        <v>0</v>
      </c>
      <c r="F11" s="1788">
        <v>0</v>
      </c>
      <c r="G11" s="1788">
        <v>1</v>
      </c>
    </row>
    <row r="12" spans="1:7" s="479" customFormat="1" x14ac:dyDescent="0.2">
      <c r="A12" s="476" t="s">
        <v>10</v>
      </c>
      <c r="B12" s="1786">
        <f t="shared" si="0"/>
        <v>33</v>
      </c>
      <c r="C12" s="1788">
        <v>4</v>
      </c>
      <c r="D12" s="1788">
        <v>7</v>
      </c>
      <c r="E12" s="1789">
        <v>0</v>
      </c>
      <c r="F12" s="1788">
        <v>0</v>
      </c>
      <c r="G12" s="1788">
        <v>22</v>
      </c>
    </row>
    <row r="13" spans="1:7" s="479" customFormat="1" ht="12.75" customHeight="1" x14ac:dyDescent="0.2">
      <c r="A13" s="476" t="s">
        <v>11</v>
      </c>
      <c r="B13" s="1786">
        <f t="shared" si="0"/>
        <v>98</v>
      </c>
      <c r="C13" s="1788">
        <v>7</v>
      </c>
      <c r="D13" s="1788">
        <v>12</v>
      </c>
      <c r="E13" s="1788">
        <v>3</v>
      </c>
      <c r="F13" s="1788">
        <v>0</v>
      </c>
      <c r="G13" s="1788">
        <v>76</v>
      </c>
    </row>
    <row r="14" spans="1:7" s="479" customFormat="1" ht="12.75" customHeight="1" x14ac:dyDescent="0.2">
      <c r="A14" s="476" t="s">
        <v>12</v>
      </c>
      <c r="B14" s="1786">
        <f t="shared" si="0"/>
        <v>3</v>
      </c>
      <c r="C14" s="1789">
        <v>0</v>
      </c>
      <c r="D14" s="1789">
        <v>0</v>
      </c>
      <c r="E14" s="1789">
        <v>0</v>
      </c>
      <c r="F14" s="1788">
        <v>0</v>
      </c>
      <c r="G14" s="1788">
        <v>3</v>
      </c>
    </row>
    <row r="15" spans="1:7" s="479" customFormat="1" x14ac:dyDescent="0.2">
      <c r="A15" s="476" t="s">
        <v>13</v>
      </c>
      <c r="B15" s="1786">
        <f t="shared" si="0"/>
        <v>2</v>
      </c>
      <c r="C15" s="1789">
        <v>0</v>
      </c>
      <c r="D15" s="1789">
        <v>0</v>
      </c>
      <c r="E15" s="1789">
        <v>0</v>
      </c>
      <c r="F15" s="1788">
        <v>0</v>
      </c>
      <c r="G15" s="1788">
        <v>2</v>
      </c>
    </row>
    <row r="16" spans="1:7" s="479" customFormat="1" x14ac:dyDescent="0.2">
      <c r="A16" s="476" t="s">
        <v>14</v>
      </c>
      <c r="B16" s="1786">
        <f t="shared" si="0"/>
        <v>6</v>
      </c>
      <c r="C16" s="1789">
        <v>0</v>
      </c>
      <c r="D16" s="1788">
        <v>1</v>
      </c>
      <c r="E16" s="1789">
        <v>0</v>
      </c>
      <c r="F16" s="1788">
        <v>0</v>
      </c>
      <c r="G16" s="1788">
        <v>5</v>
      </c>
    </row>
    <row r="17" spans="1:7" s="479" customFormat="1" x14ac:dyDescent="0.2">
      <c r="A17" s="476" t="s">
        <v>15</v>
      </c>
      <c r="B17" s="1786">
        <f t="shared" si="0"/>
        <v>13</v>
      </c>
      <c r="C17" s="1788">
        <v>2</v>
      </c>
      <c r="D17" s="1789">
        <v>0</v>
      </c>
      <c r="E17" s="1789">
        <v>0</v>
      </c>
      <c r="F17" s="1788">
        <v>0</v>
      </c>
      <c r="G17" s="1788">
        <v>11</v>
      </c>
    </row>
    <row r="18" spans="1:7" s="479" customFormat="1" x14ac:dyDescent="0.2">
      <c r="A18" s="476" t="s">
        <v>16</v>
      </c>
      <c r="B18" s="1786">
        <f t="shared" si="0"/>
        <v>0</v>
      </c>
      <c r="C18" s="1789">
        <v>0</v>
      </c>
      <c r="D18" s="1789">
        <v>0</v>
      </c>
      <c r="E18" s="1789">
        <v>0</v>
      </c>
      <c r="F18" s="1788">
        <v>0</v>
      </c>
      <c r="G18" s="1789">
        <v>0</v>
      </c>
    </row>
    <row r="19" spans="1:7" s="479" customFormat="1" x14ac:dyDescent="0.2">
      <c r="A19" s="476" t="s">
        <v>17</v>
      </c>
      <c r="B19" s="1786">
        <f t="shared" si="0"/>
        <v>2</v>
      </c>
      <c r="C19" s="1789">
        <v>0</v>
      </c>
      <c r="D19" s="1789">
        <v>0</v>
      </c>
      <c r="E19" s="1789">
        <v>0</v>
      </c>
      <c r="F19" s="1788">
        <v>0</v>
      </c>
      <c r="G19" s="1788">
        <v>2</v>
      </c>
    </row>
    <row r="20" spans="1:7" s="479" customFormat="1" x14ac:dyDescent="0.2">
      <c r="A20" s="476" t="s">
        <v>18</v>
      </c>
      <c r="B20" s="1786">
        <f t="shared" si="0"/>
        <v>3</v>
      </c>
      <c r="C20" s="1789">
        <v>0</v>
      </c>
      <c r="D20" s="1788">
        <v>1</v>
      </c>
      <c r="E20" s="1789">
        <v>0</v>
      </c>
      <c r="F20" s="1788">
        <v>0</v>
      </c>
      <c r="G20" s="1788">
        <v>2</v>
      </c>
    </row>
    <row r="21" spans="1:7" s="479" customFormat="1" x14ac:dyDescent="0.2">
      <c r="A21" s="476" t="s">
        <v>19</v>
      </c>
      <c r="B21" s="1786">
        <f t="shared" si="0"/>
        <v>7</v>
      </c>
      <c r="C21" s="1788">
        <v>1</v>
      </c>
      <c r="D21" s="1788">
        <v>2</v>
      </c>
      <c r="E21" s="1789">
        <v>0</v>
      </c>
      <c r="F21" s="1788">
        <v>0</v>
      </c>
      <c r="G21" s="1788">
        <v>4</v>
      </c>
    </row>
    <row r="22" spans="1:7" s="479" customFormat="1" ht="10.5" customHeight="1" x14ac:dyDescent="0.2">
      <c r="A22" s="2356"/>
      <c r="B22" s="2357"/>
      <c r="C22" s="2357"/>
      <c r="D22" s="2357"/>
      <c r="E22" s="2357"/>
      <c r="F22" s="2357"/>
      <c r="G22" s="2357"/>
    </row>
    <row r="23" spans="1:7" s="479" customFormat="1" x14ac:dyDescent="0.2">
      <c r="A23" s="2463" t="s">
        <v>20</v>
      </c>
      <c r="B23" s="2407"/>
      <c r="C23" s="2407"/>
      <c r="D23" s="2407"/>
      <c r="E23" s="2407"/>
      <c r="F23" s="2407"/>
      <c r="G23" s="2407"/>
    </row>
    <row r="24" spans="1:7" s="479" customFormat="1" x14ac:dyDescent="0.2">
      <c r="A24" s="2463" t="s">
        <v>1075</v>
      </c>
      <c r="B24" s="2407"/>
      <c r="C24" s="2407"/>
      <c r="D24" s="2407"/>
      <c r="E24" s="2407"/>
      <c r="F24" s="2407"/>
      <c r="G24" s="2407"/>
    </row>
    <row r="25" spans="1:7" s="479" customFormat="1" x14ac:dyDescent="0.2">
      <c r="A25" s="1790"/>
      <c r="B25" s="1791"/>
      <c r="C25" s="1791"/>
      <c r="D25" s="1791"/>
      <c r="E25" s="1791"/>
      <c r="F25" s="1791"/>
      <c r="G25" s="1791"/>
    </row>
    <row r="26" spans="1:7" s="479" customFormat="1" x14ac:dyDescent="0.2"/>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3"/>
  <dimension ref="A2:I105"/>
  <sheetViews>
    <sheetView workbookViewId="0">
      <selection activeCell="J12" sqref="J12"/>
    </sheetView>
  </sheetViews>
  <sheetFormatPr baseColWidth="10" defaultColWidth="9.140625" defaultRowHeight="10.5" x14ac:dyDescent="0.15"/>
  <cols>
    <col min="1" max="1" width="21.42578125" style="968" customWidth="1"/>
    <col min="2" max="2" width="10.710937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9" ht="32.25" customHeight="1" x14ac:dyDescent="0.15">
      <c r="A2" s="2694" t="s">
        <v>4230</v>
      </c>
      <c r="B2" s="3030"/>
      <c r="C2" s="3030"/>
      <c r="D2" s="3030"/>
      <c r="E2" s="3030"/>
      <c r="F2" s="3030"/>
      <c r="G2" s="3030"/>
    </row>
    <row r="3" spans="1:9" ht="11.25" customHeight="1" x14ac:dyDescent="0.15">
      <c r="A3" s="3626"/>
      <c r="B3" s="3341"/>
      <c r="C3" s="3341"/>
      <c r="D3" s="3341"/>
      <c r="E3" s="3341"/>
      <c r="F3" s="3341"/>
      <c r="G3" s="3341"/>
    </row>
    <row r="4" spans="1:9" x14ac:dyDescent="0.15">
      <c r="A4" s="3627" t="s">
        <v>3775</v>
      </c>
      <c r="B4" s="2785" t="s">
        <v>69</v>
      </c>
      <c r="C4" s="2786" t="s">
        <v>3769</v>
      </c>
      <c r="D4" s="3340"/>
      <c r="E4" s="3340"/>
      <c r="F4" s="3340"/>
      <c r="G4" s="3340"/>
    </row>
    <row r="5" spans="1:9" ht="105" customHeight="1" x14ac:dyDescent="0.15">
      <c r="A5" s="3627"/>
      <c r="B5" s="2785"/>
      <c r="C5" s="1525" t="s">
        <v>3770</v>
      </c>
      <c r="D5" s="1525" t="s">
        <v>3771</v>
      </c>
      <c r="E5" s="1525" t="s">
        <v>3772</v>
      </c>
      <c r="F5" s="1525" t="s">
        <v>3773</v>
      </c>
      <c r="G5" s="1525" t="s">
        <v>3774</v>
      </c>
    </row>
    <row r="6" spans="1:9" x14ac:dyDescent="0.15">
      <c r="A6" s="767" t="s">
        <v>141</v>
      </c>
      <c r="B6" s="1792">
        <f>SUM(B7,B11,B15,B21,B22,B24,B36,B67,B70,B72,B77,B84,B91,B94,B97)</f>
        <v>202</v>
      </c>
      <c r="C6" s="1792">
        <f>SUM(C7,C11,C15,C21,C22,C24,C36,C67,C70,C72,C77,C84,C91,C94,C97)</f>
        <v>14</v>
      </c>
      <c r="D6" s="1792">
        <f t="shared" ref="D6:G6" si="0">SUM(D7,D11,D15,D21,D22,D24,D36,D67,D70,D72,D77,D84,D91,D94,D97)</f>
        <v>27</v>
      </c>
      <c r="E6" s="1792">
        <f t="shared" si="0"/>
        <v>7</v>
      </c>
      <c r="F6" s="1792">
        <f t="shared" si="0"/>
        <v>0</v>
      </c>
      <c r="G6" s="1792">
        <f t="shared" si="0"/>
        <v>154</v>
      </c>
      <c r="I6" s="1793"/>
    </row>
    <row r="7" spans="1:9" x14ac:dyDescent="0.15">
      <c r="A7" s="767" t="s">
        <v>5</v>
      </c>
      <c r="B7" s="1794">
        <f>SUM(B8:B10)</f>
        <v>10</v>
      </c>
      <c r="C7" s="1794">
        <f t="shared" ref="C7:G7" si="1">SUM(C8:C10)</f>
        <v>0</v>
      </c>
      <c r="D7" s="1794">
        <f t="shared" si="1"/>
        <v>2</v>
      </c>
      <c r="E7" s="1794">
        <f t="shared" si="1"/>
        <v>0</v>
      </c>
      <c r="F7" s="1794">
        <f t="shared" si="1"/>
        <v>0</v>
      </c>
      <c r="G7" s="1794">
        <f t="shared" si="1"/>
        <v>8</v>
      </c>
    </row>
    <row r="8" spans="1:9" x14ac:dyDescent="0.15">
      <c r="A8" s="140" t="s">
        <v>1037</v>
      </c>
      <c r="B8" s="1795">
        <f>SUM(C8:G8)</f>
        <v>0</v>
      </c>
      <c r="C8" s="1795">
        <v>0</v>
      </c>
      <c r="D8" s="1795">
        <v>0</v>
      </c>
      <c r="E8" s="1795">
        <v>0</v>
      </c>
      <c r="F8" s="1795">
        <v>0</v>
      </c>
      <c r="G8" s="1795">
        <v>0</v>
      </c>
    </row>
    <row r="9" spans="1:9" x14ac:dyDescent="0.15">
      <c r="A9" s="140" t="s">
        <v>1015</v>
      </c>
      <c r="B9" s="1795">
        <f t="shared" ref="B9:B10" si="2">SUM(C9:G9)</f>
        <v>0</v>
      </c>
      <c r="C9" s="1795">
        <v>0</v>
      </c>
      <c r="D9" s="1795">
        <v>0</v>
      </c>
      <c r="E9" s="1795">
        <v>0</v>
      </c>
      <c r="F9" s="1795">
        <v>0</v>
      </c>
      <c r="G9" s="1795">
        <v>0</v>
      </c>
    </row>
    <row r="10" spans="1:9" x14ac:dyDescent="0.15">
      <c r="A10" s="140" t="s">
        <v>696</v>
      </c>
      <c r="B10" s="1795">
        <f t="shared" si="2"/>
        <v>10</v>
      </c>
      <c r="C10" s="1795">
        <v>0</v>
      </c>
      <c r="D10" s="1795">
        <v>2</v>
      </c>
      <c r="E10" s="1795">
        <v>0</v>
      </c>
      <c r="F10" s="1795">
        <v>0</v>
      </c>
      <c r="G10" s="1795">
        <v>8</v>
      </c>
    </row>
    <row r="11" spans="1:9" x14ac:dyDescent="0.15">
      <c r="A11" s="767" t="s">
        <v>6</v>
      </c>
      <c r="B11" s="1792">
        <f>SUM(B12:B14)</f>
        <v>19</v>
      </c>
      <c r="C11" s="1792">
        <f t="shared" ref="C11:G11" si="3">SUM(C12:C14)</f>
        <v>0</v>
      </c>
      <c r="D11" s="1792">
        <f t="shared" si="3"/>
        <v>1</v>
      </c>
      <c r="E11" s="1792">
        <f t="shared" si="3"/>
        <v>4</v>
      </c>
      <c r="F11" s="1792">
        <f t="shared" si="3"/>
        <v>0</v>
      </c>
      <c r="G11" s="1792">
        <f t="shared" si="3"/>
        <v>14</v>
      </c>
    </row>
    <row r="12" spans="1:9" x14ac:dyDescent="0.15">
      <c r="A12" s="143" t="s">
        <v>1037</v>
      </c>
      <c r="B12" s="1795">
        <f>SUM(C12:G12)</f>
        <v>15</v>
      </c>
      <c r="C12" s="1795">
        <v>0</v>
      </c>
      <c r="D12" s="1795">
        <v>1</v>
      </c>
      <c r="E12" s="1795">
        <v>2</v>
      </c>
      <c r="F12" s="1795">
        <v>0</v>
      </c>
      <c r="G12" s="1795">
        <v>12</v>
      </c>
    </row>
    <row r="13" spans="1:9" x14ac:dyDescent="0.15">
      <c r="A13" s="143" t="s">
        <v>490</v>
      </c>
      <c r="B13" s="1795">
        <f t="shared" ref="B13:B78" si="4">SUM(C13:G13)</f>
        <v>2</v>
      </c>
      <c r="C13" s="1795">
        <v>0</v>
      </c>
      <c r="D13" s="1795">
        <v>0</v>
      </c>
      <c r="E13" s="1795">
        <v>2</v>
      </c>
      <c r="F13" s="1795">
        <v>0</v>
      </c>
      <c r="G13" s="1795">
        <v>0</v>
      </c>
    </row>
    <row r="14" spans="1:9" x14ac:dyDescent="0.15">
      <c r="A14" s="143" t="s">
        <v>1038</v>
      </c>
      <c r="B14" s="1795">
        <f t="shared" si="4"/>
        <v>2</v>
      </c>
      <c r="C14" s="1795">
        <v>0</v>
      </c>
      <c r="D14" s="1795">
        <v>0</v>
      </c>
      <c r="E14" s="1795">
        <v>0</v>
      </c>
      <c r="F14" s="1795">
        <v>0</v>
      </c>
      <c r="G14" s="1795">
        <v>2</v>
      </c>
    </row>
    <row r="15" spans="1:9" x14ac:dyDescent="0.15">
      <c r="A15" s="767" t="s">
        <v>7</v>
      </c>
      <c r="B15" s="1792">
        <f t="shared" ref="B15:G15" si="5">SUM(B16:B20)</f>
        <v>5</v>
      </c>
      <c r="C15" s="1792">
        <f t="shared" si="5"/>
        <v>0</v>
      </c>
      <c r="D15" s="1792">
        <f t="shared" si="5"/>
        <v>1</v>
      </c>
      <c r="E15" s="1792">
        <f t="shared" si="5"/>
        <v>0</v>
      </c>
      <c r="F15" s="1792">
        <f t="shared" si="5"/>
        <v>0</v>
      </c>
      <c r="G15" s="1792">
        <f t="shared" si="5"/>
        <v>4</v>
      </c>
    </row>
    <row r="16" spans="1:9" x14ac:dyDescent="0.15">
      <c r="A16" s="143" t="s">
        <v>1018</v>
      </c>
      <c r="B16" s="1795">
        <f t="shared" si="4"/>
        <v>0</v>
      </c>
      <c r="C16" s="1795">
        <v>0</v>
      </c>
      <c r="D16" s="1795">
        <v>0</v>
      </c>
      <c r="E16" s="1795">
        <v>0</v>
      </c>
      <c r="F16" s="1795">
        <v>0</v>
      </c>
      <c r="G16" s="1795">
        <v>0</v>
      </c>
    </row>
    <row r="17" spans="1:7" x14ac:dyDescent="0.15">
      <c r="A17" s="143" t="s">
        <v>590</v>
      </c>
      <c r="B17" s="1795">
        <f t="shared" si="4"/>
        <v>0</v>
      </c>
      <c r="C17" s="1795">
        <v>0</v>
      </c>
      <c r="D17" s="1795">
        <v>0</v>
      </c>
      <c r="E17" s="1795">
        <v>0</v>
      </c>
      <c r="F17" s="1795">
        <v>0</v>
      </c>
      <c r="G17" s="1795">
        <v>0</v>
      </c>
    </row>
    <row r="18" spans="1:7" x14ac:dyDescent="0.15">
      <c r="A18" s="143" t="s">
        <v>7</v>
      </c>
      <c r="B18" s="1795">
        <f t="shared" si="4"/>
        <v>3</v>
      </c>
      <c r="C18" s="1795">
        <v>0</v>
      </c>
      <c r="D18" s="1795">
        <v>0</v>
      </c>
      <c r="E18" s="1795">
        <v>0</v>
      </c>
      <c r="F18" s="1795">
        <v>0</v>
      </c>
      <c r="G18" s="1795">
        <v>3</v>
      </c>
    </row>
    <row r="19" spans="1:7" x14ac:dyDescent="0.15">
      <c r="A19" s="143" t="s">
        <v>1026</v>
      </c>
      <c r="B19" s="1795">
        <f t="shared" si="4"/>
        <v>1</v>
      </c>
      <c r="C19" s="1795">
        <v>0</v>
      </c>
      <c r="D19" s="1795">
        <v>1</v>
      </c>
      <c r="E19" s="1795">
        <v>0</v>
      </c>
      <c r="F19" s="1795">
        <v>0</v>
      </c>
      <c r="G19" s="1795">
        <v>0</v>
      </c>
    </row>
    <row r="20" spans="1:7" ht="11.25" x14ac:dyDescent="0.15">
      <c r="A20" s="143" t="s">
        <v>3776</v>
      </c>
      <c r="B20" s="1795">
        <f t="shared" si="4"/>
        <v>1</v>
      </c>
      <c r="C20" s="1795">
        <v>0</v>
      </c>
      <c r="D20" s="1795">
        <v>0</v>
      </c>
      <c r="E20" s="1795">
        <v>0</v>
      </c>
      <c r="F20" s="1795">
        <v>0</v>
      </c>
      <c r="G20" s="1795">
        <v>1</v>
      </c>
    </row>
    <row r="21" spans="1:7" x14ac:dyDescent="0.15">
      <c r="A21" s="767" t="s">
        <v>8</v>
      </c>
      <c r="B21" s="1795">
        <f t="shared" si="4"/>
        <v>0</v>
      </c>
      <c r="C21" s="1792">
        <v>0</v>
      </c>
      <c r="D21" s="1792">
        <v>0</v>
      </c>
      <c r="E21" s="1792">
        <v>0</v>
      </c>
      <c r="F21" s="1792">
        <v>0</v>
      </c>
      <c r="G21" s="1792">
        <v>0</v>
      </c>
    </row>
    <row r="22" spans="1:7" x14ac:dyDescent="0.15">
      <c r="A22" s="767" t="s">
        <v>9</v>
      </c>
      <c r="B22" s="1792">
        <f>SUM(B23)</f>
        <v>1</v>
      </c>
      <c r="C22" s="1792">
        <f t="shared" ref="C22:G22" si="6">SUM(C23)</f>
        <v>0</v>
      </c>
      <c r="D22" s="1792">
        <f t="shared" si="6"/>
        <v>0</v>
      </c>
      <c r="E22" s="1792">
        <f t="shared" si="6"/>
        <v>0</v>
      </c>
      <c r="F22" s="1792">
        <f t="shared" si="6"/>
        <v>0</v>
      </c>
      <c r="G22" s="1792">
        <f t="shared" si="6"/>
        <v>1</v>
      </c>
    </row>
    <row r="23" spans="1:7" x14ac:dyDescent="0.15">
      <c r="A23" s="143" t="s">
        <v>9</v>
      </c>
      <c r="B23" s="1795">
        <f t="shared" si="4"/>
        <v>1</v>
      </c>
      <c r="C23" s="1795">
        <v>0</v>
      </c>
      <c r="D23" s="1795">
        <v>0</v>
      </c>
      <c r="E23" s="1795">
        <v>0</v>
      </c>
      <c r="F23" s="1795">
        <v>0</v>
      </c>
      <c r="G23" s="1795">
        <v>1</v>
      </c>
    </row>
    <row r="24" spans="1:7" x14ac:dyDescent="0.15">
      <c r="A24" s="767" t="s">
        <v>10</v>
      </c>
      <c r="B24" s="1792">
        <f>SUM(B25:B35)</f>
        <v>33</v>
      </c>
      <c r="C24" s="1792">
        <f t="shared" ref="C24:G24" si="7">SUM(C25:C35)</f>
        <v>4</v>
      </c>
      <c r="D24" s="1792">
        <f t="shared" si="7"/>
        <v>7</v>
      </c>
      <c r="E24" s="1792">
        <f t="shared" si="7"/>
        <v>0</v>
      </c>
      <c r="F24" s="1792">
        <f t="shared" si="7"/>
        <v>0</v>
      </c>
      <c r="G24" s="1792">
        <f t="shared" si="7"/>
        <v>22</v>
      </c>
    </row>
    <row r="25" spans="1:7" x14ac:dyDescent="0.15">
      <c r="A25" s="143" t="s">
        <v>598</v>
      </c>
      <c r="B25" s="1795">
        <f t="shared" si="4"/>
        <v>1</v>
      </c>
      <c r="C25" s="1795">
        <v>0</v>
      </c>
      <c r="D25" s="1795">
        <v>0</v>
      </c>
      <c r="E25" s="1795">
        <v>0</v>
      </c>
      <c r="F25" s="1795">
        <v>0</v>
      </c>
      <c r="G25" s="1795">
        <v>1</v>
      </c>
    </row>
    <row r="26" spans="1:7" x14ac:dyDescent="0.15">
      <c r="A26" s="143" t="s">
        <v>508</v>
      </c>
      <c r="B26" s="1795">
        <f t="shared" si="4"/>
        <v>3</v>
      </c>
      <c r="C26" s="1795">
        <v>0</v>
      </c>
      <c r="D26" s="1795">
        <v>2</v>
      </c>
      <c r="E26" s="1795">
        <v>0</v>
      </c>
      <c r="F26" s="1795">
        <v>0</v>
      </c>
      <c r="G26" s="1795">
        <v>1</v>
      </c>
    </row>
    <row r="27" spans="1:7" x14ac:dyDescent="0.15">
      <c r="A27" s="143" t="s">
        <v>10</v>
      </c>
      <c r="B27" s="1795">
        <f t="shared" si="4"/>
        <v>2</v>
      </c>
      <c r="C27" s="1795">
        <v>0</v>
      </c>
      <c r="D27" s="1795">
        <v>0</v>
      </c>
      <c r="E27" s="1795">
        <v>0</v>
      </c>
      <c r="F27" s="1795">
        <v>0</v>
      </c>
      <c r="G27" s="1795">
        <v>2</v>
      </c>
    </row>
    <row r="28" spans="1:7" x14ac:dyDescent="0.15">
      <c r="A28" s="143" t="s">
        <v>1025</v>
      </c>
      <c r="B28" s="1795">
        <f t="shared" si="4"/>
        <v>4</v>
      </c>
      <c r="C28" s="1795">
        <v>1</v>
      </c>
      <c r="D28" s="1795">
        <v>2</v>
      </c>
      <c r="E28" s="1795">
        <v>0</v>
      </c>
      <c r="F28" s="1795">
        <v>0</v>
      </c>
      <c r="G28" s="1795">
        <v>1</v>
      </c>
    </row>
    <row r="29" spans="1:7" x14ac:dyDescent="0.15">
      <c r="A29" s="143" t="s">
        <v>1039</v>
      </c>
      <c r="B29" s="1795">
        <f t="shared" si="4"/>
        <v>1</v>
      </c>
      <c r="C29" s="1795">
        <v>1</v>
      </c>
      <c r="D29" s="1795">
        <v>0</v>
      </c>
      <c r="E29" s="1795">
        <v>0</v>
      </c>
      <c r="F29" s="1795">
        <v>0</v>
      </c>
      <c r="G29" s="1795">
        <v>0</v>
      </c>
    </row>
    <row r="30" spans="1:7" x14ac:dyDescent="0.15">
      <c r="A30" s="143" t="s">
        <v>601</v>
      </c>
      <c r="B30" s="1795">
        <f t="shared" si="4"/>
        <v>5</v>
      </c>
      <c r="C30" s="1795">
        <v>0</v>
      </c>
      <c r="D30" s="1795">
        <v>0</v>
      </c>
      <c r="E30" s="1795">
        <v>0</v>
      </c>
      <c r="F30" s="1795">
        <v>0</v>
      </c>
      <c r="G30" s="1795">
        <v>5</v>
      </c>
    </row>
    <row r="31" spans="1:7" x14ac:dyDescent="0.15">
      <c r="A31" s="143" t="s">
        <v>1040</v>
      </c>
      <c r="B31" s="1795">
        <f t="shared" si="4"/>
        <v>1</v>
      </c>
      <c r="C31" s="1795">
        <v>0</v>
      </c>
      <c r="D31" s="1795">
        <v>0</v>
      </c>
      <c r="E31" s="1795">
        <v>0</v>
      </c>
      <c r="F31" s="1795">
        <v>0</v>
      </c>
      <c r="G31" s="1795">
        <v>1</v>
      </c>
    </row>
    <row r="32" spans="1:7" x14ac:dyDescent="0.15">
      <c r="A32" s="143" t="s">
        <v>511</v>
      </c>
      <c r="B32" s="1795">
        <f t="shared" si="4"/>
        <v>0</v>
      </c>
      <c r="C32" s="1795">
        <v>0</v>
      </c>
      <c r="D32" s="1795">
        <v>0</v>
      </c>
      <c r="E32" s="1795">
        <v>0</v>
      </c>
      <c r="F32" s="1795">
        <v>0</v>
      </c>
      <c r="G32" s="1795">
        <v>0</v>
      </c>
    </row>
    <row r="33" spans="1:7" x14ac:dyDescent="0.15">
      <c r="A33" s="143" t="s">
        <v>1041</v>
      </c>
      <c r="B33" s="1795">
        <f t="shared" si="4"/>
        <v>1</v>
      </c>
      <c r="C33" s="1795">
        <v>1</v>
      </c>
      <c r="D33" s="1795">
        <v>0</v>
      </c>
      <c r="E33" s="1795">
        <v>0</v>
      </c>
      <c r="F33" s="1795">
        <v>0</v>
      </c>
      <c r="G33" s="1795">
        <v>0</v>
      </c>
    </row>
    <row r="34" spans="1:7" x14ac:dyDescent="0.15">
      <c r="A34" s="143" t="s">
        <v>1026</v>
      </c>
      <c r="B34" s="1795">
        <f t="shared" si="4"/>
        <v>2</v>
      </c>
      <c r="C34" s="1795">
        <v>0</v>
      </c>
      <c r="D34" s="1795">
        <v>0</v>
      </c>
      <c r="E34" s="1795">
        <v>0</v>
      </c>
      <c r="F34" s="1795">
        <v>0</v>
      </c>
      <c r="G34" s="1795">
        <v>2</v>
      </c>
    </row>
    <row r="35" spans="1:7" ht="11.25" x14ac:dyDescent="0.15">
      <c r="A35" s="143" t="s">
        <v>3776</v>
      </c>
      <c r="B35" s="1795">
        <f t="shared" si="4"/>
        <v>13</v>
      </c>
      <c r="C35" s="1795">
        <v>1</v>
      </c>
      <c r="D35" s="1795">
        <v>3</v>
      </c>
      <c r="E35" s="1795">
        <v>0</v>
      </c>
      <c r="F35" s="1795">
        <v>0</v>
      </c>
      <c r="G35" s="1795">
        <v>9</v>
      </c>
    </row>
    <row r="36" spans="1:7" x14ac:dyDescent="0.15">
      <c r="A36" s="767" t="s">
        <v>11</v>
      </c>
      <c r="B36" s="1792">
        <f>SUM(B37:B66)</f>
        <v>98</v>
      </c>
      <c r="C36" s="1792">
        <f t="shared" ref="C36:G36" si="8">SUM(C37:C66)</f>
        <v>7</v>
      </c>
      <c r="D36" s="1792">
        <f t="shared" si="8"/>
        <v>12</v>
      </c>
      <c r="E36" s="1792">
        <f t="shared" si="8"/>
        <v>3</v>
      </c>
      <c r="F36" s="1792">
        <f t="shared" si="8"/>
        <v>0</v>
      </c>
      <c r="G36" s="1792">
        <f t="shared" si="8"/>
        <v>76</v>
      </c>
    </row>
    <row r="37" spans="1:7" x14ac:dyDescent="0.15">
      <c r="A37" s="143" t="s">
        <v>1042</v>
      </c>
      <c r="B37" s="1795">
        <f t="shared" si="4"/>
        <v>0</v>
      </c>
      <c r="C37" s="1795">
        <v>0</v>
      </c>
      <c r="D37" s="1795">
        <v>0</v>
      </c>
      <c r="E37" s="1795">
        <v>0</v>
      </c>
      <c r="F37" s="1795">
        <v>0</v>
      </c>
      <c r="G37" s="1795">
        <v>0</v>
      </c>
    </row>
    <row r="38" spans="1:7" x14ac:dyDescent="0.15">
      <c r="A38" s="143" t="s">
        <v>1025</v>
      </c>
      <c r="B38" s="1795">
        <f t="shared" si="4"/>
        <v>2</v>
      </c>
      <c r="C38" s="1795">
        <v>0</v>
      </c>
      <c r="D38" s="1795">
        <v>0</v>
      </c>
      <c r="E38" s="1795">
        <v>0</v>
      </c>
      <c r="F38" s="1795">
        <v>0</v>
      </c>
      <c r="G38" s="1795">
        <v>2</v>
      </c>
    </row>
    <row r="39" spans="1:7" x14ac:dyDescent="0.15">
      <c r="A39" s="143" t="s">
        <v>1043</v>
      </c>
      <c r="B39" s="1795">
        <f t="shared" si="4"/>
        <v>0</v>
      </c>
      <c r="C39" s="1795">
        <v>0</v>
      </c>
      <c r="D39" s="1795">
        <v>0</v>
      </c>
      <c r="E39" s="1795">
        <v>0</v>
      </c>
      <c r="F39" s="1795">
        <v>0</v>
      </c>
      <c r="G39" s="1795">
        <v>0</v>
      </c>
    </row>
    <row r="40" spans="1:7" x14ac:dyDescent="0.15">
      <c r="A40" s="143" t="s">
        <v>601</v>
      </c>
      <c r="B40" s="1795">
        <f t="shared" si="4"/>
        <v>1</v>
      </c>
      <c r="C40" s="1795">
        <v>0</v>
      </c>
      <c r="D40" s="1795">
        <v>0</v>
      </c>
      <c r="E40" s="1795">
        <v>0</v>
      </c>
      <c r="F40" s="1795">
        <v>0</v>
      </c>
      <c r="G40" s="1795">
        <v>1</v>
      </c>
    </row>
    <row r="41" spans="1:7" x14ac:dyDescent="0.15">
      <c r="A41" s="143" t="s">
        <v>1044</v>
      </c>
      <c r="B41" s="1795">
        <f t="shared" si="4"/>
        <v>1</v>
      </c>
      <c r="C41" s="1795">
        <v>0</v>
      </c>
      <c r="D41" s="1795">
        <v>0</v>
      </c>
      <c r="E41" s="1795">
        <v>0</v>
      </c>
      <c r="F41" s="1795">
        <v>0</v>
      </c>
      <c r="G41" s="1795">
        <v>1</v>
      </c>
    </row>
    <row r="42" spans="1:7" x14ac:dyDescent="0.15">
      <c r="A42" s="143" t="s">
        <v>1045</v>
      </c>
      <c r="B42" s="1795">
        <f t="shared" si="4"/>
        <v>0</v>
      </c>
      <c r="C42" s="1795">
        <v>0</v>
      </c>
      <c r="D42" s="1795">
        <v>0</v>
      </c>
      <c r="E42" s="1795">
        <v>0</v>
      </c>
      <c r="F42" s="1795">
        <v>0</v>
      </c>
      <c r="G42" s="1795">
        <v>0</v>
      </c>
    </row>
    <row r="43" spans="1:7" x14ac:dyDescent="0.15">
      <c r="A43" s="143" t="s">
        <v>1026</v>
      </c>
      <c r="B43" s="1795">
        <f t="shared" si="4"/>
        <v>24</v>
      </c>
      <c r="C43" s="1795">
        <v>0</v>
      </c>
      <c r="D43" s="1795">
        <v>1</v>
      </c>
      <c r="E43" s="1795">
        <v>0</v>
      </c>
      <c r="F43" s="1795">
        <v>0</v>
      </c>
      <c r="G43" s="1795">
        <v>23</v>
      </c>
    </row>
    <row r="44" spans="1:7" x14ac:dyDescent="0.15">
      <c r="A44" s="143" t="s">
        <v>1046</v>
      </c>
      <c r="B44" s="1795">
        <f t="shared" si="4"/>
        <v>1</v>
      </c>
      <c r="C44" s="1795">
        <v>0</v>
      </c>
      <c r="D44" s="1795">
        <v>0</v>
      </c>
      <c r="E44" s="1795">
        <v>0</v>
      </c>
      <c r="F44" s="1795">
        <v>0</v>
      </c>
      <c r="G44" s="1795">
        <v>1</v>
      </c>
    </row>
    <row r="45" spans="1:7" x14ac:dyDescent="0.15">
      <c r="A45" s="143" t="s">
        <v>1027</v>
      </c>
      <c r="B45" s="1795">
        <f t="shared" si="4"/>
        <v>4</v>
      </c>
      <c r="C45" s="1795">
        <v>0</v>
      </c>
      <c r="D45" s="1795">
        <v>0</v>
      </c>
      <c r="E45" s="1795">
        <v>0</v>
      </c>
      <c r="F45" s="1795">
        <v>0</v>
      </c>
      <c r="G45" s="1795">
        <v>4</v>
      </c>
    </row>
    <row r="46" spans="1:7" x14ac:dyDescent="0.15">
      <c r="A46" s="143" t="s">
        <v>1028</v>
      </c>
      <c r="B46" s="1795">
        <f t="shared" si="4"/>
        <v>9</v>
      </c>
      <c r="C46" s="1795">
        <v>2</v>
      </c>
      <c r="D46" s="1795">
        <v>2</v>
      </c>
      <c r="E46" s="1795">
        <v>0</v>
      </c>
      <c r="F46" s="1795">
        <v>0</v>
      </c>
      <c r="G46" s="1795">
        <v>5</v>
      </c>
    </row>
    <row r="47" spans="1:7" x14ac:dyDescent="0.15">
      <c r="A47" s="143" t="s">
        <v>1047</v>
      </c>
      <c r="B47" s="1795">
        <f t="shared" si="4"/>
        <v>1</v>
      </c>
      <c r="C47" s="1795">
        <v>0</v>
      </c>
      <c r="D47" s="1795">
        <v>0</v>
      </c>
      <c r="E47" s="1795">
        <v>0</v>
      </c>
      <c r="F47" s="1795">
        <v>0</v>
      </c>
      <c r="G47" s="1795">
        <v>1</v>
      </c>
    </row>
    <row r="48" spans="1:7" x14ac:dyDescent="0.15">
      <c r="A48" s="143" t="s">
        <v>1048</v>
      </c>
      <c r="B48" s="1795">
        <f t="shared" si="4"/>
        <v>1</v>
      </c>
      <c r="C48" s="1795">
        <v>0</v>
      </c>
      <c r="D48" s="1795">
        <v>0</v>
      </c>
      <c r="E48" s="1795">
        <v>0</v>
      </c>
      <c r="F48" s="1795">
        <v>0</v>
      </c>
      <c r="G48" s="1795">
        <v>1</v>
      </c>
    </row>
    <row r="49" spans="1:7" x14ac:dyDescent="0.15">
      <c r="A49" s="143" t="s">
        <v>1049</v>
      </c>
      <c r="B49" s="1795">
        <f t="shared" si="4"/>
        <v>5</v>
      </c>
      <c r="C49" s="1795">
        <v>0</v>
      </c>
      <c r="D49" s="1795">
        <v>0</v>
      </c>
      <c r="E49" s="1795">
        <v>0</v>
      </c>
      <c r="F49" s="1795">
        <v>0</v>
      </c>
      <c r="G49" s="1795">
        <v>5</v>
      </c>
    </row>
    <row r="50" spans="1:7" x14ac:dyDescent="0.15">
      <c r="A50" s="143" t="s">
        <v>1029</v>
      </c>
      <c r="B50" s="1795">
        <f t="shared" si="4"/>
        <v>3</v>
      </c>
      <c r="C50" s="1795">
        <v>0</v>
      </c>
      <c r="D50" s="1795">
        <v>0</v>
      </c>
      <c r="E50" s="1795">
        <v>0</v>
      </c>
      <c r="F50" s="1795">
        <v>0</v>
      </c>
      <c r="G50" s="1795">
        <v>3</v>
      </c>
    </row>
    <row r="51" spans="1:7" x14ac:dyDescent="0.15">
      <c r="A51" s="143" t="s">
        <v>1050</v>
      </c>
      <c r="B51" s="1795">
        <f t="shared" si="4"/>
        <v>1</v>
      </c>
      <c r="C51" s="1795">
        <v>0</v>
      </c>
      <c r="D51" s="1795">
        <v>0</v>
      </c>
      <c r="E51" s="1795">
        <v>0</v>
      </c>
      <c r="F51" s="1795">
        <v>0</v>
      </c>
      <c r="G51" s="1795">
        <v>1</v>
      </c>
    </row>
    <row r="52" spans="1:7" x14ac:dyDescent="0.15">
      <c r="A52" s="143" t="s">
        <v>1051</v>
      </c>
      <c r="B52" s="1795">
        <f t="shared" si="4"/>
        <v>1</v>
      </c>
      <c r="C52" s="1795">
        <v>0</v>
      </c>
      <c r="D52" s="1795">
        <v>0</v>
      </c>
      <c r="E52" s="1795">
        <v>0</v>
      </c>
      <c r="F52" s="1795">
        <v>0</v>
      </c>
      <c r="G52" s="1795">
        <v>1</v>
      </c>
    </row>
    <row r="53" spans="1:7" x14ac:dyDescent="0.15">
      <c r="A53" s="143" t="s">
        <v>1052</v>
      </c>
      <c r="B53" s="1795">
        <f t="shared" si="4"/>
        <v>1</v>
      </c>
      <c r="C53" s="1795">
        <v>0</v>
      </c>
      <c r="D53" s="1795">
        <v>1</v>
      </c>
      <c r="E53" s="1795">
        <v>0</v>
      </c>
      <c r="F53" s="1795">
        <v>0</v>
      </c>
      <c r="G53" s="1795">
        <v>0</v>
      </c>
    </row>
    <row r="54" spans="1:7" x14ac:dyDescent="0.15">
      <c r="A54" s="143" t="s">
        <v>1053</v>
      </c>
      <c r="B54" s="1795">
        <f t="shared" si="4"/>
        <v>1</v>
      </c>
      <c r="C54" s="1795">
        <v>0</v>
      </c>
      <c r="D54" s="1795">
        <v>1</v>
      </c>
      <c r="E54" s="1795">
        <v>0</v>
      </c>
      <c r="F54" s="1795">
        <v>0</v>
      </c>
      <c r="G54" s="1795">
        <v>0</v>
      </c>
    </row>
    <row r="55" spans="1:7" x14ac:dyDescent="0.15">
      <c r="A55" s="143" t="s">
        <v>1054</v>
      </c>
      <c r="B55" s="1795">
        <f t="shared" si="4"/>
        <v>0</v>
      </c>
      <c r="C55" s="1795">
        <v>0</v>
      </c>
      <c r="D55" s="1795">
        <v>0</v>
      </c>
      <c r="E55" s="1795">
        <v>0</v>
      </c>
      <c r="F55" s="1795">
        <v>0</v>
      </c>
      <c r="G55" s="1795">
        <v>0</v>
      </c>
    </row>
    <row r="56" spans="1:7" x14ac:dyDescent="0.15">
      <c r="A56" s="143" t="s">
        <v>1031</v>
      </c>
      <c r="B56" s="1795">
        <f t="shared" si="4"/>
        <v>0</v>
      </c>
      <c r="C56" s="1795">
        <v>0</v>
      </c>
      <c r="D56" s="1795">
        <v>0</v>
      </c>
      <c r="E56" s="1795">
        <v>0</v>
      </c>
      <c r="F56" s="1795">
        <v>0</v>
      </c>
      <c r="G56" s="1795">
        <v>0</v>
      </c>
    </row>
    <row r="57" spans="1:7" x14ac:dyDescent="0.15">
      <c r="A57" s="143" t="s">
        <v>1055</v>
      </c>
      <c r="B57" s="1795">
        <f t="shared" si="4"/>
        <v>4</v>
      </c>
      <c r="C57" s="1795">
        <v>0</v>
      </c>
      <c r="D57" s="1795">
        <v>0</v>
      </c>
      <c r="E57" s="1795">
        <v>0</v>
      </c>
      <c r="F57" s="1795">
        <v>0</v>
      </c>
      <c r="G57" s="1795">
        <v>4</v>
      </c>
    </row>
    <row r="58" spans="1:7" x14ac:dyDescent="0.15">
      <c r="A58" s="143" t="s">
        <v>1056</v>
      </c>
      <c r="B58" s="1795">
        <f t="shared" si="4"/>
        <v>2</v>
      </c>
      <c r="C58" s="1795">
        <v>0</v>
      </c>
      <c r="D58" s="1795">
        <v>0</v>
      </c>
      <c r="E58" s="1795">
        <v>0</v>
      </c>
      <c r="F58" s="1795">
        <v>0</v>
      </c>
      <c r="G58" s="1795">
        <v>2</v>
      </c>
    </row>
    <row r="59" spans="1:7" x14ac:dyDescent="0.15">
      <c r="A59" s="143" t="s">
        <v>1057</v>
      </c>
      <c r="B59" s="1795">
        <f t="shared" si="4"/>
        <v>1</v>
      </c>
      <c r="C59" s="1795">
        <v>0</v>
      </c>
      <c r="D59" s="1795">
        <v>1</v>
      </c>
      <c r="E59" s="1795">
        <v>0</v>
      </c>
      <c r="F59" s="1795">
        <v>0</v>
      </c>
      <c r="G59" s="1795">
        <v>0</v>
      </c>
    </row>
    <row r="60" spans="1:7" x14ac:dyDescent="0.15">
      <c r="A60" s="143" t="s">
        <v>1058</v>
      </c>
      <c r="B60" s="1795">
        <f t="shared" si="4"/>
        <v>1</v>
      </c>
      <c r="C60" s="1795">
        <v>0</v>
      </c>
      <c r="D60" s="1795">
        <v>0</v>
      </c>
      <c r="E60" s="1795">
        <v>0</v>
      </c>
      <c r="F60" s="1795">
        <v>0</v>
      </c>
      <c r="G60" s="1795">
        <v>1</v>
      </c>
    </row>
    <row r="61" spans="1:7" x14ac:dyDescent="0.15">
      <c r="A61" s="143" t="s">
        <v>1032</v>
      </c>
      <c r="B61" s="1795">
        <f t="shared" si="4"/>
        <v>1</v>
      </c>
      <c r="C61" s="1795">
        <v>0</v>
      </c>
      <c r="D61" s="1795">
        <v>0</v>
      </c>
      <c r="E61" s="1795">
        <v>0</v>
      </c>
      <c r="F61" s="1795">
        <v>0</v>
      </c>
      <c r="G61" s="1795">
        <v>1</v>
      </c>
    </row>
    <row r="62" spans="1:7" x14ac:dyDescent="0.15">
      <c r="A62" s="143" t="s">
        <v>1059</v>
      </c>
      <c r="B62" s="1795">
        <f t="shared" si="4"/>
        <v>1</v>
      </c>
      <c r="C62" s="1795">
        <v>0</v>
      </c>
      <c r="D62" s="1795">
        <v>0</v>
      </c>
      <c r="E62" s="1795">
        <v>0</v>
      </c>
      <c r="F62" s="1795">
        <v>0</v>
      </c>
      <c r="G62" s="1795">
        <v>1</v>
      </c>
    </row>
    <row r="63" spans="1:7" x14ac:dyDescent="0.15">
      <c r="A63" s="143" t="s">
        <v>1060</v>
      </c>
      <c r="B63" s="1795">
        <f t="shared" si="4"/>
        <v>2</v>
      </c>
      <c r="C63" s="1795">
        <v>0</v>
      </c>
      <c r="D63" s="1795">
        <v>1</v>
      </c>
      <c r="E63" s="1795">
        <v>0</v>
      </c>
      <c r="F63" s="1795">
        <v>0</v>
      </c>
      <c r="G63" s="1795">
        <v>1</v>
      </c>
    </row>
    <row r="64" spans="1:7" x14ac:dyDescent="0.15">
      <c r="A64" s="143" t="s">
        <v>1061</v>
      </c>
      <c r="B64" s="1795">
        <f t="shared" si="4"/>
        <v>1</v>
      </c>
      <c r="C64" s="1795">
        <v>0</v>
      </c>
      <c r="D64" s="1795">
        <v>0</v>
      </c>
      <c r="E64" s="1795">
        <v>0</v>
      </c>
      <c r="F64" s="1795">
        <v>0</v>
      </c>
      <c r="G64" s="1795">
        <v>1</v>
      </c>
    </row>
    <row r="65" spans="1:7" x14ac:dyDescent="0.15">
      <c r="A65" s="143" t="s">
        <v>606</v>
      </c>
      <c r="B65" s="1795">
        <f t="shared" si="4"/>
        <v>6</v>
      </c>
      <c r="C65" s="1795">
        <v>1</v>
      </c>
      <c r="D65" s="1795">
        <v>1</v>
      </c>
      <c r="E65" s="1795">
        <v>0</v>
      </c>
      <c r="F65" s="1795">
        <v>0</v>
      </c>
      <c r="G65" s="1795">
        <v>4</v>
      </c>
    </row>
    <row r="66" spans="1:7" ht="11.25" x14ac:dyDescent="0.15">
      <c r="A66" s="143" t="s">
        <v>3776</v>
      </c>
      <c r="B66" s="1795">
        <f>SUM(C66:G66)</f>
        <v>23</v>
      </c>
      <c r="C66" s="1795">
        <v>4</v>
      </c>
      <c r="D66" s="1795">
        <v>4</v>
      </c>
      <c r="E66" s="1795">
        <v>3</v>
      </c>
      <c r="F66" s="1795">
        <v>0</v>
      </c>
      <c r="G66" s="1795">
        <v>12</v>
      </c>
    </row>
    <row r="67" spans="1:7" x14ac:dyDescent="0.15">
      <c r="A67" s="767" t="s">
        <v>12</v>
      </c>
      <c r="B67" s="1792">
        <f>SUM(B68:B69)</f>
        <v>3</v>
      </c>
      <c r="C67" s="1792">
        <f t="shared" ref="C67:G67" si="9">SUM(C68:C69)</f>
        <v>0</v>
      </c>
      <c r="D67" s="1792">
        <f t="shared" si="9"/>
        <v>0</v>
      </c>
      <c r="E67" s="1792">
        <f t="shared" si="9"/>
        <v>0</v>
      </c>
      <c r="F67" s="1792">
        <f t="shared" si="9"/>
        <v>0</v>
      </c>
      <c r="G67" s="1792">
        <f t="shared" si="9"/>
        <v>3</v>
      </c>
    </row>
    <row r="68" spans="1:7" x14ac:dyDescent="0.15">
      <c r="A68" s="143" t="s">
        <v>609</v>
      </c>
      <c r="B68" s="1795">
        <f t="shared" si="4"/>
        <v>2</v>
      </c>
      <c r="C68" s="1795">
        <v>0</v>
      </c>
      <c r="D68" s="1795">
        <v>0</v>
      </c>
      <c r="E68" s="1795">
        <v>0</v>
      </c>
      <c r="F68" s="1795">
        <v>0</v>
      </c>
      <c r="G68" s="1795">
        <v>2</v>
      </c>
    </row>
    <row r="69" spans="1:7" x14ac:dyDescent="0.15">
      <c r="A69" s="143" t="s">
        <v>1062</v>
      </c>
      <c r="B69" s="1795">
        <f t="shared" si="4"/>
        <v>1</v>
      </c>
      <c r="C69" s="1795">
        <v>0</v>
      </c>
      <c r="D69" s="1795">
        <v>0</v>
      </c>
      <c r="E69" s="1795">
        <v>0</v>
      </c>
      <c r="F69" s="1795">
        <v>0</v>
      </c>
      <c r="G69" s="1795">
        <v>1</v>
      </c>
    </row>
    <row r="70" spans="1:7" x14ac:dyDescent="0.15">
      <c r="A70" s="767" t="s">
        <v>13</v>
      </c>
      <c r="B70" s="1792">
        <f>SUM(B71)</f>
        <v>2</v>
      </c>
      <c r="C70" s="1792">
        <f t="shared" ref="C70:G70" si="10">SUM(C71)</f>
        <v>0</v>
      </c>
      <c r="D70" s="1792">
        <f t="shared" si="10"/>
        <v>0</v>
      </c>
      <c r="E70" s="1792">
        <f t="shared" si="10"/>
        <v>0</v>
      </c>
      <c r="F70" s="1792">
        <f t="shared" si="10"/>
        <v>0</v>
      </c>
      <c r="G70" s="1792">
        <f t="shared" si="10"/>
        <v>2</v>
      </c>
    </row>
    <row r="71" spans="1:7" x14ac:dyDescent="0.15">
      <c r="A71" s="143" t="s">
        <v>614</v>
      </c>
      <c r="B71" s="1795">
        <f t="shared" si="4"/>
        <v>2</v>
      </c>
      <c r="C71" s="1795">
        <v>0</v>
      </c>
      <c r="D71" s="1795">
        <v>0</v>
      </c>
      <c r="E71" s="1795">
        <v>0</v>
      </c>
      <c r="F71" s="1795">
        <v>0</v>
      </c>
      <c r="G71" s="1795">
        <v>2</v>
      </c>
    </row>
    <row r="72" spans="1:7" x14ac:dyDescent="0.15">
      <c r="A72" s="767" t="s">
        <v>14</v>
      </c>
      <c r="B72" s="1792">
        <f>SUM(B73:B76)</f>
        <v>6</v>
      </c>
      <c r="C72" s="1792">
        <f t="shared" ref="C72:G72" si="11">SUM(C73:C76)</f>
        <v>0</v>
      </c>
      <c r="D72" s="1792">
        <f t="shared" si="11"/>
        <v>1</v>
      </c>
      <c r="E72" s="1792">
        <f t="shared" si="11"/>
        <v>0</v>
      </c>
      <c r="F72" s="1792">
        <f t="shared" si="11"/>
        <v>0</v>
      </c>
      <c r="G72" s="1792">
        <f t="shared" si="11"/>
        <v>5</v>
      </c>
    </row>
    <row r="73" spans="1:7" x14ac:dyDescent="0.15">
      <c r="A73" s="143" t="s">
        <v>1063</v>
      </c>
      <c r="B73" s="1795">
        <f t="shared" si="4"/>
        <v>3</v>
      </c>
      <c r="C73" s="1795">
        <v>0</v>
      </c>
      <c r="D73" s="1795">
        <v>0</v>
      </c>
      <c r="E73" s="1795">
        <v>0</v>
      </c>
      <c r="F73" s="1795">
        <v>0</v>
      </c>
      <c r="G73" s="1795">
        <v>3</v>
      </c>
    </row>
    <row r="74" spans="1:7" x14ac:dyDescent="0.15">
      <c r="A74" s="143" t="s">
        <v>1064</v>
      </c>
      <c r="B74" s="1795">
        <f t="shared" si="4"/>
        <v>1</v>
      </c>
      <c r="C74" s="1795">
        <v>0</v>
      </c>
      <c r="D74" s="1795">
        <v>0</v>
      </c>
      <c r="E74" s="1795">
        <v>0</v>
      </c>
      <c r="F74" s="1795">
        <v>0</v>
      </c>
      <c r="G74" s="1795">
        <v>1</v>
      </c>
    </row>
    <row r="75" spans="1:7" x14ac:dyDescent="0.15">
      <c r="A75" s="143" t="s">
        <v>641</v>
      </c>
      <c r="B75" s="1795">
        <f t="shared" si="4"/>
        <v>1</v>
      </c>
      <c r="C75" s="1795">
        <v>0</v>
      </c>
      <c r="D75" s="1795">
        <v>1</v>
      </c>
      <c r="E75" s="1795">
        <v>0</v>
      </c>
      <c r="F75" s="1795">
        <v>0</v>
      </c>
      <c r="G75" s="1795">
        <v>0</v>
      </c>
    </row>
    <row r="76" spans="1:7" ht="11.25" x14ac:dyDescent="0.15">
      <c r="A76" s="143" t="s">
        <v>3776</v>
      </c>
      <c r="B76" s="1795">
        <f t="shared" si="4"/>
        <v>1</v>
      </c>
      <c r="C76" s="1795">
        <v>0</v>
      </c>
      <c r="D76" s="1795">
        <v>0</v>
      </c>
      <c r="E76" s="1795">
        <v>0</v>
      </c>
      <c r="F76" s="1795">
        <v>0</v>
      </c>
      <c r="G76" s="1795">
        <v>1</v>
      </c>
    </row>
    <row r="77" spans="1:7" x14ac:dyDescent="0.15">
      <c r="A77" s="767" t="s">
        <v>15</v>
      </c>
      <c r="B77" s="1792">
        <f>SUM(B78:B83)</f>
        <v>13</v>
      </c>
      <c r="C77" s="1792">
        <f t="shared" ref="C77:G77" si="12">SUM(C78:C83)</f>
        <v>2</v>
      </c>
      <c r="D77" s="1792">
        <f t="shared" si="12"/>
        <v>0</v>
      </c>
      <c r="E77" s="1792">
        <f t="shared" si="12"/>
        <v>0</v>
      </c>
      <c r="F77" s="1792">
        <f t="shared" si="12"/>
        <v>0</v>
      </c>
      <c r="G77" s="1792">
        <f t="shared" si="12"/>
        <v>11</v>
      </c>
    </row>
    <row r="78" spans="1:7" x14ac:dyDescent="0.15">
      <c r="A78" s="143" t="s">
        <v>644</v>
      </c>
      <c r="B78" s="1795">
        <f t="shared" si="4"/>
        <v>1</v>
      </c>
      <c r="C78" s="1795">
        <v>1</v>
      </c>
      <c r="D78" s="1795">
        <v>0</v>
      </c>
      <c r="E78" s="1795">
        <v>0</v>
      </c>
      <c r="F78" s="1795">
        <v>0</v>
      </c>
      <c r="G78" s="1795">
        <v>0</v>
      </c>
    </row>
    <row r="79" spans="1:7" x14ac:dyDescent="0.15">
      <c r="A79" s="143" t="s">
        <v>1065</v>
      </c>
      <c r="B79" s="1795">
        <f t="shared" ref="B79:B100" si="13">SUM(C79:G79)</f>
        <v>1</v>
      </c>
      <c r="C79" s="1795">
        <v>0</v>
      </c>
      <c r="D79" s="1795">
        <v>0</v>
      </c>
      <c r="E79" s="1795">
        <v>0</v>
      </c>
      <c r="F79" s="1795">
        <v>0</v>
      </c>
      <c r="G79" s="1795">
        <v>1</v>
      </c>
    </row>
    <row r="80" spans="1:7" x14ac:dyDescent="0.15">
      <c r="A80" s="143" t="s">
        <v>1066</v>
      </c>
      <c r="B80" s="1795">
        <f t="shared" si="13"/>
        <v>1</v>
      </c>
      <c r="C80" s="1795">
        <v>0</v>
      </c>
      <c r="D80" s="1795">
        <v>0</v>
      </c>
      <c r="E80" s="1795">
        <v>0</v>
      </c>
      <c r="F80" s="1795">
        <v>0</v>
      </c>
      <c r="G80" s="1795">
        <v>1</v>
      </c>
    </row>
    <row r="81" spans="1:7" x14ac:dyDescent="0.15">
      <c r="A81" s="143" t="s">
        <v>709</v>
      </c>
      <c r="B81" s="1795">
        <f t="shared" si="13"/>
        <v>3</v>
      </c>
      <c r="C81" s="1795">
        <v>1</v>
      </c>
      <c r="D81" s="1795">
        <v>0</v>
      </c>
      <c r="E81" s="1795">
        <v>0</v>
      </c>
      <c r="F81" s="1795">
        <v>0</v>
      </c>
      <c r="G81" s="1795">
        <v>2</v>
      </c>
    </row>
    <row r="82" spans="1:7" x14ac:dyDescent="0.15">
      <c r="A82" s="143" t="s">
        <v>1067</v>
      </c>
      <c r="B82" s="1795">
        <f t="shared" si="13"/>
        <v>1</v>
      </c>
      <c r="C82" s="1795">
        <v>0</v>
      </c>
      <c r="D82" s="1795">
        <v>0</v>
      </c>
      <c r="E82" s="1795">
        <v>0</v>
      </c>
      <c r="F82" s="1795">
        <v>0</v>
      </c>
      <c r="G82" s="1795">
        <v>1</v>
      </c>
    </row>
    <row r="83" spans="1:7" ht="11.25" x14ac:dyDescent="0.15">
      <c r="A83" s="143" t="s">
        <v>3776</v>
      </c>
      <c r="B83" s="1795">
        <f t="shared" si="13"/>
        <v>6</v>
      </c>
      <c r="C83" s="1795">
        <v>0</v>
      </c>
      <c r="D83" s="1795">
        <v>0</v>
      </c>
      <c r="E83" s="1795">
        <v>0</v>
      </c>
      <c r="F83" s="1795">
        <v>0</v>
      </c>
      <c r="G83" s="1795">
        <v>6</v>
      </c>
    </row>
    <row r="84" spans="1:7" x14ac:dyDescent="0.15">
      <c r="A84" s="767" t="s">
        <v>16</v>
      </c>
      <c r="B84" s="1792">
        <f>SUM(B85:B90)</f>
        <v>0</v>
      </c>
      <c r="C84" s="1792">
        <f t="shared" ref="C84:G84" si="14">SUM(C85:C90)</f>
        <v>0</v>
      </c>
      <c r="D84" s="1792">
        <f t="shared" si="14"/>
        <v>0</v>
      </c>
      <c r="E84" s="1792">
        <f t="shared" si="14"/>
        <v>0</v>
      </c>
      <c r="F84" s="1792">
        <f t="shared" si="14"/>
        <v>0</v>
      </c>
      <c r="G84" s="1792">
        <f t="shared" si="14"/>
        <v>0</v>
      </c>
    </row>
    <row r="85" spans="1:7" x14ac:dyDescent="0.15">
      <c r="A85" s="143" t="s">
        <v>711</v>
      </c>
      <c r="B85" s="1795">
        <f t="shared" si="13"/>
        <v>0</v>
      </c>
      <c r="C85" s="1795">
        <v>0</v>
      </c>
      <c r="D85" s="1795">
        <v>0</v>
      </c>
      <c r="E85" s="1795">
        <v>0</v>
      </c>
      <c r="F85" s="1795">
        <v>0</v>
      </c>
      <c r="G85" s="1795">
        <v>0</v>
      </c>
    </row>
    <row r="86" spans="1:7" x14ac:dyDescent="0.15">
      <c r="A86" s="143" t="s">
        <v>1068</v>
      </c>
      <c r="B86" s="1795">
        <f t="shared" si="13"/>
        <v>0</v>
      </c>
      <c r="C86" s="1795">
        <v>0</v>
      </c>
      <c r="D86" s="1795">
        <v>0</v>
      </c>
      <c r="E86" s="1795">
        <v>0</v>
      </c>
      <c r="F86" s="1795">
        <v>0</v>
      </c>
      <c r="G86" s="1795">
        <v>0</v>
      </c>
    </row>
    <row r="87" spans="1:7" x14ac:dyDescent="0.15">
      <c r="A87" s="143" t="s">
        <v>713</v>
      </c>
      <c r="B87" s="1795">
        <f t="shared" si="13"/>
        <v>0</v>
      </c>
      <c r="C87" s="1795">
        <v>0</v>
      </c>
      <c r="D87" s="1795">
        <v>0</v>
      </c>
      <c r="E87" s="1795">
        <v>0</v>
      </c>
      <c r="F87" s="1795">
        <v>0</v>
      </c>
      <c r="G87" s="1795">
        <v>0</v>
      </c>
    </row>
    <row r="88" spans="1:7" x14ac:dyDescent="0.15">
      <c r="A88" s="143" t="s">
        <v>655</v>
      </c>
      <c r="B88" s="1795">
        <f t="shared" si="13"/>
        <v>0</v>
      </c>
      <c r="C88" s="1795">
        <v>0</v>
      </c>
      <c r="D88" s="1795">
        <v>0</v>
      </c>
      <c r="E88" s="1795">
        <v>0</v>
      </c>
      <c r="F88" s="1795">
        <v>0</v>
      </c>
      <c r="G88" s="1795">
        <v>0</v>
      </c>
    </row>
    <row r="89" spans="1:7" x14ac:dyDescent="0.15">
      <c r="A89" s="143" t="s">
        <v>1069</v>
      </c>
      <c r="B89" s="1795">
        <f t="shared" si="13"/>
        <v>0</v>
      </c>
      <c r="C89" s="1795">
        <v>0</v>
      </c>
      <c r="D89" s="1795">
        <v>0</v>
      </c>
      <c r="E89" s="1795">
        <v>0</v>
      </c>
      <c r="F89" s="1795">
        <v>0</v>
      </c>
      <c r="G89" s="1795">
        <v>0</v>
      </c>
    </row>
    <row r="90" spans="1:7" x14ac:dyDescent="0.15">
      <c r="A90" s="143" t="s">
        <v>1070</v>
      </c>
      <c r="B90" s="1795">
        <f t="shared" si="13"/>
        <v>0</v>
      </c>
      <c r="C90" s="1795">
        <v>0</v>
      </c>
      <c r="D90" s="1795">
        <v>0</v>
      </c>
      <c r="E90" s="1795">
        <v>0</v>
      </c>
      <c r="F90" s="1795">
        <v>0</v>
      </c>
      <c r="G90" s="1795">
        <v>0</v>
      </c>
    </row>
    <row r="91" spans="1:7" x14ac:dyDescent="0.15">
      <c r="A91" s="767" t="s">
        <v>17</v>
      </c>
      <c r="B91" s="1792">
        <f>SUM(B92:B93)</f>
        <v>2</v>
      </c>
      <c r="C91" s="1792">
        <f t="shared" ref="C91:G91" si="15">SUM(C92:C93)</f>
        <v>0</v>
      </c>
      <c r="D91" s="1792">
        <f t="shared" si="15"/>
        <v>0</v>
      </c>
      <c r="E91" s="1792">
        <f t="shared" si="15"/>
        <v>0</v>
      </c>
      <c r="F91" s="1792">
        <f t="shared" si="15"/>
        <v>0</v>
      </c>
      <c r="G91" s="1792">
        <f t="shared" si="15"/>
        <v>2</v>
      </c>
    </row>
    <row r="92" spans="1:7" x14ac:dyDescent="0.15">
      <c r="A92" s="143" t="s">
        <v>1068</v>
      </c>
      <c r="B92" s="1795">
        <f t="shared" si="13"/>
        <v>1</v>
      </c>
      <c r="C92" s="1795">
        <v>0</v>
      </c>
      <c r="D92" s="1795">
        <v>0</v>
      </c>
      <c r="E92" s="1795">
        <v>0</v>
      </c>
      <c r="F92" s="1795">
        <v>0</v>
      </c>
      <c r="G92" s="1795">
        <v>1</v>
      </c>
    </row>
    <row r="93" spans="1:7" x14ac:dyDescent="0.15">
      <c r="A93" s="143" t="s">
        <v>1071</v>
      </c>
      <c r="B93" s="1795">
        <f t="shared" si="13"/>
        <v>1</v>
      </c>
      <c r="C93" s="1795">
        <v>0</v>
      </c>
      <c r="D93" s="1795">
        <v>0</v>
      </c>
      <c r="E93" s="1795">
        <v>0</v>
      </c>
      <c r="F93" s="1795">
        <v>0</v>
      </c>
      <c r="G93" s="1795">
        <v>1</v>
      </c>
    </row>
    <row r="94" spans="1:7" x14ac:dyDescent="0.15">
      <c r="A94" s="767" t="s">
        <v>18</v>
      </c>
      <c r="B94" s="1792">
        <f>SUM(B95:B96)</f>
        <v>3</v>
      </c>
      <c r="C94" s="1792">
        <f t="shared" ref="C94:G94" si="16">SUM(C95:C96)</f>
        <v>0</v>
      </c>
      <c r="D94" s="1792">
        <f t="shared" si="16"/>
        <v>1</v>
      </c>
      <c r="E94" s="1792">
        <f t="shared" si="16"/>
        <v>0</v>
      </c>
      <c r="F94" s="1792">
        <f t="shared" si="16"/>
        <v>0</v>
      </c>
      <c r="G94" s="1792">
        <f t="shared" si="16"/>
        <v>2</v>
      </c>
    </row>
    <row r="95" spans="1:7" x14ac:dyDescent="0.15">
      <c r="A95" s="143" t="s">
        <v>665</v>
      </c>
      <c r="B95" s="1795">
        <f t="shared" si="13"/>
        <v>3</v>
      </c>
      <c r="C95" s="1795">
        <v>0</v>
      </c>
      <c r="D95" s="1795">
        <v>1</v>
      </c>
      <c r="E95" s="1795">
        <v>0</v>
      </c>
      <c r="F95" s="1795">
        <v>0</v>
      </c>
      <c r="G95" s="1795">
        <v>2</v>
      </c>
    </row>
    <row r="96" spans="1:7" ht="11.25" x14ac:dyDescent="0.15">
      <c r="A96" s="143" t="s">
        <v>3776</v>
      </c>
      <c r="B96" s="1795">
        <f t="shared" si="13"/>
        <v>0</v>
      </c>
      <c r="C96" s="1795">
        <v>0</v>
      </c>
      <c r="D96" s="1795">
        <v>0</v>
      </c>
      <c r="E96" s="1795">
        <v>0</v>
      </c>
      <c r="F96" s="1795">
        <v>0</v>
      </c>
      <c r="G96" s="1795">
        <v>0</v>
      </c>
    </row>
    <row r="97" spans="1:7" x14ac:dyDescent="0.15">
      <c r="A97" s="767" t="s">
        <v>19</v>
      </c>
      <c r="B97" s="1792">
        <f>SUM(B98:B100)</f>
        <v>7</v>
      </c>
      <c r="C97" s="1792">
        <f t="shared" ref="C97:G97" si="17">SUM(C98:C100)</f>
        <v>1</v>
      </c>
      <c r="D97" s="1792">
        <f t="shared" si="17"/>
        <v>2</v>
      </c>
      <c r="E97" s="1792">
        <f t="shared" si="17"/>
        <v>0</v>
      </c>
      <c r="F97" s="1792">
        <f t="shared" si="17"/>
        <v>0</v>
      </c>
      <c r="G97" s="1792">
        <f t="shared" si="17"/>
        <v>4</v>
      </c>
    </row>
    <row r="98" spans="1:7" x14ac:dyDescent="0.15">
      <c r="A98" s="143" t="s">
        <v>1072</v>
      </c>
      <c r="B98" s="1795">
        <f t="shared" si="13"/>
        <v>2</v>
      </c>
      <c r="C98" s="1795">
        <v>1</v>
      </c>
      <c r="D98" s="1795">
        <v>0</v>
      </c>
      <c r="E98" s="1795">
        <v>0</v>
      </c>
      <c r="F98" s="1795">
        <v>0</v>
      </c>
      <c r="G98" s="1795">
        <v>1</v>
      </c>
    </row>
    <row r="99" spans="1:7" x14ac:dyDescent="0.15">
      <c r="A99" s="143" t="s">
        <v>691</v>
      </c>
      <c r="B99" s="1795">
        <f t="shared" si="13"/>
        <v>2</v>
      </c>
      <c r="C99" s="1795">
        <v>0</v>
      </c>
      <c r="D99" s="1795">
        <v>1</v>
      </c>
      <c r="E99" s="1795">
        <v>0</v>
      </c>
      <c r="F99" s="1795">
        <v>0</v>
      </c>
      <c r="G99" s="1795">
        <v>1</v>
      </c>
    </row>
    <row r="100" spans="1:7" ht="11.25" x14ac:dyDescent="0.15">
      <c r="A100" s="143" t="s">
        <v>3776</v>
      </c>
      <c r="B100" s="1795">
        <f t="shared" si="13"/>
        <v>3</v>
      </c>
      <c r="C100" s="1795">
        <v>0</v>
      </c>
      <c r="D100" s="1795">
        <v>1</v>
      </c>
      <c r="E100" s="1795">
        <v>0</v>
      </c>
      <c r="F100" s="1795">
        <v>0</v>
      </c>
      <c r="G100" s="1795">
        <v>2</v>
      </c>
    </row>
    <row r="101" spans="1:7" ht="10.5" customHeight="1" x14ac:dyDescent="0.15">
      <c r="A101" s="2645"/>
      <c r="B101" s="3341"/>
      <c r="C101" s="3341"/>
      <c r="D101" s="3341"/>
      <c r="E101" s="3341"/>
      <c r="F101" s="3341"/>
      <c r="G101" s="3341"/>
    </row>
    <row r="102" spans="1:7" ht="33.75" customHeight="1" x14ac:dyDescent="0.15">
      <c r="A102" s="2694" t="s">
        <v>3777</v>
      </c>
      <c r="B102" s="3342"/>
      <c r="C102" s="3342"/>
      <c r="D102" s="3342"/>
      <c r="E102" s="3342"/>
      <c r="F102" s="3342"/>
      <c r="G102" s="3342"/>
    </row>
    <row r="103" spans="1:7" x14ac:dyDescent="0.15">
      <c r="A103" s="2694" t="s">
        <v>3778</v>
      </c>
      <c r="B103" s="2694"/>
      <c r="C103" s="2694"/>
      <c r="D103" s="2694"/>
      <c r="E103" s="2694"/>
      <c r="F103" s="2694"/>
      <c r="G103" s="2694"/>
    </row>
    <row r="104" spans="1:7" x14ac:dyDescent="0.15">
      <c r="A104" s="3371" t="s">
        <v>20</v>
      </c>
      <c r="B104" s="3625"/>
      <c r="C104" s="3625"/>
      <c r="D104" s="3625"/>
      <c r="E104" s="3625"/>
      <c r="F104" s="3625"/>
      <c r="G104" s="3625"/>
    </row>
    <row r="105" spans="1:7" x14ac:dyDescent="0.15">
      <c r="A105" s="2462" t="s">
        <v>1075</v>
      </c>
      <c r="B105" s="3342"/>
      <c r="C105" s="3342"/>
      <c r="D105" s="3342"/>
      <c r="E105" s="3342"/>
      <c r="F105" s="3342"/>
      <c r="G105" s="3342"/>
    </row>
  </sheetData>
  <mergeCells count="10">
    <mergeCell ref="A102:G102"/>
    <mergeCell ref="A103:G103"/>
    <mergeCell ref="A104:G104"/>
    <mergeCell ref="A105:G105"/>
    <mergeCell ref="A2:G2"/>
    <mergeCell ref="A3:G3"/>
    <mergeCell ref="A4:A5"/>
    <mergeCell ref="B4:B5"/>
    <mergeCell ref="C4:G4"/>
    <mergeCell ref="A101:G101"/>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4"/>
  <dimension ref="A2:G94"/>
  <sheetViews>
    <sheetView zoomScaleNormal="100" workbookViewId="0">
      <selection activeCell="M20" sqref="M20"/>
    </sheetView>
  </sheetViews>
  <sheetFormatPr baseColWidth="10" defaultColWidth="9.140625" defaultRowHeight="12.75" x14ac:dyDescent="0.2"/>
  <cols>
    <col min="1" max="1" width="24.28515625" style="684" customWidth="1"/>
    <col min="2" max="2" width="13.42578125" style="684" customWidth="1"/>
    <col min="3" max="3" width="16.140625" style="684" customWidth="1"/>
    <col min="4" max="4" width="16.28515625" style="684" customWidth="1"/>
    <col min="5" max="5" width="16.7109375" style="684" customWidth="1"/>
    <col min="6" max="6" width="16.5703125" style="684" customWidth="1"/>
    <col min="7" max="7" width="16" style="684" customWidth="1"/>
    <col min="8" max="16384" width="9.140625" style="684"/>
  </cols>
  <sheetData>
    <row r="2" spans="1:7" ht="22.5" customHeight="1" x14ac:dyDescent="0.2">
      <c r="A2" s="2694" t="s">
        <v>4231</v>
      </c>
      <c r="B2" s="3030"/>
      <c r="C2" s="3030"/>
      <c r="D2" s="3030"/>
      <c r="E2" s="3030"/>
      <c r="F2" s="3030"/>
      <c r="G2" s="3030"/>
    </row>
    <row r="3" spans="1:7" ht="11.25" customHeight="1" x14ac:dyDescent="0.2">
      <c r="A3" s="3626"/>
      <c r="B3" s="3341"/>
      <c r="C3" s="3341"/>
      <c r="D3" s="3341"/>
      <c r="E3" s="3341"/>
      <c r="F3" s="3341"/>
      <c r="G3" s="3341"/>
    </row>
    <row r="4" spans="1:7" x14ac:dyDescent="0.2">
      <c r="A4" s="3627" t="s">
        <v>1076</v>
      </c>
      <c r="B4" s="2785" t="s">
        <v>69</v>
      </c>
      <c r="C4" s="2786" t="s">
        <v>3769</v>
      </c>
      <c r="D4" s="3340"/>
      <c r="E4" s="3340"/>
      <c r="F4" s="3340"/>
      <c r="G4" s="3340"/>
    </row>
    <row r="5" spans="1:7" ht="94.5" x14ac:dyDescent="0.2">
      <c r="A5" s="3627"/>
      <c r="B5" s="2785"/>
      <c r="C5" s="1525" t="s">
        <v>3770</v>
      </c>
      <c r="D5" s="1525" t="s">
        <v>3771</v>
      </c>
      <c r="E5" s="1525" t="s">
        <v>3772</v>
      </c>
      <c r="F5" s="1525" t="s">
        <v>3773</v>
      </c>
      <c r="G5" s="1525" t="s">
        <v>3774</v>
      </c>
    </row>
    <row r="6" spans="1:7" ht="13.5" customHeight="1" x14ac:dyDescent="0.2">
      <c r="A6" s="767" t="s">
        <v>141</v>
      </c>
      <c r="B6" s="1792">
        <f t="shared" ref="B6:G6" si="0">SUM(B7,B14,B24,B31,B32,B34,B42,B60,B63,B65,B70,B76,B79,B82,B84)</f>
        <v>202</v>
      </c>
      <c r="C6" s="1792">
        <f t="shared" si="0"/>
        <v>14</v>
      </c>
      <c r="D6" s="1792">
        <f t="shared" si="0"/>
        <v>27</v>
      </c>
      <c r="E6" s="1792">
        <f t="shared" si="0"/>
        <v>7</v>
      </c>
      <c r="F6" s="1792">
        <f t="shared" si="0"/>
        <v>0</v>
      </c>
      <c r="G6" s="1792">
        <f t="shared" si="0"/>
        <v>154</v>
      </c>
    </row>
    <row r="7" spans="1:7" ht="13.5" customHeight="1" x14ac:dyDescent="0.2">
      <c r="A7" s="767" t="s">
        <v>5</v>
      </c>
      <c r="B7" s="1792">
        <f t="shared" ref="B7:G7" si="1">SUM(B8:B13)</f>
        <v>10</v>
      </c>
      <c r="C7" s="1792">
        <f t="shared" si="1"/>
        <v>0</v>
      </c>
      <c r="D7" s="1792">
        <f t="shared" si="1"/>
        <v>2</v>
      </c>
      <c r="E7" s="1792">
        <f t="shared" si="1"/>
        <v>0</v>
      </c>
      <c r="F7" s="1792">
        <f t="shared" si="1"/>
        <v>0</v>
      </c>
      <c r="G7" s="1792">
        <f t="shared" si="1"/>
        <v>8</v>
      </c>
    </row>
    <row r="8" spans="1:7" ht="13.5" customHeight="1" x14ac:dyDescent="0.2">
      <c r="A8" s="143" t="s">
        <v>1000</v>
      </c>
      <c r="B8" s="1792">
        <f t="shared" ref="B8:B71" si="2">SUM(C8:G8)</f>
        <v>0</v>
      </c>
      <c r="C8" s="1795">
        <v>0</v>
      </c>
      <c r="D8" s="1795">
        <v>0</v>
      </c>
      <c r="E8" s="1795">
        <v>0</v>
      </c>
      <c r="F8" s="1795">
        <v>0</v>
      </c>
      <c r="G8" s="1795">
        <v>0</v>
      </c>
    </row>
    <row r="9" spans="1:7" ht="13.5" customHeight="1" x14ac:dyDescent="0.2">
      <c r="A9" s="143" t="s">
        <v>1001</v>
      </c>
      <c r="B9" s="1792">
        <f t="shared" si="2"/>
        <v>5</v>
      </c>
      <c r="C9" s="1795">
        <v>0</v>
      </c>
      <c r="D9" s="1795">
        <v>0</v>
      </c>
      <c r="E9" s="1795">
        <v>0</v>
      </c>
      <c r="F9" s="1795">
        <v>0</v>
      </c>
      <c r="G9" s="1795">
        <v>5</v>
      </c>
    </row>
    <row r="10" spans="1:7" ht="13.5" customHeight="1" x14ac:dyDescent="0.2">
      <c r="A10" s="143" t="s">
        <v>1077</v>
      </c>
      <c r="B10" s="1792">
        <f t="shared" si="2"/>
        <v>1</v>
      </c>
      <c r="C10" s="1795">
        <v>0</v>
      </c>
      <c r="D10" s="1795">
        <v>0</v>
      </c>
      <c r="E10" s="1795">
        <v>0</v>
      </c>
      <c r="F10" s="1795">
        <v>0</v>
      </c>
      <c r="G10" s="1795">
        <v>1</v>
      </c>
    </row>
    <row r="11" spans="1:7" ht="13.5" customHeight="1" x14ac:dyDescent="0.2">
      <c r="A11" s="143" t="s">
        <v>1008</v>
      </c>
      <c r="B11" s="1792">
        <f t="shared" si="2"/>
        <v>1</v>
      </c>
      <c r="C11" s="1795">
        <v>0</v>
      </c>
      <c r="D11" s="1795">
        <v>1</v>
      </c>
      <c r="E11" s="1795">
        <v>0</v>
      </c>
      <c r="F11" s="1795">
        <v>0</v>
      </c>
      <c r="G11" s="1795">
        <v>0</v>
      </c>
    </row>
    <row r="12" spans="1:7" ht="13.5" customHeight="1" x14ac:dyDescent="0.2">
      <c r="A12" s="143" t="s">
        <v>3779</v>
      </c>
      <c r="B12" s="1792">
        <f t="shared" si="2"/>
        <v>1</v>
      </c>
      <c r="C12" s="1795">
        <v>0</v>
      </c>
      <c r="D12" s="1795">
        <v>1</v>
      </c>
      <c r="E12" s="1795">
        <v>0</v>
      </c>
      <c r="F12" s="1795">
        <v>0</v>
      </c>
      <c r="G12" s="1795">
        <v>0</v>
      </c>
    </row>
    <row r="13" spans="1:7" ht="13.5" customHeight="1" x14ac:dyDescent="0.2">
      <c r="A13" s="143" t="s">
        <v>3776</v>
      </c>
      <c r="B13" s="1792">
        <f t="shared" si="2"/>
        <v>2</v>
      </c>
      <c r="C13" s="1795">
        <v>0</v>
      </c>
      <c r="D13" s="1795">
        <v>0</v>
      </c>
      <c r="E13" s="1795">
        <v>0</v>
      </c>
      <c r="F13" s="1795">
        <v>0</v>
      </c>
      <c r="G13" s="1795">
        <v>2</v>
      </c>
    </row>
    <row r="14" spans="1:7" ht="13.5" customHeight="1" x14ac:dyDescent="0.2">
      <c r="A14" s="767" t="s">
        <v>6</v>
      </c>
      <c r="B14" s="1792">
        <f t="shared" si="2"/>
        <v>19</v>
      </c>
      <c r="C14" s="1792">
        <f t="shared" ref="C14:G14" si="3">SUM(C15:C23)</f>
        <v>0</v>
      </c>
      <c r="D14" s="1792">
        <f t="shared" si="3"/>
        <v>1</v>
      </c>
      <c r="E14" s="1792">
        <f t="shared" si="3"/>
        <v>4</v>
      </c>
      <c r="F14" s="1792">
        <f t="shared" si="3"/>
        <v>0</v>
      </c>
      <c r="G14" s="1792">
        <f t="shared" si="3"/>
        <v>14</v>
      </c>
    </row>
    <row r="15" spans="1:7" ht="13.5" customHeight="1" x14ac:dyDescent="0.2">
      <c r="A15" s="143" t="s">
        <v>1078</v>
      </c>
      <c r="B15" s="1792">
        <f t="shared" si="2"/>
        <v>1</v>
      </c>
      <c r="C15" s="1795">
        <v>0</v>
      </c>
      <c r="D15" s="1795">
        <v>0</v>
      </c>
      <c r="E15" s="1795">
        <v>0</v>
      </c>
      <c r="F15" s="1795">
        <v>0</v>
      </c>
      <c r="G15" s="1795">
        <v>1</v>
      </c>
    </row>
    <row r="16" spans="1:7" ht="13.5" customHeight="1" x14ac:dyDescent="0.2">
      <c r="A16" s="143" t="s">
        <v>1079</v>
      </c>
      <c r="B16" s="1792">
        <f t="shared" si="2"/>
        <v>1</v>
      </c>
      <c r="C16" s="1795">
        <v>0</v>
      </c>
      <c r="D16" s="1795">
        <v>0</v>
      </c>
      <c r="E16" s="1795">
        <v>0</v>
      </c>
      <c r="F16" s="1795">
        <v>0</v>
      </c>
      <c r="G16" s="1795">
        <v>1</v>
      </c>
    </row>
    <row r="17" spans="1:7" ht="13.5" customHeight="1" x14ac:dyDescent="0.2">
      <c r="A17" s="143" t="s">
        <v>1007</v>
      </c>
      <c r="B17" s="1792">
        <f t="shared" si="2"/>
        <v>2</v>
      </c>
      <c r="C17" s="1795">
        <v>0</v>
      </c>
      <c r="D17" s="1795">
        <v>0</v>
      </c>
      <c r="E17" s="1795">
        <v>0</v>
      </c>
      <c r="F17" s="1795">
        <v>0</v>
      </c>
      <c r="G17" s="1795">
        <v>2</v>
      </c>
    </row>
    <row r="18" spans="1:7" ht="13.5" customHeight="1" x14ac:dyDescent="0.2">
      <c r="A18" s="143" t="s">
        <v>1005</v>
      </c>
      <c r="B18" s="1792">
        <f t="shared" si="2"/>
        <v>3</v>
      </c>
      <c r="C18" s="1795">
        <v>0</v>
      </c>
      <c r="D18" s="1795">
        <v>0</v>
      </c>
      <c r="E18" s="1795">
        <v>1</v>
      </c>
      <c r="F18" s="1795">
        <v>0</v>
      </c>
      <c r="G18" s="1795">
        <v>2</v>
      </c>
    </row>
    <row r="19" spans="1:7" ht="13.5" customHeight="1" x14ac:dyDescent="0.2">
      <c r="A19" s="143" t="s">
        <v>1080</v>
      </c>
      <c r="B19" s="1792">
        <f t="shared" si="2"/>
        <v>2</v>
      </c>
      <c r="C19" s="1795">
        <v>0</v>
      </c>
      <c r="D19" s="1795">
        <v>0</v>
      </c>
      <c r="E19" s="1795">
        <v>0</v>
      </c>
      <c r="F19" s="1795">
        <v>0</v>
      </c>
      <c r="G19" s="1795">
        <v>2</v>
      </c>
    </row>
    <row r="20" spans="1:7" ht="13.5" customHeight="1" x14ac:dyDescent="0.2">
      <c r="A20" s="143" t="s">
        <v>1008</v>
      </c>
      <c r="B20" s="1792">
        <f t="shared" si="2"/>
        <v>3</v>
      </c>
      <c r="C20" s="1795">
        <v>0</v>
      </c>
      <c r="D20" s="1795">
        <v>0</v>
      </c>
      <c r="E20" s="1795">
        <v>1</v>
      </c>
      <c r="F20" s="1795">
        <v>0</v>
      </c>
      <c r="G20" s="1795">
        <v>2</v>
      </c>
    </row>
    <row r="21" spans="1:7" ht="13.5" customHeight="1" x14ac:dyDescent="0.2">
      <c r="A21" s="143" t="s">
        <v>1081</v>
      </c>
      <c r="B21" s="1792">
        <f t="shared" si="2"/>
        <v>3</v>
      </c>
      <c r="C21" s="1795">
        <v>0</v>
      </c>
      <c r="D21" s="1795">
        <v>1</v>
      </c>
      <c r="E21" s="1795">
        <v>0</v>
      </c>
      <c r="F21" s="1795">
        <v>0</v>
      </c>
      <c r="G21" s="1795">
        <v>2</v>
      </c>
    </row>
    <row r="22" spans="1:7" ht="13.5" customHeight="1" x14ac:dyDescent="0.2">
      <c r="A22" s="143" t="s">
        <v>3779</v>
      </c>
      <c r="B22" s="1792">
        <f t="shared" si="2"/>
        <v>1</v>
      </c>
      <c r="C22" s="1795">
        <v>0</v>
      </c>
      <c r="D22" s="1795">
        <v>0</v>
      </c>
      <c r="E22" s="1795">
        <v>1</v>
      </c>
      <c r="F22" s="1795">
        <v>0</v>
      </c>
      <c r="G22" s="1795">
        <v>0</v>
      </c>
    </row>
    <row r="23" spans="1:7" ht="13.5" customHeight="1" x14ac:dyDescent="0.2">
      <c r="A23" s="143" t="s">
        <v>3776</v>
      </c>
      <c r="B23" s="1792">
        <f t="shared" si="2"/>
        <v>3</v>
      </c>
      <c r="C23" s="1795">
        <v>0</v>
      </c>
      <c r="D23" s="1795">
        <v>0</v>
      </c>
      <c r="E23" s="1795">
        <v>1</v>
      </c>
      <c r="F23" s="1795">
        <v>0</v>
      </c>
      <c r="G23" s="1795">
        <v>2</v>
      </c>
    </row>
    <row r="24" spans="1:7" ht="13.5" customHeight="1" x14ac:dyDescent="0.2">
      <c r="A24" s="767" t="s">
        <v>7</v>
      </c>
      <c r="B24" s="1792">
        <f t="shared" si="2"/>
        <v>5</v>
      </c>
      <c r="C24" s="1792">
        <f t="shared" ref="C24:G24" si="4">SUM(C25:C30)</f>
        <v>0</v>
      </c>
      <c r="D24" s="1792">
        <f t="shared" si="4"/>
        <v>1</v>
      </c>
      <c r="E24" s="1792">
        <f t="shared" si="4"/>
        <v>0</v>
      </c>
      <c r="F24" s="1792">
        <f t="shared" si="4"/>
        <v>0</v>
      </c>
      <c r="G24" s="1792">
        <f t="shared" si="4"/>
        <v>4</v>
      </c>
    </row>
    <row r="25" spans="1:7" ht="13.5" customHeight="1" x14ac:dyDescent="0.2">
      <c r="A25" s="143" t="s">
        <v>999</v>
      </c>
      <c r="B25" s="1792">
        <f t="shared" si="2"/>
        <v>0</v>
      </c>
      <c r="C25" s="1795">
        <v>0</v>
      </c>
      <c r="D25" s="1795">
        <v>0</v>
      </c>
      <c r="E25" s="1795">
        <v>0</v>
      </c>
      <c r="F25" s="1795">
        <v>0</v>
      </c>
      <c r="G25" s="1795">
        <v>0</v>
      </c>
    </row>
    <row r="26" spans="1:7" ht="13.5" customHeight="1" x14ac:dyDescent="0.2">
      <c r="A26" s="143" t="s">
        <v>1000</v>
      </c>
      <c r="B26" s="1792">
        <f t="shared" si="2"/>
        <v>0</v>
      </c>
      <c r="C26" s="1795">
        <v>0</v>
      </c>
      <c r="D26" s="1795">
        <v>0</v>
      </c>
      <c r="E26" s="1795">
        <v>0</v>
      </c>
      <c r="F26" s="1795">
        <v>0</v>
      </c>
      <c r="G26" s="1795">
        <v>0</v>
      </c>
    </row>
    <row r="27" spans="1:7" ht="13.5" customHeight="1" x14ac:dyDescent="0.2">
      <c r="A27" s="143" t="s">
        <v>1082</v>
      </c>
      <c r="B27" s="1792">
        <f t="shared" si="2"/>
        <v>1</v>
      </c>
      <c r="C27" s="1795">
        <v>0</v>
      </c>
      <c r="D27" s="1795">
        <v>0</v>
      </c>
      <c r="E27" s="1795">
        <v>0</v>
      </c>
      <c r="F27" s="1795">
        <v>0</v>
      </c>
      <c r="G27" s="1795">
        <v>1</v>
      </c>
    </row>
    <row r="28" spans="1:7" ht="13.5" customHeight="1" x14ac:dyDescent="0.2">
      <c r="A28" s="143" t="s">
        <v>1005</v>
      </c>
      <c r="B28" s="1792">
        <f t="shared" si="2"/>
        <v>1</v>
      </c>
      <c r="C28" s="1795">
        <v>0</v>
      </c>
      <c r="D28" s="1795">
        <v>0</v>
      </c>
      <c r="E28" s="1795">
        <v>0</v>
      </c>
      <c r="F28" s="1795">
        <v>0</v>
      </c>
      <c r="G28" s="1795">
        <v>1</v>
      </c>
    </row>
    <row r="29" spans="1:7" ht="13.5" customHeight="1" x14ac:dyDescent="0.2">
      <c r="A29" s="143" t="s">
        <v>3779</v>
      </c>
      <c r="B29" s="1792">
        <f t="shared" si="2"/>
        <v>2</v>
      </c>
      <c r="C29" s="1795">
        <v>0</v>
      </c>
      <c r="D29" s="1795">
        <v>1</v>
      </c>
      <c r="E29" s="1795">
        <v>0</v>
      </c>
      <c r="F29" s="1795">
        <v>0</v>
      </c>
      <c r="G29" s="1795">
        <v>1</v>
      </c>
    </row>
    <row r="30" spans="1:7" ht="13.5" customHeight="1" x14ac:dyDescent="0.2">
      <c r="A30" s="143" t="s">
        <v>3776</v>
      </c>
      <c r="B30" s="1792">
        <f t="shared" si="2"/>
        <v>1</v>
      </c>
      <c r="C30" s="1795">
        <v>0</v>
      </c>
      <c r="D30" s="1795">
        <v>0</v>
      </c>
      <c r="E30" s="1795">
        <v>0</v>
      </c>
      <c r="F30" s="1795">
        <v>0</v>
      </c>
      <c r="G30" s="1795">
        <v>1</v>
      </c>
    </row>
    <row r="31" spans="1:7" ht="13.5" customHeight="1" x14ac:dyDescent="0.2">
      <c r="A31" s="767" t="s">
        <v>8</v>
      </c>
      <c r="B31" s="1792">
        <f t="shared" si="2"/>
        <v>0</v>
      </c>
      <c r="C31" s="1792">
        <v>0</v>
      </c>
      <c r="D31" s="1792">
        <v>0</v>
      </c>
      <c r="E31" s="1792">
        <v>0</v>
      </c>
      <c r="F31" s="1792">
        <v>0</v>
      </c>
      <c r="G31" s="1792">
        <v>0</v>
      </c>
    </row>
    <row r="32" spans="1:7" ht="13.5" customHeight="1" x14ac:dyDescent="0.2">
      <c r="A32" s="767" t="s">
        <v>9</v>
      </c>
      <c r="B32" s="1792">
        <f t="shared" si="2"/>
        <v>1</v>
      </c>
      <c r="C32" s="1792">
        <f t="shared" ref="C32:G32" si="5">SUM(C33)</f>
        <v>0</v>
      </c>
      <c r="D32" s="1792">
        <f t="shared" si="5"/>
        <v>0</v>
      </c>
      <c r="E32" s="1792">
        <f t="shared" si="5"/>
        <v>0</v>
      </c>
      <c r="F32" s="1792">
        <f t="shared" si="5"/>
        <v>0</v>
      </c>
      <c r="G32" s="1792">
        <f t="shared" si="5"/>
        <v>1</v>
      </c>
    </row>
    <row r="33" spans="1:7" ht="13.5" customHeight="1" x14ac:dyDescent="0.2">
      <c r="A33" s="143" t="s">
        <v>1083</v>
      </c>
      <c r="B33" s="1792">
        <f t="shared" si="2"/>
        <v>1</v>
      </c>
      <c r="C33" s="1796">
        <v>0</v>
      </c>
      <c r="D33" s="1796">
        <v>0</v>
      </c>
      <c r="E33" s="1796">
        <v>0</v>
      </c>
      <c r="F33" s="1796">
        <v>0</v>
      </c>
      <c r="G33" s="1796">
        <v>1</v>
      </c>
    </row>
    <row r="34" spans="1:7" ht="13.5" customHeight="1" x14ac:dyDescent="0.2">
      <c r="A34" s="767" t="s">
        <v>10</v>
      </c>
      <c r="B34" s="1792">
        <f t="shared" si="2"/>
        <v>33</v>
      </c>
      <c r="C34" s="1792">
        <f t="shared" ref="C34:G34" si="6">SUM(C35:C41)</f>
        <v>4</v>
      </c>
      <c r="D34" s="1792">
        <f t="shared" si="6"/>
        <v>7</v>
      </c>
      <c r="E34" s="1792">
        <f t="shared" si="6"/>
        <v>0</v>
      </c>
      <c r="F34" s="1792">
        <f t="shared" si="6"/>
        <v>0</v>
      </c>
      <c r="G34" s="1792">
        <f t="shared" si="6"/>
        <v>22</v>
      </c>
    </row>
    <row r="35" spans="1:7" ht="13.5" customHeight="1" x14ac:dyDescent="0.2">
      <c r="A35" s="143" t="s">
        <v>1082</v>
      </c>
      <c r="B35" s="1792">
        <f t="shared" si="2"/>
        <v>2</v>
      </c>
      <c r="C35" s="1795">
        <v>0</v>
      </c>
      <c r="D35" s="1795">
        <v>1</v>
      </c>
      <c r="E35" s="1795">
        <v>0</v>
      </c>
      <c r="F35" s="1795">
        <v>0</v>
      </c>
      <c r="G35" s="1795">
        <v>1</v>
      </c>
    </row>
    <row r="36" spans="1:7" ht="13.5" customHeight="1" x14ac:dyDescent="0.2">
      <c r="A36" s="143" t="s">
        <v>1084</v>
      </c>
      <c r="B36" s="1792">
        <f t="shared" si="2"/>
        <v>1</v>
      </c>
      <c r="C36" s="1795">
        <v>1</v>
      </c>
      <c r="D36" s="1795">
        <v>0</v>
      </c>
      <c r="E36" s="1795">
        <v>0</v>
      </c>
      <c r="F36" s="1795">
        <v>0</v>
      </c>
      <c r="G36" s="1795">
        <v>0</v>
      </c>
    </row>
    <row r="37" spans="1:7" ht="13.5" customHeight="1" x14ac:dyDescent="0.2">
      <c r="A37" s="143" t="s">
        <v>1005</v>
      </c>
      <c r="B37" s="1792">
        <f t="shared" si="2"/>
        <v>5</v>
      </c>
      <c r="C37" s="1795">
        <v>1</v>
      </c>
      <c r="D37" s="1795">
        <v>0</v>
      </c>
      <c r="E37" s="1795">
        <v>0</v>
      </c>
      <c r="F37" s="1795">
        <v>0</v>
      </c>
      <c r="G37" s="1795">
        <v>4</v>
      </c>
    </row>
    <row r="38" spans="1:7" ht="13.5" customHeight="1" x14ac:dyDescent="0.2">
      <c r="A38" s="143" t="s">
        <v>1008</v>
      </c>
      <c r="B38" s="1792">
        <f t="shared" si="2"/>
        <v>2</v>
      </c>
      <c r="C38" s="1795">
        <v>1</v>
      </c>
      <c r="D38" s="1795">
        <v>0</v>
      </c>
      <c r="E38" s="1795">
        <v>0</v>
      </c>
      <c r="F38" s="1795">
        <v>0</v>
      </c>
      <c r="G38" s="1795">
        <v>1</v>
      </c>
    </row>
    <row r="39" spans="1:7" ht="13.5" customHeight="1" x14ac:dyDescent="0.2">
      <c r="A39" s="143" t="s">
        <v>1081</v>
      </c>
      <c r="B39" s="1792">
        <f t="shared" si="2"/>
        <v>1</v>
      </c>
      <c r="C39" s="1795">
        <v>0</v>
      </c>
      <c r="D39" s="1795">
        <v>0</v>
      </c>
      <c r="E39" s="1795">
        <v>0</v>
      </c>
      <c r="F39" s="1795">
        <v>0</v>
      </c>
      <c r="G39" s="1795">
        <v>1</v>
      </c>
    </row>
    <row r="40" spans="1:7" ht="13.5" customHeight="1" x14ac:dyDescent="0.2">
      <c r="A40" s="143" t="s">
        <v>3779</v>
      </c>
      <c r="B40" s="1792">
        <f t="shared" si="2"/>
        <v>6</v>
      </c>
      <c r="C40" s="1795">
        <v>0</v>
      </c>
      <c r="D40" s="1795">
        <v>1</v>
      </c>
      <c r="E40" s="1795">
        <v>0</v>
      </c>
      <c r="F40" s="1795">
        <v>0</v>
      </c>
      <c r="G40" s="1795">
        <v>5</v>
      </c>
    </row>
    <row r="41" spans="1:7" ht="13.5" customHeight="1" x14ac:dyDescent="0.2">
      <c r="A41" s="143" t="s">
        <v>3776</v>
      </c>
      <c r="B41" s="1792">
        <f t="shared" si="2"/>
        <v>16</v>
      </c>
      <c r="C41" s="1795">
        <v>1</v>
      </c>
      <c r="D41" s="1795">
        <v>5</v>
      </c>
      <c r="E41" s="1795">
        <v>0</v>
      </c>
      <c r="F41" s="1795">
        <v>0</v>
      </c>
      <c r="G41" s="1795">
        <v>10</v>
      </c>
    </row>
    <row r="42" spans="1:7" ht="13.5" customHeight="1" x14ac:dyDescent="0.2">
      <c r="A42" s="767" t="s">
        <v>11</v>
      </c>
      <c r="B42" s="1792">
        <f t="shared" si="2"/>
        <v>98</v>
      </c>
      <c r="C42" s="1792">
        <f t="shared" ref="C42:G42" si="7">SUM(C43:C59)</f>
        <v>7</v>
      </c>
      <c r="D42" s="1792">
        <f t="shared" si="7"/>
        <v>12</v>
      </c>
      <c r="E42" s="1792">
        <f t="shared" si="7"/>
        <v>3</v>
      </c>
      <c r="F42" s="1792">
        <f t="shared" si="7"/>
        <v>0</v>
      </c>
      <c r="G42" s="1792">
        <f t="shared" si="7"/>
        <v>76</v>
      </c>
    </row>
    <row r="43" spans="1:7" ht="13.5" customHeight="1" x14ac:dyDescent="0.2">
      <c r="A43" s="143" t="s">
        <v>1085</v>
      </c>
      <c r="B43" s="1792">
        <f t="shared" si="2"/>
        <v>1</v>
      </c>
      <c r="C43" s="1795">
        <v>0</v>
      </c>
      <c r="D43" s="1795">
        <v>0</v>
      </c>
      <c r="E43" s="1795">
        <v>0</v>
      </c>
      <c r="F43" s="1795">
        <v>0</v>
      </c>
      <c r="G43" s="1795">
        <v>1</v>
      </c>
    </row>
    <row r="44" spans="1:7" ht="13.5" customHeight="1" x14ac:dyDescent="0.2">
      <c r="A44" s="143" t="s">
        <v>1000</v>
      </c>
      <c r="B44" s="1792">
        <f t="shared" si="2"/>
        <v>0</v>
      </c>
      <c r="C44" s="1795">
        <v>0</v>
      </c>
      <c r="D44" s="1795">
        <v>0</v>
      </c>
      <c r="E44" s="1795">
        <v>0</v>
      </c>
      <c r="F44" s="1795">
        <v>0</v>
      </c>
      <c r="G44" s="1795">
        <v>0</v>
      </c>
    </row>
    <row r="45" spans="1:7" ht="13.5" customHeight="1" x14ac:dyDescent="0.2">
      <c r="A45" s="143" t="s">
        <v>1001</v>
      </c>
      <c r="B45" s="1792">
        <f t="shared" si="2"/>
        <v>4</v>
      </c>
      <c r="C45" s="1795">
        <v>0</v>
      </c>
      <c r="D45" s="1795">
        <v>0</v>
      </c>
      <c r="E45" s="1795">
        <v>0</v>
      </c>
      <c r="F45" s="1795">
        <v>0</v>
      </c>
      <c r="G45" s="1795">
        <v>4</v>
      </c>
    </row>
    <row r="46" spans="1:7" ht="13.5" customHeight="1" x14ac:dyDescent="0.2">
      <c r="A46" s="143" t="s">
        <v>1082</v>
      </c>
      <c r="B46" s="1792">
        <f t="shared" si="2"/>
        <v>1</v>
      </c>
      <c r="C46" s="1795">
        <v>0</v>
      </c>
      <c r="D46" s="1795">
        <v>0</v>
      </c>
      <c r="E46" s="1795">
        <v>0</v>
      </c>
      <c r="F46" s="1795">
        <v>0</v>
      </c>
      <c r="G46" s="1795">
        <v>1</v>
      </c>
    </row>
    <row r="47" spans="1:7" ht="13.5" customHeight="1" x14ac:dyDescent="0.2">
      <c r="A47" s="143" t="s">
        <v>1086</v>
      </c>
      <c r="B47" s="1792">
        <f t="shared" si="2"/>
        <v>1</v>
      </c>
      <c r="C47" s="1795">
        <v>0</v>
      </c>
      <c r="D47" s="1795">
        <v>0</v>
      </c>
      <c r="E47" s="1795">
        <v>0</v>
      </c>
      <c r="F47" s="1795">
        <v>0</v>
      </c>
      <c r="G47" s="1795">
        <v>1</v>
      </c>
    </row>
    <row r="48" spans="1:7" ht="13.5" customHeight="1" x14ac:dyDescent="0.2">
      <c r="A48" s="143" t="s">
        <v>1007</v>
      </c>
      <c r="B48" s="1792">
        <f t="shared" si="2"/>
        <v>4</v>
      </c>
      <c r="C48" s="1795">
        <v>0</v>
      </c>
      <c r="D48" s="1795">
        <v>1</v>
      </c>
      <c r="E48" s="1795">
        <v>0</v>
      </c>
      <c r="F48" s="1795">
        <v>0</v>
      </c>
      <c r="G48" s="1795">
        <v>3</v>
      </c>
    </row>
    <row r="49" spans="1:7" ht="13.5" customHeight="1" x14ac:dyDescent="0.2">
      <c r="A49" s="143" t="s">
        <v>1002</v>
      </c>
      <c r="B49" s="1792">
        <f t="shared" si="2"/>
        <v>4</v>
      </c>
      <c r="C49" s="1795">
        <v>0</v>
      </c>
      <c r="D49" s="1795">
        <v>0</v>
      </c>
      <c r="E49" s="1795">
        <v>0</v>
      </c>
      <c r="F49" s="1795">
        <v>0</v>
      </c>
      <c r="G49" s="1795">
        <v>4</v>
      </c>
    </row>
    <row r="50" spans="1:7" ht="13.5" customHeight="1" x14ac:dyDescent="0.2">
      <c r="A50" s="143" t="s">
        <v>1005</v>
      </c>
      <c r="B50" s="1792">
        <f t="shared" si="2"/>
        <v>18</v>
      </c>
      <c r="C50" s="1795">
        <v>1</v>
      </c>
      <c r="D50" s="1795">
        <v>1</v>
      </c>
      <c r="E50" s="1795">
        <v>0</v>
      </c>
      <c r="F50" s="1795">
        <v>0</v>
      </c>
      <c r="G50" s="1795">
        <v>16</v>
      </c>
    </row>
    <row r="51" spans="1:7" ht="13.5" customHeight="1" x14ac:dyDescent="0.2">
      <c r="A51" s="143" t="s">
        <v>1080</v>
      </c>
      <c r="B51" s="1792">
        <f t="shared" si="2"/>
        <v>3</v>
      </c>
      <c r="C51" s="1795">
        <v>0</v>
      </c>
      <c r="D51" s="1795">
        <v>0</v>
      </c>
      <c r="E51" s="1795">
        <v>0</v>
      </c>
      <c r="F51" s="1795">
        <v>0</v>
      </c>
      <c r="G51" s="1795">
        <v>3</v>
      </c>
    </row>
    <row r="52" spans="1:7" ht="13.5" customHeight="1" x14ac:dyDescent="0.2">
      <c r="A52" s="143" t="s">
        <v>1008</v>
      </c>
      <c r="B52" s="1792">
        <f t="shared" si="2"/>
        <v>3</v>
      </c>
      <c r="C52" s="1795">
        <v>0</v>
      </c>
      <c r="D52" s="1795">
        <v>0</v>
      </c>
      <c r="E52" s="1795">
        <v>0</v>
      </c>
      <c r="F52" s="1795">
        <v>0</v>
      </c>
      <c r="G52" s="1795">
        <v>3</v>
      </c>
    </row>
    <row r="53" spans="1:7" ht="13.5" customHeight="1" x14ac:dyDescent="0.2">
      <c r="A53" s="143" t="s">
        <v>26</v>
      </c>
      <c r="B53" s="1792">
        <f t="shared" si="2"/>
        <v>6</v>
      </c>
      <c r="C53" s="1795">
        <v>0</v>
      </c>
      <c r="D53" s="1795">
        <v>1</v>
      </c>
      <c r="E53" s="1795">
        <v>0</v>
      </c>
      <c r="F53" s="1795">
        <v>0</v>
      </c>
      <c r="G53" s="1795">
        <v>5</v>
      </c>
    </row>
    <row r="54" spans="1:7" ht="13.5" customHeight="1" x14ac:dyDescent="0.2">
      <c r="A54" s="143" t="s">
        <v>1003</v>
      </c>
      <c r="B54" s="1792">
        <f t="shared" si="2"/>
        <v>2</v>
      </c>
      <c r="C54" s="1795">
        <v>0</v>
      </c>
      <c r="D54" s="1795">
        <v>1</v>
      </c>
      <c r="E54" s="1795">
        <v>0</v>
      </c>
      <c r="F54" s="1795">
        <v>0</v>
      </c>
      <c r="G54" s="1795">
        <v>1</v>
      </c>
    </row>
    <row r="55" spans="1:7" ht="13.5" customHeight="1" x14ac:dyDescent="0.2">
      <c r="A55" s="143" t="s">
        <v>1004</v>
      </c>
      <c r="B55" s="1792">
        <f t="shared" si="2"/>
        <v>1</v>
      </c>
      <c r="C55" s="1795">
        <v>0</v>
      </c>
      <c r="D55" s="1795">
        <v>0</v>
      </c>
      <c r="E55" s="1795">
        <v>0</v>
      </c>
      <c r="F55" s="1795">
        <v>0</v>
      </c>
      <c r="G55" s="1795">
        <v>1</v>
      </c>
    </row>
    <row r="56" spans="1:7" ht="13.5" customHeight="1" x14ac:dyDescent="0.2">
      <c r="A56" s="143" t="s">
        <v>1081</v>
      </c>
      <c r="B56" s="1792">
        <f t="shared" si="2"/>
        <v>3</v>
      </c>
      <c r="C56" s="1795">
        <v>0</v>
      </c>
      <c r="D56" s="1795">
        <v>1</v>
      </c>
      <c r="E56" s="1795">
        <v>0</v>
      </c>
      <c r="F56" s="1795">
        <v>0</v>
      </c>
      <c r="G56" s="1795">
        <v>2</v>
      </c>
    </row>
    <row r="57" spans="1:7" ht="13.5" customHeight="1" x14ac:dyDescent="0.2">
      <c r="A57" s="143" t="s">
        <v>1087</v>
      </c>
      <c r="B57" s="1792">
        <f t="shared" si="2"/>
        <v>1</v>
      </c>
      <c r="C57" s="1795">
        <v>0</v>
      </c>
      <c r="D57" s="1795">
        <v>0</v>
      </c>
      <c r="E57" s="1795">
        <v>0</v>
      </c>
      <c r="F57" s="1795">
        <v>0</v>
      </c>
      <c r="G57" s="1795">
        <v>1</v>
      </c>
    </row>
    <row r="58" spans="1:7" ht="13.5" customHeight="1" x14ac:dyDescent="0.2">
      <c r="A58" s="143" t="s">
        <v>3779</v>
      </c>
      <c r="B58" s="1792">
        <f t="shared" si="2"/>
        <v>13</v>
      </c>
      <c r="C58" s="1795">
        <v>1</v>
      </c>
      <c r="D58" s="1795">
        <v>0</v>
      </c>
      <c r="E58" s="1795">
        <v>0</v>
      </c>
      <c r="F58" s="1795">
        <v>0</v>
      </c>
      <c r="G58" s="1795">
        <v>12</v>
      </c>
    </row>
    <row r="59" spans="1:7" ht="13.5" customHeight="1" x14ac:dyDescent="0.2">
      <c r="A59" s="143" t="s">
        <v>3776</v>
      </c>
      <c r="B59" s="1792">
        <f t="shared" si="2"/>
        <v>33</v>
      </c>
      <c r="C59" s="1795">
        <v>5</v>
      </c>
      <c r="D59" s="1795">
        <v>7</v>
      </c>
      <c r="E59" s="1795">
        <v>3</v>
      </c>
      <c r="F59" s="1795">
        <v>0</v>
      </c>
      <c r="G59" s="1795">
        <v>18</v>
      </c>
    </row>
    <row r="60" spans="1:7" ht="13.5" customHeight="1" x14ac:dyDescent="0.2">
      <c r="A60" s="767" t="s">
        <v>12</v>
      </c>
      <c r="B60" s="1792">
        <f t="shared" si="2"/>
        <v>3</v>
      </c>
      <c r="C60" s="1792">
        <f t="shared" ref="C60:G60" si="8">SUM(C61:C62)</f>
        <v>0</v>
      </c>
      <c r="D60" s="1792">
        <f t="shared" si="8"/>
        <v>0</v>
      </c>
      <c r="E60" s="1792">
        <f t="shared" si="8"/>
        <v>0</v>
      </c>
      <c r="F60" s="1792">
        <f t="shared" si="8"/>
        <v>0</v>
      </c>
      <c r="G60" s="1792">
        <f t="shared" si="8"/>
        <v>3</v>
      </c>
    </row>
    <row r="61" spans="1:7" ht="13.5" customHeight="1" x14ac:dyDescent="0.2">
      <c r="A61" s="143" t="s">
        <v>1082</v>
      </c>
      <c r="B61" s="1792">
        <f t="shared" si="2"/>
        <v>1</v>
      </c>
      <c r="C61" s="1795">
        <v>0</v>
      </c>
      <c r="D61" s="1795">
        <v>0</v>
      </c>
      <c r="E61" s="1795">
        <v>0</v>
      </c>
      <c r="F61" s="1795">
        <v>0</v>
      </c>
      <c r="G61" s="1795">
        <v>1</v>
      </c>
    </row>
    <row r="62" spans="1:7" ht="13.5" customHeight="1" x14ac:dyDescent="0.2">
      <c r="A62" s="143" t="s">
        <v>3776</v>
      </c>
      <c r="B62" s="1792">
        <f t="shared" si="2"/>
        <v>2</v>
      </c>
      <c r="C62" s="1795">
        <v>0</v>
      </c>
      <c r="D62" s="1795">
        <v>0</v>
      </c>
      <c r="E62" s="1795">
        <v>0</v>
      </c>
      <c r="F62" s="1795">
        <v>0</v>
      </c>
      <c r="G62" s="1795">
        <v>2</v>
      </c>
    </row>
    <row r="63" spans="1:7" ht="13.5" customHeight="1" x14ac:dyDescent="0.2">
      <c r="A63" s="767" t="s">
        <v>13</v>
      </c>
      <c r="B63" s="1792">
        <f t="shared" si="2"/>
        <v>2</v>
      </c>
      <c r="C63" s="1792">
        <f t="shared" ref="C63:G63" si="9">SUM(C64)</f>
        <v>0</v>
      </c>
      <c r="D63" s="1792">
        <f t="shared" si="9"/>
        <v>0</v>
      </c>
      <c r="E63" s="1792">
        <f t="shared" si="9"/>
        <v>0</v>
      </c>
      <c r="F63" s="1792">
        <f t="shared" si="9"/>
        <v>0</v>
      </c>
      <c r="G63" s="1792">
        <f t="shared" si="9"/>
        <v>2</v>
      </c>
    </row>
    <row r="64" spans="1:7" ht="13.5" customHeight="1" x14ac:dyDescent="0.2">
      <c r="A64" s="143" t="s">
        <v>3776</v>
      </c>
      <c r="B64" s="1792">
        <f t="shared" si="2"/>
        <v>2</v>
      </c>
      <c r="C64" s="1795">
        <v>0</v>
      </c>
      <c r="D64" s="1795">
        <v>0</v>
      </c>
      <c r="E64" s="1795">
        <v>0</v>
      </c>
      <c r="F64" s="1795">
        <v>0</v>
      </c>
      <c r="G64" s="1795">
        <v>2</v>
      </c>
    </row>
    <row r="65" spans="1:7" ht="13.5" customHeight="1" x14ac:dyDescent="0.2">
      <c r="A65" s="767" t="s">
        <v>14</v>
      </c>
      <c r="B65" s="1792">
        <f t="shared" si="2"/>
        <v>6</v>
      </c>
      <c r="C65" s="1792">
        <f t="shared" ref="C65:G65" si="10">SUM(C66:C69)</f>
        <v>0</v>
      </c>
      <c r="D65" s="1792">
        <f t="shared" si="10"/>
        <v>1</v>
      </c>
      <c r="E65" s="1792">
        <f t="shared" si="10"/>
        <v>0</v>
      </c>
      <c r="F65" s="1792">
        <f t="shared" si="10"/>
        <v>0</v>
      </c>
      <c r="G65" s="1792">
        <f t="shared" si="10"/>
        <v>5</v>
      </c>
    </row>
    <row r="66" spans="1:7" ht="13.5" customHeight="1" x14ac:dyDescent="0.2">
      <c r="A66" s="143" t="s">
        <v>1088</v>
      </c>
      <c r="B66" s="1792">
        <f t="shared" si="2"/>
        <v>1</v>
      </c>
      <c r="C66" s="1795">
        <v>0</v>
      </c>
      <c r="D66" s="1795">
        <v>1</v>
      </c>
      <c r="E66" s="1795">
        <v>0</v>
      </c>
      <c r="F66" s="1795">
        <v>0</v>
      </c>
      <c r="G66" s="1795">
        <v>0</v>
      </c>
    </row>
    <row r="67" spans="1:7" ht="13.5" customHeight="1" x14ac:dyDescent="0.2">
      <c r="A67" s="143" t="s">
        <v>1082</v>
      </c>
      <c r="B67" s="1792">
        <f t="shared" si="2"/>
        <v>1</v>
      </c>
      <c r="C67" s="1795">
        <v>0</v>
      </c>
      <c r="D67" s="1795">
        <v>0</v>
      </c>
      <c r="E67" s="1795">
        <v>0</v>
      </c>
      <c r="F67" s="1795">
        <v>0</v>
      </c>
      <c r="G67" s="1795">
        <v>1</v>
      </c>
    </row>
    <row r="68" spans="1:7" ht="13.5" customHeight="1" x14ac:dyDescent="0.2">
      <c r="A68" s="143" t="s">
        <v>3779</v>
      </c>
      <c r="B68" s="1792">
        <f t="shared" si="2"/>
        <v>3</v>
      </c>
      <c r="C68" s="1795">
        <v>0</v>
      </c>
      <c r="D68" s="1795">
        <v>0</v>
      </c>
      <c r="E68" s="1795">
        <v>0</v>
      </c>
      <c r="F68" s="1795">
        <v>0</v>
      </c>
      <c r="G68" s="1795">
        <v>3</v>
      </c>
    </row>
    <row r="69" spans="1:7" ht="13.5" customHeight="1" x14ac:dyDescent="0.2">
      <c r="A69" s="143" t="s">
        <v>3776</v>
      </c>
      <c r="B69" s="1792">
        <f t="shared" si="2"/>
        <v>1</v>
      </c>
      <c r="C69" s="1795">
        <v>0</v>
      </c>
      <c r="D69" s="1795">
        <v>0</v>
      </c>
      <c r="E69" s="1795">
        <v>0</v>
      </c>
      <c r="F69" s="1795">
        <v>0</v>
      </c>
      <c r="G69" s="1795">
        <v>1</v>
      </c>
    </row>
    <row r="70" spans="1:7" ht="13.5" customHeight="1" x14ac:dyDescent="0.2">
      <c r="A70" s="767" t="s">
        <v>15</v>
      </c>
      <c r="B70" s="1792">
        <f t="shared" si="2"/>
        <v>13</v>
      </c>
      <c r="C70" s="1792">
        <f t="shared" ref="C70:G70" si="11">SUM(C71:C75)</f>
        <v>2</v>
      </c>
      <c r="D70" s="1792">
        <f t="shared" si="11"/>
        <v>0</v>
      </c>
      <c r="E70" s="1792">
        <f t="shared" si="11"/>
        <v>0</v>
      </c>
      <c r="F70" s="1792">
        <f t="shared" si="11"/>
        <v>0</v>
      </c>
      <c r="G70" s="1792">
        <f t="shared" si="11"/>
        <v>11</v>
      </c>
    </row>
    <row r="71" spans="1:7" ht="13.5" customHeight="1" x14ac:dyDescent="0.2">
      <c r="A71" s="143" t="s">
        <v>1001</v>
      </c>
      <c r="B71" s="1792">
        <f t="shared" si="2"/>
        <v>1</v>
      </c>
      <c r="C71" s="1795">
        <v>0</v>
      </c>
      <c r="D71" s="1795">
        <v>0</v>
      </c>
      <c r="E71" s="1795">
        <v>0</v>
      </c>
      <c r="F71" s="1795">
        <v>0</v>
      </c>
      <c r="G71" s="1795">
        <v>1</v>
      </c>
    </row>
    <row r="72" spans="1:7" ht="13.5" customHeight="1" x14ac:dyDescent="0.2">
      <c r="A72" s="143" t="s">
        <v>1082</v>
      </c>
      <c r="B72" s="1792">
        <f t="shared" ref="B72:B88" si="12">SUM(C72:G72)</f>
        <v>1</v>
      </c>
      <c r="C72" s="1795">
        <v>0</v>
      </c>
      <c r="D72" s="1795">
        <v>0</v>
      </c>
      <c r="E72" s="1795">
        <v>0</v>
      </c>
      <c r="F72" s="1795">
        <v>0</v>
      </c>
      <c r="G72" s="1795">
        <v>1</v>
      </c>
    </row>
    <row r="73" spans="1:7" x14ac:dyDescent="0.2">
      <c r="A73" s="143" t="s">
        <v>1005</v>
      </c>
      <c r="B73" s="1792">
        <f t="shared" si="12"/>
        <v>1</v>
      </c>
      <c r="C73" s="1795">
        <v>0</v>
      </c>
      <c r="D73" s="1795">
        <v>0</v>
      </c>
      <c r="E73" s="1795">
        <v>0</v>
      </c>
      <c r="F73" s="1795">
        <v>0</v>
      </c>
      <c r="G73" s="1795">
        <v>1</v>
      </c>
    </row>
    <row r="74" spans="1:7" ht="13.5" customHeight="1" x14ac:dyDescent="0.2">
      <c r="A74" s="143" t="s">
        <v>1081</v>
      </c>
      <c r="B74" s="1792">
        <f t="shared" si="12"/>
        <v>1</v>
      </c>
      <c r="C74" s="1795">
        <v>1</v>
      </c>
      <c r="D74" s="1795">
        <v>0</v>
      </c>
      <c r="E74" s="1795">
        <v>0</v>
      </c>
      <c r="F74" s="1795">
        <v>0</v>
      </c>
      <c r="G74" s="1795">
        <v>0</v>
      </c>
    </row>
    <row r="75" spans="1:7" ht="13.5" customHeight="1" x14ac:dyDescent="0.2">
      <c r="A75" s="143" t="s">
        <v>3776</v>
      </c>
      <c r="B75" s="1792">
        <f t="shared" si="12"/>
        <v>9</v>
      </c>
      <c r="C75" s="1795">
        <v>1</v>
      </c>
      <c r="D75" s="1795">
        <v>0</v>
      </c>
      <c r="E75" s="1795">
        <v>0</v>
      </c>
      <c r="F75" s="1795">
        <v>0</v>
      </c>
      <c r="G75" s="1795">
        <v>8</v>
      </c>
    </row>
    <row r="76" spans="1:7" ht="13.5" customHeight="1" x14ac:dyDescent="0.2">
      <c r="A76" s="767" t="s">
        <v>16</v>
      </c>
      <c r="B76" s="1792">
        <f t="shared" si="12"/>
        <v>0</v>
      </c>
      <c r="C76" s="1792">
        <f t="shared" ref="C76:G76" si="13">SUM(C77:C78)</f>
        <v>0</v>
      </c>
      <c r="D76" s="1792">
        <f t="shared" si="13"/>
        <v>0</v>
      </c>
      <c r="E76" s="1792">
        <f t="shared" si="13"/>
        <v>0</v>
      </c>
      <c r="F76" s="1792">
        <f t="shared" si="13"/>
        <v>0</v>
      </c>
      <c r="G76" s="1792">
        <f t="shared" si="13"/>
        <v>0</v>
      </c>
    </row>
    <row r="77" spans="1:7" ht="13.5" customHeight="1" x14ac:dyDescent="0.2">
      <c r="A77" s="143" t="s">
        <v>1005</v>
      </c>
      <c r="B77" s="1792">
        <f t="shared" si="12"/>
        <v>0</v>
      </c>
      <c r="C77" s="1795">
        <v>0</v>
      </c>
      <c r="D77" s="1795">
        <v>0</v>
      </c>
      <c r="E77" s="1795">
        <v>0</v>
      </c>
      <c r="F77" s="1795">
        <v>0</v>
      </c>
      <c r="G77" s="1795">
        <v>0</v>
      </c>
    </row>
    <row r="78" spans="1:7" ht="13.5" customHeight="1" x14ac:dyDescent="0.2">
      <c r="A78" s="143" t="s">
        <v>3776</v>
      </c>
      <c r="B78" s="1792">
        <f t="shared" si="12"/>
        <v>0</v>
      </c>
      <c r="C78" s="1795">
        <v>0</v>
      </c>
      <c r="D78" s="1795">
        <v>0</v>
      </c>
      <c r="E78" s="1795">
        <v>0</v>
      </c>
      <c r="F78" s="1795">
        <v>0</v>
      </c>
      <c r="G78" s="1795">
        <v>0</v>
      </c>
    </row>
    <row r="79" spans="1:7" ht="13.5" customHeight="1" x14ac:dyDescent="0.2">
      <c r="A79" s="767" t="s">
        <v>17</v>
      </c>
      <c r="B79" s="1792">
        <f t="shared" si="12"/>
        <v>2</v>
      </c>
      <c r="C79" s="1792">
        <f t="shared" ref="C79:G79" si="14">SUM(C80:C81)</f>
        <v>0</v>
      </c>
      <c r="D79" s="1792">
        <f t="shared" si="14"/>
        <v>0</v>
      </c>
      <c r="E79" s="1792">
        <f t="shared" si="14"/>
        <v>0</v>
      </c>
      <c r="F79" s="1792">
        <f t="shared" si="14"/>
        <v>0</v>
      </c>
      <c r="G79" s="1792">
        <f t="shared" si="14"/>
        <v>2</v>
      </c>
    </row>
    <row r="80" spans="1:7" ht="13.5" customHeight="1" x14ac:dyDescent="0.2">
      <c r="A80" s="143" t="s">
        <v>1082</v>
      </c>
      <c r="B80" s="1792">
        <f t="shared" si="12"/>
        <v>1</v>
      </c>
      <c r="C80" s="1795">
        <v>0</v>
      </c>
      <c r="D80" s="1795">
        <v>0</v>
      </c>
      <c r="E80" s="1795">
        <v>0</v>
      </c>
      <c r="F80" s="1795">
        <v>0</v>
      </c>
      <c r="G80" s="1795">
        <v>1</v>
      </c>
    </row>
    <row r="81" spans="1:7" ht="13.5" customHeight="1" x14ac:dyDescent="0.2">
      <c r="A81" s="143" t="s">
        <v>3776</v>
      </c>
      <c r="B81" s="1792">
        <f t="shared" si="12"/>
        <v>1</v>
      </c>
      <c r="C81" s="1795">
        <v>0</v>
      </c>
      <c r="D81" s="1795">
        <v>0</v>
      </c>
      <c r="E81" s="1795">
        <v>0</v>
      </c>
      <c r="F81" s="1795">
        <v>0</v>
      </c>
      <c r="G81" s="1795">
        <v>1</v>
      </c>
    </row>
    <row r="82" spans="1:7" ht="13.5" customHeight="1" x14ac:dyDescent="0.2">
      <c r="A82" s="767" t="s">
        <v>18</v>
      </c>
      <c r="B82" s="1792">
        <f t="shared" si="12"/>
        <v>3</v>
      </c>
      <c r="C82" s="1792">
        <f t="shared" ref="C82:G82" si="15">SUM(C83)</f>
        <v>0</v>
      </c>
      <c r="D82" s="1792">
        <f t="shared" si="15"/>
        <v>1</v>
      </c>
      <c r="E82" s="1792">
        <f t="shared" si="15"/>
        <v>0</v>
      </c>
      <c r="F82" s="1792">
        <f t="shared" si="15"/>
        <v>0</v>
      </c>
      <c r="G82" s="1792">
        <f t="shared" si="15"/>
        <v>2</v>
      </c>
    </row>
    <row r="83" spans="1:7" ht="13.5" customHeight="1" x14ac:dyDescent="0.2">
      <c r="A83" s="143" t="s">
        <v>3776</v>
      </c>
      <c r="B83" s="1792">
        <f t="shared" si="12"/>
        <v>3</v>
      </c>
      <c r="C83" s="1795">
        <v>0</v>
      </c>
      <c r="D83" s="1795">
        <v>1</v>
      </c>
      <c r="E83" s="1795">
        <v>0</v>
      </c>
      <c r="F83" s="1795">
        <v>0</v>
      </c>
      <c r="G83" s="1795">
        <v>2</v>
      </c>
    </row>
    <row r="84" spans="1:7" ht="13.5" customHeight="1" x14ac:dyDescent="0.2">
      <c r="A84" s="767" t="s">
        <v>19</v>
      </c>
      <c r="B84" s="1792">
        <f t="shared" si="12"/>
        <v>7</v>
      </c>
      <c r="C84" s="1792">
        <f t="shared" ref="C84:G84" si="16">SUM(C85:C88)</f>
        <v>1</v>
      </c>
      <c r="D84" s="1792">
        <f t="shared" si="16"/>
        <v>2</v>
      </c>
      <c r="E84" s="1792">
        <f t="shared" si="16"/>
        <v>0</v>
      </c>
      <c r="F84" s="1792">
        <f t="shared" si="16"/>
        <v>0</v>
      </c>
      <c r="G84" s="1792">
        <f t="shared" si="16"/>
        <v>4</v>
      </c>
    </row>
    <row r="85" spans="1:7" ht="13.5" customHeight="1" x14ac:dyDescent="0.2">
      <c r="A85" s="143" t="s">
        <v>1082</v>
      </c>
      <c r="B85" s="1792">
        <f t="shared" si="12"/>
        <v>2</v>
      </c>
      <c r="C85" s="1795">
        <v>1</v>
      </c>
      <c r="D85" s="1795">
        <v>0</v>
      </c>
      <c r="E85" s="1795">
        <v>0</v>
      </c>
      <c r="F85" s="1795">
        <v>0</v>
      </c>
      <c r="G85" s="1795">
        <v>1</v>
      </c>
    </row>
    <row r="86" spans="1:7" ht="13.5" customHeight="1" x14ac:dyDescent="0.2">
      <c r="A86" s="143" t="s">
        <v>1005</v>
      </c>
      <c r="B86" s="1792">
        <f t="shared" si="12"/>
        <v>2</v>
      </c>
      <c r="C86" s="1795">
        <v>0</v>
      </c>
      <c r="D86" s="1795">
        <v>0</v>
      </c>
      <c r="E86" s="1795">
        <v>0</v>
      </c>
      <c r="F86" s="1795">
        <v>0</v>
      </c>
      <c r="G86" s="1795">
        <v>2</v>
      </c>
    </row>
    <row r="87" spans="1:7" ht="13.5" customHeight="1" x14ac:dyDescent="0.2">
      <c r="A87" s="143" t="s">
        <v>1003</v>
      </c>
      <c r="B87" s="1792">
        <f t="shared" si="12"/>
        <v>1</v>
      </c>
      <c r="C87" s="1795">
        <v>0</v>
      </c>
      <c r="D87" s="1795">
        <v>1</v>
      </c>
      <c r="E87" s="1795">
        <v>0</v>
      </c>
      <c r="F87" s="1795">
        <v>0</v>
      </c>
      <c r="G87" s="1795">
        <v>0</v>
      </c>
    </row>
    <row r="88" spans="1:7" ht="13.5" customHeight="1" x14ac:dyDescent="0.2">
      <c r="A88" s="143" t="s">
        <v>3776</v>
      </c>
      <c r="B88" s="1792">
        <f t="shared" si="12"/>
        <v>2</v>
      </c>
      <c r="C88" s="1795">
        <v>0</v>
      </c>
      <c r="D88" s="1795">
        <v>1</v>
      </c>
      <c r="E88" s="1795">
        <v>0</v>
      </c>
      <c r="F88" s="1795">
        <v>0</v>
      </c>
      <c r="G88" s="1795">
        <v>1</v>
      </c>
    </row>
    <row r="89" spans="1:7" ht="9.75" customHeight="1" x14ac:dyDescent="0.2">
      <c r="A89" s="3626"/>
      <c r="B89" s="3626"/>
      <c r="C89" s="3626"/>
      <c r="D89" s="3626"/>
      <c r="E89" s="3626"/>
      <c r="F89" s="3626"/>
      <c r="G89" s="3626"/>
    </row>
    <row r="90" spans="1:7" ht="11.25" customHeight="1" x14ac:dyDescent="0.2">
      <c r="A90" s="2345" t="s">
        <v>3780</v>
      </c>
      <c r="B90" s="2345"/>
      <c r="C90" s="2345"/>
      <c r="D90" s="2345"/>
      <c r="E90" s="2345"/>
      <c r="F90" s="2345"/>
      <c r="G90" s="2345"/>
    </row>
    <row r="91" spans="1:7" ht="11.25" customHeight="1" x14ac:dyDescent="0.2">
      <c r="A91" s="2462" t="s">
        <v>3781</v>
      </c>
      <c r="B91" s="3030"/>
      <c r="C91" s="3030"/>
      <c r="D91" s="3030"/>
      <c r="E91" s="3030"/>
      <c r="F91" s="3030"/>
      <c r="G91" s="3030"/>
    </row>
    <row r="92" spans="1:7" x14ac:dyDescent="0.2">
      <c r="A92" s="3371" t="s">
        <v>20</v>
      </c>
      <c r="B92" s="3625"/>
      <c r="C92" s="3625"/>
      <c r="D92" s="3625"/>
      <c r="E92" s="3625"/>
      <c r="F92" s="3625"/>
      <c r="G92" s="3625"/>
    </row>
    <row r="93" spans="1:7" x14ac:dyDescent="0.2">
      <c r="A93" s="2462" t="s">
        <v>1075</v>
      </c>
      <c r="B93" s="3342"/>
      <c r="C93" s="3342"/>
      <c r="D93" s="3342"/>
      <c r="E93" s="3342"/>
      <c r="F93" s="3342"/>
      <c r="G93" s="3342"/>
    </row>
    <row r="94" spans="1:7" ht="16.149999999999999" customHeight="1" x14ac:dyDescent="0.2"/>
  </sheetData>
  <mergeCells count="10">
    <mergeCell ref="A90:G90"/>
    <mergeCell ref="A91:G91"/>
    <mergeCell ref="A92:G92"/>
    <mergeCell ref="A93:G93"/>
    <mergeCell ref="A2:G2"/>
    <mergeCell ref="A3:G3"/>
    <mergeCell ref="A4:A5"/>
    <mergeCell ref="B4:B5"/>
    <mergeCell ref="C4:G4"/>
    <mergeCell ref="A89:G89"/>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5"/>
  <dimension ref="A2:G25"/>
  <sheetViews>
    <sheetView workbookViewId="0">
      <selection activeCell="A2" sqref="A2:L2"/>
    </sheetView>
  </sheetViews>
  <sheetFormatPr baseColWidth="10" defaultColWidth="9.140625" defaultRowHeight="10.5" x14ac:dyDescent="0.15"/>
  <cols>
    <col min="1" max="1" width="18.5703125" style="167" customWidth="1"/>
    <col min="2" max="2" width="13.42578125" style="167" customWidth="1"/>
    <col min="3" max="3" width="16.140625" style="167" customWidth="1"/>
    <col min="4" max="4" width="16.28515625" style="167" customWidth="1"/>
    <col min="5" max="5" width="16.7109375" style="167" customWidth="1"/>
    <col min="6" max="6" width="16.5703125" style="167" customWidth="1"/>
    <col min="7" max="7" width="16" style="167" customWidth="1"/>
    <col min="8" max="16384" width="9.140625" style="167"/>
  </cols>
  <sheetData>
    <row r="2" spans="1:7" ht="21.75" customHeight="1" x14ac:dyDescent="0.15">
      <c r="A2" s="2694" t="s">
        <v>4232</v>
      </c>
      <c r="B2" s="3030"/>
      <c r="C2" s="3030"/>
      <c r="D2" s="3030"/>
      <c r="E2" s="3030"/>
      <c r="F2" s="3030"/>
      <c r="G2" s="3030"/>
    </row>
    <row r="3" spans="1:7" ht="11.25" customHeight="1" x14ac:dyDescent="0.15">
      <c r="A3" s="3317"/>
      <c r="B3" s="2357"/>
      <c r="C3" s="2357"/>
      <c r="D3" s="2357"/>
      <c r="E3" s="2357"/>
      <c r="F3" s="2357"/>
      <c r="G3" s="2357"/>
    </row>
    <row r="4" spans="1:7" x14ac:dyDescent="0.15">
      <c r="A4" s="3377" t="s">
        <v>3782</v>
      </c>
      <c r="B4" s="2351" t="s">
        <v>69</v>
      </c>
      <c r="C4" s="2374" t="s">
        <v>3783</v>
      </c>
      <c r="D4" s="2375"/>
      <c r="E4" s="2375"/>
      <c r="F4" s="2375"/>
      <c r="G4" s="2375"/>
    </row>
    <row r="5" spans="1:7" ht="94.5" x14ac:dyDescent="0.15">
      <c r="A5" s="3377"/>
      <c r="B5" s="2351"/>
      <c r="C5" s="427" t="s">
        <v>3770</v>
      </c>
      <c r="D5" s="427" t="s">
        <v>3771</v>
      </c>
      <c r="E5" s="427" t="s">
        <v>3772</v>
      </c>
      <c r="F5" s="427" t="s">
        <v>3773</v>
      </c>
      <c r="G5" s="427" t="s">
        <v>3784</v>
      </c>
    </row>
    <row r="6" spans="1:7" x14ac:dyDescent="0.15">
      <c r="A6" s="146" t="s">
        <v>141</v>
      </c>
      <c r="B6" s="1797">
        <f t="shared" ref="B6:G6" si="0">SUM(B7:B21)</f>
        <v>909</v>
      </c>
      <c r="C6" s="1797">
        <f t="shared" si="0"/>
        <v>89</v>
      </c>
      <c r="D6" s="1797">
        <f t="shared" si="0"/>
        <v>133</v>
      </c>
      <c r="E6" s="1797">
        <f t="shared" si="0"/>
        <v>15</v>
      </c>
      <c r="F6" s="1797">
        <f t="shared" si="0"/>
        <v>25</v>
      </c>
      <c r="G6" s="1797">
        <f t="shared" si="0"/>
        <v>647</v>
      </c>
    </row>
    <row r="7" spans="1:7" x14ac:dyDescent="0.15">
      <c r="A7" s="476" t="s">
        <v>5</v>
      </c>
      <c r="B7" s="1798">
        <f t="shared" ref="B7:B21" si="1">SUM(C7:G7)</f>
        <v>65</v>
      </c>
      <c r="C7" s="1799">
        <v>1</v>
      </c>
      <c r="D7" s="1799">
        <v>10</v>
      </c>
      <c r="E7" s="1799">
        <v>4</v>
      </c>
      <c r="F7" s="1799">
        <v>1</v>
      </c>
      <c r="G7" s="1799">
        <v>49</v>
      </c>
    </row>
    <row r="8" spans="1:7" x14ac:dyDescent="0.15">
      <c r="A8" s="476" t="s">
        <v>6</v>
      </c>
      <c r="B8" s="1798">
        <f t="shared" si="1"/>
        <v>51</v>
      </c>
      <c r="C8" s="1799">
        <v>2</v>
      </c>
      <c r="D8" s="1799">
        <v>9</v>
      </c>
      <c r="E8" s="1799">
        <v>1</v>
      </c>
      <c r="F8" s="537">
        <v>0</v>
      </c>
      <c r="G8" s="1799">
        <v>39</v>
      </c>
    </row>
    <row r="9" spans="1:7" x14ac:dyDescent="0.15">
      <c r="A9" s="476" t="s">
        <v>7</v>
      </c>
      <c r="B9" s="1798">
        <f t="shared" si="1"/>
        <v>28</v>
      </c>
      <c r="C9" s="537">
        <v>0</v>
      </c>
      <c r="D9" s="1799">
        <v>13</v>
      </c>
      <c r="E9" s="537">
        <v>0</v>
      </c>
      <c r="F9" s="537">
        <v>0</v>
      </c>
      <c r="G9" s="1799">
        <v>15</v>
      </c>
    </row>
    <row r="10" spans="1:7" x14ac:dyDescent="0.15">
      <c r="A10" s="476" t="s">
        <v>8</v>
      </c>
      <c r="B10" s="1798">
        <f t="shared" si="1"/>
        <v>43</v>
      </c>
      <c r="C10" s="1799">
        <v>8</v>
      </c>
      <c r="D10" s="1799">
        <v>20</v>
      </c>
      <c r="E10" s="1799">
        <v>1</v>
      </c>
      <c r="F10" s="537">
        <v>0</v>
      </c>
      <c r="G10" s="1799">
        <v>14</v>
      </c>
    </row>
    <row r="11" spans="1:7" x14ac:dyDescent="0.15">
      <c r="A11" s="476" t="s">
        <v>9</v>
      </c>
      <c r="B11" s="1798">
        <f t="shared" si="1"/>
        <v>20</v>
      </c>
      <c r="C11" s="1799">
        <v>8</v>
      </c>
      <c r="D11" s="1799">
        <v>3</v>
      </c>
      <c r="E11" s="537">
        <v>0</v>
      </c>
      <c r="F11" s="537">
        <v>0</v>
      </c>
      <c r="G11" s="1799">
        <v>9</v>
      </c>
    </row>
    <row r="12" spans="1:7" x14ac:dyDescent="0.15">
      <c r="A12" s="476" t="s">
        <v>10</v>
      </c>
      <c r="B12" s="1798">
        <f t="shared" si="1"/>
        <v>128</v>
      </c>
      <c r="C12" s="1799">
        <v>14</v>
      </c>
      <c r="D12" s="1799">
        <v>18</v>
      </c>
      <c r="E12" s="1799">
        <v>1</v>
      </c>
      <c r="F12" s="1799">
        <v>2</v>
      </c>
      <c r="G12" s="1799">
        <v>93</v>
      </c>
    </row>
    <row r="13" spans="1:7" x14ac:dyDescent="0.15">
      <c r="A13" s="476" t="s">
        <v>11</v>
      </c>
      <c r="B13" s="1798">
        <f t="shared" si="1"/>
        <v>279</v>
      </c>
      <c r="C13" s="1799">
        <v>19</v>
      </c>
      <c r="D13" s="1799">
        <v>25</v>
      </c>
      <c r="E13" s="1799">
        <v>1</v>
      </c>
      <c r="F13" s="1799">
        <v>3</v>
      </c>
      <c r="G13" s="1799">
        <v>231</v>
      </c>
    </row>
    <row r="14" spans="1:7" x14ac:dyDescent="0.15">
      <c r="A14" s="476" t="s">
        <v>12</v>
      </c>
      <c r="B14" s="1798">
        <f t="shared" si="1"/>
        <v>23</v>
      </c>
      <c r="C14" s="1799">
        <v>2</v>
      </c>
      <c r="D14" s="1799">
        <v>3</v>
      </c>
      <c r="E14" s="537">
        <v>0</v>
      </c>
      <c r="F14" s="1799">
        <v>1</v>
      </c>
      <c r="G14" s="1799">
        <v>17</v>
      </c>
    </row>
    <row r="15" spans="1:7" x14ac:dyDescent="0.15">
      <c r="A15" s="476" t="s">
        <v>13</v>
      </c>
      <c r="B15" s="1798">
        <f t="shared" si="1"/>
        <v>65</v>
      </c>
      <c r="C15" s="1799">
        <v>7</v>
      </c>
      <c r="D15" s="1799">
        <v>9</v>
      </c>
      <c r="E15" s="1799">
        <v>3</v>
      </c>
      <c r="F15" s="1799">
        <v>3</v>
      </c>
      <c r="G15" s="1799">
        <v>43</v>
      </c>
    </row>
    <row r="16" spans="1:7" x14ac:dyDescent="0.15">
      <c r="A16" s="476" t="s">
        <v>14</v>
      </c>
      <c r="B16" s="1798">
        <f t="shared" si="1"/>
        <v>43</v>
      </c>
      <c r="C16" s="1799">
        <v>1</v>
      </c>
      <c r="D16" s="1799">
        <v>8</v>
      </c>
      <c r="E16" s="537">
        <v>0</v>
      </c>
      <c r="F16" s="537">
        <v>0</v>
      </c>
      <c r="G16" s="1799">
        <v>34</v>
      </c>
    </row>
    <row r="17" spans="1:7" x14ac:dyDescent="0.15">
      <c r="A17" s="476" t="s">
        <v>15</v>
      </c>
      <c r="B17" s="1798">
        <f t="shared" si="1"/>
        <v>35</v>
      </c>
      <c r="C17" s="1799">
        <v>8</v>
      </c>
      <c r="D17" s="1799">
        <v>1</v>
      </c>
      <c r="E17" s="537">
        <v>0</v>
      </c>
      <c r="F17" s="1799">
        <v>5</v>
      </c>
      <c r="G17" s="1799">
        <v>21</v>
      </c>
    </row>
    <row r="18" spans="1:7" x14ac:dyDescent="0.15">
      <c r="A18" s="476" t="s">
        <v>16</v>
      </c>
      <c r="B18" s="1798">
        <f t="shared" si="1"/>
        <v>39</v>
      </c>
      <c r="C18" s="1799">
        <v>10</v>
      </c>
      <c r="D18" s="1799">
        <v>2</v>
      </c>
      <c r="E18" s="1799">
        <v>3</v>
      </c>
      <c r="F18" s="1799">
        <v>10</v>
      </c>
      <c r="G18" s="1799">
        <v>14</v>
      </c>
    </row>
    <row r="19" spans="1:7" x14ac:dyDescent="0.15">
      <c r="A19" s="476" t="s">
        <v>17</v>
      </c>
      <c r="B19" s="1798">
        <f t="shared" si="1"/>
        <v>71</v>
      </c>
      <c r="C19" s="1799">
        <v>8</v>
      </c>
      <c r="D19" s="1799">
        <v>6</v>
      </c>
      <c r="E19" s="1799">
        <v>1</v>
      </c>
      <c r="F19" s="537">
        <v>0</v>
      </c>
      <c r="G19" s="1799">
        <v>56</v>
      </c>
    </row>
    <row r="20" spans="1:7" x14ac:dyDescent="0.15">
      <c r="A20" s="476" t="s">
        <v>18</v>
      </c>
      <c r="B20" s="1798">
        <f t="shared" si="1"/>
        <v>6</v>
      </c>
      <c r="C20" s="1799">
        <v>1</v>
      </c>
      <c r="D20" s="1799">
        <v>1</v>
      </c>
      <c r="E20" s="537">
        <v>0</v>
      </c>
      <c r="F20" s="537">
        <v>0</v>
      </c>
      <c r="G20" s="1799">
        <v>4</v>
      </c>
    </row>
    <row r="21" spans="1:7" x14ac:dyDescent="0.15">
      <c r="A21" s="476" t="s">
        <v>19</v>
      </c>
      <c r="B21" s="1798">
        <f t="shared" si="1"/>
        <v>13</v>
      </c>
      <c r="C21" s="537">
        <v>0</v>
      </c>
      <c r="D21" s="1799">
        <v>5</v>
      </c>
      <c r="E21" s="537">
        <v>0</v>
      </c>
      <c r="F21" s="537">
        <v>0</v>
      </c>
      <c r="G21" s="1799">
        <v>8</v>
      </c>
    </row>
    <row r="22" spans="1:7" ht="10.5" customHeight="1" x14ac:dyDescent="0.15">
      <c r="A22" s="2356"/>
      <c r="B22" s="2357"/>
      <c r="C22" s="2357"/>
      <c r="D22" s="2357"/>
      <c r="E22" s="2357"/>
      <c r="F22" s="2357"/>
      <c r="G22" s="2357"/>
    </row>
    <row r="23" spans="1:7" x14ac:dyDescent="0.15">
      <c r="A23" s="3375" t="s">
        <v>20</v>
      </c>
      <c r="B23" s="3628"/>
      <c r="C23" s="3628"/>
      <c r="D23" s="3628"/>
      <c r="E23" s="3628"/>
      <c r="F23" s="3628"/>
      <c r="G23" s="3628"/>
    </row>
    <row r="24" spans="1:7" x14ac:dyDescent="0.15">
      <c r="A24" s="2463" t="s">
        <v>1075</v>
      </c>
      <c r="B24" s="2408"/>
      <c r="C24" s="2408"/>
      <c r="D24" s="2408"/>
      <c r="E24" s="2408"/>
      <c r="F24" s="2408"/>
      <c r="G24" s="2408"/>
    </row>
    <row r="25" spans="1:7" ht="16.149999999999999" customHeight="1" x14ac:dyDescent="0.15"/>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6"/>
  <dimension ref="A2:G56"/>
  <sheetViews>
    <sheetView workbookViewId="0">
      <selection activeCell="A2" sqref="A2:L2"/>
    </sheetView>
  </sheetViews>
  <sheetFormatPr baseColWidth="10" defaultColWidth="9.140625" defaultRowHeight="10.5" x14ac:dyDescent="0.15"/>
  <cols>
    <col min="1" max="1" width="20"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4" t="s">
        <v>4233</v>
      </c>
      <c r="B2" s="3030"/>
      <c r="C2" s="3030"/>
      <c r="D2" s="3030"/>
      <c r="E2" s="3030"/>
      <c r="F2" s="3030"/>
      <c r="G2" s="3030"/>
    </row>
    <row r="3" spans="1:7" ht="10.5" customHeight="1" x14ac:dyDescent="0.15">
      <c r="A3" s="3626"/>
      <c r="B3" s="3341"/>
      <c r="C3" s="3341"/>
      <c r="D3" s="3341"/>
      <c r="E3" s="3341"/>
      <c r="F3" s="3341"/>
      <c r="G3" s="3341"/>
    </row>
    <row r="4" spans="1:7" ht="12.75" customHeight="1" x14ac:dyDescent="0.15">
      <c r="A4" s="3627" t="s">
        <v>1090</v>
      </c>
      <c r="B4" s="2785" t="s">
        <v>69</v>
      </c>
      <c r="C4" s="2786" t="s">
        <v>3783</v>
      </c>
      <c r="D4" s="3340"/>
      <c r="E4" s="3340"/>
      <c r="F4" s="3340"/>
      <c r="G4" s="3340"/>
    </row>
    <row r="5" spans="1:7" ht="94.5" x14ac:dyDescent="0.15">
      <c r="A5" s="3627"/>
      <c r="B5" s="2785"/>
      <c r="C5" s="1525" t="s">
        <v>3770</v>
      </c>
      <c r="D5" s="1525" t="s">
        <v>3771</v>
      </c>
      <c r="E5" s="1525" t="s">
        <v>3772</v>
      </c>
      <c r="F5" s="1525" t="s">
        <v>3773</v>
      </c>
      <c r="G5" s="1525" t="s">
        <v>3784</v>
      </c>
    </row>
    <row r="6" spans="1:7" x14ac:dyDescent="0.15">
      <c r="A6" s="767" t="s">
        <v>141</v>
      </c>
      <c r="B6" s="1792">
        <f>SUM(B7:B8)</f>
        <v>909</v>
      </c>
      <c r="C6" s="1792">
        <f t="shared" ref="C6:G6" si="0">SUM(C7:C8)</f>
        <v>89</v>
      </c>
      <c r="D6" s="1792">
        <f t="shared" si="0"/>
        <v>133</v>
      </c>
      <c r="E6" s="1792">
        <f t="shared" si="0"/>
        <v>15</v>
      </c>
      <c r="F6" s="1792">
        <f t="shared" si="0"/>
        <v>25</v>
      </c>
      <c r="G6" s="1792">
        <f t="shared" si="0"/>
        <v>647</v>
      </c>
    </row>
    <row r="7" spans="1:7" x14ac:dyDescent="0.15">
      <c r="A7" s="767" t="s">
        <v>966</v>
      </c>
      <c r="B7" s="1792">
        <f t="shared" ref="B7:G8" si="1">SUM(B10,B13,B16,B19,B22,B25,B28,B31,B34,B37,B40,B43,B46,B49,B52)</f>
        <v>674</v>
      </c>
      <c r="C7" s="1792">
        <f t="shared" si="1"/>
        <v>63</v>
      </c>
      <c r="D7" s="1792">
        <f t="shared" si="1"/>
        <v>91</v>
      </c>
      <c r="E7" s="1792">
        <f t="shared" si="1"/>
        <v>12</v>
      </c>
      <c r="F7" s="1792">
        <f t="shared" si="1"/>
        <v>19</v>
      </c>
      <c r="G7" s="1792">
        <f t="shared" si="1"/>
        <v>489</v>
      </c>
    </row>
    <row r="8" spans="1:7" x14ac:dyDescent="0.15">
      <c r="A8" s="767" t="s">
        <v>967</v>
      </c>
      <c r="B8" s="1792">
        <f t="shared" si="1"/>
        <v>235</v>
      </c>
      <c r="C8" s="1792">
        <f t="shared" si="1"/>
        <v>26</v>
      </c>
      <c r="D8" s="1792">
        <f t="shared" si="1"/>
        <v>42</v>
      </c>
      <c r="E8" s="1792">
        <f t="shared" si="1"/>
        <v>3</v>
      </c>
      <c r="F8" s="1792">
        <f t="shared" si="1"/>
        <v>6</v>
      </c>
      <c r="G8" s="1792">
        <f t="shared" si="1"/>
        <v>158</v>
      </c>
    </row>
    <row r="9" spans="1:7" x14ac:dyDescent="0.15">
      <c r="A9" s="767" t="s">
        <v>5</v>
      </c>
      <c r="B9" s="1792">
        <f>SUM(B10:B11)</f>
        <v>65</v>
      </c>
      <c r="C9" s="1792">
        <f t="shared" ref="C9:G9" si="2">SUM(C10:C11)</f>
        <v>1</v>
      </c>
      <c r="D9" s="1792">
        <f t="shared" si="2"/>
        <v>10</v>
      </c>
      <c r="E9" s="1792">
        <f t="shared" si="2"/>
        <v>4</v>
      </c>
      <c r="F9" s="1792">
        <f t="shared" si="2"/>
        <v>1</v>
      </c>
      <c r="G9" s="1792">
        <f t="shared" si="2"/>
        <v>49</v>
      </c>
    </row>
    <row r="10" spans="1:7" x14ac:dyDescent="0.15">
      <c r="A10" s="143" t="s">
        <v>966</v>
      </c>
      <c r="B10" s="1792">
        <f>SUM(C10:G10)</f>
        <v>26</v>
      </c>
      <c r="C10" s="1795">
        <v>0</v>
      </c>
      <c r="D10" s="1795">
        <v>4</v>
      </c>
      <c r="E10" s="1795">
        <v>2</v>
      </c>
      <c r="F10" s="1795">
        <v>0</v>
      </c>
      <c r="G10" s="1795">
        <v>20</v>
      </c>
    </row>
    <row r="11" spans="1:7" x14ac:dyDescent="0.15">
      <c r="A11" s="143" t="s">
        <v>967</v>
      </c>
      <c r="B11" s="1792">
        <f>SUM(C11:G11)</f>
        <v>39</v>
      </c>
      <c r="C11" s="1795">
        <v>1</v>
      </c>
      <c r="D11" s="1795">
        <v>6</v>
      </c>
      <c r="E11" s="1795">
        <v>2</v>
      </c>
      <c r="F11" s="1795">
        <v>1</v>
      </c>
      <c r="G11" s="1795">
        <v>29</v>
      </c>
    </row>
    <row r="12" spans="1:7" x14ac:dyDescent="0.15">
      <c r="A12" s="767" t="s">
        <v>6</v>
      </c>
      <c r="B12" s="1800">
        <f t="shared" ref="B12:G12" si="3">SUM(B13:B14)</f>
        <v>51</v>
      </c>
      <c r="C12" s="1800">
        <f t="shared" si="3"/>
        <v>2</v>
      </c>
      <c r="D12" s="1800">
        <f t="shared" si="3"/>
        <v>9</v>
      </c>
      <c r="E12" s="1800">
        <f t="shared" si="3"/>
        <v>1</v>
      </c>
      <c r="F12" s="1800">
        <f t="shared" si="3"/>
        <v>0</v>
      </c>
      <c r="G12" s="1800">
        <f t="shared" si="3"/>
        <v>39</v>
      </c>
    </row>
    <row r="13" spans="1:7" x14ac:dyDescent="0.15">
      <c r="A13" s="143" t="s">
        <v>966</v>
      </c>
      <c r="B13" s="1792">
        <f>SUM(C13:G13)</f>
        <v>30</v>
      </c>
      <c r="C13" s="1795">
        <v>1</v>
      </c>
      <c r="D13" s="1795">
        <v>3</v>
      </c>
      <c r="E13" s="1795">
        <v>1</v>
      </c>
      <c r="F13" s="1795">
        <v>0</v>
      </c>
      <c r="G13" s="1795">
        <v>25</v>
      </c>
    </row>
    <row r="14" spans="1:7" x14ac:dyDescent="0.15">
      <c r="A14" s="143" t="s">
        <v>967</v>
      </c>
      <c r="B14" s="1792">
        <f>SUM(C14:G14)</f>
        <v>21</v>
      </c>
      <c r="C14" s="1795">
        <v>1</v>
      </c>
      <c r="D14" s="1795">
        <v>6</v>
      </c>
      <c r="E14" s="1795">
        <v>0</v>
      </c>
      <c r="F14" s="1795">
        <v>0</v>
      </c>
      <c r="G14" s="1795">
        <v>14</v>
      </c>
    </row>
    <row r="15" spans="1:7" x14ac:dyDescent="0.15">
      <c r="A15" s="767" t="s">
        <v>7</v>
      </c>
      <c r="B15" s="1792">
        <f t="shared" ref="B15:G15" si="4">SUM(B16:B17)</f>
        <v>28</v>
      </c>
      <c r="C15" s="1792">
        <f t="shared" si="4"/>
        <v>0</v>
      </c>
      <c r="D15" s="1792">
        <f t="shared" si="4"/>
        <v>13</v>
      </c>
      <c r="E15" s="1792">
        <f t="shared" si="4"/>
        <v>0</v>
      </c>
      <c r="F15" s="1792">
        <f t="shared" si="4"/>
        <v>0</v>
      </c>
      <c r="G15" s="1792">
        <f t="shared" si="4"/>
        <v>15</v>
      </c>
    </row>
    <row r="16" spans="1:7" x14ac:dyDescent="0.15">
      <c r="A16" s="143" t="s">
        <v>966</v>
      </c>
      <c r="B16" s="1792">
        <f>SUM(C16:G16)</f>
        <v>20</v>
      </c>
      <c r="C16" s="1795">
        <v>0</v>
      </c>
      <c r="D16" s="1795">
        <v>7</v>
      </c>
      <c r="E16" s="1795">
        <v>0</v>
      </c>
      <c r="F16" s="1795">
        <v>0</v>
      </c>
      <c r="G16" s="1795">
        <v>13</v>
      </c>
    </row>
    <row r="17" spans="1:7" x14ac:dyDescent="0.15">
      <c r="A17" s="143" t="s">
        <v>967</v>
      </c>
      <c r="B17" s="1792">
        <f>SUM(C17:G17)</f>
        <v>8</v>
      </c>
      <c r="C17" s="1795">
        <v>0</v>
      </c>
      <c r="D17" s="1795">
        <v>6</v>
      </c>
      <c r="E17" s="1795">
        <v>0</v>
      </c>
      <c r="F17" s="1795">
        <v>0</v>
      </c>
      <c r="G17" s="1795">
        <v>2</v>
      </c>
    </row>
    <row r="18" spans="1:7" x14ac:dyDescent="0.15">
      <c r="A18" s="767" t="s">
        <v>8</v>
      </c>
      <c r="B18" s="1792">
        <f t="shared" ref="B18:G18" si="5">SUM(B19:B20)</f>
        <v>43</v>
      </c>
      <c r="C18" s="1792">
        <f t="shared" si="5"/>
        <v>8</v>
      </c>
      <c r="D18" s="1792">
        <f t="shared" si="5"/>
        <v>20</v>
      </c>
      <c r="E18" s="1792">
        <f t="shared" si="5"/>
        <v>1</v>
      </c>
      <c r="F18" s="1792">
        <f t="shared" si="5"/>
        <v>0</v>
      </c>
      <c r="G18" s="1792">
        <f t="shared" si="5"/>
        <v>14</v>
      </c>
    </row>
    <row r="19" spans="1:7" x14ac:dyDescent="0.15">
      <c r="A19" s="143" t="s">
        <v>966</v>
      </c>
      <c r="B19" s="1792">
        <f>SUM(C19:G19)</f>
        <v>35</v>
      </c>
      <c r="C19" s="1795">
        <v>7</v>
      </c>
      <c r="D19" s="1795">
        <v>13</v>
      </c>
      <c r="E19" s="1795">
        <v>1</v>
      </c>
      <c r="F19" s="1795">
        <v>0</v>
      </c>
      <c r="G19" s="1795">
        <v>14</v>
      </c>
    </row>
    <row r="20" spans="1:7" x14ac:dyDescent="0.15">
      <c r="A20" s="143" t="s">
        <v>967</v>
      </c>
      <c r="B20" s="1792">
        <f>SUM(C20:G20)</f>
        <v>8</v>
      </c>
      <c r="C20" s="1795">
        <v>1</v>
      </c>
      <c r="D20" s="1795">
        <v>7</v>
      </c>
      <c r="E20" s="1795">
        <v>0</v>
      </c>
      <c r="F20" s="1795">
        <v>0</v>
      </c>
      <c r="G20" s="1795">
        <v>0</v>
      </c>
    </row>
    <row r="21" spans="1:7" x14ac:dyDescent="0.15">
      <c r="A21" s="767" t="s">
        <v>9</v>
      </c>
      <c r="B21" s="1792">
        <f t="shared" ref="B21:G21" si="6">SUM(B22:B23)</f>
        <v>20</v>
      </c>
      <c r="C21" s="1792">
        <f t="shared" si="6"/>
        <v>8</v>
      </c>
      <c r="D21" s="1792">
        <f t="shared" si="6"/>
        <v>3</v>
      </c>
      <c r="E21" s="1792">
        <f t="shared" si="6"/>
        <v>0</v>
      </c>
      <c r="F21" s="1792">
        <f t="shared" si="6"/>
        <v>0</v>
      </c>
      <c r="G21" s="1792">
        <f t="shared" si="6"/>
        <v>9</v>
      </c>
    </row>
    <row r="22" spans="1:7" x14ac:dyDescent="0.15">
      <c r="A22" s="143" t="s">
        <v>966</v>
      </c>
      <c r="B22" s="1792">
        <f>SUM(C22:G22)</f>
        <v>16</v>
      </c>
      <c r="C22" s="1795">
        <v>7</v>
      </c>
      <c r="D22" s="1795">
        <v>2</v>
      </c>
      <c r="E22" s="1795">
        <v>0</v>
      </c>
      <c r="F22" s="1795">
        <v>0</v>
      </c>
      <c r="G22" s="1795">
        <v>7</v>
      </c>
    </row>
    <row r="23" spans="1:7" x14ac:dyDescent="0.15">
      <c r="A23" s="143" t="s">
        <v>967</v>
      </c>
      <c r="B23" s="1792">
        <f>SUM(C23:G23)</f>
        <v>4</v>
      </c>
      <c r="C23" s="1795">
        <v>1</v>
      </c>
      <c r="D23" s="1795">
        <v>1</v>
      </c>
      <c r="E23" s="1795">
        <v>0</v>
      </c>
      <c r="F23" s="1795">
        <v>0</v>
      </c>
      <c r="G23" s="1795">
        <v>2</v>
      </c>
    </row>
    <row r="24" spans="1:7" x14ac:dyDescent="0.15">
      <c r="A24" s="767" t="s">
        <v>10</v>
      </c>
      <c r="B24" s="1800">
        <f t="shared" ref="B24:G24" si="7">SUM(B25:B26)</f>
        <v>128</v>
      </c>
      <c r="C24" s="1800">
        <f t="shared" si="7"/>
        <v>14</v>
      </c>
      <c r="D24" s="1800">
        <f t="shared" si="7"/>
        <v>18</v>
      </c>
      <c r="E24" s="1800">
        <f t="shared" si="7"/>
        <v>1</v>
      </c>
      <c r="F24" s="1800">
        <f t="shared" si="7"/>
        <v>2</v>
      </c>
      <c r="G24" s="1800">
        <f t="shared" si="7"/>
        <v>93</v>
      </c>
    </row>
    <row r="25" spans="1:7" x14ac:dyDescent="0.15">
      <c r="A25" s="143" t="s">
        <v>966</v>
      </c>
      <c r="B25" s="1792">
        <f>SUM(C25:G25)</f>
        <v>101</v>
      </c>
      <c r="C25" s="1795">
        <v>9</v>
      </c>
      <c r="D25" s="1795">
        <v>12</v>
      </c>
      <c r="E25" s="1795">
        <v>1</v>
      </c>
      <c r="F25" s="1795">
        <v>2</v>
      </c>
      <c r="G25" s="1795">
        <v>77</v>
      </c>
    </row>
    <row r="26" spans="1:7" x14ac:dyDescent="0.15">
      <c r="A26" s="143" t="s">
        <v>967</v>
      </c>
      <c r="B26" s="1792">
        <f>SUM(C26:G26)</f>
        <v>27</v>
      </c>
      <c r="C26" s="1795">
        <v>5</v>
      </c>
      <c r="D26" s="1795">
        <v>6</v>
      </c>
      <c r="E26" s="1795">
        <v>0</v>
      </c>
      <c r="F26" s="1795">
        <v>0</v>
      </c>
      <c r="G26" s="1795">
        <v>16</v>
      </c>
    </row>
    <row r="27" spans="1:7" x14ac:dyDescent="0.15">
      <c r="A27" s="767" t="s">
        <v>11</v>
      </c>
      <c r="B27" s="1800">
        <f t="shared" ref="B27:G27" si="8">SUM(B28:B29)</f>
        <v>279</v>
      </c>
      <c r="C27" s="1800">
        <f t="shared" si="8"/>
        <v>19</v>
      </c>
      <c r="D27" s="1800">
        <f t="shared" si="8"/>
        <v>25</v>
      </c>
      <c r="E27" s="1800">
        <f t="shared" si="8"/>
        <v>1</v>
      </c>
      <c r="F27" s="1800">
        <f t="shared" si="8"/>
        <v>3</v>
      </c>
      <c r="G27" s="1800">
        <f t="shared" si="8"/>
        <v>231</v>
      </c>
    </row>
    <row r="28" spans="1:7" x14ac:dyDescent="0.15">
      <c r="A28" s="143" t="s">
        <v>966</v>
      </c>
      <c r="B28" s="1792">
        <f>SUM(C28:G28)</f>
        <v>215</v>
      </c>
      <c r="C28" s="1795">
        <v>10</v>
      </c>
      <c r="D28" s="1795">
        <v>21</v>
      </c>
      <c r="E28" s="1795">
        <v>1</v>
      </c>
      <c r="F28" s="1795">
        <v>2</v>
      </c>
      <c r="G28" s="1795">
        <v>181</v>
      </c>
    </row>
    <row r="29" spans="1:7" x14ac:dyDescent="0.15">
      <c r="A29" s="143" t="s">
        <v>967</v>
      </c>
      <c r="B29" s="1792">
        <f>SUM(C29:G29)</f>
        <v>64</v>
      </c>
      <c r="C29" s="1795">
        <v>9</v>
      </c>
      <c r="D29" s="1795">
        <v>4</v>
      </c>
      <c r="E29" s="1795">
        <v>0</v>
      </c>
      <c r="F29" s="1795">
        <v>1</v>
      </c>
      <c r="G29" s="1795">
        <v>50</v>
      </c>
    </row>
    <row r="30" spans="1:7" x14ac:dyDescent="0.15">
      <c r="A30" s="136" t="s">
        <v>12</v>
      </c>
      <c r="B30" s="1792">
        <f t="shared" ref="B30:G30" si="9">SUM(B31:B32)</f>
        <v>23</v>
      </c>
      <c r="C30" s="1792">
        <f t="shared" si="9"/>
        <v>2</v>
      </c>
      <c r="D30" s="1792">
        <f t="shared" si="9"/>
        <v>3</v>
      </c>
      <c r="E30" s="1792">
        <f t="shared" si="9"/>
        <v>0</v>
      </c>
      <c r="F30" s="1792">
        <f t="shared" si="9"/>
        <v>1</v>
      </c>
      <c r="G30" s="1792">
        <f t="shared" si="9"/>
        <v>17</v>
      </c>
    </row>
    <row r="31" spans="1:7" x14ac:dyDescent="0.15">
      <c r="A31" s="143" t="s">
        <v>966</v>
      </c>
      <c r="B31" s="1792">
        <f>SUM(C31:G31)</f>
        <v>20</v>
      </c>
      <c r="C31" s="1795">
        <v>2</v>
      </c>
      <c r="D31" s="1795">
        <v>2</v>
      </c>
      <c r="E31" s="1795">
        <v>0</v>
      </c>
      <c r="F31" s="1795">
        <v>1</v>
      </c>
      <c r="G31" s="1795">
        <v>15</v>
      </c>
    </row>
    <row r="32" spans="1:7" x14ac:dyDescent="0.15">
      <c r="A32" s="143" t="s">
        <v>967</v>
      </c>
      <c r="B32" s="1792">
        <f>SUM(C32:G32)</f>
        <v>3</v>
      </c>
      <c r="C32" s="1795">
        <v>0</v>
      </c>
      <c r="D32" s="1795">
        <v>1</v>
      </c>
      <c r="E32" s="1795">
        <v>0</v>
      </c>
      <c r="F32" s="1795">
        <v>0</v>
      </c>
      <c r="G32" s="1795">
        <v>2</v>
      </c>
    </row>
    <row r="33" spans="1:7" x14ac:dyDescent="0.15">
      <c r="A33" s="767" t="s">
        <v>13</v>
      </c>
      <c r="B33" s="1800">
        <f t="shared" ref="B33:G33" si="10">SUM(B34:B35)</f>
        <v>65</v>
      </c>
      <c r="C33" s="1800">
        <f t="shared" si="10"/>
        <v>7</v>
      </c>
      <c r="D33" s="1800">
        <f t="shared" si="10"/>
        <v>9</v>
      </c>
      <c r="E33" s="1800">
        <f t="shared" si="10"/>
        <v>3</v>
      </c>
      <c r="F33" s="1800">
        <f t="shared" si="10"/>
        <v>3</v>
      </c>
      <c r="G33" s="1800">
        <f t="shared" si="10"/>
        <v>43</v>
      </c>
    </row>
    <row r="34" spans="1:7" x14ac:dyDescent="0.15">
      <c r="A34" s="143" t="s">
        <v>966</v>
      </c>
      <c r="B34" s="1792">
        <f>SUM(C34:G34)</f>
        <v>39</v>
      </c>
      <c r="C34" s="1795">
        <v>3</v>
      </c>
      <c r="D34" s="1795">
        <v>7</v>
      </c>
      <c r="E34" s="1795">
        <v>2</v>
      </c>
      <c r="F34" s="1795">
        <v>1</v>
      </c>
      <c r="G34" s="1795">
        <v>26</v>
      </c>
    </row>
    <row r="35" spans="1:7" x14ac:dyDescent="0.15">
      <c r="A35" s="143" t="s">
        <v>967</v>
      </c>
      <c r="B35" s="1792">
        <f>SUM(C35:G35)</f>
        <v>26</v>
      </c>
      <c r="C35" s="1795">
        <v>4</v>
      </c>
      <c r="D35" s="1795">
        <v>2</v>
      </c>
      <c r="E35" s="1795">
        <v>1</v>
      </c>
      <c r="F35" s="1795">
        <v>2</v>
      </c>
      <c r="G35" s="1795">
        <v>17</v>
      </c>
    </row>
    <row r="36" spans="1:7" x14ac:dyDescent="0.15">
      <c r="A36" s="767" t="s">
        <v>14</v>
      </c>
      <c r="B36" s="1792">
        <f t="shared" ref="B36:G36" si="11">SUM(B37:B38)</f>
        <v>43</v>
      </c>
      <c r="C36" s="1792">
        <f t="shared" si="11"/>
        <v>1</v>
      </c>
      <c r="D36" s="1792">
        <f t="shared" si="11"/>
        <v>8</v>
      </c>
      <c r="E36" s="1792">
        <f t="shared" si="11"/>
        <v>0</v>
      </c>
      <c r="F36" s="1792">
        <f t="shared" si="11"/>
        <v>0</v>
      </c>
      <c r="G36" s="1792">
        <f t="shared" si="11"/>
        <v>34</v>
      </c>
    </row>
    <row r="37" spans="1:7" x14ac:dyDescent="0.15">
      <c r="A37" s="143" t="s">
        <v>966</v>
      </c>
      <c r="B37" s="1792">
        <f>SUM(C37:G37)</f>
        <v>38</v>
      </c>
      <c r="C37" s="1795">
        <v>1</v>
      </c>
      <c r="D37" s="1795">
        <v>8</v>
      </c>
      <c r="E37" s="1795">
        <v>0</v>
      </c>
      <c r="F37" s="1795">
        <v>0</v>
      </c>
      <c r="G37" s="1795">
        <v>29</v>
      </c>
    </row>
    <row r="38" spans="1:7" x14ac:dyDescent="0.15">
      <c r="A38" s="143" t="s">
        <v>967</v>
      </c>
      <c r="B38" s="1792">
        <f>SUM(C38:G38)</f>
        <v>5</v>
      </c>
      <c r="C38" s="1795">
        <v>0</v>
      </c>
      <c r="D38" s="1795">
        <v>0</v>
      </c>
      <c r="E38" s="1795">
        <v>0</v>
      </c>
      <c r="F38" s="1795">
        <v>0</v>
      </c>
      <c r="G38" s="1795">
        <v>5</v>
      </c>
    </row>
    <row r="39" spans="1:7" x14ac:dyDescent="0.15">
      <c r="A39" s="767" t="s">
        <v>15</v>
      </c>
      <c r="B39" s="1792">
        <f t="shared" ref="B39:G39" si="12">SUM(B40:B41)</f>
        <v>35</v>
      </c>
      <c r="C39" s="1792">
        <f t="shared" si="12"/>
        <v>8</v>
      </c>
      <c r="D39" s="1792">
        <f t="shared" si="12"/>
        <v>1</v>
      </c>
      <c r="E39" s="1792">
        <f t="shared" si="12"/>
        <v>0</v>
      </c>
      <c r="F39" s="1792">
        <f t="shared" si="12"/>
        <v>5</v>
      </c>
      <c r="G39" s="1792">
        <f t="shared" si="12"/>
        <v>21</v>
      </c>
    </row>
    <row r="40" spans="1:7" x14ac:dyDescent="0.15">
      <c r="A40" s="143" t="s">
        <v>966</v>
      </c>
      <c r="B40" s="1792">
        <f>SUM(C40:G40)</f>
        <v>32</v>
      </c>
      <c r="C40" s="1795">
        <v>7</v>
      </c>
      <c r="D40" s="1795">
        <v>1</v>
      </c>
      <c r="E40" s="1795">
        <v>0</v>
      </c>
      <c r="F40" s="1795">
        <v>5</v>
      </c>
      <c r="G40" s="1795">
        <v>19</v>
      </c>
    </row>
    <row r="41" spans="1:7" x14ac:dyDescent="0.15">
      <c r="A41" s="143" t="s">
        <v>967</v>
      </c>
      <c r="B41" s="1792">
        <f>SUM(C41:G41)</f>
        <v>3</v>
      </c>
      <c r="C41" s="1795">
        <v>1</v>
      </c>
      <c r="D41" s="1795">
        <v>0</v>
      </c>
      <c r="E41" s="1795">
        <v>0</v>
      </c>
      <c r="F41" s="1795">
        <v>0</v>
      </c>
      <c r="G41" s="1795">
        <v>2</v>
      </c>
    </row>
    <row r="42" spans="1:7" x14ac:dyDescent="0.15">
      <c r="A42" s="767" t="s">
        <v>16</v>
      </c>
      <c r="B42" s="1800">
        <f t="shared" ref="B42:G42" si="13">SUM(B43:B44)</f>
        <v>39</v>
      </c>
      <c r="C42" s="1800">
        <f t="shared" si="13"/>
        <v>10</v>
      </c>
      <c r="D42" s="1800">
        <f t="shared" si="13"/>
        <v>2</v>
      </c>
      <c r="E42" s="1800">
        <f t="shared" si="13"/>
        <v>3</v>
      </c>
      <c r="F42" s="1800">
        <f t="shared" si="13"/>
        <v>10</v>
      </c>
      <c r="G42" s="1800">
        <f t="shared" si="13"/>
        <v>14</v>
      </c>
    </row>
    <row r="43" spans="1:7" x14ac:dyDescent="0.15">
      <c r="A43" s="143" t="s">
        <v>966</v>
      </c>
      <c r="B43" s="1792">
        <f>SUM(C43:G43)</f>
        <v>29</v>
      </c>
      <c r="C43" s="1795">
        <v>8</v>
      </c>
      <c r="D43" s="1795">
        <v>2</v>
      </c>
      <c r="E43" s="1795">
        <v>3</v>
      </c>
      <c r="F43" s="1795">
        <v>8</v>
      </c>
      <c r="G43" s="1795">
        <v>8</v>
      </c>
    </row>
    <row r="44" spans="1:7" x14ac:dyDescent="0.15">
      <c r="A44" s="143" t="s">
        <v>967</v>
      </c>
      <c r="B44" s="1792">
        <f>SUM(C44:G44)</f>
        <v>10</v>
      </c>
      <c r="C44" s="1795">
        <v>2</v>
      </c>
      <c r="D44" s="1795">
        <v>0</v>
      </c>
      <c r="E44" s="1795">
        <v>0</v>
      </c>
      <c r="F44" s="1795">
        <v>2</v>
      </c>
      <c r="G44" s="1795">
        <v>6</v>
      </c>
    </row>
    <row r="45" spans="1:7" x14ac:dyDescent="0.15">
      <c r="A45" s="767" t="s">
        <v>17</v>
      </c>
      <c r="B45" s="1792">
        <f t="shared" ref="B45:G45" si="14">SUM(B46:B47)</f>
        <v>71</v>
      </c>
      <c r="C45" s="1792">
        <f t="shared" si="14"/>
        <v>8</v>
      </c>
      <c r="D45" s="1792">
        <f t="shared" si="14"/>
        <v>6</v>
      </c>
      <c r="E45" s="1792">
        <f t="shared" si="14"/>
        <v>1</v>
      </c>
      <c r="F45" s="1792">
        <f t="shared" si="14"/>
        <v>0</v>
      </c>
      <c r="G45" s="1792">
        <f t="shared" si="14"/>
        <v>56</v>
      </c>
    </row>
    <row r="46" spans="1:7" x14ac:dyDescent="0.15">
      <c r="A46" s="143" t="s">
        <v>966</v>
      </c>
      <c r="B46" s="1792">
        <f>SUM(C46:G46)</f>
        <v>62</v>
      </c>
      <c r="C46" s="1795">
        <v>7</v>
      </c>
      <c r="D46" s="1795">
        <v>6</v>
      </c>
      <c r="E46" s="1795">
        <v>1</v>
      </c>
      <c r="F46" s="1795">
        <v>0</v>
      </c>
      <c r="G46" s="1795">
        <v>48</v>
      </c>
    </row>
    <row r="47" spans="1:7" x14ac:dyDescent="0.15">
      <c r="A47" s="143" t="s">
        <v>967</v>
      </c>
      <c r="B47" s="1792">
        <f>SUM(C47:G47)</f>
        <v>9</v>
      </c>
      <c r="C47" s="1795">
        <v>1</v>
      </c>
      <c r="D47" s="1795">
        <v>0</v>
      </c>
      <c r="E47" s="1795">
        <v>0</v>
      </c>
      <c r="F47" s="1795">
        <v>0</v>
      </c>
      <c r="G47" s="1795">
        <v>8</v>
      </c>
    </row>
    <row r="48" spans="1:7" x14ac:dyDescent="0.15">
      <c r="A48" s="767" t="s">
        <v>18</v>
      </c>
      <c r="B48" s="1792">
        <f t="shared" ref="B48:G48" si="15">SUM(B49:B50)</f>
        <v>6</v>
      </c>
      <c r="C48" s="1792">
        <f t="shared" si="15"/>
        <v>1</v>
      </c>
      <c r="D48" s="1792">
        <f t="shared" si="15"/>
        <v>1</v>
      </c>
      <c r="E48" s="1792">
        <f t="shared" si="15"/>
        <v>0</v>
      </c>
      <c r="F48" s="1792">
        <f t="shared" si="15"/>
        <v>0</v>
      </c>
      <c r="G48" s="1792">
        <f t="shared" si="15"/>
        <v>4</v>
      </c>
    </row>
    <row r="49" spans="1:7" x14ac:dyDescent="0.15">
      <c r="A49" s="143" t="s">
        <v>966</v>
      </c>
      <c r="B49" s="1792">
        <f>SUM(C49:G49)</f>
        <v>4</v>
      </c>
      <c r="C49" s="1795">
        <v>1</v>
      </c>
      <c r="D49" s="1795">
        <v>1</v>
      </c>
      <c r="E49" s="1795">
        <v>0</v>
      </c>
      <c r="F49" s="1795">
        <v>0</v>
      </c>
      <c r="G49" s="1795">
        <v>2</v>
      </c>
    </row>
    <row r="50" spans="1:7" x14ac:dyDescent="0.15">
      <c r="A50" s="143" t="s">
        <v>967</v>
      </c>
      <c r="B50" s="1792">
        <f>SUM(C50:G50)</f>
        <v>2</v>
      </c>
      <c r="C50" s="1795">
        <v>0</v>
      </c>
      <c r="D50" s="1795">
        <v>0</v>
      </c>
      <c r="E50" s="1795">
        <v>0</v>
      </c>
      <c r="F50" s="1795">
        <v>0</v>
      </c>
      <c r="G50" s="1795">
        <v>2</v>
      </c>
    </row>
    <row r="51" spans="1:7" x14ac:dyDescent="0.15">
      <c r="A51" s="767" t="s">
        <v>19</v>
      </c>
      <c r="B51" s="1792">
        <f t="shared" ref="B51:G51" si="16">SUM(B52:B53)</f>
        <v>13</v>
      </c>
      <c r="C51" s="1792">
        <f t="shared" si="16"/>
        <v>0</v>
      </c>
      <c r="D51" s="1792">
        <f t="shared" si="16"/>
        <v>5</v>
      </c>
      <c r="E51" s="1792">
        <f t="shared" si="16"/>
        <v>0</v>
      </c>
      <c r="F51" s="1792">
        <f t="shared" si="16"/>
        <v>0</v>
      </c>
      <c r="G51" s="1792">
        <f t="shared" si="16"/>
        <v>8</v>
      </c>
    </row>
    <row r="52" spans="1:7" x14ac:dyDescent="0.15">
      <c r="A52" s="143" t="s">
        <v>966</v>
      </c>
      <c r="B52" s="1792">
        <f>SUM(C52:G52)</f>
        <v>7</v>
      </c>
      <c r="C52" s="1795">
        <v>0</v>
      </c>
      <c r="D52" s="1795">
        <v>2</v>
      </c>
      <c r="E52" s="1795">
        <v>0</v>
      </c>
      <c r="F52" s="1795">
        <v>0</v>
      </c>
      <c r="G52" s="1795">
        <v>5</v>
      </c>
    </row>
    <row r="53" spans="1:7" x14ac:dyDescent="0.15">
      <c r="A53" s="143" t="s">
        <v>967</v>
      </c>
      <c r="B53" s="1792">
        <f>SUM(C53:G53)</f>
        <v>6</v>
      </c>
      <c r="C53" s="1795">
        <v>0</v>
      </c>
      <c r="D53" s="1795">
        <v>3</v>
      </c>
      <c r="E53" s="1795">
        <v>0</v>
      </c>
      <c r="F53" s="1795">
        <v>0</v>
      </c>
      <c r="G53" s="1795">
        <v>3</v>
      </c>
    </row>
    <row r="54" spans="1:7" ht="11.25" customHeight="1" x14ac:dyDescent="0.15">
      <c r="A54" s="2645"/>
      <c r="B54" s="3341"/>
      <c r="C54" s="3341"/>
      <c r="D54" s="3341"/>
      <c r="E54" s="3341"/>
      <c r="F54" s="3341"/>
      <c r="G54" s="3341"/>
    </row>
    <row r="55" spans="1:7" ht="11.25" customHeight="1" x14ac:dyDescent="0.15">
      <c r="A55" s="3371" t="s">
        <v>20</v>
      </c>
      <c r="B55" s="3625"/>
      <c r="C55" s="3625"/>
      <c r="D55" s="3625"/>
      <c r="E55" s="3625"/>
      <c r="F55" s="3625"/>
      <c r="G55" s="3625"/>
    </row>
    <row r="56" spans="1:7" ht="11.25" customHeight="1" x14ac:dyDescent="0.15">
      <c r="A56" s="2462" t="s">
        <v>1075</v>
      </c>
      <c r="B56" s="3342"/>
      <c r="C56" s="3342"/>
      <c r="D56" s="3342"/>
      <c r="E56" s="3342"/>
      <c r="F56" s="3342"/>
      <c r="G56" s="3342"/>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7"/>
  <dimension ref="A2:G56"/>
  <sheetViews>
    <sheetView workbookViewId="0">
      <selection activeCell="K8" sqref="K8"/>
    </sheetView>
  </sheetViews>
  <sheetFormatPr baseColWidth="10" defaultColWidth="9.140625" defaultRowHeight="10.5" x14ac:dyDescent="0.15"/>
  <cols>
    <col min="1" max="1" width="25.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4" t="s">
        <v>4356</v>
      </c>
      <c r="B2" s="3030"/>
      <c r="C2" s="3030"/>
      <c r="D2" s="3030"/>
      <c r="E2" s="3030"/>
      <c r="F2" s="3030"/>
      <c r="G2" s="3030"/>
    </row>
    <row r="3" spans="1:7" ht="11.25" customHeight="1" x14ac:dyDescent="0.15">
      <c r="A3" s="3626"/>
      <c r="B3" s="3341"/>
      <c r="C3" s="3341"/>
      <c r="D3" s="3341"/>
      <c r="E3" s="3341"/>
      <c r="F3" s="3341"/>
      <c r="G3" s="3341"/>
    </row>
    <row r="4" spans="1:7" ht="12.75" customHeight="1" x14ac:dyDescent="0.15">
      <c r="A4" s="3627" t="s">
        <v>1098</v>
      </c>
      <c r="B4" s="2785" t="s">
        <v>69</v>
      </c>
      <c r="C4" s="2786" t="s">
        <v>3783</v>
      </c>
      <c r="D4" s="3340"/>
      <c r="E4" s="3340"/>
      <c r="F4" s="3340"/>
      <c r="G4" s="3340"/>
    </row>
    <row r="5" spans="1:7" ht="94.5" x14ac:dyDescent="0.15">
      <c r="A5" s="3627"/>
      <c r="B5" s="2785"/>
      <c r="C5" s="1525" t="s">
        <v>3770</v>
      </c>
      <c r="D5" s="1525" t="s">
        <v>3771</v>
      </c>
      <c r="E5" s="1525" t="s">
        <v>3772</v>
      </c>
      <c r="F5" s="1525" t="s">
        <v>3773</v>
      </c>
      <c r="G5" s="1525" t="s">
        <v>3784</v>
      </c>
    </row>
    <row r="6" spans="1:7" x14ac:dyDescent="0.15">
      <c r="A6" s="767" t="s">
        <v>141</v>
      </c>
      <c r="B6" s="1792">
        <f t="shared" ref="B6:G6" si="0">SUM(B7:B8)</f>
        <v>909</v>
      </c>
      <c r="C6" s="1792">
        <f t="shared" si="0"/>
        <v>89</v>
      </c>
      <c r="D6" s="1792">
        <f t="shared" si="0"/>
        <v>133</v>
      </c>
      <c r="E6" s="1792">
        <f t="shared" si="0"/>
        <v>15</v>
      </c>
      <c r="F6" s="1792">
        <f t="shared" si="0"/>
        <v>25</v>
      </c>
      <c r="G6" s="1792">
        <f t="shared" si="0"/>
        <v>647</v>
      </c>
    </row>
    <row r="7" spans="1:7" x14ac:dyDescent="0.15">
      <c r="A7" s="767" t="s">
        <v>952</v>
      </c>
      <c r="B7" s="1792">
        <f t="shared" ref="B7:G8" si="1">SUM(B10,B13,B16,B19,B22,B25,B28,B31,B34,B37,B40,B43,B46,B49,B52)</f>
        <v>824</v>
      </c>
      <c r="C7" s="1792">
        <f t="shared" si="1"/>
        <v>83</v>
      </c>
      <c r="D7" s="1792">
        <f t="shared" si="1"/>
        <v>117</v>
      </c>
      <c r="E7" s="1792">
        <f t="shared" si="1"/>
        <v>12</v>
      </c>
      <c r="F7" s="1792">
        <f t="shared" si="1"/>
        <v>24</v>
      </c>
      <c r="G7" s="1792">
        <f t="shared" si="1"/>
        <v>588</v>
      </c>
    </row>
    <row r="8" spans="1:7" x14ac:dyDescent="0.15">
      <c r="A8" s="767" t="s">
        <v>953</v>
      </c>
      <c r="B8" s="1792">
        <f t="shared" si="1"/>
        <v>85</v>
      </c>
      <c r="C8" s="1792">
        <f t="shared" si="1"/>
        <v>6</v>
      </c>
      <c r="D8" s="1792">
        <f t="shared" si="1"/>
        <v>16</v>
      </c>
      <c r="E8" s="1792">
        <f t="shared" si="1"/>
        <v>3</v>
      </c>
      <c r="F8" s="1792">
        <f t="shared" si="1"/>
        <v>1</v>
      </c>
      <c r="G8" s="1792">
        <f t="shared" si="1"/>
        <v>59</v>
      </c>
    </row>
    <row r="9" spans="1:7" x14ac:dyDescent="0.15">
      <c r="A9" s="767" t="s">
        <v>5</v>
      </c>
      <c r="B9" s="1792">
        <f t="shared" ref="B9:B14" si="2">SUM(C9:G9)</f>
        <v>65</v>
      </c>
      <c r="C9" s="1792">
        <f t="shared" ref="C9:G9" si="3">SUM(C10:C11)</f>
        <v>1</v>
      </c>
      <c r="D9" s="1792">
        <f t="shared" si="3"/>
        <v>10</v>
      </c>
      <c r="E9" s="1792">
        <f t="shared" si="3"/>
        <v>4</v>
      </c>
      <c r="F9" s="1792">
        <f t="shared" si="3"/>
        <v>1</v>
      </c>
      <c r="G9" s="1792">
        <f t="shared" si="3"/>
        <v>49</v>
      </c>
    </row>
    <row r="10" spans="1:7" x14ac:dyDescent="0.15">
      <c r="A10" s="143" t="s">
        <v>952</v>
      </c>
      <c r="B10" s="1792">
        <f t="shared" si="2"/>
        <v>34</v>
      </c>
      <c r="C10" s="1795">
        <v>1</v>
      </c>
      <c r="D10" s="1795">
        <v>4</v>
      </c>
      <c r="E10" s="1795">
        <v>2</v>
      </c>
      <c r="F10" s="1795">
        <v>0</v>
      </c>
      <c r="G10" s="1795">
        <v>27</v>
      </c>
    </row>
    <row r="11" spans="1:7" x14ac:dyDescent="0.15">
      <c r="A11" s="143" t="s">
        <v>953</v>
      </c>
      <c r="B11" s="1792">
        <f t="shared" si="2"/>
        <v>31</v>
      </c>
      <c r="C11" s="1795">
        <v>0</v>
      </c>
      <c r="D11" s="1795">
        <v>6</v>
      </c>
      <c r="E11" s="1795">
        <v>2</v>
      </c>
      <c r="F11" s="1795">
        <v>1</v>
      </c>
      <c r="G11" s="1795">
        <v>22</v>
      </c>
    </row>
    <row r="12" spans="1:7" x14ac:dyDescent="0.15">
      <c r="A12" s="767" t="s">
        <v>6</v>
      </c>
      <c r="B12" s="1792">
        <f t="shared" si="2"/>
        <v>51</v>
      </c>
      <c r="C12" s="1792">
        <f t="shared" ref="C12:G12" si="4">SUM(C13:C14)</f>
        <v>2</v>
      </c>
      <c r="D12" s="1792">
        <f t="shared" si="4"/>
        <v>9</v>
      </c>
      <c r="E12" s="1792">
        <f t="shared" si="4"/>
        <v>1</v>
      </c>
      <c r="F12" s="1792">
        <f t="shared" si="4"/>
        <v>0</v>
      </c>
      <c r="G12" s="1792">
        <f t="shared" si="4"/>
        <v>39</v>
      </c>
    </row>
    <row r="13" spans="1:7" x14ac:dyDescent="0.15">
      <c r="A13" s="143" t="s">
        <v>952</v>
      </c>
      <c r="B13" s="1792">
        <f t="shared" si="2"/>
        <v>37</v>
      </c>
      <c r="C13" s="1795">
        <v>1</v>
      </c>
      <c r="D13" s="1795">
        <v>8</v>
      </c>
      <c r="E13" s="1795">
        <v>0</v>
      </c>
      <c r="F13" s="1795">
        <v>0</v>
      </c>
      <c r="G13" s="1795">
        <v>28</v>
      </c>
    </row>
    <row r="14" spans="1:7" x14ac:dyDescent="0.15">
      <c r="A14" s="143" t="s">
        <v>953</v>
      </c>
      <c r="B14" s="1792">
        <f t="shared" si="2"/>
        <v>14</v>
      </c>
      <c r="C14" s="1795">
        <v>1</v>
      </c>
      <c r="D14" s="1795">
        <v>1</v>
      </c>
      <c r="E14" s="1795">
        <v>1</v>
      </c>
      <c r="F14" s="1795">
        <v>0</v>
      </c>
      <c r="G14" s="1795">
        <v>11</v>
      </c>
    </row>
    <row r="15" spans="1:7" x14ac:dyDescent="0.15">
      <c r="A15" s="767" t="s">
        <v>7</v>
      </c>
      <c r="B15" s="1792">
        <f t="shared" ref="B15:G15" si="5">SUM(B16:B17)</f>
        <v>28</v>
      </c>
      <c r="C15" s="1792">
        <f t="shared" si="5"/>
        <v>0</v>
      </c>
      <c r="D15" s="1792">
        <f t="shared" si="5"/>
        <v>13</v>
      </c>
      <c r="E15" s="1792">
        <f t="shared" si="5"/>
        <v>0</v>
      </c>
      <c r="F15" s="1792">
        <f t="shared" si="5"/>
        <v>0</v>
      </c>
      <c r="G15" s="1792">
        <f t="shared" si="5"/>
        <v>15</v>
      </c>
    </row>
    <row r="16" spans="1:7" x14ac:dyDescent="0.15">
      <c r="A16" s="143" t="s">
        <v>952</v>
      </c>
      <c r="B16" s="1792">
        <f t="shared" ref="B16:B35" si="6">SUM(C16:G16)</f>
        <v>24</v>
      </c>
      <c r="C16" s="1795">
        <v>0</v>
      </c>
      <c r="D16" s="1795">
        <v>10</v>
      </c>
      <c r="E16" s="1795">
        <v>0</v>
      </c>
      <c r="F16" s="1795">
        <v>0</v>
      </c>
      <c r="G16" s="1795">
        <v>14</v>
      </c>
    </row>
    <row r="17" spans="1:7" x14ac:dyDescent="0.15">
      <c r="A17" s="143" t="s">
        <v>953</v>
      </c>
      <c r="B17" s="1792">
        <f t="shared" si="6"/>
        <v>4</v>
      </c>
      <c r="C17" s="1795">
        <v>0</v>
      </c>
      <c r="D17" s="1795">
        <v>3</v>
      </c>
      <c r="E17" s="1795">
        <v>0</v>
      </c>
      <c r="F17" s="1795">
        <v>0</v>
      </c>
      <c r="G17" s="1795">
        <v>1</v>
      </c>
    </row>
    <row r="18" spans="1:7" x14ac:dyDescent="0.15">
      <c r="A18" s="767" t="s">
        <v>8</v>
      </c>
      <c r="B18" s="1792">
        <f t="shared" si="6"/>
        <v>43</v>
      </c>
      <c r="C18" s="1792">
        <f t="shared" ref="C18:G18" si="7">SUM(C19:C20)</f>
        <v>8</v>
      </c>
      <c r="D18" s="1792">
        <f t="shared" si="7"/>
        <v>20</v>
      </c>
      <c r="E18" s="1792">
        <f t="shared" si="7"/>
        <v>1</v>
      </c>
      <c r="F18" s="1792">
        <f t="shared" si="7"/>
        <v>0</v>
      </c>
      <c r="G18" s="1792">
        <f t="shared" si="7"/>
        <v>14</v>
      </c>
    </row>
    <row r="19" spans="1:7" x14ac:dyDescent="0.15">
      <c r="A19" s="143" t="s">
        <v>952</v>
      </c>
      <c r="B19" s="1792">
        <f t="shared" si="6"/>
        <v>38</v>
      </c>
      <c r="C19" s="1795">
        <v>8</v>
      </c>
      <c r="D19" s="1795">
        <v>15</v>
      </c>
      <c r="E19" s="1795">
        <v>1</v>
      </c>
      <c r="F19" s="1795">
        <v>0</v>
      </c>
      <c r="G19" s="1795">
        <v>14</v>
      </c>
    </row>
    <row r="20" spans="1:7" x14ac:dyDescent="0.15">
      <c r="A20" s="143" t="s">
        <v>953</v>
      </c>
      <c r="B20" s="1792">
        <f t="shared" si="6"/>
        <v>5</v>
      </c>
      <c r="C20" s="1795">
        <v>0</v>
      </c>
      <c r="D20" s="1795">
        <v>5</v>
      </c>
      <c r="E20" s="1795">
        <v>0</v>
      </c>
      <c r="F20" s="1795">
        <v>0</v>
      </c>
      <c r="G20" s="1795">
        <v>0</v>
      </c>
    </row>
    <row r="21" spans="1:7" x14ac:dyDescent="0.15">
      <c r="A21" s="767" t="s">
        <v>9</v>
      </c>
      <c r="B21" s="1792">
        <f t="shared" si="6"/>
        <v>20</v>
      </c>
      <c r="C21" s="1792">
        <f t="shared" ref="C21:G21" si="8">SUM(C22:C23)</f>
        <v>8</v>
      </c>
      <c r="D21" s="1792">
        <f t="shared" si="8"/>
        <v>3</v>
      </c>
      <c r="E21" s="1792">
        <f t="shared" si="8"/>
        <v>0</v>
      </c>
      <c r="F21" s="1792">
        <f t="shared" si="8"/>
        <v>0</v>
      </c>
      <c r="G21" s="1792">
        <f t="shared" si="8"/>
        <v>9</v>
      </c>
    </row>
    <row r="22" spans="1:7" x14ac:dyDescent="0.15">
      <c r="A22" s="143" t="s">
        <v>952</v>
      </c>
      <c r="B22" s="1792">
        <f t="shared" si="6"/>
        <v>20</v>
      </c>
      <c r="C22" s="1795">
        <v>8</v>
      </c>
      <c r="D22" s="1795">
        <v>3</v>
      </c>
      <c r="E22" s="1795">
        <v>0</v>
      </c>
      <c r="F22" s="1795">
        <v>0</v>
      </c>
      <c r="G22" s="1795">
        <v>9</v>
      </c>
    </row>
    <row r="23" spans="1:7" x14ac:dyDescent="0.15">
      <c r="A23" s="143" t="s">
        <v>953</v>
      </c>
      <c r="B23" s="1792">
        <f t="shared" si="6"/>
        <v>0</v>
      </c>
      <c r="C23" s="1795">
        <v>0</v>
      </c>
      <c r="D23" s="1795">
        <v>0</v>
      </c>
      <c r="E23" s="1795">
        <v>0</v>
      </c>
      <c r="F23" s="1795">
        <v>0</v>
      </c>
      <c r="G23" s="1795">
        <v>0</v>
      </c>
    </row>
    <row r="24" spans="1:7" x14ac:dyDescent="0.15">
      <c r="A24" s="767" t="s">
        <v>10</v>
      </c>
      <c r="B24" s="1792">
        <f t="shared" si="6"/>
        <v>128</v>
      </c>
      <c r="C24" s="1792">
        <f t="shared" ref="C24:G24" si="9">SUM(C25:C26)</f>
        <v>14</v>
      </c>
      <c r="D24" s="1792">
        <f t="shared" si="9"/>
        <v>18</v>
      </c>
      <c r="E24" s="1792">
        <f t="shared" si="9"/>
        <v>1</v>
      </c>
      <c r="F24" s="1792">
        <f t="shared" si="9"/>
        <v>2</v>
      </c>
      <c r="G24" s="1792">
        <f t="shared" si="9"/>
        <v>93</v>
      </c>
    </row>
    <row r="25" spans="1:7" x14ac:dyDescent="0.15">
      <c r="A25" s="143" t="s">
        <v>952</v>
      </c>
      <c r="B25" s="1792">
        <f t="shared" si="6"/>
        <v>127</v>
      </c>
      <c r="C25" s="1795">
        <v>14</v>
      </c>
      <c r="D25" s="1795">
        <v>18</v>
      </c>
      <c r="E25" s="1795">
        <v>1</v>
      </c>
      <c r="F25" s="1795">
        <v>2</v>
      </c>
      <c r="G25" s="1795">
        <v>92</v>
      </c>
    </row>
    <row r="26" spans="1:7" x14ac:dyDescent="0.15">
      <c r="A26" s="143" t="s">
        <v>953</v>
      </c>
      <c r="B26" s="1792">
        <f t="shared" si="6"/>
        <v>1</v>
      </c>
      <c r="C26" s="1795">
        <v>0</v>
      </c>
      <c r="D26" s="1795">
        <v>0</v>
      </c>
      <c r="E26" s="1795">
        <v>0</v>
      </c>
      <c r="F26" s="1795">
        <v>0</v>
      </c>
      <c r="G26" s="1795">
        <v>1</v>
      </c>
    </row>
    <row r="27" spans="1:7" x14ac:dyDescent="0.15">
      <c r="A27" s="767" t="s">
        <v>11</v>
      </c>
      <c r="B27" s="1792">
        <f t="shared" si="6"/>
        <v>279</v>
      </c>
      <c r="C27" s="1792">
        <f t="shared" ref="C27:G27" si="10">SUM(C28:C29)</f>
        <v>19</v>
      </c>
      <c r="D27" s="1792">
        <f t="shared" si="10"/>
        <v>25</v>
      </c>
      <c r="E27" s="1792">
        <f t="shared" si="10"/>
        <v>1</v>
      </c>
      <c r="F27" s="1792">
        <f t="shared" si="10"/>
        <v>3</v>
      </c>
      <c r="G27" s="1792">
        <f t="shared" si="10"/>
        <v>231</v>
      </c>
    </row>
    <row r="28" spans="1:7" x14ac:dyDescent="0.15">
      <c r="A28" s="143" t="s">
        <v>952</v>
      </c>
      <c r="B28" s="1792">
        <f t="shared" si="6"/>
        <v>251</v>
      </c>
      <c r="C28" s="1795">
        <v>15</v>
      </c>
      <c r="D28" s="1795">
        <v>24</v>
      </c>
      <c r="E28" s="1795">
        <v>1</v>
      </c>
      <c r="F28" s="1795">
        <v>3</v>
      </c>
      <c r="G28" s="1795">
        <v>208</v>
      </c>
    </row>
    <row r="29" spans="1:7" x14ac:dyDescent="0.15">
      <c r="A29" s="143" t="s">
        <v>953</v>
      </c>
      <c r="B29" s="1792">
        <f t="shared" si="6"/>
        <v>28</v>
      </c>
      <c r="C29" s="1795">
        <v>4</v>
      </c>
      <c r="D29" s="1795">
        <v>1</v>
      </c>
      <c r="E29" s="1795">
        <v>0</v>
      </c>
      <c r="F29" s="1795">
        <v>0</v>
      </c>
      <c r="G29" s="1795">
        <v>23</v>
      </c>
    </row>
    <row r="30" spans="1:7" x14ac:dyDescent="0.15">
      <c r="A30" s="767" t="s">
        <v>12</v>
      </c>
      <c r="B30" s="1792">
        <f t="shared" si="6"/>
        <v>23</v>
      </c>
      <c r="C30" s="1792">
        <f t="shared" ref="C30:G30" si="11">SUM(C31:C32)</f>
        <v>2</v>
      </c>
      <c r="D30" s="1792">
        <f t="shared" si="11"/>
        <v>3</v>
      </c>
      <c r="E30" s="1792">
        <f t="shared" si="11"/>
        <v>0</v>
      </c>
      <c r="F30" s="1792">
        <f t="shared" si="11"/>
        <v>1</v>
      </c>
      <c r="G30" s="1792">
        <f t="shared" si="11"/>
        <v>17</v>
      </c>
    </row>
    <row r="31" spans="1:7" x14ac:dyDescent="0.15">
      <c r="A31" s="143" t="s">
        <v>952</v>
      </c>
      <c r="B31" s="1792">
        <f t="shared" si="6"/>
        <v>22</v>
      </c>
      <c r="C31" s="1795">
        <v>2</v>
      </c>
      <c r="D31" s="1795">
        <v>3</v>
      </c>
      <c r="E31" s="1795">
        <v>0</v>
      </c>
      <c r="F31" s="1795">
        <v>1</v>
      </c>
      <c r="G31" s="1795">
        <v>16</v>
      </c>
    </row>
    <row r="32" spans="1:7" x14ac:dyDescent="0.15">
      <c r="A32" s="143" t="s">
        <v>953</v>
      </c>
      <c r="B32" s="1792">
        <f t="shared" si="6"/>
        <v>1</v>
      </c>
      <c r="C32" s="1795">
        <v>0</v>
      </c>
      <c r="D32" s="1795">
        <v>0</v>
      </c>
      <c r="E32" s="1795">
        <v>0</v>
      </c>
      <c r="F32" s="1795">
        <v>0</v>
      </c>
      <c r="G32" s="1795">
        <v>1</v>
      </c>
    </row>
    <row r="33" spans="1:7" x14ac:dyDescent="0.15">
      <c r="A33" s="767" t="s">
        <v>13</v>
      </c>
      <c r="B33" s="1792">
        <f t="shared" si="6"/>
        <v>65</v>
      </c>
      <c r="C33" s="1792">
        <f t="shared" ref="C33:G33" si="12">SUM(C34:C35)</f>
        <v>7</v>
      </c>
      <c r="D33" s="1792">
        <f t="shared" si="12"/>
        <v>9</v>
      </c>
      <c r="E33" s="1792">
        <f t="shared" si="12"/>
        <v>3</v>
      </c>
      <c r="F33" s="1792">
        <f t="shared" si="12"/>
        <v>3</v>
      </c>
      <c r="G33" s="1792">
        <f t="shared" si="12"/>
        <v>43</v>
      </c>
    </row>
    <row r="34" spans="1:7" x14ac:dyDescent="0.15">
      <c r="A34" s="143" t="s">
        <v>952</v>
      </c>
      <c r="B34" s="1792">
        <f t="shared" si="6"/>
        <v>65</v>
      </c>
      <c r="C34" s="1795">
        <v>7</v>
      </c>
      <c r="D34" s="1795">
        <v>9</v>
      </c>
      <c r="E34" s="1795">
        <v>3</v>
      </c>
      <c r="F34" s="1795">
        <v>3</v>
      </c>
      <c r="G34" s="1795">
        <v>43</v>
      </c>
    </row>
    <row r="35" spans="1:7" x14ac:dyDescent="0.15">
      <c r="A35" s="143" t="s">
        <v>953</v>
      </c>
      <c r="B35" s="1792">
        <f t="shared" si="6"/>
        <v>0</v>
      </c>
      <c r="C35" s="1795">
        <v>0</v>
      </c>
      <c r="D35" s="1795">
        <v>0</v>
      </c>
      <c r="E35" s="1795">
        <v>0</v>
      </c>
      <c r="F35" s="1795">
        <v>0</v>
      </c>
      <c r="G35" s="1795">
        <v>0</v>
      </c>
    </row>
    <row r="36" spans="1:7" x14ac:dyDescent="0.15">
      <c r="A36" s="767" t="s">
        <v>14</v>
      </c>
      <c r="B36" s="1792">
        <f t="shared" ref="B36:G36" si="13">SUM(B37:B38)</f>
        <v>43</v>
      </c>
      <c r="C36" s="1792">
        <f t="shared" si="13"/>
        <v>1</v>
      </c>
      <c r="D36" s="1792">
        <f t="shared" si="13"/>
        <v>8</v>
      </c>
      <c r="E36" s="1792">
        <f t="shared" si="13"/>
        <v>0</v>
      </c>
      <c r="F36" s="1792">
        <f t="shared" si="13"/>
        <v>0</v>
      </c>
      <c r="G36" s="1792">
        <f t="shared" si="13"/>
        <v>34</v>
      </c>
    </row>
    <row r="37" spans="1:7" x14ac:dyDescent="0.15">
      <c r="A37" s="143" t="s">
        <v>952</v>
      </c>
      <c r="B37" s="1792">
        <f t="shared" ref="B37:B53" si="14">SUM(C37:G37)</f>
        <v>43</v>
      </c>
      <c r="C37" s="1795">
        <v>1</v>
      </c>
      <c r="D37" s="1795">
        <v>8</v>
      </c>
      <c r="E37" s="1795">
        <v>0</v>
      </c>
      <c r="F37" s="1795">
        <v>0</v>
      </c>
      <c r="G37" s="1795">
        <v>34</v>
      </c>
    </row>
    <row r="38" spans="1:7" x14ac:dyDescent="0.15">
      <c r="A38" s="143" t="s">
        <v>953</v>
      </c>
      <c r="B38" s="1792">
        <f t="shared" si="14"/>
        <v>0</v>
      </c>
      <c r="C38" s="1795">
        <v>0</v>
      </c>
      <c r="D38" s="1795">
        <v>0</v>
      </c>
      <c r="E38" s="1795">
        <v>0</v>
      </c>
      <c r="F38" s="1795">
        <v>0</v>
      </c>
      <c r="G38" s="1795">
        <v>0</v>
      </c>
    </row>
    <row r="39" spans="1:7" x14ac:dyDescent="0.15">
      <c r="A39" s="767" t="s">
        <v>15</v>
      </c>
      <c r="B39" s="1792">
        <f t="shared" si="14"/>
        <v>35</v>
      </c>
      <c r="C39" s="1792">
        <f t="shared" ref="C39:G39" si="15">SUM(C40:C41)</f>
        <v>8</v>
      </c>
      <c r="D39" s="1792">
        <f t="shared" si="15"/>
        <v>1</v>
      </c>
      <c r="E39" s="1792">
        <f t="shared" si="15"/>
        <v>0</v>
      </c>
      <c r="F39" s="1792">
        <f t="shared" si="15"/>
        <v>5</v>
      </c>
      <c r="G39" s="1792">
        <f t="shared" si="15"/>
        <v>21</v>
      </c>
    </row>
    <row r="40" spans="1:7" x14ac:dyDescent="0.15">
      <c r="A40" s="143" t="s">
        <v>952</v>
      </c>
      <c r="B40" s="1792">
        <f t="shared" si="14"/>
        <v>34</v>
      </c>
      <c r="C40" s="1795">
        <v>7</v>
      </c>
      <c r="D40" s="1795">
        <v>1</v>
      </c>
      <c r="E40" s="1795">
        <v>0</v>
      </c>
      <c r="F40" s="1795">
        <v>5</v>
      </c>
      <c r="G40" s="1795">
        <v>21</v>
      </c>
    </row>
    <row r="41" spans="1:7" x14ac:dyDescent="0.15">
      <c r="A41" s="143" t="s">
        <v>953</v>
      </c>
      <c r="B41" s="1792">
        <f t="shared" si="14"/>
        <v>1</v>
      </c>
      <c r="C41" s="1795">
        <v>1</v>
      </c>
      <c r="D41" s="1795">
        <v>0</v>
      </c>
      <c r="E41" s="1795">
        <v>0</v>
      </c>
      <c r="F41" s="1795">
        <v>0</v>
      </c>
      <c r="G41" s="1795">
        <v>0</v>
      </c>
    </row>
    <row r="42" spans="1:7" x14ac:dyDescent="0.15">
      <c r="A42" s="767" t="s">
        <v>16</v>
      </c>
      <c r="B42" s="1792">
        <f t="shared" si="14"/>
        <v>39</v>
      </c>
      <c r="C42" s="1792">
        <f t="shared" ref="C42:G42" si="16">SUM(C43:C44)</f>
        <v>10</v>
      </c>
      <c r="D42" s="1792">
        <f t="shared" si="16"/>
        <v>2</v>
      </c>
      <c r="E42" s="1792">
        <f t="shared" si="16"/>
        <v>3</v>
      </c>
      <c r="F42" s="1792">
        <f t="shared" si="16"/>
        <v>10</v>
      </c>
      <c r="G42" s="1792">
        <f t="shared" si="16"/>
        <v>14</v>
      </c>
    </row>
    <row r="43" spans="1:7" x14ac:dyDescent="0.15">
      <c r="A43" s="143" t="s">
        <v>952</v>
      </c>
      <c r="B43" s="1792">
        <f t="shared" si="14"/>
        <v>39</v>
      </c>
      <c r="C43" s="1795">
        <v>10</v>
      </c>
      <c r="D43" s="1795">
        <v>2</v>
      </c>
      <c r="E43" s="1795">
        <v>3</v>
      </c>
      <c r="F43" s="1795">
        <v>10</v>
      </c>
      <c r="G43" s="1795">
        <v>14</v>
      </c>
    </row>
    <row r="44" spans="1:7" x14ac:dyDescent="0.15">
      <c r="A44" s="143" t="s">
        <v>953</v>
      </c>
      <c r="B44" s="1792">
        <f t="shared" si="14"/>
        <v>0</v>
      </c>
      <c r="C44" s="1795">
        <v>0</v>
      </c>
      <c r="D44" s="1795">
        <v>0</v>
      </c>
      <c r="E44" s="1795">
        <v>0</v>
      </c>
      <c r="F44" s="1795">
        <v>0</v>
      </c>
      <c r="G44" s="1795">
        <v>0</v>
      </c>
    </row>
    <row r="45" spans="1:7" x14ac:dyDescent="0.15">
      <c r="A45" s="767" t="s">
        <v>17</v>
      </c>
      <c r="B45" s="1792">
        <f t="shared" si="14"/>
        <v>71</v>
      </c>
      <c r="C45" s="1792">
        <f t="shared" ref="C45:G45" si="17">SUM(C46:C47)</f>
        <v>8</v>
      </c>
      <c r="D45" s="1792">
        <f t="shared" si="17"/>
        <v>6</v>
      </c>
      <c r="E45" s="1792">
        <f t="shared" si="17"/>
        <v>1</v>
      </c>
      <c r="F45" s="1792">
        <f t="shared" si="17"/>
        <v>0</v>
      </c>
      <c r="G45" s="1792">
        <f t="shared" si="17"/>
        <v>56</v>
      </c>
    </row>
    <row r="46" spans="1:7" x14ac:dyDescent="0.15">
      <c r="A46" s="143" t="s">
        <v>952</v>
      </c>
      <c r="B46" s="1792">
        <f t="shared" si="14"/>
        <v>71</v>
      </c>
      <c r="C46" s="1795">
        <v>8</v>
      </c>
      <c r="D46" s="1795">
        <v>6</v>
      </c>
      <c r="E46" s="1795">
        <v>1</v>
      </c>
      <c r="F46" s="1795">
        <v>0</v>
      </c>
      <c r="G46" s="1795">
        <v>56</v>
      </c>
    </row>
    <row r="47" spans="1:7" x14ac:dyDescent="0.15">
      <c r="A47" s="143" t="s">
        <v>953</v>
      </c>
      <c r="B47" s="1792">
        <f t="shared" si="14"/>
        <v>0</v>
      </c>
      <c r="C47" s="1795">
        <v>0</v>
      </c>
      <c r="D47" s="1795">
        <v>0</v>
      </c>
      <c r="E47" s="1795">
        <v>0</v>
      </c>
      <c r="F47" s="1795">
        <v>0</v>
      </c>
      <c r="G47" s="1795">
        <v>0</v>
      </c>
    </row>
    <row r="48" spans="1:7" x14ac:dyDescent="0.15">
      <c r="A48" s="767" t="s">
        <v>18</v>
      </c>
      <c r="B48" s="1792">
        <f t="shared" si="14"/>
        <v>6</v>
      </c>
      <c r="C48" s="1792">
        <f t="shared" ref="C48:G48" si="18">SUM(C49:C50)</f>
        <v>1</v>
      </c>
      <c r="D48" s="1792">
        <f t="shared" si="18"/>
        <v>1</v>
      </c>
      <c r="E48" s="1792">
        <f t="shared" si="18"/>
        <v>0</v>
      </c>
      <c r="F48" s="1792">
        <f t="shared" si="18"/>
        <v>0</v>
      </c>
      <c r="G48" s="1792">
        <f t="shared" si="18"/>
        <v>4</v>
      </c>
    </row>
    <row r="49" spans="1:7" x14ac:dyDescent="0.15">
      <c r="A49" s="143" t="s">
        <v>952</v>
      </c>
      <c r="B49" s="1792">
        <f t="shared" si="14"/>
        <v>6</v>
      </c>
      <c r="C49" s="1795">
        <v>1</v>
      </c>
      <c r="D49" s="1795">
        <v>1</v>
      </c>
      <c r="E49" s="1795">
        <v>0</v>
      </c>
      <c r="F49" s="1795">
        <v>0</v>
      </c>
      <c r="G49" s="1795">
        <v>4</v>
      </c>
    </row>
    <row r="50" spans="1:7" x14ac:dyDescent="0.15">
      <c r="A50" s="143" t="s">
        <v>953</v>
      </c>
      <c r="B50" s="1792">
        <f t="shared" si="14"/>
        <v>0</v>
      </c>
      <c r="C50" s="1795">
        <v>0</v>
      </c>
      <c r="D50" s="1795">
        <v>0</v>
      </c>
      <c r="E50" s="1795">
        <v>0</v>
      </c>
      <c r="F50" s="1795">
        <v>0</v>
      </c>
      <c r="G50" s="1795">
        <v>0</v>
      </c>
    </row>
    <row r="51" spans="1:7" x14ac:dyDescent="0.15">
      <c r="A51" s="767" t="s">
        <v>3503</v>
      </c>
      <c r="B51" s="1792">
        <f t="shared" si="14"/>
        <v>13</v>
      </c>
      <c r="C51" s="1792">
        <f t="shared" ref="C51:G51" si="19">SUM(C52:C53)</f>
        <v>0</v>
      </c>
      <c r="D51" s="1792">
        <f t="shared" si="19"/>
        <v>5</v>
      </c>
      <c r="E51" s="1792">
        <f t="shared" si="19"/>
        <v>0</v>
      </c>
      <c r="F51" s="1792">
        <f t="shared" si="19"/>
        <v>0</v>
      </c>
      <c r="G51" s="1792">
        <f t="shared" si="19"/>
        <v>8</v>
      </c>
    </row>
    <row r="52" spans="1:7" x14ac:dyDescent="0.15">
      <c r="A52" s="143" t="s">
        <v>952</v>
      </c>
      <c r="B52" s="1792">
        <f t="shared" si="14"/>
        <v>13</v>
      </c>
      <c r="C52" s="1795">
        <v>0</v>
      </c>
      <c r="D52" s="1795">
        <v>5</v>
      </c>
      <c r="E52" s="1795">
        <v>0</v>
      </c>
      <c r="F52" s="1795">
        <v>0</v>
      </c>
      <c r="G52" s="1795">
        <v>8</v>
      </c>
    </row>
    <row r="53" spans="1:7" x14ac:dyDescent="0.15">
      <c r="A53" s="143" t="s">
        <v>953</v>
      </c>
      <c r="B53" s="1792">
        <f t="shared" si="14"/>
        <v>0</v>
      </c>
      <c r="C53" s="1795">
        <v>0</v>
      </c>
      <c r="D53" s="1795">
        <v>0</v>
      </c>
      <c r="E53" s="1795">
        <v>0</v>
      </c>
      <c r="F53" s="1795">
        <v>0</v>
      </c>
      <c r="G53" s="1795">
        <v>0</v>
      </c>
    </row>
    <row r="54" spans="1:7" ht="10.5" customHeight="1" x14ac:dyDescent="0.15">
      <c r="A54" s="2645"/>
      <c r="B54" s="3341"/>
      <c r="C54" s="3341"/>
      <c r="D54" s="3341"/>
      <c r="E54" s="3341"/>
      <c r="F54" s="3341"/>
      <c r="G54" s="3341"/>
    </row>
    <row r="55" spans="1:7" ht="11.25" customHeight="1" x14ac:dyDescent="0.15">
      <c r="A55" s="3371" t="s">
        <v>20</v>
      </c>
      <c r="B55" s="3625"/>
      <c r="C55" s="3625"/>
      <c r="D55" s="3625"/>
      <c r="E55" s="3625"/>
      <c r="F55" s="3625"/>
      <c r="G55" s="3625"/>
    </row>
    <row r="56" spans="1:7" ht="11.25" customHeight="1" x14ac:dyDescent="0.15">
      <c r="A56" s="2462" t="s">
        <v>1075</v>
      </c>
      <c r="B56" s="3342"/>
      <c r="C56" s="3342"/>
      <c r="D56" s="3342"/>
      <c r="E56" s="3342"/>
      <c r="F56" s="3342"/>
      <c r="G56" s="3342"/>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8"/>
  <dimension ref="A2:G136"/>
  <sheetViews>
    <sheetView zoomScaleNormal="100" workbookViewId="0">
      <selection activeCell="A2" sqref="A2:L2"/>
    </sheetView>
  </sheetViews>
  <sheetFormatPr baseColWidth="10" defaultColWidth="9.140625" defaultRowHeight="10.5" x14ac:dyDescent="0.15"/>
  <cols>
    <col min="1" max="1" width="23.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4" t="s">
        <v>4234</v>
      </c>
      <c r="B2" s="3030"/>
      <c r="C2" s="3030"/>
      <c r="D2" s="3030"/>
      <c r="E2" s="3030"/>
      <c r="F2" s="3030"/>
      <c r="G2" s="3030"/>
    </row>
    <row r="3" spans="1:7" ht="10.5" customHeight="1" x14ac:dyDescent="0.15">
      <c r="A3" s="3626"/>
      <c r="B3" s="3341"/>
      <c r="C3" s="3341"/>
      <c r="D3" s="3341"/>
      <c r="E3" s="3341"/>
      <c r="F3" s="3341"/>
      <c r="G3" s="3341"/>
    </row>
    <row r="4" spans="1:7" ht="12.75" customHeight="1" x14ac:dyDescent="0.15">
      <c r="A4" s="3627" t="s">
        <v>3785</v>
      </c>
      <c r="B4" s="2785" t="s">
        <v>69</v>
      </c>
      <c r="C4" s="2786" t="s">
        <v>3783</v>
      </c>
      <c r="D4" s="3340"/>
      <c r="E4" s="3340"/>
      <c r="F4" s="3340"/>
      <c r="G4" s="3340"/>
    </row>
    <row r="5" spans="1:7" ht="94.5" x14ac:dyDescent="0.15">
      <c r="A5" s="3627"/>
      <c r="B5" s="2785"/>
      <c r="C5" s="1525" t="s">
        <v>3770</v>
      </c>
      <c r="D5" s="1525" t="s">
        <v>3771</v>
      </c>
      <c r="E5" s="1525" t="s">
        <v>3772</v>
      </c>
      <c r="F5" s="1525" t="s">
        <v>3773</v>
      </c>
      <c r="G5" s="1525" t="s">
        <v>3784</v>
      </c>
    </row>
    <row r="6" spans="1:7" x14ac:dyDescent="0.15">
      <c r="A6" s="767" t="s">
        <v>141</v>
      </c>
      <c r="B6" s="1792">
        <f t="shared" ref="B6:B69" si="0">SUM(C6:G6)</f>
        <v>909</v>
      </c>
      <c r="C6" s="1792">
        <f t="shared" ref="C6:G6" si="1">SUM(C7:C13)</f>
        <v>89</v>
      </c>
      <c r="D6" s="1792">
        <f t="shared" si="1"/>
        <v>133</v>
      </c>
      <c r="E6" s="1792">
        <f t="shared" si="1"/>
        <v>15</v>
      </c>
      <c r="F6" s="1792">
        <f t="shared" si="1"/>
        <v>25</v>
      </c>
      <c r="G6" s="1792">
        <f t="shared" si="1"/>
        <v>647</v>
      </c>
    </row>
    <row r="7" spans="1:7" x14ac:dyDescent="0.15">
      <c r="A7" s="767" t="s">
        <v>1091</v>
      </c>
      <c r="B7" s="1792">
        <f t="shared" si="0"/>
        <v>7</v>
      </c>
      <c r="C7" s="1792">
        <f t="shared" ref="C7:G13" si="2">SUM(C15,C23,C31,C39,C47,C55,C63,C71,C79,C87,C95,C103,C111,C119,C127)</f>
        <v>1</v>
      </c>
      <c r="D7" s="1792">
        <f t="shared" si="2"/>
        <v>1</v>
      </c>
      <c r="E7" s="1792">
        <f t="shared" si="2"/>
        <v>0</v>
      </c>
      <c r="F7" s="1792">
        <f t="shared" si="2"/>
        <v>0</v>
      </c>
      <c r="G7" s="1792">
        <f t="shared" si="2"/>
        <v>5</v>
      </c>
    </row>
    <row r="8" spans="1:7" x14ac:dyDescent="0.15">
      <c r="A8" s="767" t="s">
        <v>1092</v>
      </c>
      <c r="B8" s="1792">
        <f t="shared" si="0"/>
        <v>29</v>
      </c>
      <c r="C8" s="1792">
        <f t="shared" si="2"/>
        <v>0</v>
      </c>
      <c r="D8" s="1792">
        <f t="shared" si="2"/>
        <v>3</v>
      </c>
      <c r="E8" s="1792">
        <f t="shared" si="2"/>
        <v>0</v>
      </c>
      <c r="F8" s="1792">
        <f t="shared" si="2"/>
        <v>0</v>
      </c>
      <c r="G8" s="1792">
        <f t="shared" si="2"/>
        <v>26</v>
      </c>
    </row>
    <row r="9" spans="1:7" x14ac:dyDescent="0.15">
      <c r="A9" s="767" t="s">
        <v>1093</v>
      </c>
      <c r="B9" s="1792">
        <f t="shared" si="0"/>
        <v>60</v>
      </c>
      <c r="C9" s="1792">
        <f t="shared" si="2"/>
        <v>5</v>
      </c>
      <c r="D9" s="1792">
        <f t="shared" si="2"/>
        <v>9</v>
      </c>
      <c r="E9" s="1792">
        <f t="shared" si="2"/>
        <v>0</v>
      </c>
      <c r="F9" s="1792">
        <f t="shared" si="2"/>
        <v>2</v>
      </c>
      <c r="G9" s="1792">
        <f t="shared" si="2"/>
        <v>44</v>
      </c>
    </row>
    <row r="10" spans="1:7" x14ac:dyDescent="0.15">
      <c r="A10" s="767" t="s">
        <v>1094</v>
      </c>
      <c r="B10" s="1792">
        <f t="shared" si="0"/>
        <v>289</v>
      </c>
      <c r="C10" s="1792">
        <f t="shared" si="2"/>
        <v>27</v>
      </c>
      <c r="D10" s="1792">
        <f t="shared" si="2"/>
        <v>46</v>
      </c>
      <c r="E10" s="1792">
        <f t="shared" si="2"/>
        <v>4</v>
      </c>
      <c r="F10" s="1792">
        <f t="shared" si="2"/>
        <v>5</v>
      </c>
      <c r="G10" s="1792">
        <f t="shared" si="2"/>
        <v>207</v>
      </c>
    </row>
    <row r="11" spans="1:7" x14ac:dyDescent="0.15">
      <c r="A11" s="767" t="s">
        <v>1095</v>
      </c>
      <c r="B11" s="1792">
        <f t="shared" si="0"/>
        <v>263</v>
      </c>
      <c r="C11" s="1792">
        <f t="shared" si="2"/>
        <v>28</v>
      </c>
      <c r="D11" s="1792">
        <f t="shared" si="2"/>
        <v>37</v>
      </c>
      <c r="E11" s="1792">
        <f t="shared" si="2"/>
        <v>5</v>
      </c>
      <c r="F11" s="1792">
        <f t="shared" si="2"/>
        <v>8</v>
      </c>
      <c r="G11" s="1792">
        <f t="shared" si="2"/>
        <v>185</v>
      </c>
    </row>
    <row r="12" spans="1:7" x14ac:dyDescent="0.15">
      <c r="A12" s="767" t="s">
        <v>1096</v>
      </c>
      <c r="B12" s="1792">
        <f t="shared" si="0"/>
        <v>163</v>
      </c>
      <c r="C12" s="1792">
        <f t="shared" si="2"/>
        <v>23</v>
      </c>
      <c r="D12" s="1792">
        <f t="shared" si="2"/>
        <v>22</v>
      </c>
      <c r="E12" s="1792">
        <f t="shared" si="2"/>
        <v>3</v>
      </c>
      <c r="F12" s="1792">
        <f t="shared" si="2"/>
        <v>8</v>
      </c>
      <c r="G12" s="1792">
        <f t="shared" si="2"/>
        <v>107</v>
      </c>
    </row>
    <row r="13" spans="1:7" x14ac:dyDescent="0.15">
      <c r="A13" s="767" t="s">
        <v>1097</v>
      </c>
      <c r="B13" s="1792">
        <f t="shared" si="0"/>
        <v>98</v>
      </c>
      <c r="C13" s="1792">
        <f t="shared" si="2"/>
        <v>5</v>
      </c>
      <c r="D13" s="1792">
        <f t="shared" si="2"/>
        <v>15</v>
      </c>
      <c r="E13" s="1792">
        <f t="shared" si="2"/>
        <v>3</v>
      </c>
      <c r="F13" s="1792">
        <f t="shared" si="2"/>
        <v>2</v>
      </c>
      <c r="G13" s="1792">
        <f t="shared" si="2"/>
        <v>73</v>
      </c>
    </row>
    <row r="14" spans="1:7" x14ac:dyDescent="0.15">
      <c r="A14" s="767" t="s">
        <v>5</v>
      </c>
      <c r="B14" s="1792">
        <f t="shared" si="0"/>
        <v>65</v>
      </c>
      <c r="C14" s="1792">
        <f t="shared" ref="C14:G14" si="3">SUM(C15:C21)</f>
        <v>1</v>
      </c>
      <c r="D14" s="1792">
        <f t="shared" si="3"/>
        <v>10</v>
      </c>
      <c r="E14" s="1792">
        <f t="shared" si="3"/>
        <v>4</v>
      </c>
      <c r="F14" s="1792">
        <f t="shared" si="3"/>
        <v>1</v>
      </c>
      <c r="G14" s="1792">
        <f t="shared" si="3"/>
        <v>49</v>
      </c>
    </row>
    <row r="15" spans="1:7" x14ac:dyDescent="0.15">
      <c r="A15" s="143" t="s">
        <v>1091</v>
      </c>
      <c r="B15" s="1792">
        <f t="shared" si="0"/>
        <v>0</v>
      </c>
      <c r="C15" s="1795">
        <v>0</v>
      </c>
      <c r="D15" s="1795">
        <v>0</v>
      </c>
      <c r="E15" s="1795">
        <v>0</v>
      </c>
      <c r="F15" s="1795">
        <v>0</v>
      </c>
      <c r="G15" s="1795">
        <v>0</v>
      </c>
    </row>
    <row r="16" spans="1:7" x14ac:dyDescent="0.15">
      <c r="A16" s="143" t="s">
        <v>1092</v>
      </c>
      <c r="B16" s="1792">
        <f t="shared" si="0"/>
        <v>3</v>
      </c>
      <c r="C16" s="1795">
        <v>0</v>
      </c>
      <c r="D16" s="1795">
        <v>0</v>
      </c>
      <c r="E16" s="1795">
        <v>0</v>
      </c>
      <c r="F16" s="1795">
        <v>0</v>
      </c>
      <c r="G16" s="1795">
        <v>3</v>
      </c>
    </row>
    <row r="17" spans="1:7" x14ac:dyDescent="0.15">
      <c r="A17" s="143" t="s">
        <v>1093</v>
      </c>
      <c r="B17" s="1792">
        <f t="shared" si="0"/>
        <v>0</v>
      </c>
      <c r="C17" s="1795">
        <v>0</v>
      </c>
      <c r="D17" s="1795">
        <v>0</v>
      </c>
      <c r="E17" s="1795">
        <v>0</v>
      </c>
      <c r="F17" s="1795">
        <v>0</v>
      </c>
      <c r="G17" s="1795">
        <v>0</v>
      </c>
    </row>
    <row r="18" spans="1:7" x14ac:dyDescent="0.15">
      <c r="A18" s="143" t="s">
        <v>1094</v>
      </c>
      <c r="B18" s="1792">
        <f t="shared" si="0"/>
        <v>15</v>
      </c>
      <c r="C18" s="1795">
        <v>0</v>
      </c>
      <c r="D18" s="1795">
        <v>4</v>
      </c>
      <c r="E18" s="1795">
        <v>0</v>
      </c>
      <c r="F18" s="1795">
        <v>0</v>
      </c>
      <c r="G18" s="1795">
        <v>11</v>
      </c>
    </row>
    <row r="19" spans="1:7" x14ac:dyDescent="0.15">
      <c r="A19" s="143" t="s">
        <v>1095</v>
      </c>
      <c r="B19" s="1792">
        <f t="shared" si="0"/>
        <v>20</v>
      </c>
      <c r="C19" s="1795">
        <v>0</v>
      </c>
      <c r="D19" s="1795">
        <v>3</v>
      </c>
      <c r="E19" s="1795">
        <v>0</v>
      </c>
      <c r="F19" s="1795">
        <v>1</v>
      </c>
      <c r="G19" s="1795">
        <v>16</v>
      </c>
    </row>
    <row r="20" spans="1:7" x14ac:dyDescent="0.15">
      <c r="A20" s="143" t="s">
        <v>1096</v>
      </c>
      <c r="B20" s="1792">
        <f t="shared" si="0"/>
        <v>20</v>
      </c>
      <c r="C20" s="1795">
        <v>1</v>
      </c>
      <c r="D20" s="1795">
        <v>1</v>
      </c>
      <c r="E20" s="1795">
        <v>3</v>
      </c>
      <c r="F20" s="1795">
        <v>0</v>
      </c>
      <c r="G20" s="1795">
        <v>15</v>
      </c>
    </row>
    <row r="21" spans="1:7" x14ac:dyDescent="0.15">
      <c r="A21" s="143" t="s">
        <v>1097</v>
      </c>
      <c r="B21" s="1792">
        <f t="shared" si="0"/>
        <v>7</v>
      </c>
      <c r="C21" s="1795">
        <v>0</v>
      </c>
      <c r="D21" s="1795">
        <v>2</v>
      </c>
      <c r="E21" s="1795">
        <v>1</v>
      </c>
      <c r="F21" s="1795">
        <v>0</v>
      </c>
      <c r="G21" s="1795">
        <v>4</v>
      </c>
    </row>
    <row r="22" spans="1:7" x14ac:dyDescent="0.15">
      <c r="A22" s="767" t="s">
        <v>6</v>
      </c>
      <c r="B22" s="1792">
        <f t="shared" si="0"/>
        <v>51</v>
      </c>
      <c r="C22" s="1792">
        <f t="shared" ref="C22:G22" si="4">SUM(C23:C29)</f>
        <v>2</v>
      </c>
      <c r="D22" s="1792">
        <f t="shared" si="4"/>
        <v>9</v>
      </c>
      <c r="E22" s="1792">
        <f t="shared" si="4"/>
        <v>1</v>
      </c>
      <c r="F22" s="1792">
        <f t="shared" si="4"/>
        <v>0</v>
      </c>
      <c r="G22" s="1792">
        <f t="shared" si="4"/>
        <v>39</v>
      </c>
    </row>
    <row r="23" spans="1:7" x14ac:dyDescent="0.15">
      <c r="A23" s="143" t="s">
        <v>1091</v>
      </c>
      <c r="B23" s="1792">
        <f t="shared" si="0"/>
        <v>0</v>
      </c>
      <c r="C23" s="1795">
        <v>0</v>
      </c>
      <c r="D23" s="1795">
        <v>0</v>
      </c>
      <c r="E23" s="1795">
        <v>0</v>
      </c>
      <c r="F23" s="1795">
        <v>0</v>
      </c>
      <c r="G23" s="1795">
        <v>0</v>
      </c>
    </row>
    <row r="24" spans="1:7" x14ac:dyDescent="0.15">
      <c r="A24" s="143" t="s">
        <v>1092</v>
      </c>
      <c r="B24" s="1792">
        <f t="shared" si="0"/>
        <v>0</v>
      </c>
      <c r="C24" s="1795">
        <v>0</v>
      </c>
      <c r="D24" s="1795">
        <v>0</v>
      </c>
      <c r="E24" s="1795">
        <v>0</v>
      </c>
      <c r="F24" s="1795">
        <v>0</v>
      </c>
      <c r="G24" s="1795">
        <v>0</v>
      </c>
    </row>
    <row r="25" spans="1:7" x14ac:dyDescent="0.15">
      <c r="A25" s="143" t="s">
        <v>1093</v>
      </c>
      <c r="B25" s="1792">
        <f t="shared" si="0"/>
        <v>2</v>
      </c>
      <c r="C25" s="1795">
        <v>0</v>
      </c>
      <c r="D25" s="1795">
        <v>0</v>
      </c>
      <c r="E25" s="1795">
        <v>0</v>
      </c>
      <c r="F25" s="1795">
        <v>0</v>
      </c>
      <c r="G25" s="1795">
        <v>2</v>
      </c>
    </row>
    <row r="26" spans="1:7" x14ac:dyDescent="0.15">
      <c r="A26" s="143" t="s">
        <v>1094</v>
      </c>
      <c r="B26" s="1792">
        <f t="shared" si="0"/>
        <v>14</v>
      </c>
      <c r="C26" s="1795">
        <v>1</v>
      </c>
      <c r="D26" s="1795">
        <v>2</v>
      </c>
      <c r="E26" s="1795">
        <v>0</v>
      </c>
      <c r="F26" s="1795">
        <v>0</v>
      </c>
      <c r="G26" s="1795">
        <v>11</v>
      </c>
    </row>
    <row r="27" spans="1:7" x14ac:dyDescent="0.15">
      <c r="A27" s="143" t="s">
        <v>1095</v>
      </c>
      <c r="B27" s="1792">
        <f t="shared" si="0"/>
        <v>18</v>
      </c>
      <c r="C27" s="1795">
        <v>0</v>
      </c>
      <c r="D27" s="1795">
        <v>3</v>
      </c>
      <c r="E27" s="1795">
        <v>0</v>
      </c>
      <c r="F27" s="1795">
        <v>0</v>
      </c>
      <c r="G27" s="1795">
        <v>15</v>
      </c>
    </row>
    <row r="28" spans="1:7" x14ac:dyDescent="0.15">
      <c r="A28" s="143" t="s">
        <v>1096</v>
      </c>
      <c r="B28" s="1792">
        <f t="shared" si="0"/>
        <v>10</v>
      </c>
      <c r="C28" s="1795">
        <v>1</v>
      </c>
      <c r="D28" s="1795">
        <v>2</v>
      </c>
      <c r="E28" s="1795">
        <v>0</v>
      </c>
      <c r="F28" s="1795">
        <v>0</v>
      </c>
      <c r="G28" s="1795">
        <v>7</v>
      </c>
    </row>
    <row r="29" spans="1:7" x14ac:dyDescent="0.15">
      <c r="A29" s="143" t="s">
        <v>1097</v>
      </c>
      <c r="B29" s="1792">
        <f t="shared" si="0"/>
        <v>7</v>
      </c>
      <c r="C29" s="1795">
        <v>0</v>
      </c>
      <c r="D29" s="1795">
        <v>2</v>
      </c>
      <c r="E29" s="1795">
        <v>1</v>
      </c>
      <c r="F29" s="1795">
        <v>0</v>
      </c>
      <c r="G29" s="1795">
        <v>4</v>
      </c>
    </row>
    <row r="30" spans="1:7" x14ac:dyDescent="0.15">
      <c r="A30" s="767" t="s">
        <v>7</v>
      </c>
      <c r="B30" s="1792">
        <f t="shared" si="0"/>
        <v>28</v>
      </c>
      <c r="C30" s="1792">
        <f t="shared" ref="C30:G30" si="5">SUM(C31:C37)</f>
        <v>0</v>
      </c>
      <c r="D30" s="1792">
        <f t="shared" si="5"/>
        <v>13</v>
      </c>
      <c r="E30" s="1792">
        <f t="shared" si="5"/>
        <v>0</v>
      </c>
      <c r="F30" s="1792">
        <f t="shared" si="5"/>
        <v>0</v>
      </c>
      <c r="G30" s="1792">
        <f t="shared" si="5"/>
        <v>15</v>
      </c>
    </row>
    <row r="31" spans="1:7" x14ac:dyDescent="0.15">
      <c r="A31" s="143" t="s">
        <v>1091</v>
      </c>
      <c r="B31" s="1792">
        <f t="shared" si="0"/>
        <v>0</v>
      </c>
      <c r="C31" s="1795">
        <v>0</v>
      </c>
      <c r="D31" s="1795">
        <v>0</v>
      </c>
      <c r="E31" s="1795">
        <v>0</v>
      </c>
      <c r="F31" s="1795">
        <v>0</v>
      </c>
      <c r="G31" s="1795">
        <v>0</v>
      </c>
    </row>
    <row r="32" spans="1:7" x14ac:dyDescent="0.15">
      <c r="A32" s="143" t="s">
        <v>1092</v>
      </c>
      <c r="B32" s="1792">
        <f t="shared" si="0"/>
        <v>1</v>
      </c>
      <c r="C32" s="1795">
        <v>0</v>
      </c>
      <c r="D32" s="1795">
        <v>0</v>
      </c>
      <c r="E32" s="1795">
        <v>0</v>
      </c>
      <c r="F32" s="1795">
        <v>0</v>
      </c>
      <c r="G32" s="1795">
        <v>1</v>
      </c>
    </row>
    <row r="33" spans="1:7" x14ac:dyDescent="0.15">
      <c r="A33" s="143" t="s">
        <v>1093</v>
      </c>
      <c r="B33" s="1792">
        <f t="shared" si="0"/>
        <v>1</v>
      </c>
      <c r="C33" s="1795">
        <v>0</v>
      </c>
      <c r="D33" s="1795">
        <v>0</v>
      </c>
      <c r="E33" s="1795">
        <v>0</v>
      </c>
      <c r="F33" s="1795">
        <v>0</v>
      </c>
      <c r="G33" s="1795">
        <v>1</v>
      </c>
    </row>
    <row r="34" spans="1:7" x14ac:dyDescent="0.15">
      <c r="A34" s="143" t="s">
        <v>1094</v>
      </c>
      <c r="B34" s="1792">
        <f t="shared" si="0"/>
        <v>10</v>
      </c>
      <c r="C34" s="1795">
        <v>0</v>
      </c>
      <c r="D34" s="1795">
        <v>4</v>
      </c>
      <c r="E34" s="1795">
        <v>0</v>
      </c>
      <c r="F34" s="1795">
        <v>0</v>
      </c>
      <c r="G34" s="1795">
        <v>6</v>
      </c>
    </row>
    <row r="35" spans="1:7" x14ac:dyDescent="0.15">
      <c r="A35" s="143" t="s">
        <v>1095</v>
      </c>
      <c r="B35" s="1792">
        <f t="shared" si="0"/>
        <v>9</v>
      </c>
      <c r="C35" s="1795">
        <v>0</v>
      </c>
      <c r="D35" s="1795">
        <v>5</v>
      </c>
      <c r="E35" s="1795">
        <v>0</v>
      </c>
      <c r="F35" s="1795">
        <v>0</v>
      </c>
      <c r="G35" s="1795">
        <v>4</v>
      </c>
    </row>
    <row r="36" spans="1:7" x14ac:dyDescent="0.15">
      <c r="A36" s="143" t="s">
        <v>1096</v>
      </c>
      <c r="B36" s="1792">
        <f t="shared" si="0"/>
        <v>3</v>
      </c>
      <c r="C36" s="1795">
        <v>0</v>
      </c>
      <c r="D36" s="1795">
        <v>2</v>
      </c>
      <c r="E36" s="1795">
        <v>0</v>
      </c>
      <c r="F36" s="1795">
        <v>0</v>
      </c>
      <c r="G36" s="1795">
        <v>1</v>
      </c>
    </row>
    <row r="37" spans="1:7" x14ac:dyDescent="0.15">
      <c r="A37" s="143" t="s">
        <v>1097</v>
      </c>
      <c r="B37" s="1792">
        <f t="shared" si="0"/>
        <v>4</v>
      </c>
      <c r="C37" s="1795">
        <v>0</v>
      </c>
      <c r="D37" s="1795">
        <v>2</v>
      </c>
      <c r="E37" s="1795">
        <v>0</v>
      </c>
      <c r="F37" s="1795">
        <v>0</v>
      </c>
      <c r="G37" s="1795">
        <v>2</v>
      </c>
    </row>
    <row r="38" spans="1:7" x14ac:dyDescent="0.15">
      <c r="A38" s="767" t="s">
        <v>8</v>
      </c>
      <c r="B38" s="1792">
        <f t="shared" si="0"/>
        <v>43</v>
      </c>
      <c r="C38" s="1792">
        <f t="shared" ref="C38:G38" si="6">SUM(C39:C45)</f>
        <v>8</v>
      </c>
      <c r="D38" s="1792">
        <f t="shared" si="6"/>
        <v>20</v>
      </c>
      <c r="E38" s="1792">
        <f t="shared" si="6"/>
        <v>1</v>
      </c>
      <c r="F38" s="1792">
        <f t="shared" si="6"/>
        <v>0</v>
      </c>
      <c r="G38" s="1792">
        <f t="shared" si="6"/>
        <v>14</v>
      </c>
    </row>
    <row r="39" spans="1:7" x14ac:dyDescent="0.15">
      <c r="A39" s="143" t="s">
        <v>1091</v>
      </c>
      <c r="B39" s="1792">
        <f t="shared" si="0"/>
        <v>0</v>
      </c>
      <c r="C39" s="1795">
        <v>0</v>
      </c>
      <c r="D39" s="1795">
        <v>0</v>
      </c>
      <c r="E39" s="1795">
        <v>0</v>
      </c>
      <c r="F39" s="1795">
        <v>0</v>
      </c>
      <c r="G39" s="1795">
        <v>0</v>
      </c>
    </row>
    <row r="40" spans="1:7" x14ac:dyDescent="0.15">
      <c r="A40" s="143" t="s">
        <v>1092</v>
      </c>
      <c r="B40" s="1792">
        <f t="shared" si="0"/>
        <v>2</v>
      </c>
      <c r="C40" s="1795">
        <v>0</v>
      </c>
      <c r="D40" s="1795">
        <v>0</v>
      </c>
      <c r="E40" s="1795">
        <v>0</v>
      </c>
      <c r="F40" s="1795">
        <v>0</v>
      </c>
      <c r="G40" s="1795">
        <v>2</v>
      </c>
    </row>
    <row r="41" spans="1:7" x14ac:dyDescent="0.15">
      <c r="A41" s="143" t="s">
        <v>1093</v>
      </c>
      <c r="B41" s="1792">
        <f t="shared" si="0"/>
        <v>0</v>
      </c>
      <c r="C41" s="1795">
        <v>0</v>
      </c>
      <c r="D41" s="1795">
        <v>0</v>
      </c>
      <c r="E41" s="1795">
        <v>0</v>
      </c>
      <c r="F41" s="1795">
        <v>0</v>
      </c>
      <c r="G41" s="1795">
        <v>0</v>
      </c>
    </row>
    <row r="42" spans="1:7" x14ac:dyDescent="0.15">
      <c r="A42" s="143" t="s">
        <v>1094</v>
      </c>
      <c r="B42" s="1792">
        <f t="shared" si="0"/>
        <v>16</v>
      </c>
      <c r="C42" s="1795">
        <v>3</v>
      </c>
      <c r="D42" s="1795">
        <v>6</v>
      </c>
      <c r="E42" s="1795">
        <v>1</v>
      </c>
      <c r="F42" s="1795">
        <v>0</v>
      </c>
      <c r="G42" s="1795">
        <v>6</v>
      </c>
    </row>
    <row r="43" spans="1:7" x14ac:dyDescent="0.15">
      <c r="A43" s="143" t="s">
        <v>1095</v>
      </c>
      <c r="B43" s="1792">
        <f t="shared" si="0"/>
        <v>8</v>
      </c>
      <c r="C43" s="1795">
        <v>2</v>
      </c>
      <c r="D43" s="1795">
        <v>3</v>
      </c>
      <c r="E43" s="1795">
        <v>0</v>
      </c>
      <c r="F43" s="1795">
        <v>0</v>
      </c>
      <c r="G43" s="1795">
        <v>3</v>
      </c>
    </row>
    <row r="44" spans="1:7" x14ac:dyDescent="0.15">
      <c r="A44" s="143" t="s">
        <v>1096</v>
      </c>
      <c r="B44" s="1792">
        <f t="shared" si="0"/>
        <v>10</v>
      </c>
      <c r="C44" s="1795">
        <v>2</v>
      </c>
      <c r="D44" s="1795">
        <v>6</v>
      </c>
      <c r="E44" s="1795">
        <v>0</v>
      </c>
      <c r="F44" s="1795">
        <v>0</v>
      </c>
      <c r="G44" s="1795">
        <v>2</v>
      </c>
    </row>
    <row r="45" spans="1:7" x14ac:dyDescent="0.15">
      <c r="A45" s="143" t="s">
        <v>1097</v>
      </c>
      <c r="B45" s="1792">
        <f t="shared" si="0"/>
        <v>7</v>
      </c>
      <c r="C45" s="1795">
        <v>1</v>
      </c>
      <c r="D45" s="1795">
        <v>5</v>
      </c>
      <c r="E45" s="1795">
        <v>0</v>
      </c>
      <c r="F45" s="1795">
        <v>0</v>
      </c>
      <c r="G45" s="1795">
        <v>1</v>
      </c>
    </row>
    <row r="46" spans="1:7" x14ac:dyDescent="0.15">
      <c r="A46" s="767" t="s">
        <v>9</v>
      </c>
      <c r="B46" s="1792">
        <f t="shared" si="0"/>
        <v>20</v>
      </c>
      <c r="C46" s="1792">
        <f t="shared" ref="C46:G46" si="7">SUM(C47:C53)</f>
        <v>8</v>
      </c>
      <c r="D46" s="1792">
        <f t="shared" si="7"/>
        <v>3</v>
      </c>
      <c r="E46" s="1792">
        <f t="shared" si="7"/>
        <v>0</v>
      </c>
      <c r="F46" s="1792">
        <f t="shared" si="7"/>
        <v>0</v>
      </c>
      <c r="G46" s="1792">
        <f t="shared" si="7"/>
        <v>9</v>
      </c>
    </row>
    <row r="47" spans="1:7" x14ac:dyDescent="0.15">
      <c r="A47" s="143" t="s">
        <v>1091</v>
      </c>
      <c r="B47" s="1792">
        <f t="shared" si="0"/>
        <v>1</v>
      </c>
      <c r="C47" s="1795">
        <v>1</v>
      </c>
      <c r="D47" s="1795">
        <v>0</v>
      </c>
      <c r="E47" s="1795">
        <v>0</v>
      </c>
      <c r="F47" s="1795">
        <v>0</v>
      </c>
      <c r="G47" s="1795">
        <v>0</v>
      </c>
    </row>
    <row r="48" spans="1:7" x14ac:dyDescent="0.15">
      <c r="A48" s="143" t="s">
        <v>1092</v>
      </c>
      <c r="B48" s="1792">
        <f t="shared" si="0"/>
        <v>0</v>
      </c>
      <c r="C48" s="1795">
        <v>0</v>
      </c>
      <c r="D48" s="1795">
        <v>0</v>
      </c>
      <c r="E48" s="1795">
        <v>0</v>
      </c>
      <c r="F48" s="1795">
        <v>0</v>
      </c>
      <c r="G48" s="1795">
        <v>0</v>
      </c>
    </row>
    <row r="49" spans="1:7" x14ac:dyDescent="0.15">
      <c r="A49" s="143" t="s">
        <v>1093</v>
      </c>
      <c r="B49" s="1792">
        <f t="shared" si="0"/>
        <v>3</v>
      </c>
      <c r="C49" s="1795">
        <v>2</v>
      </c>
      <c r="D49" s="1795">
        <v>0</v>
      </c>
      <c r="E49" s="1795">
        <v>0</v>
      </c>
      <c r="F49" s="1795">
        <v>0</v>
      </c>
      <c r="G49" s="1795">
        <v>1</v>
      </c>
    </row>
    <row r="50" spans="1:7" x14ac:dyDescent="0.15">
      <c r="A50" s="143" t="s">
        <v>1094</v>
      </c>
      <c r="B50" s="1792">
        <f t="shared" si="0"/>
        <v>3</v>
      </c>
      <c r="C50" s="1795">
        <v>1</v>
      </c>
      <c r="D50" s="1795">
        <v>1</v>
      </c>
      <c r="E50" s="1795">
        <v>0</v>
      </c>
      <c r="F50" s="1795">
        <v>0</v>
      </c>
      <c r="G50" s="1795">
        <v>1</v>
      </c>
    </row>
    <row r="51" spans="1:7" x14ac:dyDescent="0.15">
      <c r="A51" s="143" t="s">
        <v>1095</v>
      </c>
      <c r="B51" s="1792">
        <f t="shared" si="0"/>
        <v>9</v>
      </c>
      <c r="C51" s="1795">
        <v>3</v>
      </c>
      <c r="D51" s="1795">
        <v>1</v>
      </c>
      <c r="E51" s="1795">
        <v>0</v>
      </c>
      <c r="F51" s="1795">
        <v>0</v>
      </c>
      <c r="G51" s="1795">
        <v>5</v>
      </c>
    </row>
    <row r="52" spans="1:7" x14ac:dyDescent="0.15">
      <c r="A52" s="143" t="s">
        <v>1096</v>
      </c>
      <c r="B52" s="1792">
        <f t="shared" si="0"/>
        <v>2</v>
      </c>
      <c r="C52" s="1795">
        <v>1</v>
      </c>
      <c r="D52" s="1795">
        <v>1</v>
      </c>
      <c r="E52" s="1795">
        <v>0</v>
      </c>
      <c r="F52" s="1795">
        <v>0</v>
      </c>
      <c r="G52" s="1795">
        <v>0</v>
      </c>
    </row>
    <row r="53" spans="1:7" x14ac:dyDescent="0.15">
      <c r="A53" s="143" t="s">
        <v>1097</v>
      </c>
      <c r="B53" s="1792">
        <f t="shared" si="0"/>
        <v>2</v>
      </c>
      <c r="C53" s="1795">
        <v>0</v>
      </c>
      <c r="D53" s="1795">
        <v>0</v>
      </c>
      <c r="E53" s="1795">
        <v>0</v>
      </c>
      <c r="F53" s="1795">
        <v>0</v>
      </c>
      <c r="G53" s="1795">
        <v>2</v>
      </c>
    </row>
    <row r="54" spans="1:7" x14ac:dyDescent="0.15">
      <c r="A54" s="767" t="s">
        <v>10</v>
      </c>
      <c r="B54" s="1792">
        <f t="shared" si="0"/>
        <v>128</v>
      </c>
      <c r="C54" s="1792">
        <f t="shared" ref="C54:G54" si="8">SUM(C55:C61)</f>
        <v>14</v>
      </c>
      <c r="D54" s="1792">
        <f t="shared" si="8"/>
        <v>18</v>
      </c>
      <c r="E54" s="1792">
        <f t="shared" si="8"/>
        <v>1</v>
      </c>
      <c r="F54" s="1792">
        <f t="shared" si="8"/>
        <v>2</v>
      </c>
      <c r="G54" s="1792">
        <f t="shared" si="8"/>
        <v>93</v>
      </c>
    </row>
    <row r="55" spans="1:7" x14ac:dyDescent="0.15">
      <c r="A55" s="143" t="s">
        <v>1091</v>
      </c>
      <c r="B55" s="1792">
        <f t="shared" si="0"/>
        <v>0</v>
      </c>
      <c r="C55" s="1795">
        <v>0</v>
      </c>
      <c r="D55" s="1795">
        <v>0</v>
      </c>
      <c r="E55" s="1795">
        <v>0</v>
      </c>
      <c r="F55" s="1795">
        <v>0</v>
      </c>
      <c r="G55" s="1795">
        <v>0</v>
      </c>
    </row>
    <row r="56" spans="1:7" x14ac:dyDescent="0.15">
      <c r="A56" s="143" t="s">
        <v>1092</v>
      </c>
      <c r="B56" s="1792">
        <f t="shared" si="0"/>
        <v>3</v>
      </c>
      <c r="C56" s="1795">
        <v>0</v>
      </c>
      <c r="D56" s="1795">
        <v>0</v>
      </c>
      <c r="E56" s="1795">
        <v>0</v>
      </c>
      <c r="F56" s="1795">
        <v>0</v>
      </c>
      <c r="G56" s="1795">
        <v>3</v>
      </c>
    </row>
    <row r="57" spans="1:7" x14ac:dyDescent="0.15">
      <c r="A57" s="143" t="s">
        <v>1093</v>
      </c>
      <c r="B57" s="1792">
        <f t="shared" si="0"/>
        <v>12</v>
      </c>
      <c r="C57" s="1795">
        <v>0</v>
      </c>
      <c r="D57" s="1795">
        <v>1</v>
      </c>
      <c r="E57" s="1795">
        <v>0</v>
      </c>
      <c r="F57" s="1795">
        <v>0</v>
      </c>
      <c r="G57" s="1795">
        <v>11</v>
      </c>
    </row>
    <row r="58" spans="1:7" x14ac:dyDescent="0.15">
      <c r="A58" s="143" t="s">
        <v>1094</v>
      </c>
      <c r="B58" s="1792">
        <f t="shared" si="0"/>
        <v>51</v>
      </c>
      <c r="C58" s="1795">
        <v>3</v>
      </c>
      <c r="D58" s="1795">
        <v>9</v>
      </c>
      <c r="E58" s="1795">
        <v>0</v>
      </c>
      <c r="F58" s="1795">
        <v>0</v>
      </c>
      <c r="G58" s="1795">
        <v>39</v>
      </c>
    </row>
    <row r="59" spans="1:7" x14ac:dyDescent="0.15">
      <c r="A59" s="143" t="s">
        <v>1095</v>
      </c>
      <c r="B59" s="1792">
        <f t="shared" si="0"/>
        <v>38</v>
      </c>
      <c r="C59" s="1795">
        <v>6</v>
      </c>
      <c r="D59" s="1795">
        <v>6</v>
      </c>
      <c r="E59" s="1795">
        <v>1</v>
      </c>
      <c r="F59" s="1795">
        <v>1</v>
      </c>
      <c r="G59" s="1795">
        <v>24</v>
      </c>
    </row>
    <row r="60" spans="1:7" x14ac:dyDescent="0.15">
      <c r="A60" s="143" t="s">
        <v>1096</v>
      </c>
      <c r="B60" s="1792">
        <f t="shared" si="0"/>
        <v>17</v>
      </c>
      <c r="C60" s="1795">
        <v>5</v>
      </c>
      <c r="D60" s="1795">
        <v>1</v>
      </c>
      <c r="E60" s="1795">
        <v>0</v>
      </c>
      <c r="F60" s="1795">
        <v>1</v>
      </c>
      <c r="G60" s="1795">
        <v>10</v>
      </c>
    </row>
    <row r="61" spans="1:7" x14ac:dyDescent="0.15">
      <c r="A61" s="143" t="s">
        <v>1097</v>
      </c>
      <c r="B61" s="1792">
        <f t="shared" si="0"/>
        <v>7</v>
      </c>
      <c r="C61" s="1795">
        <v>0</v>
      </c>
      <c r="D61" s="1795">
        <v>1</v>
      </c>
      <c r="E61" s="1795">
        <v>0</v>
      </c>
      <c r="F61" s="1795">
        <v>0</v>
      </c>
      <c r="G61" s="1795">
        <v>6</v>
      </c>
    </row>
    <row r="62" spans="1:7" x14ac:dyDescent="0.15">
      <c r="A62" s="767" t="s">
        <v>11</v>
      </c>
      <c r="B62" s="1792">
        <f t="shared" si="0"/>
        <v>279</v>
      </c>
      <c r="C62" s="1792">
        <f t="shared" ref="C62:G62" si="9">SUM(C63:C69)</f>
        <v>19</v>
      </c>
      <c r="D62" s="1792">
        <f t="shared" si="9"/>
        <v>25</v>
      </c>
      <c r="E62" s="1792">
        <f t="shared" si="9"/>
        <v>1</v>
      </c>
      <c r="F62" s="1792">
        <f t="shared" si="9"/>
        <v>3</v>
      </c>
      <c r="G62" s="1792">
        <f t="shared" si="9"/>
        <v>231</v>
      </c>
    </row>
    <row r="63" spans="1:7" x14ac:dyDescent="0.15">
      <c r="A63" s="143" t="s">
        <v>1091</v>
      </c>
      <c r="B63" s="1792">
        <f t="shared" si="0"/>
        <v>2</v>
      </c>
      <c r="C63" s="1795">
        <v>0</v>
      </c>
      <c r="D63" s="1795">
        <v>0</v>
      </c>
      <c r="E63" s="1795">
        <v>0</v>
      </c>
      <c r="F63" s="1795">
        <v>0</v>
      </c>
      <c r="G63" s="1795">
        <v>2</v>
      </c>
    </row>
    <row r="64" spans="1:7" x14ac:dyDescent="0.15">
      <c r="A64" s="143" t="s">
        <v>1092</v>
      </c>
      <c r="B64" s="1792">
        <f t="shared" si="0"/>
        <v>5</v>
      </c>
      <c r="C64" s="1795">
        <v>0</v>
      </c>
      <c r="D64" s="1795">
        <v>0</v>
      </c>
      <c r="E64" s="1795">
        <v>0</v>
      </c>
      <c r="F64" s="1795">
        <v>0</v>
      </c>
      <c r="G64" s="1795">
        <v>5</v>
      </c>
    </row>
    <row r="65" spans="1:7" x14ac:dyDescent="0.15">
      <c r="A65" s="143" t="s">
        <v>1093</v>
      </c>
      <c r="B65" s="1792">
        <f t="shared" si="0"/>
        <v>5</v>
      </c>
      <c r="C65" s="1795">
        <v>0</v>
      </c>
      <c r="D65" s="1795">
        <v>1</v>
      </c>
      <c r="E65" s="1795">
        <v>0</v>
      </c>
      <c r="F65" s="1795">
        <v>0</v>
      </c>
      <c r="G65" s="1795">
        <v>4</v>
      </c>
    </row>
    <row r="66" spans="1:7" x14ac:dyDescent="0.15">
      <c r="A66" s="143" t="s">
        <v>1094</v>
      </c>
      <c r="B66" s="1792">
        <f t="shared" si="0"/>
        <v>69</v>
      </c>
      <c r="C66" s="1795">
        <v>5</v>
      </c>
      <c r="D66" s="1795">
        <v>10</v>
      </c>
      <c r="E66" s="1795">
        <v>0</v>
      </c>
      <c r="F66" s="1795">
        <v>0</v>
      </c>
      <c r="G66" s="1795">
        <v>54</v>
      </c>
    </row>
    <row r="67" spans="1:7" x14ac:dyDescent="0.15">
      <c r="A67" s="143" t="s">
        <v>1095</v>
      </c>
      <c r="B67" s="1792">
        <f t="shared" si="0"/>
        <v>90</v>
      </c>
      <c r="C67" s="1795">
        <v>7</v>
      </c>
      <c r="D67" s="1795">
        <v>9</v>
      </c>
      <c r="E67" s="1795">
        <v>1</v>
      </c>
      <c r="F67" s="1795">
        <v>0</v>
      </c>
      <c r="G67" s="1795">
        <v>73</v>
      </c>
    </row>
    <row r="68" spans="1:7" x14ac:dyDescent="0.15">
      <c r="A68" s="143" t="s">
        <v>1096</v>
      </c>
      <c r="B68" s="1792">
        <f t="shared" si="0"/>
        <v>62</v>
      </c>
      <c r="C68" s="1795">
        <v>5</v>
      </c>
      <c r="D68" s="1795">
        <v>3</v>
      </c>
      <c r="E68" s="1795">
        <v>0</v>
      </c>
      <c r="F68" s="1795">
        <v>2</v>
      </c>
      <c r="G68" s="1795">
        <v>52</v>
      </c>
    </row>
    <row r="69" spans="1:7" x14ac:dyDescent="0.15">
      <c r="A69" s="143" t="s">
        <v>1097</v>
      </c>
      <c r="B69" s="1792">
        <f t="shared" si="0"/>
        <v>46</v>
      </c>
      <c r="C69" s="1795">
        <v>2</v>
      </c>
      <c r="D69" s="1795">
        <v>2</v>
      </c>
      <c r="E69" s="1795">
        <v>0</v>
      </c>
      <c r="F69" s="1795">
        <v>1</v>
      </c>
      <c r="G69" s="1795">
        <v>41</v>
      </c>
    </row>
    <row r="70" spans="1:7" x14ac:dyDescent="0.15">
      <c r="A70" s="767" t="s">
        <v>12</v>
      </c>
      <c r="B70" s="1792">
        <f t="shared" ref="B70:B133" si="10">SUM(C70:G70)</f>
        <v>23</v>
      </c>
      <c r="C70" s="1792">
        <f t="shared" ref="C70:G70" si="11">SUM(C71:C77)</f>
        <v>2</v>
      </c>
      <c r="D70" s="1792">
        <f t="shared" si="11"/>
        <v>3</v>
      </c>
      <c r="E70" s="1792">
        <f t="shared" si="11"/>
        <v>0</v>
      </c>
      <c r="F70" s="1792">
        <f t="shared" si="11"/>
        <v>1</v>
      </c>
      <c r="G70" s="1792">
        <f t="shared" si="11"/>
        <v>17</v>
      </c>
    </row>
    <row r="71" spans="1:7" x14ac:dyDescent="0.15">
      <c r="A71" s="143" t="s">
        <v>1091</v>
      </c>
      <c r="B71" s="1792">
        <f t="shared" si="10"/>
        <v>0</v>
      </c>
      <c r="C71" s="1795">
        <v>0</v>
      </c>
      <c r="D71" s="1795">
        <v>0</v>
      </c>
      <c r="E71" s="1795">
        <v>0</v>
      </c>
      <c r="F71" s="1795">
        <v>0</v>
      </c>
      <c r="G71" s="1795">
        <v>0</v>
      </c>
    </row>
    <row r="72" spans="1:7" x14ac:dyDescent="0.15">
      <c r="A72" s="143" t="s">
        <v>1092</v>
      </c>
      <c r="B72" s="1792">
        <f t="shared" si="10"/>
        <v>0</v>
      </c>
      <c r="C72" s="1795">
        <v>0</v>
      </c>
      <c r="D72" s="1795">
        <v>0</v>
      </c>
      <c r="E72" s="1795">
        <v>0</v>
      </c>
      <c r="F72" s="1795">
        <v>0</v>
      </c>
      <c r="G72" s="1795">
        <v>0</v>
      </c>
    </row>
    <row r="73" spans="1:7" x14ac:dyDescent="0.15">
      <c r="A73" s="143" t="s">
        <v>1093</v>
      </c>
      <c r="B73" s="1792">
        <f t="shared" si="10"/>
        <v>1</v>
      </c>
      <c r="C73" s="1795">
        <v>0</v>
      </c>
      <c r="D73" s="1795">
        <v>0</v>
      </c>
      <c r="E73" s="1795">
        <v>0</v>
      </c>
      <c r="F73" s="1795">
        <v>1</v>
      </c>
      <c r="G73" s="1795">
        <v>0</v>
      </c>
    </row>
    <row r="74" spans="1:7" x14ac:dyDescent="0.15">
      <c r="A74" s="143" t="s">
        <v>1094</v>
      </c>
      <c r="B74" s="1792">
        <f t="shared" si="10"/>
        <v>13</v>
      </c>
      <c r="C74" s="1795">
        <v>2</v>
      </c>
      <c r="D74" s="1795">
        <v>1</v>
      </c>
      <c r="E74" s="1795">
        <v>0</v>
      </c>
      <c r="F74" s="1795">
        <v>0</v>
      </c>
      <c r="G74" s="1795">
        <v>10</v>
      </c>
    </row>
    <row r="75" spans="1:7" x14ac:dyDescent="0.15">
      <c r="A75" s="143" t="s">
        <v>1095</v>
      </c>
      <c r="B75" s="1792">
        <f t="shared" si="10"/>
        <v>5</v>
      </c>
      <c r="C75" s="1795">
        <v>0</v>
      </c>
      <c r="D75" s="1795">
        <v>0</v>
      </c>
      <c r="E75" s="1795">
        <v>0</v>
      </c>
      <c r="F75" s="1795">
        <v>0</v>
      </c>
      <c r="G75" s="1795">
        <v>5</v>
      </c>
    </row>
    <row r="76" spans="1:7" x14ac:dyDescent="0.15">
      <c r="A76" s="143" t="s">
        <v>1096</v>
      </c>
      <c r="B76" s="1792">
        <f t="shared" si="10"/>
        <v>4</v>
      </c>
      <c r="C76" s="1795">
        <v>0</v>
      </c>
      <c r="D76" s="1795">
        <v>2</v>
      </c>
      <c r="E76" s="1795">
        <v>0</v>
      </c>
      <c r="F76" s="1795">
        <v>0</v>
      </c>
      <c r="G76" s="1795">
        <v>2</v>
      </c>
    </row>
    <row r="77" spans="1:7" x14ac:dyDescent="0.15">
      <c r="A77" s="143" t="s">
        <v>1097</v>
      </c>
      <c r="B77" s="1792">
        <f t="shared" si="10"/>
        <v>0</v>
      </c>
      <c r="C77" s="1795">
        <v>0</v>
      </c>
      <c r="D77" s="1795">
        <v>0</v>
      </c>
      <c r="E77" s="1795">
        <v>0</v>
      </c>
      <c r="F77" s="1795">
        <v>0</v>
      </c>
      <c r="G77" s="1795">
        <v>0</v>
      </c>
    </row>
    <row r="78" spans="1:7" x14ac:dyDescent="0.15">
      <c r="A78" s="767" t="s">
        <v>13</v>
      </c>
      <c r="B78" s="1792">
        <f t="shared" si="10"/>
        <v>65</v>
      </c>
      <c r="C78" s="1792">
        <f t="shared" ref="C78:G78" si="12">SUM(C79:C85)</f>
        <v>7</v>
      </c>
      <c r="D78" s="1792">
        <f t="shared" si="12"/>
        <v>9</v>
      </c>
      <c r="E78" s="1792">
        <f t="shared" si="12"/>
        <v>3</v>
      </c>
      <c r="F78" s="1792">
        <f t="shared" si="12"/>
        <v>3</v>
      </c>
      <c r="G78" s="1792">
        <f t="shared" si="12"/>
        <v>43</v>
      </c>
    </row>
    <row r="79" spans="1:7" x14ac:dyDescent="0.15">
      <c r="A79" s="143" t="s">
        <v>1091</v>
      </c>
      <c r="B79" s="1792">
        <f t="shared" si="10"/>
        <v>0</v>
      </c>
      <c r="C79" s="1795">
        <v>0</v>
      </c>
      <c r="D79" s="1795">
        <v>0</v>
      </c>
      <c r="E79" s="1795">
        <v>0</v>
      </c>
      <c r="F79" s="1795">
        <v>0</v>
      </c>
      <c r="G79" s="1795">
        <v>0</v>
      </c>
    </row>
    <row r="80" spans="1:7" x14ac:dyDescent="0.15">
      <c r="A80" s="143" t="s">
        <v>1092</v>
      </c>
      <c r="B80" s="1792">
        <f t="shared" si="10"/>
        <v>1</v>
      </c>
      <c r="C80" s="1795">
        <v>0</v>
      </c>
      <c r="D80" s="1795">
        <v>0</v>
      </c>
      <c r="E80" s="1795">
        <v>0</v>
      </c>
      <c r="F80" s="1795">
        <v>0</v>
      </c>
      <c r="G80" s="1795">
        <v>1</v>
      </c>
    </row>
    <row r="81" spans="1:7" x14ac:dyDescent="0.15">
      <c r="A81" s="143" t="s">
        <v>1093</v>
      </c>
      <c r="B81" s="1792">
        <f t="shared" si="10"/>
        <v>5</v>
      </c>
      <c r="C81" s="1795">
        <v>0</v>
      </c>
      <c r="D81" s="1795">
        <v>1</v>
      </c>
      <c r="E81" s="1795">
        <v>0</v>
      </c>
      <c r="F81" s="1795">
        <v>0</v>
      </c>
      <c r="G81" s="1795">
        <v>4</v>
      </c>
    </row>
    <row r="82" spans="1:7" x14ac:dyDescent="0.15">
      <c r="A82" s="143" t="s">
        <v>1094</v>
      </c>
      <c r="B82" s="1792">
        <f t="shared" si="10"/>
        <v>26</v>
      </c>
      <c r="C82" s="1795">
        <v>4</v>
      </c>
      <c r="D82" s="1795">
        <v>2</v>
      </c>
      <c r="E82" s="1795">
        <v>1</v>
      </c>
      <c r="F82" s="1795">
        <v>1</v>
      </c>
      <c r="G82" s="1795">
        <v>18</v>
      </c>
    </row>
    <row r="83" spans="1:7" x14ac:dyDescent="0.15">
      <c r="A83" s="143" t="s">
        <v>1095</v>
      </c>
      <c r="B83" s="1792">
        <f t="shared" si="10"/>
        <v>20</v>
      </c>
      <c r="C83" s="1795">
        <v>0</v>
      </c>
      <c r="D83" s="1795">
        <v>5</v>
      </c>
      <c r="E83" s="1795">
        <v>1</v>
      </c>
      <c r="F83" s="1795">
        <v>0</v>
      </c>
      <c r="G83" s="1795">
        <v>14</v>
      </c>
    </row>
    <row r="84" spans="1:7" x14ac:dyDescent="0.15">
      <c r="A84" s="143" t="s">
        <v>1096</v>
      </c>
      <c r="B84" s="1792">
        <f t="shared" si="10"/>
        <v>8</v>
      </c>
      <c r="C84" s="1795">
        <v>2</v>
      </c>
      <c r="D84" s="1795">
        <v>1</v>
      </c>
      <c r="E84" s="1795">
        <v>0</v>
      </c>
      <c r="F84" s="1795">
        <v>1</v>
      </c>
      <c r="G84" s="1795">
        <v>4</v>
      </c>
    </row>
    <row r="85" spans="1:7" x14ac:dyDescent="0.15">
      <c r="A85" s="143" t="s">
        <v>1097</v>
      </c>
      <c r="B85" s="1792">
        <f t="shared" si="10"/>
        <v>5</v>
      </c>
      <c r="C85" s="1795">
        <v>1</v>
      </c>
      <c r="D85" s="1795">
        <v>0</v>
      </c>
      <c r="E85" s="1795">
        <v>1</v>
      </c>
      <c r="F85" s="1795">
        <v>1</v>
      </c>
      <c r="G85" s="1795">
        <v>2</v>
      </c>
    </row>
    <row r="86" spans="1:7" x14ac:dyDescent="0.15">
      <c r="A86" s="767" t="s">
        <v>14</v>
      </c>
      <c r="B86" s="1792">
        <f t="shared" si="10"/>
        <v>43</v>
      </c>
      <c r="C86" s="1792">
        <f t="shared" ref="C86:G86" si="13">SUM(C87:C93)</f>
        <v>1</v>
      </c>
      <c r="D86" s="1792">
        <f t="shared" si="13"/>
        <v>8</v>
      </c>
      <c r="E86" s="1792">
        <f t="shared" si="13"/>
        <v>0</v>
      </c>
      <c r="F86" s="1792">
        <f t="shared" si="13"/>
        <v>0</v>
      </c>
      <c r="G86" s="1792">
        <f t="shared" si="13"/>
        <v>34</v>
      </c>
    </row>
    <row r="87" spans="1:7" x14ac:dyDescent="0.15">
      <c r="A87" s="143" t="s">
        <v>1091</v>
      </c>
      <c r="B87" s="1792">
        <f t="shared" si="10"/>
        <v>2</v>
      </c>
      <c r="C87" s="1795">
        <v>0</v>
      </c>
      <c r="D87" s="1795">
        <v>1</v>
      </c>
      <c r="E87" s="1795">
        <v>0</v>
      </c>
      <c r="F87" s="1795">
        <v>0</v>
      </c>
      <c r="G87" s="1795">
        <v>1</v>
      </c>
    </row>
    <row r="88" spans="1:7" x14ac:dyDescent="0.15">
      <c r="A88" s="143" t="s">
        <v>1092</v>
      </c>
      <c r="B88" s="1792">
        <f t="shared" si="10"/>
        <v>7</v>
      </c>
      <c r="C88" s="1795">
        <v>0</v>
      </c>
      <c r="D88" s="1795">
        <v>2</v>
      </c>
      <c r="E88" s="1795">
        <v>0</v>
      </c>
      <c r="F88" s="1795">
        <v>0</v>
      </c>
      <c r="G88" s="1795">
        <v>5</v>
      </c>
    </row>
    <row r="89" spans="1:7" x14ac:dyDescent="0.15">
      <c r="A89" s="143" t="s">
        <v>1093</v>
      </c>
      <c r="B89" s="1792">
        <f t="shared" si="10"/>
        <v>6</v>
      </c>
      <c r="C89" s="1795">
        <v>0</v>
      </c>
      <c r="D89" s="1795">
        <v>3</v>
      </c>
      <c r="E89" s="1795">
        <v>0</v>
      </c>
      <c r="F89" s="1795">
        <v>0</v>
      </c>
      <c r="G89" s="1795">
        <v>3</v>
      </c>
    </row>
    <row r="90" spans="1:7" x14ac:dyDescent="0.15">
      <c r="A90" s="143" t="s">
        <v>1094</v>
      </c>
      <c r="B90" s="1792">
        <f t="shared" si="10"/>
        <v>11</v>
      </c>
      <c r="C90" s="1795">
        <v>1</v>
      </c>
      <c r="D90" s="1795">
        <v>2</v>
      </c>
      <c r="E90" s="1795">
        <v>0</v>
      </c>
      <c r="F90" s="1795">
        <v>0</v>
      </c>
      <c r="G90" s="1795">
        <v>8</v>
      </c>
    </row>
    <row r="91" spans="1:7" x14ac:dyDescent="0.15">
      <c r="A91" s="143" t="s">
        <v>1095</v>
      </c>
      <c r="B91" s="1792">
        <f t="shared" si="10"/>
        <v>7</v>
      </c>
      <c r="C91" s="1795">
        <v>0</v>
      </c>
      <c r="D91" s="1795">
        <v>0</v>
      </c>
      <c r="E91" s="1795">
        <v>0</v>
      </c>
      <c r="F91" s="1795">
        <v>0</v>
      </c>
      <c r="G91" s="1795">
        <v>7</v>
      </c>
    </row>
    <row r="92" spans="1:7" x14ac:dyDescent="0.15">
      <c r="A92" s="143" t="s">
        <v>1096</v>
      </c>
      <c r="B92" s="1792">
        <f t="shared" si="10"/>
        <v>6</v>
      </c>
      <c r="C92" s="1795">
        <v>0</v>
      </c>
      <c r="D92" s="1795">
        <v>0</v>
      </c>
      <c r="E92" s="1795">
        <v>0</v>
      </c>
      <c r="F92" s="1795">
        <v>0</v>
      </c>
      <c r="G92" s="1795">
        <v>6</v>
      </c>
    </row>
    <row r="93" spans="1:7" x14ac:dyDescent="0.15">
      <c r="A93" s="143" t="s">
        <v>1097</v>
      </c>
      <c r="B93" s="1792">
        <f t="shared" si="10"/>
        <v>4</v>
      </c>
      <c r="C93" s="1795">
        <v>0</v>
      </c>
      <c r="D93" s="1795">
        <v>0</v>
      </c>
      <c r="E93" s="1795">
        <v>0</v>
      </c>
      <c r="F93" s="1795">
        <v>0</v>
      </c>
      <c r="G93" s="1795">
        <v>4</v>
      </c>
    </row>
    <row r="94" spans="1:7" x14ac:dyDescent="0.15">
      <c r="A94" s="767" t="s">
        <v>15</v>
      </c>
      <c r="B94" s="1792">
        <f t="shared" si="10"/>
        <v>35</v>
      </c>
      <c r="C94" s="1792">
        <f t="shared" ref="C94:G94" si="14">SUM(C95:C101)</f>
        <v>8</v>
      </c>
      <c r="D94" s="1792">
        <f t="shared" si="14"/>
        <v>1</v>
      </c>
      <c r="E94" s="1792">
        <f t="shared" si="14"/>
        <v>0</v>
      </c>
      <c r="F94" s="1792">
        <f t="shared" si="14"/>
        <v>5</v>
      </c>
      <c r="G94" s="1792">
        <f t="shared" si="14"/>
        <v>21</v>
      </c>
    </row>
    <row r="95" spans="1:7" x14ac:dyDescent="0.15">
      <c r="A95" s="143" t="s">
        <v>1091</v>
      </c>
      <c r="B95" s="1792">
        <f t="shared" si="10"/>
        <v>0</v>
      </c>
      <c r="C95" s="1795">
        <v>0</v>
      </c>
      <c r="D95" s="1795">
        <v>0</v>
      </c>
      <c r="E95" s="1795">
        <v>0</v>
      </c>
      <c r="F95" s="1795">
        <v>0</v>
      </c>
      <c r="G95" s="1795">
        <v>0</v>
      </c>
    </row>
    <row r="96" spans="1:7" x14ac:dyDescent="0.15">
      <c r="A96" s="143" t="s">
        <v>1092</v>
      </c>
      <c r="B96" s="1792">
        <f t="shared" si="10"/>
        <v>1</v>
      </c>
      <c r="C96" s="1795">
        <v>0</v>
      </c>
      <c r="D96" s="1795">
        <v>0</v>
      </c>
      <c r="E96" s="1795">
        <v>0</v>
      </c>
      <c r="F96" s="1795">
        <v>0</v>
      </c>
      <c r="G96" s="1795">
        <v>1</v>
      </c>
    </row>
    <row r="97" spans="1:7" x14ac:dyDescent="0.15">
      <c r="A97" s="143" t="s">
        <v>1093</v>
      </c>
      <c r="B97" s="1792">
        <f t="shared" si="10"/>
        <v>2</v>
      </c>
      <c r="C97" s="1795">
        <v>0</v>
      </c>
      <c r="D97" s="1795">
        <v>0</v>
      </c>
      <c r="E97" s="1795">
        <v>0</v>
      </c>
      <c r="F97" s="1795">
        <v>0</v>
      </c>
      <c r="G97" s="1795">
        <v>2</v>
      </c>
    </row>
    <row r="98" spans="1:7" x14ac:dyDescent="0.15">
      <c r="A98" s="143" t="s">
        <v>1094</v>
      </c>
      <c r="B98" s="1792">
        <f t="shared" si="10"/>
        <v>13</v>
      </c>
      <c r="C98" s="1795">
        <v>2</v>
      </c>
      <c r="D98" s="1795">
        <v>0</v>
      </c>
      <c r="E98" s="1795">
        <v>0</v>
      </c>
      <c r="F98" s="1795">
        <v>1</v>
      </c>
      <c r="G98" s="1795">
        <v>10</v>
      </c>
    </row>
    <row r="99" spans="1:7" x14ac:dyDescent="0.15">
      <c r="A99" s="143" t="s">
        <v>1095</v>
      </c>
      <c r="B99" s="1792">
        <f t="shared" si="10"/>
        <v>10</v>
      </c>
      <c r="C99" s="1795">
        <v>4</v>
      </c>
      <c r="D99" s="1795">
        <v>0</v>
      </c>
      <c r="E99" s="1795">
        <v>0</v>
      </c>
      <c r="F99" s="1795">
        <v>2</v>
      </c>
      <c r="G99" s="1795">
        <v>4</v>
      </c>
    </row>
    <row r="100" spans="1:7" x14ac:dyDescent="0.15">
      <c r="A100" s="143" t="s">
        <v>1096</v>
      </c>
      <c r="B100" s="1792">
        <f t="shared" si="10"/>
        <v>7</v>
      </c>
      <c r="C100" s="1795">
        <v>2</v>
      </c>
      <c r="D100" s="1795">
        <v>1</v>
      </c>
      <c r="E100" s="1795">
        <v>0</v>
      </c>
      <c r="F100" s="1795">
        <v>2</v>
      </c>
      <c r="G100" s="1795">
        <v>2</v>
      </c>
    </row>
    <row r="101" spans="1:7" x14ac:dyDescent="0.15">
      <c r="A101" s="143" t="s">
        <v>1097</v>
      </c>
      <c r="B101" s="1792">
        <f t="shared" si="10"/>
        <v>2</v>
      </c>
      <c r="C101" s="1795">
        <v>0</v>
      </c>
      <c r="D101" s="1795">
        <v>0</v>
      </c>
      <c r="E101" s="1795">
        <v>0</v>
      </c>
      <c r="F101" s="1795">
        <v>0</v>
      </c>
      <c r="G101" s="1795">
        <v>2</v>
      </c>
    </row>
    <row r="102" spans="1:7" x14ac:dyDescent="0.15">
      <c r="A102" s="767" t="s">
        <v>16</v>
      </c>
      <c r="B102" s="1792">
        <f t="shared" si="10"/>
        <v>39</v>
      </c>
      <c r="C102" s="1792">
        <f t="shared" ref="C102:G102" si="15">SUM(C103:C109)</f>
        <v>10</v>
      </c>
      <c r="D102" s="1792">
        <f t="shared" si="15"/>
        <v>2</v>
      </c>
      <c r="E102" s="1792">
        <f t="shared" si="15"/>
        <v>3</v>
      </c>
      <c r="F102" s="1792">
        <f t="shared" si="15"/>
        <v>10</v>
      </c>
      <c r="G102" s="1792">
        <f t="shared" si="15"/>
        <v>14</v>
      </c>
    </row>
    <row r="103" spans="1:7" x14ac:dyDescent="0.15">
      <c r="A103" s="143" t="s">
        <v>1091</v>
      </c>
      <c r="B103" s="1792">
        <f t="shared" si="10"/>
        <v>0</v>
      </c>
      <c r="C103" s="1795">
        <v>0</v>
      </c>
      <c r="D103" s="1795">
        <v>0</v>
      </c>
      <c r="E103" s="1795">
        <v>0</v>
      </c>
      <c r="F103" s="1795">
        <v>0</v>
      </c>
      <c r="G103" s="1795">
        <v>0</v>
      </c>
    </row>
    <row r="104" spans="1:7" x14ac:dyDescent="0.15">
      <c r="A104" s="143" t="s">
        <v>1092</v>
      </c>
      <c r="B104" s="1792">
        <f t="shared" si="10"/>
        <v>0</v>
      </c>
      <c r="C104" s="1795">
        <v>0</v>
      </c>
      <c r="D104" s="1795">
        <v>0</v>
      </c>
      <c r="E104" s="1795">
        <v>0</v>
      </c>
      <c r="F104" s="1795">
        <v>0</v>
      </c>
      <c r="G104" s="1795">
        <v>0</v>
      </c>
    </row>
    <row r="105" spans="1:7" x14ac:dyDescent="0.15">
      <c r="A105" s="143" t="s">
        <v>1093</v>
      </c>
      <c r="B105" s="1792">
        <f t="shared" si="10"/>
        <v>4</v>
      </c>
      <c r="C105" s="1795">
        <v>2</v>
      </c>
      <c r="D105" s="1795">
        <v>0</v>
      </c>
      <c r="E105" s="1795">
        <v>0</v>
      </c>
      <c r="F105" s="1795">
        <v>1</v>
      </c>
      <c r="G105" s="1795">
        <v>1</v>
      </c>
    </row>
    <row r="106" spans="1:7" x14ac:dyDescent="0.15">
      <c r="A106" s="143" t="s">
        <v>1094</v>
      </c>
      <c r="B106" s="1792">
        <f t="shared" si="10"/>
        <v>14</v>
      </c>
      <c r="C106" s="1795">
        <v>2</v>
      </c>
      <c r="D106" s="1795">
        <v>2</v>
      </c>
      <c r="E106" s="1795">
        <v>1</v>
      </c>
      <c r="F106" s="1795">
        <v>3</v>
      </c>
      <c r="G106" s="1795">
        <v>6</v>
      </c>
    </row>
    <row r="107" spans="1:7" x14ac:dyDescent="0.15">
      <c r="A107" s="143" t="s">
        <v>1095</v>
      </c>
      <c r="B107" s="1792">
        <f t="shared" si="10"/>
        <v>10</v>
      </c>
      <c r="C107" s="1795">
        <v>2</v>
      </c>
      <c r="D107" s="1795">
        <v>0</v>
      </c>
      <c r="E107" s="1795">
        <v>2</v>
      </c>
      <c r="F107" s="1795">
        <v>4</v>
      </c>
      <c r="G107" s="1795">
        <v>2</v>
      </c>
    </row>
    <row r="108" spans="1:7" x14ac:dyDescent="0.15">
      <c r="A108" s="143" t="s">
        <v>1096</v>
      </c>
      <c r="B108" s="1792">
        <f t="shared" si="10"/>
        <v>9</v>
      </c>
      <c r="C108" s="1795">
        <v>3</v>
      </c>
      <c r="D108" s="1795">
        <v>0</v>
      </c>
      <c r="E108" s="1795">
        <v>0</v>
      </c>
      <c r="F108" s="1795">
        <v>2</v>
      </c>
      <c r="G108" s="1795">
        <v>4</v>
      </c>
    </row>
    <row r="109" spans="1:7" x14ac:dyDescent="0.15">
      <c r="A109" s="143" t="s">
        <v>1097</v>
      </c>
      <c r="B109" s="1792">
        <f t="shared" si="10"/>
        <v>2</v>
      </c>
      <c r="C109" s="1795">
        <v>1</v>
      </c>
      <c r="D109" s="1795">
        <v>0</v>
      </c>
      <c r="E109" s="1795">
        <v>0</v>
      </c>
      <c r="F109" s="1795">
        <v>0</v>
      </c>
      <c r="G109" s="1795">
        <v>1</v>
      </c>
    </row>
    <row r="110" spans="1:7" x14ac:dyDescent="0.15">
      <c r="A110" s="767" t="s">
        <v>17</v>
      </c>
      <c r="B110" s="1792">
        <f t="shared" si="10"/>
        <v>71</v>
      </c>
      <c r="C110" s="1792">
        <f t="shared" ref="C110:G110" si="16">SUM(C111:C117)</f>
        <v>8</v>
      </c>
      <c r="D110" s="1792">
        <f t="shared" si="16"/>
        <v>6</v>
      </c>
      <c r="E110" s="1792">
        <f t="shared" si="16"/>
        <v>1</v>
      </c>
      <c r="F110" s="1792">
        <f t="shared" si="16"/>
        <v>0</v>
      </c>
      <c r="G110" s="1792">
        <f t="shared" si="16"/>
        <v>56</v>
      </c>
    </row>
    <row r="111" spans="1:7" x14ac:dyDescent="0.15">
      <c r="A111" s="143" t="s">
        <v>1091</v>
      </c>
      <c r="B111" s="1792">
        <f t="shared" si="10"/>
        <v>2</v>
      </c>
      <c r="C111" s="1795">
        <v>0</v>
      </c>
      <c r="D111" s="1795">
        <v>0</v>
      </c>
      <c r="E111" s="1795">
        <v>0</v>
      </c>
      <c r="F111" s="1795">
        <v>0</v>
      </c>
      <c r="G111" s="1795">
        <v>2</v>
      </c>
    </row>
    <row r="112" spans="1:7" x14ac:dyDescent="0.15">
      <c r="A112" s="143" t="s">
        <v>1092</v>
      </c>
      <c r="B112" s="1792">
        <f t="shared" si="10"/>
        <v>6</v>
      </c>
      <c r="C112" s="1795">
        <v>0</v>
      </c>
      <c r="D112" s="1795">
        <v>1</v>
      </c>
      <c r="E112" s="1795">
        <v>0</v>
      </c>
      <c r="F112" s="1795">
        <v>0</v>
      </c>
      <c r="G112" s="1795">
        <v>5</v>
      </c>
    </row>
    <row r="113" spans="1:7" x14ac:dyDescent="0.15">
      <c r="A113" s="143" t="s">
        <v>1093</v>
      </c>
      <c r="B113" s="1792">
        <f t="shared" si="10"/>
        <v>19</v>
      </c>
      <c r="C113" s="1795">
        <v>1</v>
      </c>
      <c r="D113" s="1795">
        <v>3</v>
      </c>
      <c r="E113" s="1795">
        <v>0</v>
      </c>
      <c r="F113" s="1795">
        <v>0</v>
      </c>
      <c r="G113" s="1795">
        <v>15</v>
      </c>
    </row>
    <row r="114" spans="1:7" x14ac:dyDescent="0.15">
      <c r="A114" s="143" t="s">
        <v>1094</v>
      </c>
      <c r="B114" s="1792">
        <f t="shared" si="10"/>
        <v>24</v>
      </c>
      <c r="C114" s="1795">
        <v>2</v>
      </c>
      <c r="D114" s="1795">
        <v>2</v>
      </c>
      <c r="E114" s="1795">
        <v>1</v>
      </c>
      <c r="F114" s="1795">
        <v>0</v>
      </c>
      <c r="G114" s="1795">
        <v>19</v>
      </c>
    </row>
    <row r="115" spans="1:7" x14ac:dyDescent="0.15">
      <c r="A115" s="143" t="s">
        <v>1095</v>
      </c>
      <c r="B115" s="1792">
        <f t="shared" si="10"/>
        <v>16</v>
      </c>
      <c r="C115" s="1795">
        <v>4</v>
      </c>
      <c r="D115" s="1795">
        <v>0</v>
      </c>
      <c r="E115" s="1795">
        <v>0</v>
      </c>
      <c r="F115" s="1795">
        <v>0</v>
      </c>
      <c r="G115" s="1795">
        <v>12</v>
      </c>
    </row>
    <row r="116" spans="1:7" x14ac:dyDescent="0.15">
      <c r="A116" s="143" t="s">
        <v>1096</v>
      </c>
      <c r="B116" s="1792">
        <f t="shared" si="10"/>
        <v>2</v>
      </c>
      <c r="C116" s="1795">
        <v>1</v>
      </c>
      <c r="D116" s="1795">
        <v>0</v>
      </c>
      <c r="E116" s="1795">
        <v>0</v>
      </c>
      <c r="F116" s="1795">
        <v>0</v>
      </c>
      <c r="G116" s="1795">
        <v>1</v>
      </c>
    </row>
    <row r="117" spans="1:7" x14ac:dyDescent="0.15">
      <c r="A117" s="143" t="s">
        <v>1097</v>
      </c>
      <c r="B117" s="1792">
        <f t="shared" si="10"/>
        <v>2</v>
      </c>
      <c r="C117" s="1795">
        <v>0</v>
      </c>
      <c r="D117" s="1795">
        <v>0</v>
      </c>
      <c r="E117" s="1795">
        <v>0</v>
      </c>
      <c r="F117" s="1795">
        <v>0</v>
      </c>
      <c r="G117" s="1795">
        <v>2</v>
      </c>
    </row>
    <row r="118" spans="1:7" x14ac:dyDescent="0.15">
      <c r="A118" s="767" t="s">
        <v>18</v>
      </c>
      <c r="B118" s="1792">
        <f t="shared" si="10"/>
        <v>6</v>
      </c>
      <c r="C118" s="1792">
        <f t="shared" ref="C118:G118" si="17">SUM(C119:C125)</f>
        <v>1</v>
      </c>
      <c r="D118" s="1792">
        <f t="shared" si="17"/>
        <v>1</v>
      </c>
      <c r="E118" s="1792">
        <f t="shared" si="17"/>
        <v>0</v>
      </c>
      <c r="F118" s="1792">
        <f t="shared" si="17"/>
        <v>0</v>
      </c>
      <c r="G118" s="1792">
        <f t="shared" si="17"/>
        <v>4</v>
      </c>
    </row>
    <row r="119" spans="1:7" x14ac:dyDescent="0.15">
      <c r="A119" s="143" t="s">
        <v>1091</v>
      </c>
      <c r="B119" s="1792">
        <f t="shared" si="10"/>
        <v>0</v>
      </c>
      <c r="C119" s="1795">
        <v>0</v>
      </c>
      <c r="D119" s="1795">
        <v>0</v>
      </c>
      <c r="E119" s="1795">
        <v>0</v>
      </c>
      <c r="F119" s="1795">
        <v>0</v>
      </c>
      <c r="G119" s="1795">
        <v>0</v>
      </c>
    </row>
    <row r="120" spans="1:7" x14ac:dyDescent="0.15">
      <c r="A120" s="143" t="s">
        <v>1092</v>
      </c>
      <c r="B120" s="1792">
        <f t="shared" si="10"/>
        <v>0</v>
      </c>
      <c r="C120" s="1795">
        <v>0</v>
      </c>
      <c r="D120" s="1795">
        <v>0</v>
      </c>
      <c r="E120" s="1795">
        <v>0</v>
      </c>
      <c r="F120" s="1795">
        <v>0</v>
      </c>
      <c r="G120" s="1795">
        <v>0</v>
      </c>
    </row>
    <row r="121" spans="1:7" x14ac:dyDescent="0.15">
      <c r="A121" s="143" t="s">
        <v>1093</v>
      </c>
      <c r="B121" s="1792">
        <f t="shared" si="10"/>
        <v>0</v>
      </c>
      <c r="C121" s="1795">
        <v>0</v>
      </c>
      <c r="D121" s="1795">
        <v>0</v>
      </c>
      <c r="E121" s="1795">
        <v>0</v>
      </c>
      <c r="F121" s="1795">
        <v>0</v>
      </c>
      <c r="G121" s="1795">
        <v>0</v>
      </c>
    </row>
    <row r="122" spans="1:7" x14ac:dyDescent="0.15">
      <c r="A122" s="143" t="s">
        <v>1094</v>
      </c>
      <c r="B122" s="1792">
        <f t="shared" si="10"/>
        <v>5</v>
      </c>
      <c r="C122" s="1795">
        <v>1</v>
      </c>
      <c r="D122" s="1795">
        <v>1</v>
      </c>
      <c r="E122" s="1795">
        <v>0</v>
      </c>
      <c r="F122" s="1795">
        <v>0</v>
      </c>
      <c r="G122" s="1795">
        <v>3</v>
      </c>
    </row>
    <row r="123" spans="1:7" x14ac:dyDescent="0.15">
      <c r="A123" s="143" t="s">
        <v>1095</v>
      </c>
      <c r="B123" s="1792">
        <f t="shared" si="10"/>
        <v>0</v>
      </c>
      <c r="C123" s="1795">
        <v>0</v>
      </c>
      <c r="D123" s="1795">
        <v>0</v>
      </c>
      <c r="E123" s="1795">
        <v>0</v>
      </c>
      <c r="F123" s="1795">
        <v>0</v>
      </c>
      <c r="G123" s="1795">
        <v>0</v>
      </c>
    </row>
    <row r="124" spans="1:7" x14ac:dyDescent="0.15">
      <c r="A124" s="143" t="s">
        <v>1096</v>
      </c>
      <c r="B124" s="1792">
        <f t="shared" si="10"/>
        <v>0</v>
      </c>
      <c r="C124" s="1795">
        <v>0</v>
      </c>
      <c r="D124" s="1795">
        <v>0</v>
      </c>
      <c r="E124" s="1795">
        <v>0</v>
      </c>
      <c r="F124" s="1795">
        <v>0</v>
      </c>
      <c r="G124" s="1795">
        <v>0</v>
      </c>
    </row>
    <row r="125" spans="1:7" x14ac:dyDescent="0.15">
      <c r="A125" s="143" t="s">
        <v>1097</v>
      </c>
      <c r="B125" s="1792">
        <f t="shared" si="10"/>
        <v>1</v>
      </c>
      <c r="C125" s="1795">
        <v>0</v>
      </c>
      <c r="D125" s="1795">
        <v>0</v>
      </c>
      <c r="E125" s="1795">
        <v>0</v>
      </c>
      <c r="F125" s="1795">
        <v>0</v>
      </c>
      <c r="G125" s="1795">
        <v>1</v>
      </c>
    </row>
    <row r="126" spans="1:7" x14ac:dyDescent="0.15">
      <c r="A126" s="767" t="s">
        <v>19</v>
      </c>
      <c r="B126" s="1792">
        <f t="shared" si="10"/>
        <v>13</v>
      </c>
      <c r="C126" s="1792">
        <f t="shared" ref="C126:G126" si="18">SUM(C127:C133)</f>
        <v>0</v>
      </c>
      <c r="D126" s="1792">
        <f t="shared" si="18"/>
        <v>5</v>
      </c>
      <c r="E126" s="1792">
        <f t="shared" si="18"/>
        <v>0</v>
      </c>
      <c r="F126" s="1792">
        <f t="shared" si="18"/>
        <v>0</v>
      </c>
      <c r="G126" s="1792">
        <f t="shared" si="18"/>
        <v>8</v>
      </c>
    </row>
    <row r="127" spans="1:7" x14ac:dyDescent="0.15">
      <c r="A127" s="143" t="s">
        <v>1091</v>
      </c>
      <c r="B127" s="1792">
        <f t="shared" si="10"/>
        <v>0</v>
      </c>
      <c r="C127" s="1795">
        <v>0</v>
      </c>
      <c r="D127" s="1795">
        <v>0</v>
      </c>
      <c r="E127" s="1795">
        <v>0</v>
      </c>
      <c r="F127" s="1795">
        <v>0</v>
      </c>
      <c r="G127" s="1795">
        <v>0</v>
      </c>
    </row>
    <row r="128" spans="1:7" x14ac:dyDescent="0.15">
      <c r="A128" s="143" t="s">
        <v>1092</v>
      </c>
      <c r="B128" s="1792">
        <f t="shared" si="10"/>
        <v>0</v>
      </c>
      <c r="C128" s="1795">
        <v>0</v>
      </c>
      <c r="D128" s="1795">
        <v>0</v>
      </c>
      <c r="E128" s="1795">
        <v>0</v>
      </c>
      <c r="F128" s="1795">
        <v>0</v>
      </c>
      <c r="G128" s="1795">
        <v>0</v>
      </c>
    </row>
    <row r="129" spans="1:7" x14ac:dyDescent="0.15">
      <c r="A129" s="143" t="s">
        <v>1093</v>
      </c>
      <c r="B129" s="1792">
        <f t="shared" si="10"/>
        <v>0</v>
      </c>
      <c r="C129" s="1795">
        <v>0</v>
      </c>
      <c r="D129" s="1795">
        <v>0</v>
      </c>
      <c r="E129" s="1795">
        <v>0</v>
      </c>
      <c r="F129" s="1795">
        <v>0</v>
      </c>
      <c r="G129" s="1795">
        <v>0</v>
      </c>
    </row>
    <row r="130" spans="1:7" x14ac:dyDescent="0.15">
      <c r="A130" s="143" t="s">
        <v>1094</v>
      </c>
      <c r="B130" s="1792">
        <f t="shared" si="10"/>
        <v>5</v>
      </c>
      <c r="C130" s="1795">
        <v>0</v>
      </c>
      <c r="D130" s="1795">
        <v>0</v>
      </c>
      <c r="E130" s="1795">
        <v>0</v>
      </c>
      <c r="F130" s="1795">
        <v>0</v>
      </c>
      <c r="G130" s="1795">
        <v>5</v>
      </c>
    </row>
    <row r="131" spans="1:7" x14ac:dyDescent="0.15">
      <c r="A131" s="143" t="s">
        <v>1095</v>
      </c>
      <c r="B131" s="1792">
        <f t="shared" si="10"/>
        <v>3</v>
      </c>
      <c r="C131" s="1795">
        <v>0</v>
      </c>
      <c r="D131" s="1795">
        <v>2</v>
      </c>
      <c r="E131" s="1795">
        <v>0</v>
      </c>
      <c r="F131" s="1795">
        <v>0</v>
      </c>
      <c r="G131" s="1795">
        <v>1</v>
      </c>
    </row>
    <row r="132" spans="1:7" x14ac:dyDescent="0.15">
      <c r="A132" s="143" t="s">
        <v>1096</v>
      </c>
      <c r="B132" s="1792">
        <f t="shared" si="10"/>
        <v>3</v>
      </c>
      <c r="C132" s="1795">
        <v>0</v>
      </c>
      <c r="D132" s="1795">
        <v>2</v>
      </c>
      <c r="E132" s="1795">
        <v>0</v>
      </c>
      <c r="F132" s="1795">
        <v>0</v>
      </c>
      <c r="G132" s="1795">
        <v>1</v>
      </c>
    </row>
    <row r="133" spans="1:7" x14ac:dyDescent="0.15">
      <c r="A133" s="143" t="s">
        <v>1097</v>
      </c>
      <c r="B133" s="1792">
        <f t="shared" si="10"/>
        <v>2</v>
      </c>
      <c r="C133" s="1795">
        <v>0</v>
      </c>
      <c r="D133" s="1795">
        <v>1</v>
      </c>
      <c r="E133" s="1795">
        <v>0</v>
      </c>
      <c r="F133" s="1795">
        <v>0</v>
      </c>
      <c r="G133" s="1795">
        <v>1</v>
      </c>
    </row>
    <row r="134" spans="1:7" ht="10.5" customHeight="1" x14ac:dyDescent="0.15">
      <c r="A134" s="2645"/>
      <c r="B134" s="3341"/>
      <c r="C134" s="3341"/>
      <c r="D134" s="3341"/>
      <c r="E134" s="3341"/>
      <c r="F134" s="3341"/>
      <c r="G134" s="3341"/>
    </row>
    <row r="135" spans="1:7" x14ac:dyDescent="0.15">
      <c r="A135" s="3371" t="s">
        <v>20</v>
      </c>
      <c r="B135" s="3625"/>
      <c r="C135" s="3625"/>
      <c r="D135" s="3625"/>
      <c r="E135" s="3625"/>
      <c r="F135" s="3625"/>
      <c r="G135" s="3625"/>
    </row>
    <row r="136" spans="1:7" x14ac:dyDescent="0.15">
      <c r="A136" s="2462" t="s">
        <v>1075</v>
      </c>
      <c r="B136" s="3342"/>
      <c r="C136" s="3342"/>
      <c r="D136" s="3342"/>
      <c r="E136" s="3342"/>
      <c r="F136" s="3342"/>
      <c r="G136" s="3342"/>
    </row>
  </sheetData>
  <mergeCells count="8">
    <mergeCell ref="A135:G135"/>
    <mergeCell ref="A136:G136"/>
    <mergeCell ref="A2:G2"/>
    <mergeCell ref="A3:G3"/>
    <mergeCell ref="A4:A5"/>
    <mergeCell ref="B4:B5"/>
    <mergeCell ref="C4:G4"/>
    <mergeCell ref="A134:G13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M92"/>
  <sheetViews>
    <sheetView zoomScaleNormal="100" workbookViewId="0">
      <selection activeCell="J15" sqref="J15"/>
    </sheetView>
  </sheetViews>
  <sheetFormatPr baseColWidth="10" defaultColWidth="9.140625" defaultRowHeight="10.5" x14ac:dyDescent="0.15"/>
  <cols>
    <col min="1" max="1" width="42.140625" style="97" customWidth="1"/>
    <col min="2" max="6" width="11.28515625" style="97" customWidth="1"/>
    <col min="7" max="16384" width="9.140625" style="97"/>
  </cols>
  <sheetData>
    <row r="2" spans="1:13" ht="22.5" customHeight="1" x14ac:dyDescent="0.15">
      <c r="A2" s="2343" t="s">
        <v>4344</v>
      </c>
      <c r="B2" s="2470"/>
      <c r="C2" s="2470"/>
      <c r="D2" s="2470"/>
      <c r="E2" s="2470"/>
      <c r="F2" s="2471"/>
      <c r="H2" s="2472"/>
      <c r="I2" s="2472"/>
      <c r="J2" s="2472"/>
      <c r="K2" s="2472"/>
      <c r="L2" s="2472"/>
      <c r="M2" s="2473"/>
    </row>
    <row r="3" spans="1:13" ht="10.5" customHeight="1" x14ac:dyDescent="0.15">
      <c r="A3" s="2400"/>
      <c r="B3" s="2400"/>
      <c r="C3" s="2400"/>
      <c r="D3" s="2400"/>
      <c r="E3" s="2400"/>
      <c r="F3" s="2400"/>
    </row>
    <row r="4" spans="1:13" x14ac:dyDescent="0.15">
      <c r="A4" s="2402" t="s">
        <v>423</v>
      </c>
      <c r="B4" s="2474" t="s">
        <v>2</v>
      </c>
      <c r="C4" s="2475"/>
      <c r="D4" s="2475"/>
      <c r="E4" s="2475"/>
      <c r="F4" s="2476"/>
    </row>
    <row r="5" spans="1:13" ht="16.5" customHeight="1" x14ac:dyDescent="0.15">
      <c r="A5" s="2403"/>
      <c r="B5" s="127" t="s">
        <v>424</v>
      </c>
      <c r="C5" s="127" t="s">
        <v>425</v>
      </c>
      <c r="D5" s="127" t="s">
        <v>426</v>
      </c>
      <c r="E5" s="127" t="s">
        <v>427</v>
      </c>
      <c r="F5" s="127" t="s">
        <v>428</v>
      </c>
    </row>
    <row r="6" spans="1:13" x14ac:dyDescent="0.15">
      <c r="A6" s="1996" t="s">
        <v>141</v>
      </c>
      <c r="B6" s="718">
        <f>+B11+B16+B21+B26+B31+B36+B41+B46+B51+B56+B61+B66+B71+B76+B81</f>
        <v>377</v>
      </c>
      <c r="C6" s="718">
        <f>+C11+C16+C21+C26+C31+C36+C41+C46+C51+C56+C61+C66+C71+C76+C81</f>
        <v>54</v>
      </c>
      <c r="D6" s="718">
        <f>+D11+D16+D21+D26+D31+D36+D41+D46+D51+D56+D61+D66+D71+D76+D81</f>
        <v>1164</v>
      </c>
      <c r="E6" s="718">
        <f>+E11+E16+E21+E26+E31+E36+E41+E46+E51+E56+E61+E66+E71+E76+E81</f>
        <v>233</v>
      </c>
      <c r="F6" s="718">
        <f>+F11+F16+F21+F26+F31+F36+F41+F46+F51+F56+F61+F66+F71+F76+F81</f>
        <v>285</v>
      </c>
    </row>
    <row r="7" spans="1:13" x14ac:dyDescent="0.15">
      <c r="A7" s="1996" t="s">
        <v>429</v>
      </c>
      <c r="B7" s="718">
        <f t="shared" ref="B7:E10" si="0">SUM(B12,B17,B22,B27,B32,B37,B42,B47,B52,B57,B62,B67,B72,B77,B82)</f>
        <v>47</v>
      </c>
      <c r="C7" s="718">
        <f t="shared" si="0"/>
        <v>21</v>
      </c>
      <c r="D7" s="718">
        <f t="shared" si="0"/>
        <v>172</v>
      </c>
      <c r="E7" s="718">
        <f t="shared" si="0"/>
        <v>34</v>
      </c>
      <c r="F7" s="718">
        <f>SUM(F12,F17,F22,F27,F32,F37,F42,F47,F52,F57,F62,F67,F72,F77,F82)</f>
        <v>63</v>
      </c>
    </row>
    <row r="8" spans="1:13" x14ac:dyDescent="0.15">
      <c r="A8" s="1996" t="s">
        <v>430</v>
      </c>
      <c r="B8" s="718">
        <f t="shared" si="0"/>
        <v>236</v>
      </c>
      <c r="C8" s="718">
        <f t="shared" si="0"/>
        <v>31</v>
      </c>
      <c r="D8" s="718">
        <f t="shared" si="0"/>
        <v>684</v>
      </c>
      <c r="E8" s="718">
        <f t="shared" si="0"/>
        <v>144</v>
      </c>
      <c r="F8" s="718">
        <f>SUM(F13,F18,F23,F28,F33,F38,F43,F48,F53,F58,F63,F68,F73,F78,F83)</f>
        <v>200</v>
      </c>
    </row>
    <row r="9" spans="1:13" x14ac:dyDescent="0.15">
      <c r="A9" s="1996" t="s">
        <v>431</v>
      </c>
      <c r="B9" s="718">
        <f>SUM(B14,B19,B24,B29,B34,B39,B44,B49,B54,B59,B64,B69,B74,B79,B84)</f>
        <v>55</v>
      </c>
      <c r="C9" s="718">
        <f t="shared" si="0"/>
        <v>1</v>
      </c>
      <c r="D9" s="718">
        <f t="shared" si="0"/>
        <v>237</v>
      </c>
      <c r="E9" s="718">
        <f t="shared" si="0"/>
        <v>26</v>
      </c>
      <c r="F9" s="718">
        <f>SUM(F14,F19,F24,F29,F34,F39,F44,F49,F54,F59,F64,F69,F74,F79,F84)</f>
        <v>19</v>
      </c>
    </row>
    <row r="10" spans="1:13" x14ac:dyDescent="0.15">
      <c r="A10" s="1996" t="s">
        <v>432</v>
      </c>
      <c r="B10" s="718">
        <f t="shared" si="0"/>
        <v>39</v>
      </c>
      <c r="C10" s="718">
        <f>SUM(C15,C20,C25,C30,C35,C40,C45,C50,C55,C60,C65,C70,C75,C80,C85)</f>
        <v>1</v>
      </c>
      <c r="D10" s="718">
        <f t="shared" si="0"/>
        <v>71</v>
      </c>
      <c r="E10" s="718">
        <f t="shared" si="0"/>
        <v>29</v>
      </c>
      <c r="F10" s="718">
        <f>SUM(F15,F20,F25,F30,F35,F40,F45,F50,F55,F60,F65,F70,F75,F80,F85)</f>
        <v>3</v>
      </c>
    </row>
    <row r="11" spans="1:13" x14ac:dyDescent="0.15">
      <c r="A11" s="1996" t="s">
        <v>344</v>
      </c>
      <c r="B11" s="718">
        <f>SUM(B12:B15)</f>
        <v>12</v>
      </c>
      <c r="C11" s="718">
        <f>SUM(C12:C15)</f>
        <v>2</v>
      </c>
      <c r="D11" s="718">
        <f>SUM(D12:D15)</f>
        <v>33</v>
      </c>
      <c r="E11" s="718">
        <f>SUM(E12:E15)</f>
        <v>0</v>
      </c>
      <c r="F11" s="718">
        <f>SUM(F12:F15)</f>
        <v>1</v>
      </c>
    </row>
    <row r="12" spans="1:13" x14ac:dyDescent="0.15">
      <c r="A12" s="2001" t="s">
        <v>429</v>
      </c>
      <c r="B12" s="438">
        <v>2</v>
      </c>
      <c r="C12" s="438">
        <v>0</v>
      </c>
      <c r="D12" s="438">
        <v>2</v>
      </c>
      <c r="E12" s="438">
        <v>0</v>
      </c>
      <c r="F12" s="438">
        <v>0</v>
      </c>
    </row>
    <row r="13" spans="1:13" x14ac:dyDescent="0.15">
      <c r="A13" s="2001" t="s">
        <v>430</v>
      </c>
      <c r="B13" s="438">
        <v>5</v>
      </c>
      <c r="C13" s="438">
        <v>2</v>
      </c>
      <c r="D13" s="438">
        <v>9</v>
      </c>
      <c r="E13" s="438">
        <v>0</v>
      </c>
      <c r="F13" s="438">
        <v>0</v>
      </c>
    </row>
    <row r="14" spans="1:13" x14ac:dyDescent="0.15">
      <c r="A14" s="2001" t="s">
        <v>431</v>
      </c>
      <c r="B14" s="438">
        <v>5</v>
      </c>
      <c r="C14" s="438">
        <v>0</v>
      </c>
      <c r="D14" s="438">
        <v>18</v>
      </c>
      <c r="E14" s="438">
        <v>0</v>
      </c>
      <c r="F14" s="438">
        <v>1</v>
      </c>
    </row>
    <row r="15" spans="1:13" x14ac:dyDescent="0.15">
      <c r="A15" s="2001" t="s">
        <v>432</v>
      </c>
      <c r="B15" s="438">
        <v>0</v>
      </c>
      <c r="C15" s="438">
        <v>0</v>
      </c>
      <c r="D15" s="438">
        <v>4</v>
      </c>
      <c r="E15" s="438">
        <v>0</v>
      </c>
      <c r="F15" s="438">
        <v>0</v>
      </c>
    </row>
    <row r="16" spans="1:13" x14ac:dyDescent="0.15">
      <c r="A16" s="1996" t="s">
        <v>6</v>
      </c>
      <c r="B16" s="718">
        <f>SUM(B17:B20)</f>
        <v>41</v>
      </c>
      <c r="C16" s="718">
        <f>SUM(C17:C20)</f>
        <v>2</v>
      </c>
      <c r="D16" s="718">
        <f>SUM(D17:D20)</f>
        <v>37</v>
      </c>
      <c r="E16" s="718">
        <f>SUM(E17:E20)</f>
        <v>36</v>
      </c>
      <c r="F16" s="718">
        <f>SUM(F17:F20)</f>
        <v>2</v>
      </c>
    </row>
    <row r="17" spans="1:6" x14ac:dyDescent="0.15">
      <c r="A17" s="2001" t="s">
        <v>429</v>
      </c>
      <c r="B17" s="438">
        <v>15</v>
      </c>
      <c r="C17" s="438">
        <v>0</v>
      </c>
      <c r="D17" s="438">
        <v>10</v>
      </c>
      <c r="E17" s="438">
        <v>5</v>
      </c>
      <c r="F17" s="438">
        <v>1</v>
      </c>
    </row>
    <row r="18" spans="1:6" x14ac:dyDescent="0.15">
      <c r="A18" s="2001" t="s">
        <v>430</v>
      </c>
      <c r="B18" s="438">
        <v>13</v>
      </c>
      <c r="C18" s="438">
        <v>2</v>
      </c>
      <c r="D18" s="438">
        <v>22</v>
      </c>
      <c r="E18" s="438">
        <v>12</v>
      </c>
      <c r="F18" s="438">
        <v>0</v>
      </c>
    </row>
    <row r="19" spans="1:6" x14ac:dyDescent="0.15">
      <c r="A19" s="2001" t="s">
        <v>431</v>
      </c>
      <c r="B19" s="438">
        <v>5</v>
      </c>
      <c r="C19" s="438">
        <v>0</v>
      </c>
      <c r="D19" s="438">
        <v>3</v>
      </c>
      <c r="E19" s="438">
        <v>19</v>
      </c>
      <c r="F19" s="438">
        <v>1</v>
      </c>
    </row>
    <row r="20" spans="1:6" x14ac:dyDescent="0.15">
      <c r="A20" s="2001" t="s">
        <v>432</v>
      </c>
      <c r="B20" s="438">
        <v>8</v>
      </c>
      <c r="C20" s="438">
        <v>0</v>
      </c>
      <c r="D20" s="438">
        <v>2</v>
      </c>
      <c r="E20" s="438">
        <v>0</v>
      </c>
      <c r="F20" s="438">
        <v>0</v>
      </c>
    </row>
    <row r="21" spans="1:6" x14ac:dyDescent="0.15">
      <c r="A21" s="1996" t="s">
        <v>7</v>
      </c>
      <c r="B21" s="718">
        <f>SUM(B22:B25)</f>
        <v>16</v>
      </c>
      <c r="C21" s="718">
        <f>SUM(C22:C25)</f>
        <v>1</v>
      </c>
      <c r="D21" s="718">
        <f>SUM(D22:D25)</f>
        <v>8</v>
      </c>
      <c r="E21" s="718">
        <f>SUM(E22:E25)</f>
        <v>2</v>
      </c>
      <c r="F21" s="718">
        <f>SUM(F22:F25)</f>
        <v>10</v>
      </c>
    </row>
    <row r="22" spans="1:6" x14ac:dyDescent="0.15">
      <c r="A22" s="2001" t="s">
        <v>429</v>
      </c>
      <c r="B22" s="438">
        <v>2</v>
      </c>
      <c r="C22" s="438">
        <v>0</v>
      </c>
      <c r="D22" s="438">
        <v>0</v>
      </c>
      <c r="E22" s="438">
        <v>2</v>
      </c>
      <c r="F22" s="438">
        <v>1</v>
      </c>
    </row>
    <row r="23" spans="1:6" x14ac:dyDescent="0.15">
      <c r="A23" s="2001" t="s">
        <v>430</v>
      </c>
      <c r="B23" s="438">
        <v>7</v>
      </c>
      <c r="C23" s="438">
        <v>0</v>
      </c>
      <c r="D23" s="438">
        <v>3</v>
      </c>
      <c r="E23" s="438">
        <v>0</v>
      </c>
      <c r="F23" s="438">
        <v>0</v>
      </c>
    </row>
    <row r="24" spans="1:6" x14ac:dyDescent="0.15">
      <c r="A24" s="2001" t="s">
        <v>431</v>
      </c>
      <c r="B24" s="438">
        <v>7</v>
      </c>
      <c r="C24" s="438">
        <v>1</v>
      </c>
      <c r="D24" s="438">
        <v>3</v>
      </c>
      <c r="E24" s="438">
        <v>0</v>
      </c>
      <c r="F24" s="438">
        <v>9</v>
      </c>
    </row>
    <row r="25" spans="1:6" x14ac:dyDescent="0.15">
      <c r="A25" s="2001" t="s">
        <v>432</v>
      </c>
      <c r="B25" s="438">
        <v>0</v>
      </c>
      <c r="C25" s="438">
        <v>0</v>
      </c>
      <c r="D25" s="438">
        <v>2</v>
      </c>
      <c r="E25" s="438">
        <v>0</v>
      </c>
      <c r="F25" s="438">
        <v>0</v>
      </c>
    </row>
    <row r="26" spans="1:6" x14ac:dyDescent="0.15">
      <c r="A26" s="1996" t="s">
        <v>8</v>
      </c>
      <c r="B26" s="718">
        <f>SUM(B27:B30)</f>
        <v>20</v>
      </c>
      <c r="C26" s="718">
        <f>SUM(C27:C30)</f>
        <v>5</v>
      </c>
      <c r="D26" s="718">
        <f>SUM(D27:D30)</f>
        <v>48</v>
      </c>
      <c r="E26" s="718">
        <f>SUM(E27:E30)</f>
        <v>0</v>
      </c>
      <c r="F26" s="718">
        <f>SUM(F27:F30)</f>
        <v>8</v>
      </c>
    </row>
    <row r="27" spans="1:6" x14ac:dyDescent="0.15">
      <c r="A27" s="2001" t="s">
        <v>429</v>
      </c>
      <c r="B27" s="438">
        <v>4</v>
      </c>
      <c r="C27" s="438">
        <v>2</v>
      </c>
      <c r="D27" s="438">
        <v>8</v>
      </c>
      <c r="E27" s="438">
        <v>0</v>
      </c>
      <c r="F27" s="438">
        <v>8</v>
      </c>
    </row>
    <row r="28" spans="1:6" x14ac:dyDescent="0.15">
      <c r="A28" s="2001" t="s">
        <v>430</v>
      </c>
      <c r="B28" s="438">
        <v>11</v>
      </c>
      <c r="C28" s="438">
        <v>3</v>
      </c>
      <c r="D28" s="438">
        <v>23</v>
      </c>
      <c r="E28" s="438">
        <v>0</v>
      </c>
      <c r="F28" s="438">
        <v>0</v>
      </c>
    </row>
    <row r="29" spans="1:6" x14ac:dyDescent="0.15">
      <c r="A29" s="2001" t="s">
        <v>431</v>
      </c>
      <c r="B29" s="438">
        <v>4</v>
      </c>
      <c r="C29" s="438">
        <v>0</v>
      </c>
      <c r="D29" s="438">
        <v>17</v>
      </c>
      <c r="E29" s="438">
        <v>0</v>
      </c>
      <c r="F29" s="438">
        <v>0</v>
      </c>
    </row>
    <row r="30" spans="1:6" x14ac:dyDescent="0.15">
      <c r="A30" s="2001" t="s">
        <v>432</v>
      </c>
      <c r="B30" s="438">
        <v>1</v>
      </c>
      <c r="C30" s="438">
        <v>0</v>
      </c>
      <c r="D30" s="438">
        <v>0</v>
      </c>
      <c r="E30" s="438">
        <v>0</v>
      </c>
      <c r="F30" s="438">
        <v>0</v>
      </c>
    </row>
    <row r="31" spans="1:6" x14ac:dyDescent="0.15">
      <c r="A31" s="1996" t="s">
        <v>9</v>
      </c>
      <c r="B31" s="718">
        <f>SUM(B32:B35)</f>
        <v>20</v>
      </c>
      <c r="C31" s="718">
        <f>SUM(C32:C35)</f>
        <v>6</v>
      </c>
      <c r="D31" s="718">
        <f>SUM(D32:D35)</f>
        <v>7</v>
      </c>
      <c r="E31" s="718">
        <f>SUM(E32:E35)</f>
        <v>21</v>
      </c>
      <c r="F31" s="718">
        <f>SUM(F32:F35)</f>
        <v>16</v>
      </c>
    </row>
    <row r="32" spans="1:6" x14ac:dyDescent="0.15">
      <c r="A32" s="2001" t="s">
        <v>429</v>
      </c>
      <c r="B32" s="438">
        <v>2</v>
      </c>
      <c r="C32" s="438">
        <v>3</v>
      </c>
      <c r="D32" s="438">
        <v>6</v>
      </c>
      <c r="E32" s="438">
        <v>8</v>
      </c>
      <c r="F32" s="438">
        <v>3</v>
      </c>
    </row>
    <row r="33" spans="1:6" x14ac:dyDescent="0.15">
      <c r="A33" s="2001" t="s">
        <v>430</v>
      </c>
      <c r="B33" s="438">
        <v>14</v>
      </c>
      <c r="C33" s="438">
        <v>3</v>
      </c>
      <c r="D33" s="438">
        <v>0</v>
      </c>
      <c r="E33" s="438">
        <v>12</v>
      </c>
      <c r="F33" s="438">
        <v>11</v>
      </c>
    </row>
    <row r="34" spans="1:6" x14ac:dyDescent="0.15">
      <c r="A34" s="2001" t="s">
        <v>431</v>
      </c>
      <c r="B34" s="438">
        <v>4</v>
      </c>
      <c r="C34" s="438">
        <v>0</v>
      </c>
      <c r="D34" s="438">
        <v>1</v>
      </c>
      <c r="E34" s="438">
        <v>1</v>
      </c>
      <c r="F34" s="438">
        <v>2</v>
      </c>
    </row>
    <row r="35" spans="1:6" x14ac:dyDescent="0.15">
      <c r="A35" s="2001" t="s">
        <v>432</v>
      </c>
      <c r="B35" s="438">
        <v>0</v>
      </c>
      <c r="C35" s="438">
        <v>0</v>
      </c>
      <c r="D35" s="438">
        <v>0</v>
      </c>
      <c r="E35" s="438">
        <v>0</v>
      </c>
      <c r="F35" s="438">
        <v>0</v>
      </c>
    </row>
    <row r="36" spans="1:6" x14ac:dyDescent="0.15">
      <c r="A36" s="1996" t="s">
        <v>10</v>
      </c>
      <c r="B36" s="718">
        <f>SUM(B37:B40)</f>
        <v>72</v>
      </c>
      <c r="C36" s="718">
        <f>SUM(C37:C40)</f>
        <v>18</v>
      </c>
      <c r="D36" s="718">
        <f>SUM(D37:D40)</f>
        <v>21</v>
      </c>
      <c r="E36" s="718">
        <f>SUM(E37:E40)</f>
        <v>22</v>
      </c>
      <c r="F36" s="718">
        <f>SUM(F37:F40)</f>
        <v>16</v>
      </c>
    </row>
    <row r="37" spans="1:6" x14ac:dyDescent="0.15">
      <c r="A37" s="2001" t="s">
        <v>429</v>
      </c>
      <c r="B37" s="438">
        <v>7</v>
      </c>
      <c r="C37" s="438">
        <v>16</v>
      </c>
      <c r="D37" s="438">
        <v>4</v>
      </c>
      <c r="E37" s="438">
        <v>3</v>
      </c>
      <c r="F37" s="438">
        <v>4</v>
      </c>
    </row>
    <row r="38" spans="1:6" x14ac:dyDescent="0.15">
      <c r="A38" s="2001" t="s">
        <v>430</v>
      </c>
      <c r="B38" s="438">
        <v>38</v>
      </c>
      <c r="C38" s="438">
        <v>1</v>
      </c>
      <c r="D38" s="438">
        <v>16</v>
      </c>
      <c r="E38" s="438">
        <v>19</v>
      </c>
      <c r="F38" s="438">
        <v>11</v>
      </c>
    </row>
    <row r="39" spans="1:6" x14ac:dyDescent="0.15">
      <c r="A39" s="2001" t="s">
        <v>431</v>
      </c>
      <c r="B39" s="438">
        <v>12</v>
      </c>
      <c r="C39" s="438">
        <v>0</v>
      </c>
      <c r="D39" s="438">
        <v>1</v>
      </c>
      <c r="E39" s="438">
        <v>0</v>
      </c>
      <c r="F39" s="438">
        <v>0</v>
      </c>
    </row>
    <row r="40" spans="1:6" x14ac:dyDescent="0.15">
      <c r="A40" s="2001" t="s">
        <v>432</v>
      </c>
      <c r="B40" s="438">
        <v>15</v>
      </c>
      <c r="C40" s="438">
        <v>1</v>
      </c>
      <c r="D40" s="438">
        <v>0</v>
      </c>
      <c r="E40" s="438">
        <v>0</v>
      </c>
      <c r="F40" s="438">
        <v>1</v>
      </c>
    </row>
    <row r="41" spans="1:6" x14ac:dyDescent="0.15">
      <c r="A41" s="1996" t="s">
        <v>11</v>
      </c>
      <c r="B41" s="718">
        <f>SUM(B42:B45)</f>
        <v>70</v>
      </c>
      <c r="C41" s="718">
        <f>SUM(C42:C45)</f>
        <v>8</v>
      </c>
      <c r="D41" s="718">
        <f>SUM(D42:D45)</f>
        <v>146</v>
      </c>
      <c r="E41" s="718">
        <f>SUM(E42:E45)</f>
        <v>3</v>
      </c>
      <c r="F41" s="1527">
        <f>SUM(F42:F45)</f>
        <v>23</v>
      </c>
    </row>
    <row r="42" spans="1:6" x14ac:dyDescent="0.15">
      <c r="A42" s="2001" t="s">
        <v>429</v>
      </c>
      <c r="B42" s="438">
        <v>2</v>
      </c>
      <c r="C42" s="438">
        <v>0</v>
      </c>
      <c r="D42" s="438">
        <v>54</v>
      </c>
      <c r="E42" s="438">
        <v>0</v>
      </c>
      <c r="F42" s="438">
        <v>7</v>
      </c>
    </row>
    <row r="43" spans="1:6" x14ac:dyDescent="0.15">
      <c r="A43" s="2001" t="s">
        <v>430</v>
      </c>
      <c r="B43" s="438">
        <v>53</v>
      </c>
      <c r="C43" s="438">
        <v>8</v>
      </c>
      <c r="D43" s="438">
        <v>79</v>
      </c>
      <c r="E43" s="438">
        <v>2</v>
      </c>
      <c r="F43" s="438">
        <v>15</v>
      </c>
    </row>
    <row r="44" spans="1:6" x14ac:dyDescent="0.15">
      <c r="A44" s="2001" t="s">
        <v>431</v>
      </c>
      <c r="B44" s="438">
        <v>5</v>
      </c>
      <c r="C44" s="438">
        <v>0</v>
      </c>
      <c r="D44" s="438">
        <v>13</v>
      </c>
      <c r="E44" s="438">
        <v>1</v>
      </c>
      <c r="F44" s="438">
        <v>0</v>
      </c>
    </row>
    <row r="45" spans="1:6" x14ac:dyDescent="0.15">
      <c r="A45" s="2001" t="s">
        <v>432</v>
      </c>
      <c r="B45" s="438">
        <v>10</v>
      </c>
      <c r="C45" s="438">
        <v>0</v>
      </c>
      <c r="D45" s="438">
        <v>0</v>
      </c>
      <c r="E45" s="438">
        <v>0</v>
      </c>
      <c r="F45" s="438">
        <v>1</v>
      </c>
    </row>
    <row r="46" spans="1:6" x14ac:dyDescent="0.15">
      <c r="A46" s="1996" t="s">
        <v>433</v>
      </c>
      <c r="B46" s="718">
        <f>SUM(B47:B50)</f>
        <v>23</v>
      </c>
      <c r="C46" s="718">
        <f>SUM(C47:C50)</f>
        <v>3</v>
      </c>
      <c r="D46" s="718">
        <f>SUM(D47:D50)</f>
        <v>187</v>
      </c>
      <c r="E46" s="718">
        <f>SUM(E47:E50)</f>
        <v>47</v>
      </c>
      <c r="F46" s="718">
        <f>SUM(F47:F50)</f>
        <v>31</v>
      </c>
    </row>
    <row r="47" spans="1:6" x14ac:dyDescent="0.15">
      <c r="A47" s="2001" t="s">
        <v>429</v>
      </c>
      <c r="B47" s="438">
        <v>4</v>
      </c>
      <c r="C47" s="438">
        <v>0</v>
      </c>
      <c r="D47" s="438">
        <v>1</v>
      </c>
      <c r="E47" s="438">
        <v>5</v>
      </c>
      <c r="F47" s="438">
        <v>9</v>
      </c>
    </row>
    <row r="48" spans="1:6" x14ac:dyDescent="0.15">
      <c r="A48" s="2001" t="s">
        <v>430</v>
      </c>
      <c r="B48" s="438">
        <v>17</v>
      </c>
      <c r="C48" s="438">
        <v>3</v>
      </c>
      <c r="D48" s="438">
        <v>147</v>
      </c>
      <c r="E48" s="438">
        <v>22</v>
      </c>
      <c r="F48" s="438">
        <v>21</v>
      </c>
    </row>
    <row r="49" spans="1:6" x14ac:dyDescent="0.15">
      <c r="A49" s="2001" t="s">
        <v>431</v>
      </c>
      <c r="B49" s="438">
        <v>2</v>
      </c>
      <c r="C49" s="438">
        <v>0</v>
      </c>
      <c r="D49" s="438">
        <v>39</v>
      </c>
      <c r="E49" s="438">
        <v>5</v>
      </c>
      <c r="F49" s="438">
        <v>1</v>
      </c>
    </row>
    <row r="50" spans="1:6" x14ac:dyDescent="0.15">
      <c r="A50" s="2001" t="s">
        <v>432</v>
      </c>
      <c r="B50" s="438">
        <v>0</v>
      </c>
      <c r="C50" s="438">
        <v>0</v>
      </c>
      <c r="D50" s="438">
        <v>0</v>
      </c>
      <c r="E50" s="438">
        <v>15</v>
      </c>
      <c r="F50" s="438">
        <v>0</v>
      </c>
    </row>
    <row r="51" spans="1:6" x14ac:dyDescent="0.15">
      <c r="A51" s="1996" t="s">
        <v>434</v>
      </c>
      <c r="B51" s="718">
        <f>SUM(B52:B55)</f>
        <v>12</v>
      </c>
      <c r="C51" s="718">
        <f>SUM(C52:C55)</f>
        <v>0</v>
      </c>
      <c r="D51" s="718">
        <f>SUM(D52:D55)</f>
        <v>130</v>
      </c>
      <c r="E51" s="718">
        <f>SUM(E52:E55)</f>
        <v>0</v>
      </c>
      <c r="F51" s="718">
        <f>SUM(F52:F55)</f>
        <v>9</v>
      </c>
    </row>
    <row r="52" spans="1:6" x14ac:dyDescent="0.15">
      <c r="A52" s="2001" t="s">
        <v>429</v>
      </c>
      <c r="B52" s="438">
        <v>2</v>
      </c>
      <c r="C52" s="438">
        <v>0</v>
      </c>
      <c r="D52" s="438">
        <v>1</v>
      </c>
      <c r="E52" s="438">
        <v>0</v>
      </c>
      <c r="F52" s="438">
        <v>6</v>
      </c>
    </row>
    <row r="53" spans="1:6" x14ac:dyDescent="0.15">
      <c r="A53" s="2001" t="s">
        <v>430</v>
      </c>
      <c r="B53" s="438">
        <v>6</v>
      </c>
      <c r="C53" s="438">
        <v>0</v>
      </c>
      <c r="D53" s="438">
        <v>125</v>
      </c>
      <c r="E53" s="438">
        <v>0</v>
      </c>
      <c r="F53" s="438">
        <v>3</v>
      </c>
    </row>
    <row r="54" spans="1:6" x14ac:dyDescent="0.15">
      <c r="A54" s="2001" t="s">
        <v>431</v>
      </c>
      <c r="B54" s="438">
        <v>4</v>
      </c>
      <c r="C54" s="438">
        <v>0</v>
      </c>
      <c r="D54" s="438">
        <v>4</v>
      </c>
      <c r="E54" s="438">
        <v>0</v>
      </c>
      <c r="F54" s="438">
        <v>0</v>
      </c>
    </row>
    <row r="55" spans="1:6" x14ac:dyDescent="0.15">
      <c r="A55" s="2001" t="s">
        <v>432</v>
      </c>
      <c r="B55" s="438">
        <v>0</v>
      </c>
      <c r="C55" s="438">
        <v>0</v>
      </c>
      <c r="D55" s="438">
        <v>0</v>
      </c>
      <c r="E55" s="438">
        <v>0</v>
      </c>
      <c r="F55" s="438">
        <v>0</v>
      </c>
    </row>
    <row r="56" spans="1:6" x14ac:dyDescent="0.15">
      <c r="A56" s="1996" t="s">
        <v>14</v>
      </c>
      <c r="B56" s="718">
        <f>SUM(B57:B60)</f>
        <v>14</v>
      </c>
      <c r="C56" s="718">
        <f>SUM(C57:C60)</f>
        <v>2</v>
      </c>
      <c r="D56" s="718">
        <f>SUM(D57:D60)</f>
        <v>33</v>
      </c>
      <c r="E56" s="718">
        <f>SUM(E57:E60)</f>
        <v>94</v>
      </c>
      <c r="F56" s="718">
        <f>SUM(F57:F60)</f>
        <v>104</v>
      </c>
    </row>
    <row r="57" spans="1:6" x14ac:dyDescent="0.15">
      <c r="A57" s="2001" t="s">
        <v>429</v>
      </c>
      <c r="B57" s="438">
        <v>2</v>
      </c>
      <c r="C57" s="438">
        <v>0</v>
      </c>
      <c r="D57" s="438">
        <v>1</v>
      </c>
      <c r="E57" s="438">
        <v>11</v>
      </c>
      <c r="F57" s="438">
        <v>10</v>
      </c>
    </row>
    <row r="58" spans="1:6" x14ac:dyDescent="0.15">
      <c r="A58" s="2001" t="s">
        <v>430</v>
      </c>
      <c r="B58" s="438">
        <v>9</v>
      </c>
      <c r="C58" s="438">
        <v>2</v>
      </c>
      <c r="D58" s="438">
        <v>32</v>
      </c>
      <c r="E58" s="438">
        <v>69</v>
      </c>
      <c r="F58" s="438">
        <v>90</v>
      </c>
    </row>
    <row r="59" spans="1:6" x14ac:dyDescent="0.15">
      <c r="A59" s="2001" t="s">
        <v>431</v>
      </c>
      <c r="B59" s="438">
        <v>3</v>
      </c>
      <c r="C59" s="438">
        <v>0</v>
      </c>
      <c r="D59" s="438">
        <v>0</v>
      </c>
      <c r="E59" s="438">
        <v>0</v>
      </c>
      <c r="F59" s="438">
        <v>4</v>
      </c>
    </row>
    <row r="60" spans="1:6" x14ac:dyDescent="0.15">
      <c r="A60" s="2001" t="s">
        <v>432</v>
      </c>
      <c r="B60" s="438">
        <v>0</v>
      </c>
      <c r="C60" s="438">
        <v>0</v>
      </c>
      <c r="D60" s="438">
        <v>0</v>
      </c>
      <c r="E60" s="438">
        <v>14</v>
      </c>
      <c r="F60" s="438">
        <v>0</v>
      </c>
    </row>
    <row r="61" spans="1:6" x14ac:dyDescent="0.15">
      <c r="A61" s="1996" t="s">
        <v>350</v>
      </c>
      <c r="B61" s="718">
        <f>SUM(B62:B65)</f>
        <v>35</v>
      </c>
      <c r="C61" s="718">
        <f>SUM(C62:C65)</f>
        <v>0</v>
      </c>
      <c r="D61" s="718">
        <f>SUM(D62:D65)</f>
        <v>138</v>
      </c>
      <c r="E61" s="718">
        <f>SUM(E62:E65)</f>
        <v>0</v>
      </c>
      <c r="F61" s="718">
        <f>SUM(F62:F65)</f>
        <v>46</v>
      </c>
    </row>
    <row r="62" spans="1:6" x14ac:dyDescent="0.15">
      <c r="A62" s="2001" t="s">
        <v>429</v>
      </c>
      <c r="B62" s="438">
        <v>2</v>
      </c>
      <c r="C62" s="438">
        <v>0</v>
      </c>
      <c r="D62" s="438">
        <v>31</v>
      </c>
      <c r="E62" s="438">
        <v>0</v>
      </c>
      <c r="F62" s="438">
        <v>0</v>
      </c>
    </row>
    <row r="63" spans="1:6" x14ac:dyDescent="0.15">
      <c r="A63" s="2001" t="s">
        <v>430</v>
      </c>
      <c r="B63" s="438">
        <v>33</v>
      </c>
      <c r="C63" s="438">
        <v>0</v>
      </c>
      <c r="D63" s="438">
        <v>44</v>
      </c>
      <c r="E63" s="438">
        <v>0</v>
      </c>
      <c r="F63" s="438">
        <v>45</v>
      </c>
    </row>
    <row r="64" spans="1:6" x14ac:dyDescent="0.15">
      <c r="A64" s="2001" t="s">
        <v>431</v>
      </c>
      <c r="B64" s="438">
        <v>0</v>
      </c>
      <c r="C64" s="438">
        <v>0</v>
      </c>
      <c r="D64" s="438">
        <v>32</v>
      </c>
      <c r="E64" s="438">
        <v>0</v>
      </c>
      <c r="F64" s="438">
        <v>0</v>
      </c>
    </row>
    <row r="65" spans="1:6" x14ac:dyDescent="0.15">
      <c r="A65" s="2001" t="s">
        <v>432</v>
      </c>
      <c r="B65" s="438">
        <v>0</v>
      </c>
      <c r="C65" s="438">
        <v>0</v>
      </c>
      <c r="D65" s="438">
        <v>31</v>
      </c>
      <c r="E65" s="438">
        <v>0</v>
      </c>
      <c r="F65" s="438">
        <v>1</v>
      </c>
    </row>
    <row r="66" spans="1:6" x14ac:dyDescent="0.15">
      <c r="A66" s="1996" t="s">
        <v>301</v>
      </c>
      <c r="B66" s="718">
        <f>SUM(B67:B70)</f>
        <v>6</v>
      </c>
      <c r="C66" s="718">
        <f>SUM(C67:C70)</f>
        <v>0</v>
      </c>
      <c r="D66" s="718">
        <f>SUM(D67:D70)</f>
        <v>103</v>
      </c>
      <c r="E66" s="718">
        <f>SUM(E67:E70)</f>
        <v>2</v>
      </c>
      <c r="F66" s="718">
        <f>SUM(F67:F70)</f>
        <v>1</v>
      </c>
    </row>
    <row r="67" spans="1:6" x14ac:dyDescent="0.15">
      <c r="A67" s="2001" t="s">
        <v>429</v>
      </c>
      <c r="B67" s="438">
        <v>0</v>
      </c>
      <c r="C67" s="438">
        <v>0</v>
      </c>
      <c r="D67" s="438">
        <v>16</v>
      </c>
      <c r="E67" s="438">
        <v>0</v>
      </c>
      <c r="F67" s="438">
        <v>1</v>
      </c>
    </row>
    <row r="68" spans="1:6" x14ac:dyDescent="0.15">
      <c r="A68" s="2001" t="s">
        <v>430</v>
      </c>
      <c r="B68" s="438">
        <v>5</v>
      </c>
      <c r="C68" s="438">
        <v>0</v>
      </c>
      <c r="D68" s="438">
        <v>30</v>
      </c>
      <c r="E68" s="438">
        <v>2</v>
      </c>
      <c r="F68" s="438">
        <v>0</v>
      </c>
    </row>
    <row r="69" spans="1:6" x14ac:dyDescent="0.15">
      <c r="A69" s="2001" t="s">
        <v>431</v>
      </c>
      <c r="B69" s="438">
        <v>0</v>
      </c>
      <c r="C69" s="438">
        <v>0</v>
      </c>
      <c r="D69" s="438">
        <v>53</v>
      </c>
      <c r="E69" s="438">
        <v>0</v>
      </c>
      <c r="F69" s="438">
        <v>0</v>
      </c>
    </row>
    <row r="70" spans="1:6" x14ac:dyDescent="0.15">
      <c r="A70" s="2001" t="s">
        <v>432</v>
      </c>
      <c r="B70" s="438">
        <v>1</v>
      </c>
      <c r="C70" s="438">
        <v>0</v>
      </c>
      <c r="D70" s="438">
        <v>4</v>
      </c>
      <c r="E70" s="438">
        <v>0</v>
      </c>
      <c r="F70" s="438">
        <v>0</v>
      </c>
    </row>
    <row r="71" spans="1:6" x14ac:dyDescent="0.15">
      <c r="A71" s="1996" t="s">
        <v>303</v>
      </c>
      <c r="B71" s="718">
        <f>SUM(B72:B75)</f>
        <v>28</v>
      </c>
      <c r="C71" s="718">
        <f>SUM(C72:C75)</f>
        <v>4</v>
      </c>
      <c r="D71" s="718">
        <f>SUM(D72:D75)</f>
        <v>177</v>
      </c>
      <c r="E71" s="718">
        <f>SUM(E72:E75)</f>
        <v>0</v>
      </c>
      <c r="F71" s="718">
        <f>SUM(F72:F75)</f>
        <v>13</v>
      </c>
    </row>
    <row r="72" spans="1:6" x14ac:dyDescent="0.15">
      <c r="A72" s="2001" t="s">
        <v>429</v>
      </c>
      <c r="B72" s="438">
        <v>2</v>
      </c>
      <c r="C72" s="438">
        <v>0</v>
      </c>
      <c r="D72" s="438">
        <v>33</v>
      </c>
      <c r="E72" s="438">
        <v>0</v>
      </c>
      <c r="F72" s="438">
        <v>10</v>
      </c>
    </row>
    <row r="73" spans="1:6" x14ac:dyDescent="0.15">
      <c r="A73" s="2001" t="s">
        <v>430</v>
      </c>
      <c r="B73" s="438">
        <v>19</v>
      </c>
      <c r="C73" s="438">
        <v>4</v>
      </c>
      <c r="D73" s="438">
        <v>77</v>
      </c>
      <c r="E73" s="438">
        <v>0</v>
      </c>
      <c r="F73" s="438">
        <v>3</v>
      </c>
    </row>
    <row r="74" spans="1:6" x14ac:dyDescent="0.15">
      <c r="A74" s="2001" t="s">
        <v>431</v>
      </c>
      <c r="B74" s="438">
        <v>3</v>
      </c>
      <c r="C74" s="438">
        <v>0</v>
      </c>
      <c r="D74" s="438">
        <v>46</v>
      </c>
      <c r="E74" s="438">
        <v>0</v>
      </c>
      <c r="F74" s="438">
        <v>0</v>
      </c>
    </row>
    <row r="75" spans="1:6" x14ac:dyDescent="0.15">
      <c r="A75" s="2001" t="s">
        <v>432</v>
      </c>
      <c r="B75" s="438">
        <v>4</v>
      </c>
      <c r="C75" s="438">
        <v>0</v>
      </c>
      <c r="D75" s="438">
        <v>21</v>
      </c>
      <c r="E75" s="438">
        <v>0</v>
      </c>
      <c r="F75" s="438">
        <v>0</v>
      </c>
    </row>
    <row r="76" spans="1:6" x14ac:dyDescent="0.15">
      <c r="A76" s="1996" t="s">
        <v>435</v>
      </c>
      <c r="B76" s="718">
        <f>SUM(B77:B80)</f>
        <v>3</v>
      </c>
      <c r="C76" s="718">
        <f>SUM(C77:C80)</f>
        <v>0</v>
      </c>
      <c r="D76" s="718">
        <f>SUM(D77:D80)</f>
        <v>50</v>
      </c>
      <c r="E76" s="718">
        <f>SUM(E77:E80)</f>
        <v>0</v>
      </c>
      <c r="F76" s="718">
        <f>SUM(F77:F80)</f>
        <v>5</v>
      </c>
    </row>
    <row r="77" spans="1:6" x14ac:dyDescent="0.15">
      <c r="A77" s="2001" t="s">
        <v>429</v>
      </c>
      <c r="B77" s="438">
        <v>0</v>
      </c>
      <c r="C77" s="438">
        <v>0</v>
      </c>
      <c r="D77" s="438">
        <v>0</v>
      </c>
      <c r="E77" s="438">
        <v>0</v>
      </c>
      <c r="F77" s="438">
        <v>3</v>
      </c>
    </row>
    <row r="78" spans="1:6" x14ac:dyDescent="0.15">
      <c r="A78" s="2001" t="s">
        <v>430</v>
      </c>
      <c r="B78" s="438">
        <v>3</v>
      </c>
      <c r="C78" s="438">
        <v>0</v>
      </c>
      <c r="D78" s="438">
        <v>50</v>
      </c>
      <c r="E78" s="438">
        <v>0</v>
      </c>
      <c r="F78" s="438">
        <v>1</v>
      </c>
    </row>
    <row r="79" spans="1:6" x14ac:dyDescent="0.15">
      <c r="A79" s="2001" t="s">
        <v>431</v>
      </c>
      <c r="B79" s="438">
        <v>0</v>
      </c>
      <c r="C79" s="438">
        <v>0</v>
      </c>
      <c r="D79" s="438">
        <v>0</v>
      </c>
      <c r="E79" s="438">
        <v>0</v>
      </c>
      <c r="F79" s="438">
        <v>1</v>
      </c>
    </row>
    <row r="80" spans="1:6" x14ac:dyDescent="0.15">
      <c r="A80" s="2001" t="s">
        <v>432</v>
      </c>
      <c r="B80" s="438">
        <v>0</v>
      </c>
      <c r="C80" s="438">
        <v>0</v>
      </c>
      <c r="D80" s="438">
        <v>0</v>
      </c>
      <c r="E80" s="438">
        <v>0</v>
      </c>
      <c r="F80" s="438">
        <v>0</v>
      </c>
    </row>
    <row r="81" spans="1:6" x14ac:dyDescent="0.15">
      <c r="A81" s="1996" t="s">
        <v>19</v>
      </c>
      <c r="B81" s="718">
        <f>SUM(B82:B85)</f>
        <v>5</v>
      </c>
      <c r="C81" s="718">
        <f>SUM(C82:C85)</f>
        <v>3</v>
      </c>
      <c r="D81" s="718">
        <f>SUM(D82:D85)</f>
        <v>46</v>
      </c>
      <c r="E81" s="718">
        <f>SUM(E82:E85)</f>
        <v>6</v>
      </c>
      <c r="F81" s="718">
        <f>SUM(F82:F85)</f>
        <v>0</v>
      </c>
    </row>
    <row r="82" spans="1:6" x14ac:dyDescent="0.15">
      <c r="A82" s="2001" t="s">
        <v>429</v>
      </c>
      <c r="B82" s="438">
        <v>1</v>
      </c>
      <c r="C82" s="438">
        <v>0</v>
      </c>
      <c r="D82" s="438">
        <v>5</v>
      </c>
      <c r="E82" s="438">
        <v>0</v>
      </c>
      <c r="F82" s="438">
        <v>0</v>
      </c>
    </row>
    <row r="83" spans="1:6" x14ac:dyDescent="0.15">
      <c r="A83" s="2001" t="s">
        <v>430</v>
      </c>
      <c r="B83" s="438">
        <v>3</v>
      </c>
      <c r="C83" s="438">
        <v>3</v>
      </c>
      <c r="D83" s="438">
        <v>27</v>
      </c>
      <c r="E83" s="438">
        <v>6</v>
      </c>
      <c r="F83" s="438">
        <v>0</v>
      </c>
    </row>
    <row r="84" spans="1:6" x14ac:dyDescent="0.15">
      <c r="A84" s="2001" t="s">
        <v>431</v>
      </c>
      <c r="B84" s="438">
        <v>1</v>
      </c>
      <c r="C84" s="438">
        <v>0</v>
      </c>
      <c r="D84" s="438">
        <v>7</v>
      </c>
      <c r="E84" s="438">
        <v>0</v>
      </c>
      <c r="F84" s="438">
        <v>0</v>
      </c>
    </row>
    <row r="85" spans="1:6" x14ac:dyDescent="0.15">
      <c r="A85" s="2001" t="s">
        <v>432</v>
      </c>
      <c r="B85" s="438">
        <v>0</v>
      </c>
      <c r="C85" s="438">
        <v>0</v>
      </c>
      <c r="D85" s="438">
        <v>7</v>
      </c>
      <c r="E85" s="438">
        <v>0</v>
      </c>
      <c r="F85" s="438">
        <v>0</v>
      </c>
    </row>
    <row r="86" spans="1:6" x14ac:dyDescent="0.15">
      <c r="A86" s="2477"/>
      <c r="B86" s="2477"/>
      <c r="C86" s="2477"/>
      <c r="D86" s="2477"/>
      <c r="E86" s="2477"/>
      <c r="F86" s="2357"/>
    </row>
    <row r="87" spans="1:6" x14ac:dyDescent="0.15">
      <c r="A87" s="2001"/>
      <c r="B87" s="2001"/>
      <c r="C87" s="2001"/>
      <c r="D87" s="2001"/>
      <c r="E87" s="2001"/>
      <c r="F87" s="2009"/>
    </row>
    <row r="88" spans="1:6" x14ac:dyDescent="0.15">
      <c r="A88" s="175" t="s">
        <v>436</v>
      </c>
      <c r="B88" s="2001"/>
      <c r="C88" s="2001"/>
      <c r="D88" s="2001"/>
      <c r="E88" s="2001"/>
      <c r="F88" s="2009"/>
    </row>
    <row r="89" spans="1:6" x14ac:dyDescent="0.15">
      <c r="A89" s="2390" t="s">
        <v>326</v>
      </c>
      <c r="B89" s="2390"/>
      <c r="C89" s="2390"/>
      <c r="D89" s="2390"/>
      <c r="E89" s="2390"/>
      <c r="F89" s="2373"/>
    </row>
    <row r="90" spans="1:6" ht="23.25" customHeight="1" x14ac:dyDescent="0.15">
      <c r="A90" s="2467" t="s">
        <v>327</v>
      </c>
      <c r="B90" s="2467"/>
      <c r="C90" s="2467"/>
      <c r="D90" s="2467"/>
      <c r="E90" s="2467"/>
      <c r="F90" s="2372"/>
    </row>
    <row r="91" spans="1:6" x14ac:dyDescent="0.15">
      <c r="A91" s="2009"/>
      <c r="B91" s="2009"/>
      <c r="C91" s="2009"/>
      <c r="D91" s="2009"/>
      <c r="E91" s="2009"/>
      <c r="F91" s="2009"/>
    </row>
    <row r="92" spans="1:6" x14ac:dyDescent="0.15">
      <c r="A92" s="2009"/>
      <c r="B92" s="2009"/>
      <c r="C92" s="2009"/>
      <c r="D92" s="2009"/>
      <c r="E92" s="2009"/>
      <c r="F92" s="2009"/>
    </row>
  </sheetData>
  <mergeCells count="8">
    <mergeCell ref="A89:F89"/>
    <mergeCell ref="A90:F90"/>
    <mergeCell ref="A2:F2"/>
    <mergeCell ref="H2:M2"/>
    <mergeCell ref="A3:F3"/>
    <mergeCell ref="A4:A5"/>
    <mergeCell ref="B4:F4"/>
    <mergeCell ref="A86:F86"/>
  </mergeCells>
  <pageMargins left="0.78740157480314965" right="0.78740157480314965" top="0.78740157480314965" bottom="0.78740157480314965" header="0.78740157480314965" footer="0.78740157480314965"/>
  <pageSetup paperSize="9" scale="65" orientation="portrait" verticalDpi="599" r:id="rId1"/>
  <headerFooter alignWithMargins="0">
    <oddFooter>&amp;L&amp;C&amp;R</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9"/>
  <dimension ref="A2:N54"/>
  <sheetViews>
    <sheetView workbookViewId="0">
      <selection activeCell="A2" sqref="A2:L2"/>
    </sheetView>
  </sheetViews>
  <sheetFormatPr baseColWidth="10" defaultColWidth="9.140625" defaultRowHeight="10.5" x14ac:dyDescent="0.15"/>
  <cols>
    <col min="1" max="1" width="28.5703125" style="167" customWidth="1"/>
    <col min="2" max="2" width="13.42578125" style="167" customWidth="1"/>
    <col min="3" max="7" width="14.28515625" style="167" customWidth="1"/>
    <col min="8" max="8" width="17.140625" style="167" customWidth="1"/>
    <col min="9" max="11" width="14.28515625" style="167" customWidth="1"/>
    <col min="12" max="12" width="14.28515625" style="968" customWidth="1"/>
    <col min="13" max="13" width="9.140625" style="167" customWidth="1"/>
    <col min="14" max="16384" width="9.140625" style="167"/>
  </cols>
  <sheetData>
    <row r="2" spans="1:14" x14ac:dyDescent="0.15">
      <c r="A2" s="2694" t="s">
        <v>4235</v>
      </c>
      <c r="B2" s="3030"/>
      <c r="C2" s="3030"/>
      <c r="D2" s="3030"/>
      <c r="E2" s="3030"/>
      <c r="F2" s="3030"/>
      <c r="G2" s="3030"/>
      <c r="H2" s="3030"/>
      <c r="I2" s="3030"/>
      <c r="J2" s="3030"/>
      <c r="K2" s="3030"/>
      <c r="L2" s="3030"/>
    </row>
    <row r="3" spans="1:14" ht="11.25" customHeight="1" x14ac:dyDescent="0.15">
      <c r="A3" s="3317"/>
      <c r="B3" s="2357"/>
      <c r="C3" s="2357"/>
      <c r="D3" s="2357"/>
      <c r="E3" s="2357"/>
      <c r="F3" s="2357"/>
      <c r="G3" s="2357"/>
      <c r="H3" s="2357"/>
      <c r="I3" s="2357"/>
      <c r="J3" s="2357"/>
      <c r="K3" s="2357"/>
      <c r="L3" s="2357"/>
    </row>
    <row r="4" spans="1:14" ht="12.75" customHeight="1" x14ac:dyDescent="0.15">
      <c r="A4" s="3377" t="s">
        <v>3786</v>
      </c>
      <c r="B4" s="3629" t="s">
        <v>69</v>
      </c>
      <c r="C4" s="2374" t="s">
        <v>3787</v>
      </c>
      <c r="D4" s="2375"/>
      <c r="E4" s="2375"/>
      <c r="F4" s="2375"/>
      <c r="G4" s="2375"/>
      <c r="H4" s="2375"/>
      <c r="I4" s="2375"/>
      <c r="J4" s="2375"/>
      <c r="K4" s="2375"/>
      <c r="L4" s="2375"/>
    </row>
    <row r="5" spans="1:14" ht="21.75" x14ac:dyDescent="0.15">
      <c r="A5" s="3377"/>
      <c r="B5" s="3629"/>
      <c r="C5" s="1801" t="s">
        <v>3788</v>
      </c>
      <c r="D5" s="1801" t="s">
        <v>3789</v>
      </c>
      <c r="E5" s="1801" t="s">
        <v>3790</v>
      </c>
      <c r="F5" s="1801" t="s">
        <v>3791</v>
      </c>
      <c r="G5" s="1801" t="s">
        <v>3792</v>
      </c>
      <c r="H5" s="1801" t="s">
        <v>3793</v>
      </c>
      <c r="I5" s="1801" t="s">
        <v>3794</v>
      </c>
      <c r="J5" s="1801" t="s">
        <v>3795</v>
      </c>
      <c r="K5" s="1801" t="s">
        <v>3796</v>
      </c>
      <c r="L5" s="1802" t="s">
        <v>3393</v>
      </c>
      <c r="M5" s="1803"/>
      <c r="N5" s="1803"/>
    </row>
    <row r="6" spans="1:14" ht="15" customHeight="1" x14ac:dyDescent="0.15">
      <c r="A6" s="1804" t="s">
        <v>141</v>
      </c>
      <c r="B6" s="1794">
        <f>SUM(B7,B9,B13,B15,B17,B19,B25,B30,B32,B35,B38,B40,B42,B45,B47)</f>
        <v>523926</v>
      </c>
      <c r="C6" s="1798">
        <f t="shared" ref="C6:L6" si="0">SUM(C7,C9,C13,C15,C17,C19,C25,C30,C32,C35,C38,C40,C42,C45,C47)</f>
        <v>75290</v>
      </c>
      <c r="D6" s="1798">
        <f t="shared" si="0"/>
        <v>30719</v>
      </c>
      <c r="E6" s="1794">
        <f t="shared" si="0"/>
        <v>77983</v>
      </c>
      <c r="F6" s="1794">
        <f t="shared" si="0"/>
        <v>12</v>
      </c>
      <c r="G6" s="1794">
        <f t="shared" si="0"/>
        <v>108</v>
      </c>
      <c r="H6" s="1794">
        <f t="shared" si="0"/>
        <v>248</v>
      </c>
      <c r="I6" s="1794">
        <f t="shared" si="0"/>
        <v>222688</v>
      </c>
      <c r="J6" s="1798">
        <f t="shared" si="0"/>
        <v>13</v>
      </c>
      <c r="K6" s="1798">
        <f t="shared" si="0"/>
        <v>11567</v>
      </c>
      <c r="L6" s="1794">
        <f t="shared" si="0"/>
        <v>105298</v>
      </c>
      <c r="M6" s="1803"/>
      <c r="N6" s="1803"/>
    </row>
    <row r="7" spans="1:14" x14ac:dyDescent="0.15">
      <c r="A7" s="146" t="s">
        <v>5</v>
      </c>
      <c r="B7" s="1798">
        <f>SUM(B8)</f>
        <v>4318</v>
      </c>
      <c r="C7" s="1798">
        <f t="shared" ref="C7:L7" si="1">SUM(C8)</f>
        <v>260</v>
      </c>
      <c r="D7" s="1798">
        <f t="shared" si="1"/>
        <v>2990</v>
      </c>
      <c r="E7" s="1798">
        <f t="shared" si="1"/>
        <v>408</v>
      </c>
      <c r="F7" s="1798">
        <f t="shared" si="1"/>
        <v>0</v>
      </c>
      <c r="G7" s="1798">
        <f t="shared" si="1"/>
        <v>0</v>
      </c>
      <c r="H7" s="1798">
        <f t="shared" si="1"/>
        <v>0</v>
      </c>
      <c r="I7" s="1798">
        <f t="shared" si="1"/>
        <v>0</v>
      </c>
      <c r="J7" s="1798">
        <f t="shared" si="1"/>
        <v>0</v>
      </c>
      <c r="K7" s="1798">
        <f t="shared" si="1"/>
        <v>0</v>
      </c>
      <c r="L7" s="1794">
        <f t="shared" si="1"/>
        <v>660</v>
      </c>
      <c r="M7" s="1803"/>
      <c r="N7" s="1803"/>
    </row>
    <row r="8" spans="1:14" ht="22.5" customHeight="1" x14ac:dyDescent="0.15">
      <c r="A8" s="476" t="s">
        <v>3797</v>
      </c>
      <c r="B8" s="1799">
        <v>4318</v>
      </c>
      <c r="C8" s="1799">
        <v>260</v>
      </c>
      <c r="D8" s="1799">
        <v>2990</v>
      </c>
      <c r="E8" s="1799">
        <v>408</v>
      </c>
      <c r="F8" s="1799">
        <v>0</v>
      </c>
      <c r="G8" s="1799">
        <v>0</v>
      </c>
      <c r="H8" s="1799">
        <v>0</v>
      </c>
      <c r="I8" s="1799">
        <v>0</v>
      </c>
      <c r="J8" s="1799">
        <v>0</v>
      </c>
      <c r="K8" s="1799">
        <v>0</v>
      </c>
      <c r="L8" s="1796">
        <v>660</v>
      </c>
      <c r="M8" s="1803"/>
      <c r="N8" s="1803"/>
    </row>
    <row r="9" spans="1:14" x14ac:dyDescent="0.15">
      <c r="A9" s="146" t="s">
        <v>6</v>
      </c>
      <c r="B9" s="1798">
        <f>SUM(B10:B12)</f>
        <v>83891</v>
      </c>
      <c r="C9" s="1798">
        <f t="shared" ref="C9:L9" si="2">SUM(C10:C12)</f>
        <v>1548</v>
      </c>
      <c r="D9" s="1798">
        <f t="shared" si="2"/>
        <v>4364</v>
      </c>
      <c r="E9" s="1798">
        <f t="shared" si="2"/>
        <v>0</v>
      </c>
      <c r="F9" s="1798">
        <f t="shared" si="2"/>
        <v>1</v>
      </c>
      <c r="G9" s="1798">
        <f t="shared" si="2"/>
        <v>100</v>
      </c>
      <c r="H9" s="1798">
        <f t="shared" si="2"/>
        <v>32</v>
      </c>
      <c r="I9" s="1798">
        <f t="shared" si="2"/>
        <v>40</v>
      </c>
      <c r="J9" s="1798">
        <f t="shared" si="2"/>
        <v>1</v>
      </c>
      <c r="K9" s="1798">
        <f t="shared" si="2"/>
        <v>2923</v>
      </c>
      <c r="L9" s="1794">
        <f t="shared" si="2"/>
        <v>74882</v>
      </c>
      <c r="M9" s="1803"/>
      <c r="N9" s="1803"/>
    </row>
    <row r="10" spans="1:14" ht="22.5" customHeight="1" x14ac:dyDescent="0.15">
      <c r="A10" s="476" t="s">
        <v>3798</v>
      </c>
      <c r="B10" s="1799">
        <v>0</v>
      </c>
      <c r="C10" s="1799">
        <v>0</v>
      </c>
      <c r="D10" s="1799">
        <v>0</v>
      </c>
      <c r="E10" s="1799">
        <v>0</v>
      </c>
      <c r="F10" s="1799">
        <v>0</v>
      </c>
      <c r="G10" s="1799">
        <v>0</v>
      </c>
      <c r="H10" s="1799">
        <v>0</v>
      </c>
      <c r="I10" s="1799">
        <v>0</v>
      </c>
      <c r="J10" s="1799">
        <v>0</v>
      </c>
      <c r="K10" s="1799">
        <v>0</v>
      </c>
      <c r="L10" s="1796">
        <v>0</v>
      </c>
      <c r="M10" s="1803"/>
      <c r="N10" s="1803"/>
    </row>
    <row r="11" spans="1:14" ht="22.5" customHeight="1" x14ac:dyDescent="0.15">
      <c r="A11" s="476" t="s">
        <v>3799</v>
      </c>
      <c r="B11" s="1799">
        <v>83891</v>
      </c>
      <c r="C11" s="1799">
        <v>1548</v>
      </c>
      <c r="D11" s="1799">
        <v>4364</v>
      </c>
      <c r="E11" s="1799">
        <v>0</v>
      </c>
      <c r="F11" s="1799">
        <v>1</v>
      </c>
      <c r="G11" s="1799">
        <v>100</v>
      </c>
      <c r="H11" s="1799">
        <v>32</v>
      </c>
      <c r="I11" s="1799">
        <v>40</v>
      </c>
      <c r="J11" s="1799">
        <v>1</v>
      </c>
      <c r="K11" s="1799">
        <v>2923</v>
      </c>
      <c r="L11" s="1796">
        <v>74882</v>
      </c>
      <c r="M11" s="1803"/>
      <c r="N11" s="1803"/>
    </row>
    <row r="12" spans="1:14" ht="22.5" customHeight="1" x14ac:dyDescent="0.15">
      <c r="A12" s="476" t="s">
        <v>3800</v>
      </c>
      <c r="B12" s="1799">
        <v>0</v>
      </c>
      <c r="C12" s="1799">
        <v>0</v>
      </c>
      <c r="D12" s="1799">
        <v>0</v>
      </c>
      <c r="E12" s="1799">
        <v>0</v>
      </c>
      <c r="F12" s="1799">
        <v>0</v>
      </c>
      <c r="G12" s="1799">
        <v>0</v>
      </c>
      <c r="H12" s="1799">
        <v>0</v>
      </c>
      <c r="I12" s="1799">
        <v>0</v>
      </c>
      <c r="J12" s="1799">
        <v>0</v>
      </c>
      <c r="K12" s="1799">
        <v>0</v>
      </c>
      <c r="L12" s="1796">
        <v>0</v>
      </c>
      <c r="M12" s="1803"/>
      <c r="N12" s="1803"/>
    </row>
    <row r="13" spans="1:14" x14ac:dyDescent="0.15">
      <c r="A13" s="146" t="s">
        <v>7</v>
      </c>
      <c r="B13" s="1798">
        <f>SUM(B14)</f>
        <v>1838</v>
      </c>
      <c r="C13" s="1798">
        <f t="shared" ref="C13:L13" si="3">SUM(C14)</f>
        <v>1838</v>
      </c>
      <c r="D13" s="1798">
        <f t="shared" si="3"/>
        <v>0</v>
      </c>
      <c r="E13" s="1798">
        <f t="shared" si="3"/>
        <v>0</v>
      </c>
      <c r="F13" s="1798">
        <f t="shared" si="3"/>
        <v>0</v>
      </c>
      <c r="G13" s="1798">
        <f t="shared" si="3"/>
        <v>0</v>
      </c>
      <c r="H13" s="1798">
        <f t="shared" si="3"/>
        <v>0</v>
      </c>
      <c r="I13" s="1798">
        <f t="shared" si="3"/>
        <v>0</v>
      </c>
      <c r="J13" s="1798">
        <f t="shared" si="3"/>
        <v>0</v>
      </c>
      <c r="K13" s="1798">
        <f t="shared" si="3"/>
        <v>0</v>
      </c>
      <c r="L13" s="1794">
        <f t="shared" si="3"/>
        <v>0</v>
      </c>
      <c r="M13" s="1803"/>
      <c r="N13" s="1803"/>
    </row>
    <row r="14" spans="1:14" ht="22.5" customHeight="1" x14ac:dyDescent="0.15">
      <c r="A14" s="476" t="s">
        <v>3801</v>
      </c>
      <c r="B14" s="1799">
        <v>1838</v>
      </c>
      <c r="C14" s="1799">
        <v>1838</v>
      </c>
      <c r="D14" s="1799">
        <v>0</v>
      </c>
      <c r="E14" s="1799">
        <v>0</v>
      </c>
      <c r="F14" s="1799">
        <v>0</v>
      </c>
      <c r="G14" s="1799">
        <v>0</v>
      </c>
      <c r="H14" s="1799">
        <v>0</v>
      </c>
      <c r="I14" s="1799">
        <v>0</v>
      </c>
      <c r="J14" s="1799">
        <v>0</v>
      </c>
      <c r="K14" s="1799">
        <v>0</v>
      </c>
      <c r="L14" s="1796">
        <v>0</v>
      </c>
      <c r="M14" s="1805"/>
      <c r="N14" s="1803"/>
    </row>
    <row r="15" spans="1:14" x14ac:dyDescent="0.15">
      <c r="A15" s="146" t="s">
        <v>8</v>
      </c>
      <c r="B15" s="1798">
        <f>SUM(B16)</f>
        <v>0</v>
      </c>
      <c r="C15" s="1798">
        <f t="shared" ref="C15:L15" si="4">SUM(C16)</f>
        <v>0</v>
      </c>
      <c r="D15" s="1798">
        <f t="shared" si="4"/>
        <v>0</v>
      </c>
      <c r="E15" s="1798">
        <f t="shared" si="4"/>
        <v>0</v>
      </c>
      <c r="F15" s="1798">
        <f t="shared" si="4"/>
        <v>0</v>
      </c>
      <c r="G15" s="1798">
        <f t="shared" si="4"/>
        <v>0</v>
      </c>
      <c r="H15" s="1798">
        <f t="shared" si="4"/>
        <v>0</v>
      </c>
      <c r="I15" s="1798">
        <f t="shared" si="4"/>
        <v>0</v>
      </c>
      <c r="J15" s="1798">
        <f t="shared" si="4"/>
        <v>0</v>
      </c>
      <c r="K15" s="1798">
        <f t="shared" si="4"/>
        <v>0</v>
      </c>
      <c r="L15" s="1794">
        <f t="shared" si="4"/>
        <v>0</v>
      </c>
      <c r="M15" s="1805"/>
      <c r="N15" s="1803"/>
    </row>
    <row r="16" spans="1:14" ht="22.5" customHeight="1" x14ac:dyDescent="0.15">
      <c r="A16" s="476" t="s">
        <v>3802</v>
      </c>
      <c r="B16" s="1799">
        <v>0</v>
      </c>
      <c r="C16" s="1799">
        <v>0</v>
      </c>
      <c r="D16" s="1799">
        <v>0</v>
      </c>
      <c r="E16" s="1799">
        <v>0</v>
      </c>
      <c r="F16" s="1799">
        <v>0</v>
      </c>
      <c r="G16" s="1799">
        <v>0</v>
      </c>
      <c r="H16" s="1799">
        <v>0</v>
      </c>
      <c r="I16" s="1799">
        <v>0</v>
      </c>
      <c r="J16" s="1799">
        <v>0</v>
      </c>
      <c r="K16" s="1799">
        <v>0</v>
      </c>
      <c r="L16" s="1796">
        <v>0</v>
      </c>
      <c r="M16" s="1803"/>
      <c r="N16" s="1803"/>
    </row>
    <row r="17" spans="1:14" x14ac:dyDescent="0.15">
      <c r="A17" s="146" t="s">
        <v>9</v>
      </c>
      <c r="B17" s="1798">
        <f>SUM(B18)</f>
        <v>1916</v>
      </c>
      <c r="C17" s="1798">
        <f t="shared" ref="C17:L17" si="5">SUM(C18)</f>
        <v>1254</v>
      </c>
      <c r="D17" s="1798">
        <f t="shared" si="5"/>
        <v>662</v>
      </c>
      <c r="E17" s="1798">
        <f t="shared" si="5"/>
        <v>0</v>
      </c>
      <c r="F17" s="1798">
        <f t="shared" si="5"/>
        <v>0</v>
      </c>
      <c r="G17" s="1798">
        <f t="shared" si="5"/>
        <v>0</v>
      </c>
      <c r="H17" s="1798">
        <f t="shared" si="5"/>
        <v>0</v>
      </c>
      <c r="I17" s="1798">
        <f t="shared" si="5"/>
        <v>0</v>
      </c>
      <c r="J17" s="1798">
        <f t="shared" si="5"/>
        <v>0</v>
      </c>
      <c r="K17" s="1798">
        <f t="shared" si="5"/>
        <v>0</v>
      </c>
      <c r="L17" s="1794">
        <f t="shared" si="5"/>
        <v>0</v>
      </c>
      <c r="M17" s="1805"/>
      <c r="N17" s="1803"/>
    </row>
    <row r="18" spans="1:14" ht="21.75" customHeight="1" x14ac:dyDescent="0.15">
      <c r="A18" s="476" t="s">
        <v>3803</v>
      </c>
      <c r="B18" s="1799">
        <v>1916</v>
      </c>
      <c r="C18" s="1799">
        <v>1254</v>
      </c>
      <c r="D18" s="1799">
        <v>662</v>
      </c>
      <c r="E18" s="1799">
        <v>0</v>
      </c>
      <c r="F18" s="1799">
        <v>0</v>
      </c>
      <c r="G18" s="1799">
        <v>0</v>
      </c>
      <c r="H18" s="1799">
        <v>0</v>
      </c>
      <c r="I18" s="1799">
        <v>0</v>
      </c>
      <c r="J18" s="1799">
        <v>0</v>
      </c>
      <c r="K18" s="1799">
        <v>0</v>
      </c>
      <c r="L18" s="1796">
        <v>0</v>
      </c>
      <c r="M18" s="1803"/>
      <c r="N18" s="1803"/>
    </row>
    <row r="19" spans="1:14" x14ac:dyDescent="0.15">
      <c r="A19" s="146" t="s">
        <v>10</v>
      </c>
      <c r="B19" s="1798">
        <f>SUM(B20:B24)</f>
        <v>9288</v>
      </c>
      <c r="C19" s="1798">
        <f t="shared" ref="C19:L19" si="6">SUM(C20:C24)</f>
        <v>128</v>
      </c>
      <c r="D19" s="1798">
        <f t="shared" si="6"/>
        <v>2994</v>
      </c>
      <c r="E19" s="1798">
        <f t="shared" si="6"/>
        <v>6166</v>
      </c>
      <c r="F19" s="1798">
        <f t="shared" si="6"/>
        <v>0</v>
      </c>
      <c r="G19" s="1798">
        <f t="shared" si="6"/>
        <v>0</v>
      </c>
      <c r="H19" s="1798">
        <f t="shared" si="6"/>
        <v>0</v>
      </c>
      <c r="I19" s="1798">
        <f t="shared" si="6"/>
        <v>0</v>
      </c>
      <c r="J19" s="1798">
        <f t="shared" si="6"/>
        <v>0</v>
      </c>
      <c r="K19" s="1798">
        <f t="shared" si="6"/>
        <v>0</v>
      </c>
      <c r="L19" s="1794">
        <f t="shared" si="6"/>
        <v>0</v>
      </c>
      <c r="M19" s="1805"/>
      <c r="N19" s="1803"/>
    </row>
    <row r="20" spans="1:14" ht="22.5" customHeight="1" x14ac:dyDescent="0.15">
      <c r="A20" s="476" t="s">
        <v>3804</v>
      </c>
      <c r="B20" s="1799">
        <v>2350</v>
      </c>
      <c r="C20" s="1799">
        <v>128</v>
      </c>
      <c r="D20" s="1799">
        <v>2222</v>
      </c>
      <c r="E20" s="1799">
        <v>0</v>
      </c>
      <c r="F20" s="1799">
        <v>0</v>
      </c>
      <c r="G20" s="1799">
        <v>0</v>
      </c>
      <c r="H20" s="1799">
        <v>0</v>
      </c>
      <c r="I20" s="1799">
        <v>0</v>
      </c>
      <c r="J20" s="1799">
        <v>0</v>
      </c>
      <c r="K20" s="1799">
        <v>0</v>
      </c>
      <c r="L20" s="1796">
        <v>0</v>
      </c>
      <c r="M20" s="1805"/>
      <c r="N20" s="1803"/>
    </row>
    <row r="21" spans="1:14" ht="22.5" customHeight="1" x14ac:dyDescent="0.15">
      <c r="A21" s="476" t="s">
        <v>3805</v>
      </c>
      <c r="B21" s="1799">
        <v>4350</v>
      </c>
      <c r="C21" s="1799">
        <v>0</v>
      </c>
      <c r="D21" s="1799">
        <v>352</v>
      </c>
      <c r="E21" s="1799">
        <v>3998</v>
      </c>
      <c r="F21" s="1799">
        <v>0</v>
      </c>
      <c r="G21" s="1799">
        <v>0</v>
      </c>
      <c r="H21" s="1799">
        <v>0</v>
      </c>
      <c r="I21" s="1799">
        <v>0</v>
      </c>
      <c r="J21" s="1799">
        <v>0</v>
      </c>
      <c r="K21" s="1799">
        <v>0</v>
      </c>
      <c r="L21" s="1796">
        <v>0</v>
      </c>
      <c r="M21" s="1803"/>
      <c r="N21" s="1803"/>
    </row>
    <row r="22" spans="1:14" ht="22.5" customHeight="1" x14ac:dyDescent="0.15">
      <c r="A22" s="476" t="s">
        <v>3806</v>
      </c>
      <c r="B22" s="1799">
        <v>0</v>
      </c>
      <c r="C22" s="1799">
        <v>0</v>
      </c>
      <c r="D22" s="1799">
        <v>0</v>
      </c>
      <c r="E22" s="1799">
        <v>0</v>
      </c>
      <c r="F22" s="1799">
        <v>0</v>
      </c>
      <c r="G22" s="1799">
        <v>0</v>
      </c>
      <c r="H22" s="1799">
        <v>0</v>
      </c>
      <c r="I22" s="1799">
        <v>0</v>
      </c>
      <c r="J22" s="1799">
        <v>0</v>
      </c>
      <c r="K22" s="1799">
        <v>0</v>
      </c>
      <c r="L22" s="1796">
        <v>0</v>
      </c>
      <c r="M22" s="1803"/>
      <c r="N22" s="1803"/>
    </row>
    <row r="23" spans="1:14" ht="22.5" customHeight="1" x14ac:dyDescent="0.15">
      <c r="A23" s="476" t="s">
        <v>3807</v>
      </c>
      <c r="B23" s="1799">
        <v>2588</v>
      </c>
      <c r="C23" s="1799">
        <v>0</v>
      </c>
      <c r="D23" s="1799">
        <v>420</v>
      </c>
      <c r="E23" s="1799">
        <v>2168</v>
      </c>
      <c r="F23" s="1799">
        <v>0</v>
      </c>
      <c r="G23" s="1799">
        <v>0</v>
      </c>
      <c r="H23" s="1799">
        <v>0</v>
      </c>
      <c r="I23" s="1799">
        <v>0</v>
      </c>
      <c r="J23" s="1799">
        <v>0</v>
      </c>
      <c r="K23" s="1799">
        <v>0</v>
      </c>
      <c r="L23" s="1796">
        <v>0</v>
      </c>
      <c r="M23" s="1803"/>
      <c r="N23" s="1803"/>
    </row>
    <row r="24" spans="1:14" ht="21" x14ac:dyDescent="0.15">
      <c r="A24" s="476" t="s">
        <v>3808</v>
      </c>
      <c r="B24" s="1799">
        <v>0</v>
      </c>
      <c r="C24" s="1799">
        <v>0</v>
      </c>
      <c r="D24" s="1799">
        <v>0</v>
      </c>
      <c r="E24" s="1799">
        <v>0</v>
      </c>
      <c r="F24" s="1799">
        <v>0</v>
      </c>
      <c r="G24" s="1799">
        <v>0</v>
      </c>
      <c r="H24" s="1799">
        <v>0</v>
      </c>
      <c r="I24" s="1799">
        <v>0</v>
      </c>
      <c r="J24" s="1799">
        <v>0</v>
      </c>
      <c r="K24" s="1799">
        <v>0</v>
      </c>
      <c r="L24" s="1796">
        <v>0</v>
      </c>
      <c r="M24" s="1803"/>
      <c r="N24" s="1803"/>
    </row>
    <row r="25" spans="1:14" x14ac:dyDescent="0.15">
      <c r="A25" s="146" t="s">
        <v>11</v>
      </c>
      <c r="B25" s="1798">
        <f>SUM(B26:B29)</f>
        <v>397281</v>
      </c>
      <c r="C25" s="1798">
        <f t="shared" ref="C25:L25" si="7">SUM(C26:C29)</f>
        <v>70228</v>
      </c>
      <c r="D25" s="1798">
        <f t="shared" si="7"/>
        <v>1042</v>
      </c>
      <c r="E25" s="1798">
        <f t="shared" si="7"/>
        <v>64749</v>
      </c>
      <c r="F25" s="1798">
        <f t="shared" si="7"/>
        <v>4</v>
      </c>
      <c r="G25" s="1798">
        <f t="shared" si="7"/>
        <v>2</v>
      </c>
      <c r="H25" s="1798">
        <f t="shared" si="7"/>
        <v>198</v>
      </c>
      <c r="I25" s="1798">
        <f t="shared" si="7"/>
        <v>222648</v>
      </c>
      <c r="J25" s="1798">
        <f t="shared" si="7"/>
        <v>10</v>
      </c>
      <c r="K25" s="1798">
        <f t="shared" si="7"/>
        <v>8644</v>
      </c>
      <c r="L25" s="1794">
        <f t="shared" si="7"/>
        <v>29756</v>
      </c>
      <c r="M25" s="1805"/>
      <c r="N25" s="1803"/>
    </row>
    <row r="26" spans="1:14" ht="22.5" customHeight="1" x14ac:dyDescent="0.15">
      <c r="A26" s="476" t="s">
        <v>3809</v>
      </c>
      <c r="B26" s="1799">
        <v>2323</v>
      </c>
      <c r="C26" s="1799">
        <v>0</v>
      </c>
      <c r="D26" s="1799">
        <v>352</v>
      </c>
      <c r="E26" s="1799">
        <v>1971</v>
      </c>
      <c r="F26" s="1799">
        <v>0</v>
      </c>
      <c r="G26" s="1799">
        <v>0</v>
      </c>
      <c r="H26" s="1799">
        <v>0</v>
      </c>
      <c r="I26" s="1799">
        <v>0</v>
      </c>
      <c r="J26" s="1799">
        <v>0</v>
      </c>
      <c r="K26" s="1799">
        <v>0</v>
      </c>
      <c r="L26" s="1796">
        <v>0</v>
      </c>
      <c r="M26" s="1803"/>
      <c r="N26" s="1803"/>
    </row>
    <row r="27" spans="1:14" ht="22.5" customHeight="1" x14ac:dyDescent="0.15">
      <c r="A27" s="476" t="s">
        <v>3810</v>
      </c>
      <c r="B27" s="1799">
        <v>0</v>
      </c>
      <c r="C27" s="1799">
        <v>0</v>
      </c>
      <c r="D27" s="1799">
        <v>0</v>
      </c>
      <c r="E27" s="1799">
        <v>0</v>
      </c>
      <c r="F27" s="1799">
        <v>0</v>
      </c>
      <c r="G27" s="1799">
        <v>0</v>
      </c>
      <c r="H27" s="1799">
        <v>0</v>
      </c>
      <c r="I27" s="1799">
        <v>0</v>
      </c>
      <c r="J27" s="1799">
        <v>0</v>
      </c>
      <c r="K27" s="1799">
        <v>0</v>
      </c>
      <c r="L27" s="1796">
        <v>0</v>
      </c>
      <c r="M27" s="1803"/>
      <c r="N27" s="1803"/>
    </row>
    <row r="28" spans="1:14" ht="21" x14ac:dyDescent="0.15">
      <c r="A28" s="476" t="s">
        <v>3811</v>
      </c>
      <c r="B28" s="1799">
        <v>0</v>
      </c>
      <c r="C28" s="1799">
        <v>0</v>
      </c>
      <c r="D28" s="1799">
        <v>0</v>
      </c>
      <c r="E28" s="1799">
        <v>0</v>
      </c>
      <c r="F28" s="1799">
        <v>0</v>
      </c>
      <c r="G28" s="1799">
        <v>0</v>
      </c>
      <c r="H28" s="1799">
        <v>0</v>
      </c>
      <c r="I28" s="1799">
        <v>0</v>
      </c>
      <c r="J28" s="1799">
        <v>0</v>
      </c>
      <c r="K28" s="1799">
        <v>0</v>
      </c>
      <c r="L28" s="1796">
        <v>0</v>
      </c>
      <c r="M28" s="1803"/>
      <c r="N28" s="1803"/>
    </row>
    <row r="29" spans="1:14" ht="21.75" x14ac:dyDescent="0.15">
      <c r="A29" s="476" t="s">
        <v>3812</v>
      </c>
      <c r="B29" s="1799">
        <v>394958</v>
      </c>
      <c r="C29" s="1799">
        <v>70228</v>
      </c>
      <c r="D29" s="1799">
        <v>690</v>
      </c>
      <c r="E29" s="1799">
        <v>62778</v>
      </c>
      <c r="F29" s="1799">
        <v>4</v>
      </c>
      <c r="G29" s="1799">
        <v>2</v>
      </c>
      <c r="H29" s="1799">
        <v>198</v>
      </c>
      <c r="I29" s="1799">
        <v>222648</v>
      </c>
      <c r="J29" s="1799">
        <v>10</v>
      </c>
      <c r="K29" s="1799">
        <v>8644</v>
      </c>
      <c r="L29" s="1796">
        <v>29756</v>
      </c>
      <c r="M29" s="1803"/>
      <c r="N29" s="1803"/>
    </row>
    <row r="30" spans="1:14" x14ac:dyDescent="0.15">
      <c r="A30" s="146" t="s">
        <v>12</v>
      </c>
      <c r="B30" s="1798">
        <f>SUM(B31)</f>
        <v>894</v>
      </c>
      <c r="C30" s="1798">
        <f t="shared" ref="C30:L30" si="8">SUM(C31)</f>
        <v>0</v>
      </c>
      <c r="D30" s="1798">
        <f t="shared" si="8"/>
        <v>470</v>
      </c>
      <c r="E30" s="1798">
        <f t="shared" si="8"/>
        <v>418</v>
      </c>
      <c r="F30" s="1798">
        <f t="shared" si="8"/>
        <v>4</v>
      </c>
      <c r="G30" s="1798">
        <f t="shared" si="8"/>
        <v>2</v>
      </c>
      <c r="H30" s="1798">
        <f t="shared" si="8"/>
        <v>0</v>
      </c>
      <c r="I30" s="1798">
        <f t="shared" si="8"/>
        <v>0</v>
      </c>
      <c r="J30" s="1798">
        <f t="shared" si="8"/>
        <v>0</v>
      </c>
      <c r="K30" s="1798">
        <f t="shared" si="8"/>
        <v>0</v>
      </c>
      <c r="L30" s="1794">
        <f t="shared" si="8"/>
        <v>0</v>
      </c>
      <c r="M30" s="1803"/>
      <c r="N30" s="1803"/>
    </row>
    <row r="31" spans="1:14" ht="22.5" customHeight="1" x14ac:dyDescent="0.15">
      <c r="A31" s="476" t="s">
        <v>3813</v>
      </c>
      <c r="B31" s="1799">
        <v>894</v>
      </c>
      <c r="C31" s="1799">
        <v>0</v>
      </c>
      <c r="D31" s="1799">
        <v>470</v>
      </c>
      <c r="E31" s="1799">
        <v>418</v>
      </c>
      <c r="F31" s="1799">
        <v>4</v>
      </c>
      <c r="G31" s="1799">
        <v>2</v>
      </c>
      <c r="H31" s="1799">
        <v>0</v>
      </c>
      <c r="I31" s="1799">
        <v>0</v>
      </c>
      <c r="J31" s="1799">
        <v>0</v>
      </c>
      <c r="K31" s="1799">
        <v>0</v>
      </c>
      <c r="L31" s="1796">
        <v>0</v>
      </c>
      <c r="M31" s="1803"/>
      <c r="N31" s="1803"/>
    </row>
    <row r="32" spans="1:14" x14ac:dyDescent="0.15">
      <c r="A32" s="146" t="s">
        <v>13</v>
      </c>
      <c r="B32" s="1798">
        <f>SUM(B33:B34)</f>
        <v>3568</v>
      </c>
      <c r="C32" s="1798">
        <f t="shared" ref="C32:L32" si="9">SUM(C33:C34)</f>
        <v>34</v>
      </c>
      <c r="D32" s="1798">
        <f t="shared" si="9"/>
        <v>2162</v>
      </c>
      <c r="E32" s="1798">
        <f t="shared" si="9"/>
        <v>1368</v>
      </c>
      <c r="F32" s="1798">
        <f t="shared" si="9"/>
        <v>0</v>
      </c>
      <c r="G32" s="1798">
        <f t="shared" si="9"/>
        <v>0</v>
      </c>
      <c r="H32" s="1798">
        <f t="shared" si="9"/>
        <v>4</v>
      </c>
      <c r="I32" s="1798">
        <f t="shared" si="9"/>
        <v>0</v>
      </c>
      <c r="J32" s="1798">
        <f t="shared" si="9"/>
        <v>0</v>
      </c>
      <c r="K32" s="1798">
        <f t="shared" si="9"/>
        <v>0</v>
      </c>
      <c r="L32" s="1794">
        <f t="shared" si="9"/>
        <v>0</v>
      </c>
      <c r="M32" s="1803"/>
      <c r="N32" s="1803"/>
    </row>
    <row r="33" spans="1:14" ht="21" x14ac:dyDescent="0.15">
      <c r="A33" s="476" t="s">
        <v>3814</v>
      </c>
      <c r="B33" s="1799">
        <v>38</v>
      </c>
      <c r="C33" s="1799">
        <v>34</v>
      </c>
      <c r="D33" s="1799">
        <v>0</v>
      </c>
      <c r="E33" s="1799">
        <v>0</v>
      </c>
      <c r="F33" s="1799">
        <v>0</v>
      </c>
      <c r="G33" s="1799">
        <v>0</v>
      </c>
      <c r="H33" s="1799">
        <v>4</v>
      </c>
      <c r="I33" s="1799">
        <v>0</v>
      </c>
      <c r="J33" s="1799">
        <v>0</v>
      </c>
      <c r="K33" s="1799">
        <v>0</v>
      </c>
      <c r="L33" s="1796">
        <v>0</v>
      </c>
      <c r="M33" s="1803"/>
      <c r="N33" s="1803"/>
    </row>
    <row r="34" spans="1:14" ht="21" customHeight="1" x14ac:dyDescent="0.15">
      <c r="A34" s="476" t="s">
        <v>3815</v>
      </c>
      <c r="B34" s="1799">
        <v>3530</v>
      </c>
      <c r="C34" s="1799">
        <v>0</v>
      </c>
      <c r="D34" s="1799">
        <v>2162</v>
      </c>
      <c r="E34" s="1799">
        <v>1368</v>
      </c>
      <c r="F34" s="1799">
        <v>0</v>
      </c>
      <c r="G34" s="1799">
        <v>0</v>
      </c>
      <c r="H34" s="1799">
        <v>0</v>
      </c>
      <c r="I34" s="1799">
        <v>0</v>
      </c>
      <c r="J34" s="1799">
        <v>0</v>
      </c>
      <c r="K34" s="1799">
        <v>0</v>
      </c>
      <c r="L34" s="1796">
        <v>0</v>
      </c>
      <c r="M34" s="1803"/>
      <c r="N34" s="1803"/>
    </row>
    <row r="35" spans="1:14" x14ac:dyDescent="0.15">
      <c r="A35" s="146" t="s">
        <v>14</v>
      </c>
      <c r="B35" s="1798">
        <f>SUM(B36:B37)</f>
        <v>2388</v>
      </c>
      <c r="C35" s="1798">
        <f t="shared" ref="C35:L35" si="10">SUM(C36:C37)</f>
        <v>0</v>
      </c>
      <c r="D35" s="1798">
        <f t="shared" si="10"/>
        <v>2182</v>
      </c>
      <c r="E35" s="1798">
        <f t="shared" si="10"/>
        <v>200</v>
      </c>
      <c r="F35" s="1798">
        <f t="shared" si="10"/>
        <v>0</v>
      </c>
      <c r="G35" s="1798">
        <f t="shared" si="10"/>
        <v>0</v>
      </c>
      <c r="H35" s="1798">
        <f t="shared" si="10"/>
        <v>6</v>
      </c>
      <c r="I35" s="1798">
        <f t="shared" si="10"/>
        <v>0</v>
      </c>
      <c r="J35" s="1798">
        <f t="shared" si="10"/>
        <v>0</v>
      </c>
      <c r="K35" s="1798">
        <f t="shared" si="10"/>
        <v>0</v>
      </c>
      <c r="L35" s="1794">
        <f t="shared" si="10"/>
        <v>0</v>
      </c>
      <c r="M35" s="1803"/>
      <c r="N35" s="1803"/>
    </row>
    <row r="36" spans="1:14" ht="21" x14ac:dyDescent="0.15">
      <c r="A36" s="476" t="s">
        <v>3816</v>
      </c>
      <c r="B36" s="1799">
        <v>1074</v>
      </c>
      <c r="C36" s="1799">
        <v>0</v>
      </c>
      <c r="D36" s="1799">
        <v>1074</v>
      </c>
      <c r="E36" s="1799">
        <v>0</v>
      </c>
      <c r="F36" s="1799">
        <v>0</v>
      </c>
      <c r="G36" s="1799">
        <v>0</v>
      </c>
      <c r="H36" s="1799">
        <v>0</v>
      </c>
      <c r="I36" s="1799">
        <v>0</v>
      </c>
      <c r="J36" s="1799">
        <v>0</v>
      </c>
      <c r="K36" s="1799">
        <v>0</v>
      </c>
      <c r="L36" s="1796">
        <v>0</v>
      </c>
      <c r="M36" s="1803"/>
      <c r="N36" s="1803"/>
    </row>
    <row r="37" spans="1:14" ht="22.5" customHeight="1" x14ac:dyDescent="0.15">
      <c r="A37" s="476" t="s">
        <v>3817</v>
      </c>
      <c r="B37" s="1799">
        <v>1314</v>
      </c>
      <c r="C37" s="1799">
        <v>0</v>
      </c>
      <c r="D37" s="1799">
        <v>1108</v>
      </c>
      <c r="E37" s="1799">
        <v>200</v>
      </c>
      <c r="F37" s="1799">
        <v>0</v>
      </c>
      <c r="G37" s="1799">
        <v>0</v>
      </c>
      <c r="H37" s="1799">
        <v>6</v>
      </c>
      <c r="I37" s="1799">
        <v>0</v>
      </c>
      <c r="J37" s="1799">
        <v>0</v>
      </c>
      <c r="K37" s="1799">
        <v>0</v>
      </c>
      <c r="L37" s="1796">
        <v>0</v>
      </c>
      <c r="M37" s="1803"/>
      <c r="N37" s="1803"/>
    </row>
    <row r="38" spans="1:14" x14ac:dyDescent="0.15">
      <c r="A38" s="146" t="s">
        <v>15</v>
      </c>
      <c r="B38" s="1798">
        <f>SUM(B39)</f>
        <v>0</v>
      </c>
      <c r="C38" s="1798">
        <f t="shared" ref="C38:L38" si="11">SUM(C39)</f>
        <v>0</v>
      </c>
      <c r="D38" s="1798">
        <f t="shared" si="11"/>
        <v>0</v>
      </c>
      <c r="E38" s="1798">
        <f t="shared" si="11"/>
        <v>0</v>
      </c>
      <c r="F38" s="1798">
        <f t="shared" si="11"/>
        <v>0</v>
      </c>
      <c r="G38" s="1798">
        <f t="shared" si="11"/>
        <v>0</v>
      </c>
      <c r="H38" s="1798">
        <f t="shared" si="11"/>
        <v>0</v>
      </c>
      <c r="I38" s="1798">
        <f t="shared" si="11"/>
        <v>0</v>
      </c>
      <c r="J38" s="1798">
        <f t="shared" si="11"/>
        <v>0</v>
      </c>
      <c r="K38" s="1798">
        <f t="shared" si="11"/>
        <v>0</v>
      </c>
      <c r="L38" s="1794">
        <f t="shared" si="11"/>
        <v>0</v>
      </c>
      <c r="M38" s="1803"/>
      <c r="N38" s="1803"/>
    </row>
    <row r="39" spans="1:14" ht="22.5" customHeight="1" x14ac:dyDescent="0.15">
      <c r="A39" s="476" t="s">
        <v>3818</v>
      </c>
      <c r="B39" s="1799">
        <v>0</v>
      </c>
      <c r="C39" s="1799">
        <v>0</v>
      </c>
      <c r="D39" s="1799">
        <v>0</v>
      </c>
      <c r="E39" s="1799">
        <v>0</v>
      </c>
      <c r="F39" s="1799">
        <v>0</v>
      </c>
      <c r="G39" s="1799">
        <v>0</v>
      </c>
      <c r="H39" s="1799">
        <v>0</v>
      </c>
      <c r="I39" s="1799">
        <v>0</v>
      </c>
      <c r="J39" s="1799">
        <v>0</v>
      </c>
      <c r="K39" s="1799">
        <v>0</v>
      </c>
      <c r="L39" s="1796">
        <v>0</v>
      </c>
      <c r="M39" s="1803"/>
      <c r="N39" s="1803"/>
    </row>
    <row r="40" spans="1:14" x14ac:dyDescent="0.15">
      <c r="A40" s="146" t="s">
        <v>16</v>
      </c>
      <c r="B40" s="1798">
        <f>SUM(B41)</f>
        <v>3756</v>
      </c>
      <c r="C40" s="1798">
        <f t="shared" ref="C40:L40" si="12">SUM(C41)</f>
        <v>0</v>
      </c>
      <c r="D40" s="1798">
        <f t="shared" si="12"/>
        <v>1264</v>
      </c>
      <c r="E40" s="1798">
        <f t="shared" si="12"/>
        <v>2492</v>
      </c>
      <c r="F40" s="1798">
        <f t="shared" si="12"/>
        <v>0</v>
      </c>
      <c r="G40" s="1798">
        <f t="shared" si="12"/>
        <v>0</v>
      </c>
      <c r="H40" s="1798">
        <f t="shared" si="12"/>
        <v>0</v>
      </c>
      <c r="I40" s="1798">
        <f t="shared" si="12"/>
        <v>0</v>
      </c>
      <c r="J40" s="1798">
        <f t="shared" si="12"/>
        <v>0</v>
      </c>
      <c r="K40" s="1798">
        <f t="shared" si="12"/>
        <v>0</v>
      </c>
      <c r="L40" s="1794">
        <f t="shared" si="12"/>
        <v>0</v>
      </c>
      <c r="M40" s="1803"/>
      <c r="N40" s="1803"/>
    </row>
    <row r="41" spans="1:14" ht="22.5" customHeight="1" x14ac:dyDescent="0.15">
      <c r="A41" s="476" t="s">
        <v>3819</v>
      </c>
      <c r="B41" s="1799">
        <v>3756</v>
      </c>
      <c r="C41" s="1799">
        <v>0</v>
      </c>
      <c r="D41" s="1799">
        <v>1264</v>
      </c>
      <c r="E41" s="1799">
        <v>2492</v>
      </c>
      <c r="F41" s="1799">
        <v>0</v>
      </c>
      <c r="G41" s="1799">
        <v>0</v>
      </c>
      <c r="H41" s="1799">
        <v>0</v>
      </c>
      <c r="I41" s="1799">
        <v>0</v>
      </c>
      <c r="J41" s="1799">
        <v>0</v>
      </c>
      <c r="K41" s="1799">
        <v>0</v>
      </c>
      <c r="L41" s="1796">
        <v>0</v>
      </c>
      <c r="M41" s="1803"/>
      <c r="N41" s="1803"/>
    </row>
    <row r="42" spans="1:14" x14ac:dyDescent="0.15">
      <c r="A42" s="146" t="s">
        <v>17</v>
      </c>
      <c r="B42" s="1798">
        <f>SUM(B43:B44)</f>
        <v>8820</v>
      </c>
      <c r="C42" s="1798">
        <f t="shared" ref="C42:L42" si="13">SUM(C43:C44)</f>
        <v>0</v>
      </c>
      <c r="D42" s="1798">
        <f t="shared" si="13"/>
        <v>6621</v>
      </c>
      <c r="E42" s="1798">
        <f t="shared" si="13"/>
        <v>2182</v>
      </c>
      <c r="F42" s="1798">
        <f t="shared" si="13"/>
        <v>3</v>
      </c>
      <c r="G42" s="1798">
        <f t="shared" si="13"/>
        <v>4</v>
      </c>
      <c r="H42" s="1798">
        <f t="shared" si="13"/>
        <v>8</v>
      </c>
      <c r="I42" s="1798">
        <f t="shared" si="13"/>
        <v>0</v>
      </c>
      <c r="J42" s="1798">
        <f t="shared" si="13"/>
        <v>2</v>
      </c>
      <c r="K42" s="1798">
        <f t="shared" si="13"/>
        <v>0</v>
      </c>
      <c r="L42" s="1794">
        <f t="shared" si="13"/>
        <v>0</v>
      </c>
      <c r="M42" s="1803"/>
      <c r="N42" s="1803"/>
    </row>
    <row r="43" spans="1:14" ht="22.5" customHeight="1" x14ac:dyDescent="0.15">
      <c r="A43" s="476" t="s">
        <v>3820</v>
      </c>
      <c r="B43" s="1799">
        <v>420</v>
      </c>
      <c r="C43" s="1799">
        <v>0</v>
      </c>
      <c r="D43" s="1799">
        <v>0</v>
      </c>
      <c r="E43" s="1799">
        <v>419</v>
      </c>
      <c r="F43" s="1799">
        <v>1</v>
      </c>
      <c r="G43" s="1799">
        <v>0</v>
      </c>
      <c r="H43" s="1799">
        <v>0</v>
      </c>
      <c r="I43" s="1799">
        <v>0</v>
      </c>
      <c r="J43" s="1799">
        <v>0</v>
      </c>
      <c r="K43" s="1799">
        <v>0</v>
      </c>
      <c r="L43" s="1796">
        <v>0</v>
      </c>
      <c r="M43" s="1803"/>
      <c r="N43" s="1803"/>
    </row>
    <row r="44" spans="1:14" ht="22.5" customHeight="1" x14ac:dyDescent="0.15">
      <c r="A44" s="476" t="s">
        <v>3821</v>
      </c>
      <c r="B44" s="1799">
        <v>8400</v>
      </c>
      <c r="C44" s="1799">
        <v>0</v>
      </c>
      <c r="D44" s="1799">
        <v>6621</v>
      </c>
      <c r="E44" s="1799">
        <v>1763</v>
      </c>
      <c r="F44" s="1799">
        <v>2</v>
      </c>
      <c r="G44" s="1799">
        <v>4</v>
      </c>
      <c r="H44" s="1799">
        <v>8</v>
      </c>
      <c r="I44" s="1799">
        <v>0</v>
      </c>
      <c r="J44" s="1799">
        <v>2</v>
      </c>
      <c r="K44" s="1799">
        <v>0</v>
      </c>
      <c r="L44" s="1796">
        <v>0</v>
      </c>
      <c r="M44" s="1803"/>
      <c r="N44" s="1803"/>
    </row>
    <row r="45" spans="1:14" x14ac:dyDescent="0.15">
      <c r="A45" s="146" t="s">
        <v>18</v>
      </c>
      <c r="B45" s="1798">
        <f>SUM(B46)</f>
        <v>0</v>
      </c>
      <c r="C45" s="1798">
        <f t="shared" ref="C45:L45" si="14">SUM(C46)</f>
        <v>0</v>
      </c>
      <c r="D45" s="1798">
        <f t="shared" si="14"/>
        <v>0</v>
      </c>
      <c r="E45" s="1798">
        <f t="shared" si="14"/>
        <v>0</v>
      </c>
      <c r="F45" s="1798">
        <f t="shared" si="14"/>
        <v>0</v>
      </c>
      <c r="G45" s="1798">
        <f t="shared" si="14"/>
        <v>0</v>
      </c>
      <c r="H45" s="1798">
        <f t="shared" si="14"/>
        <v>0</v>
      </c>
      <c r="I45" s="1798">
        <f t="shared" si="14"/>
        <v>0</v>
      </c>
      <c r="J45" s="1798">
        <f t="shared" si="14"/>
        <v>0</v>
      </c>
      <c r="K45" s="1798">
        <f t="shared" si="14"/>
        <v>0</v>
      </c>
      <c r="L45" s="1794">
        <f t="shared" si="14"/>
        <v>0</v>
      </c>
      <c r="M45" s="1803"/>
      <c r="N45" s="1803"/>
    </row>
    <row r="46" spans="1:14" ht="22.5" customHeight="1" x14ac:dyDescent="0.15">
      <c r="A46" s="476" t="s">
        <v>3822</v>
      </c>
      <c r="B46" s="1799">
        <v>0</v>
      </c>
      <c r="C46" s="1799">
        <v>0</v>
      </c>
      <c r="D46" s="1799">
        <v>0</v>
      </c>
      <c r="E46" s="1799">
        <v>0</v>
      </c>
      <c r="F46" s="1799">
        <v>0</v>
      </c>
      <c r="G46" s="1799">
        <v>0</v>
      </c>
      <c r="H46" s="1799">
        <v>0</v>
      </c>
      <c r="I46" s="1799">
        <v>0</v>
      </c>
      <c r="J46" s="1799">
        <v>0</v>
      </c>
      <c r="K46" s="1799">
        <v>0</v>
      </c>
      <c r="L46" s="1796">
        <v>0</v>
      </c>
      <c r="M46" s="1803"/>
      <c r="N46" s="1803"/>
    </row>
    <row r="47" spans="1:14" x14ac:dyDescent="0.15">
      <c r="A47" s="146" t="s">
        <v>19</v>
      </c>
      <c r="B47" s="1798">
        <f>SUM(B48)</f>
        <v>5968</v>
      </c>
      <c r="C47" s="1798">
        <f t="shared" ref="C47:L47" si="15">SUM(C48)</f>
        <v>0</v>
      </c>
      <c r="D47" s="1798">
        <f t="shared" si="15"/>
        <v>5968</v>
      </c>
      <c r="E47" s="1798">
        <f t="shared" si="15"/>
        <v>0</v>
      </c>
      <c r="F47" s="1798">
        <f t="shared" si="15"/>
        <v>0</v>
      </c>
      <c r="G47" s="1798">
        <f t="shared" si="15"/>
        <v>0</v>
      </c>
      <c r="H47" s="1798">
        <f t="shared" si="15"/>
        <v>0</v>
      </c>
      <c r="I47" s="1798">
        <f t="shared" si="15"/>
        <v>0</v>
      </c>
      <c r="J47" s="1798">
        <f t="shared" si="15"/>
        <v>0</v>
      </c>
      <c r="K47" s="1798">
        <f t="shared" si="15"/>
        <v>0</v>
      </c>
      <c r="L47" s="1794">
        <f t="shared" si="15"/>
        <v>0</v>
      </c>
      <c r="M47" s="1803"/>
      <c r="N47" s="1803"/>
    </row>
    <row r="48" spans="1:14" ht="22.5" customHeight="1" x14ac:dyDescent="0.15">
      <c r="A48" s="476" t="s">
        <v>3823</v>
      </c>
      <c r="B48" s="1799">
        <v>5968</v>
      </c>
      <c r="C48" s="1799">
        <v>0</v>
      </c>
      <c r="D48" s="1799">
        <v>5968</v>
      </c>
      <c r="E48" s="1799">
        <v>0</v>
      </c>
      <c r="F48" s="1799">
        <v>0</v>
      </c>
      <c r="G48" s="1799">
        <v>0</v>
      </c>
      <c r="H48" s="1799">
        <v>0</v>
      </c>
      <c r="I48" s="1799">
        <v>0</v>
      </c>
      <c r="J48" s="1799">
        <v>0</v>
      </c>
      <c r="K48" s="1799">
        <v>0</v>
      </c>
      <c r="L48" s="1796">
        <v>0</v>
      </c>
      <c r="M48" s="1803"/>
      <c r="N48" s="1803"/>
    </row>
    <row r="49" spans="1:12" x14ac:dyDescent="0.15">
      <c r="A49" s="3182"/>
      <c r="B49" s="3182"/>
      <c r="C49" s="3182"/>
      <c r="D49" s="3182"/>
      <c r="E49" s="3182"/>
      <c r="F49" s="3182"/>
      <c r="G49" s="3182"/>
      <c r="H49" s="3182"/>
      <c r="I49" s="3182"/>
      <c r="J49" s="3182"/>
      <c r="K49" s="3182"/>
      <c r="L49" s="3182"/>
    </row>
    <row r="50" spans="1:12" x14ac:dyDescent="0.15">
      <c r="A50" s="3630" t="s">
        <v>3824</v>
      </c>
      <c r="B50" s="3630"/>
      <c r="C50" s="3630"/>
      <c r="D50" s="3630"/>
      <c r="E50" s="3630"/>
      <c r="F50" s="3630"/>
      <c r="G50" s="3630"/>
      <c r="H50" s="3630"/>
      <c r="I50" s="3630"/>
      <c r="J50" s="3630"/>
      <c r="K50" s="3630"/>
      <c r="L50" s="3630"/>
    </row>
    <row r="51" spans="1:12" x14ac:dyDescent="0.15">
      <c r="A51" s="3030" t="s">
        <v>3825</v>
      </c>
      <c r="B51" s="3030"/>
      <c r="C51" s="3030"/>
      <c r="D51" s="3030"/>
      <c r="E51" s="3030"/>
      <c r="F51" s="3030"/>
      <c r="G51" s="3030"/>
      <c r="H51" s="3030"/>
      <c r="I51" s="3030"/>
      <c r="J51" s="3030"/>
      <c r="K51" s="3030"/>
      <c r="L51" s="3030"/>
    </row>
    <row r="52" spans="1:12" x14ac:dyDescent="0.15">
      <c r="A52" s="3030" t="s">
        <v>3826</v>
      </c>
      <c r="B52" s="3030"/>
      <c r="C52" s="3030"/>
      <c r="D52" s="3030"/>
      <c r="E52" s="3030"/>
      <c r="F52" s="3030"/>
      <c r="G52" s="3030"/>
      <c r="H52" s="3030"/>
      <c r="I52" s="3030"/>
      <c r="J52" s="3030"/>
      <c r="K52" s="3030"/>
      <c r="L52" s="3030"/>
    </row>
    <row r="53" spans="1:12" x14ac:dyDescent="0.15">
      <c r="A53" s="3375" t="s">
        <v>20</v>
      </c>
      <c r="B53" s="3628"/>
      <c r="C53" s="3628"/>
      <c r="D53" s="3628"/>
      <c r="E53" s="3628"/>
      <c r="F53" s="3628"/>
      <c r="G53" s="3628"/>
      <c r="H53" s="3628"/>
      <c r="I53" s="3628"/>
      <c r="J53" s="3628"/>
      <c r="K53" s="3628"/>
      <c r="L53" s="3628"/>
    </row>
    <row r="54" spans="1:12" x14ac:dyDescent="0.15">
      <c r="A54" s="2463" t="s">
        <v>1075</v>
      </c>
      <c r="B54" s="2408"/>
      <c r="C54" s="2408"/>
      <c r="D54" s="2408"/>
      <c r="E54" s="2408"/>
      <c r="F54" s="2408"/>
      <c r="G54" s="2408"/>
      <c r="H54" s="2408"/>
      <c r="I54" s="2408"/>
      <c r="J54" s="2408"/>
      <c r="K54" s="2408"/>
      <c r="L54" s="2408"/>
    </row>
  </sheetData>
  <mergeCells count="11">
    <mergeCell ref="A50:L50"/>
    <mergeCell ref="A51:L51"/>
    <mergeCell ref="A52:L52"/>
    <mergeCell ref="A53:L53"/>
    <mergeCell ref="A54:L54"/>
    <mergeCell ref="A49:L49"/>
    <mergeCell ref="A2:L2"/>
    <mergeCell ref="A3:L3"/>
    <mergeCell ref="A4:A5"/>
    <mergeCell ref="B4:B5"/>
    <mergeCell ref="C4:L4"/>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0"/>
  <dimension ref="A2:G190"/>
  <sheetViews>
    <sheetView zoomScaleNormal="100" workbookViewId="0">
      <selection activeCell="A2" sqref="A2:G2"/>
    </sheetView>
  </sheetViews>
  <sheetFormatPr baseColWidth="10" defaultColWidth="9.140625" defaultRowHeight="10.5" x14ac:dyDescent="0.15"/>
  <cols>
    <col min="1" max="1" width="23.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768" t="s">
        <v>4236</v>
      </c>
      <c r="B2" s="3030"/>
      <c r="C2" s="3030"/>
      <c r="D2" s="3030"/>
      <c r="E2" s="3030"/>
      <c r="F2" s="3030"/>
      <c r="G2" s="3030"/>
    </row>
    <row r="3" spans="1:7" ht="11.25" customHeight="1" x14ac:dyDescent="0.15">
      <c r="A3" s="3626"/>
      <c r="B3" s="3341"/>
      <c r="C3" s="3341"/>
      <c r="D3" s="3341"/>
      <c r="E3" s="3341"/>
      <c r="F3" s="3341"/>
      <c r="G3" s="3341"/>
    </row>
    <row r="4" spans="1:7" ht="12.75" customHeight="1" x14ac:dyDescent="0.15">
      <c r="A4" s="2785" t="s">
        <v>1099</v>
      </c>
      <c r="B4" s="2785" t="s">
        <v>69</v>
      </c>
      <c r="C4" s="2786" t="s">
        <v>3783</v>
      </c>
      <c r="D4" s="3340"/>
      <c r="E4" s="3340"/>
      <c r="F4" s="3340"/>
      <c r="G4" s="3340"/>
    </row>
    <row r="5" spans="1:7" ht="94.5" x14ac:dyDescent="0.15">
      <c r="A5" s="2785"/>
      <c r="B5" s="2785"/>
      <c r="C5" s="1525" t="s">
        <v>3770</v>
      </c>
      <c r="D5" s="1525" t="s">
        <v>3771</v>
      </c>
      <c r="E5" s="1525" t="s">
        <v>3772</v>
      </c>
      <c r="F5" s="1525" t="s">
        <v>3773</v>
      </c>
      <c r="G5" s="1525" t="s">
        <v>3784</v>
      </c>
    </row>
    <row r="6" spans="1:7" s="161" customFormat="1" x14ac:dyDescent="0.15">
      <c r="A6" s="767" t="s">
        <v>141</v>
      </c>
      <c r="B6" s="1792">
        <f t="shared" ref="B6:G6" si="0">SUM(B7,B16,B22,B25,B31,B40,B67,B120,B130,B144,B157,B169,B175,B183,B185)</f>
        <v>909</v>
      </c>
      <c r="C6" s="1792">
        <f t="shared" si="0"/>
        <v>89</v>
      </c>
      <c r="D6" s="1792">
        <f t="shared" si="0"/>
        <v>133</v>
      </c>
      <c r="E6" s="1792">
        <f t="shared" si="0"/>
        <v>15</v>
      </c>
      <c r="F6" s="1792">
        <f t="shared" si="0"/>
        <v>25</v>
      </c>
      <c r="G6" s="1792">
        <f t="shared" si="0"/>
        <v>647</v>
      </c>
    </row>
    <row r="7" spans="1:7" x14ac:dyDescent="0.15">
      <c r="A7" s="767" t="s">
        <v>5</v>
      </c>
      <c r="B7" s="1792">
        <f t="shared" ref="B7:B70" si="1">SUM(C7:G7)</f>
        <v>65</v>
      </c>
      <c r="C7" s="1792">
        <f t="shared" ref="C7:G7" si="2">SUM(C8:C15)</f>
        <v>1</v>
      </c>
      <c r="D7" s="1792">
        <f t="shared" si="2"/>
        <v>10</v>
      </c>
      <c r="E7" s="1792">
        <f t="shared" si="2"/>
        <v>4</v>
      </c>
      <c r="F7" s="1792">
        <f t="shared" si="2"/>
        <v>1</v>
      </c>
      <c r="G7" s="1792">
        <f t="shared" si="2"/>
        <v>49</v>
      </c>
    </row>
    <row r="8" spans="1:7" x14ac:dyDescent="0.15">
      <c r="A8" s="143" t="s">
        <v>1037</v>
      </c>
      <c r="B8" s="1792">
        <f t="shared" si="1"/>
        <v>4</v>
      </c>
      <c r="C8" s="1795">
        <v>0</v>
      </c>
      <c r="D8" s="1795">
        <v>0</v>
      </c>
      <c r="E8" s="1795">
        <v>1</v>
      </c>
      <c r="F8" s="1795">
        <v>0</v>
      </c>
      <c r="G8" s="1795">
        <v>3</v>
      </c>
    </row>
    <row r="9" spans="1:7" x14ac:dyDescent="0.15">
      <c r="A9" s="143" t="s">
        <v>1017</v>
      </c>
      <c r="B9" s="1792">
        <f t="shared" si="1"/>
        <v>1</v>
      </c>
      <c r="C9" s="1795">
        <v>0</v>
      </c>
      <c r="D9" s="1795">
        <v>0</v>
      </c>
      <c r="E9" s="1795">
        <v>1</v>
      </c>
      <c r="F9" s="1795">
        <v>0</v>
      </c>
      <c r="G9" s="1795">
        <v>0</v>
      </c>
    </row>
    <row r="10" spans="1:7" x14ac:dyDescent="0.15">
      <c r="A10" s="143" t="s">
        <v>1018</v>
      </c>
      <c r="B10" s="1792">
        <f t="shared" si="1"/>
        <v>3</v>
      </c>
      <c r="C10" s="1795">
        <v>0</v>
      </c>
      <c r="D10" s="1795">
        <v>1</v>
      </c>
      <c r="E10" s="1795">
        <v>0</v>
      </c>
      <c r="F10" s="1795">
        <v>0</v>
      </c>
      <c r="G10" s="1795">
        <v>2</v>
      </c>
    </row>
    <row r="11" spans="1:7" x14ac:dyDescent="0.15">
      <c r="A11" s="143" t="s">
        <v>7</v>
      </c>
      <c r="B11" s="1792">
        <f t="shared" si="1"/>
        <v>3</v>
      </c>
      <c r="C11" s="1795">
        <v>0</v>
      </c>
      <c r="D11" s="1795">
        <v>1</v>
      </c>
      <c r="E11" s="1795">
        <v>0</v>
      </c>
      <c r="F11" s="1795">
        <v>0</v>
      </c>
      <c r="G11" s="1795">
        <v>2</v>
      </c>
    </row>
    <row r="12" spans="1:7" x14ac:dyDescent="0.15">
      <c r="A12" s="143" t="s">
        <v>1021</v>
      </c>
      <c r="B12" s="1792">
        <f t="shared" si="1"/>
        <v>1</v>
      </c>
      <c r="C12" s="1795">
        <v>0</v>
      </c>
      <c r="D12" s="1795">
        <v>0</v>
      </c>
      <c r="E12" s="1795">
        <v>0</v>
      </c>
      <c r="F12" s="1795">
        <v>0</v>
      </c>
      <c r="G12" s="1795">
        <v>1</v>
      </c>
    </row>
    <row r="13" spans="1:7" x14ac:dyDescent="0.15">
      <c r="A13" s="143" t="s">
        <v>1026</v>
      </c>
      <c r="B13" s="1792">
        <f t="shared" si="1"/>
        <v>1</v>
      </c>
      <c r="C13" s="1795">
        <v>0</v>
      </c>
      <c r="D13" s="1795">
        <v>0</v>
      </c>
      <c r="E13" s="1795">
        <v>0</v>
      </c>
      <c r="F13" s="1795">
        <v>0</v>
      </c>
      <c r="G13" s="1795">
        <v>1</v>
      </c>
    </row>
    <row r="14" spans="1:7" x14ac:dyDescent="0.15">
      <c r="A14" s="143" t="s">
        <v>696</v>
      </c>
      <c r="B14" s="1792">
        <f t="shared" si="1"/>
        <v>42</v>
      </c>
      <c r="C14" s="1795">
        <v>1</v>
      </c>
      <c r="D14" s="1795">
        <v>6</v>
      </c>
      <c r="E14" s="1795">
        <v>2</v>
      </c>
      <c r="F14" s="1795">
        <v>1</v>
      </c>
      <c r="G14" s="1795">
        <v>32</v>
      </c>
    </row>
    <row r="15" spans="1:7" ht="11.25" x14ac:dyDescent="0.15">
      <c r="A15" s="143" t="s">
        <v>3827</v>
      </c>
      <c r="B15" s="1792">
        <f t="shared" si="1"/>
        <v>10</v>
      </c>
      <c r="C15" s="1795">
        <v>0</v>
      </c>
      <c r="D15" s="1795">
        <v>2</v>
      </c>
      <c r="E15" s="1795">
        <v>0</v>
      </c>
      <c r="F15" s="1795">
        <v>0</v>
      </c>
      <c r="G15" s="1795">
        <v>8</v>
      </c>
    </row>
    <row r="16" spans="1:7" x14ac:dyDescent="0.15">
      <c r="A16" s="767" t="s">
        <v>6</v>
      </c>
      <c r="B16" s="1792">
        <f t="shared" si="1"/>
        <v>51</v>
      </c>
      <c r="C16" s="1792">
        <f t="shared" ref="C16:G16" si="3">SUM(C17:C21)</f>
        <v>2</v>
      </c>
      <c r="D16" s="1792">
        <f t="shared" si="3"/>
        <v>9</v>
      </c>
      <c r="E16" s="1792">
        <f t="shared" si="3"/>
        <v>1</v>
      </c>
      <c r="F16" s="1792">
        <f t="shared" si="3"/>
        <v>0</v>
      </c>
      <c r="G16" s="1792">
        <f t="shared" si="3"/>
        <v>39</v>
      </c>
    </row>
    <row r="17" spans="1:7" x14ac:dyDescent="0.15">
      <c r="A17" s="143" t="s">
        <v>1037</v>
      </c>
      <c r="B17" s="1792">
        <f t="shared" si="1"/>
        <v>35</v>
      </c>
      <c r="C17" s="1795">
        <v>1</v>
      </c>
      <c r="D17" s="1795">
        <v>3</v>
      </c>
      <c r="E17" s="1795">
        <v>1</v>
      </c>
      <c r="F17" s="1795">
        <v>0</v>
      </c>
      <c r="G17" s="1795">
        <v>30</v>
      </c>
    </row>
    <row r="18" spans="1:7" x14ac:dyDescent="0.15">
      <c r="A18" s="143" t="s">
        <v>1017</v>
      </c>
      <c r="B18" s="1792">
        <f t="shared" si="1"/>
        <v>13</v>
      </c>
      <c r="C18" s="1795">
        <v>0</v>
      </c>
      <c r="D18" s="1795">
        <v>6</v>
      </c>
      <c r="E18" s="1795">
        <v>0</v>
      </c>
      <c r="F18" s="1795">
        <v>0</v>
      </c>
      <c r="G18" s="1795">
        <v>7</v>
      </c>
    </row>
    <row r="19" spans="1:7" x14ac:dyDescent="0.15">
      <c r="A19" s="143" t="s">
        <v>601</v>
      </c>
      <c r="B19" s="1792">
        <f t="shared" si="1"/>
        <v>1</v>
      </c>
      <c r="C19" s="1795">
        <v>0</v>
      </c>
      <c r="D19" s="1795">
        <v>0</v>
      </c>
      <c r="E19" s="1795">
        <v>0</v>
      </c>
      <c r="F19" s="1795">
        <v>0</v>
      </c>
      <c r="G19" s="1795">
        <v>1</v>
      </c>
    </row>
    <row r="20" spans="1:7" x14ac:dyDescent="0.15">
      <c r="A20" s="143" t="s">
        <v>1100</v>
      </c>
      <c r="B20" s="1792">
        <f t="shared" si="1"/>
        <v>1</v>
      </c>
      <c r="C20" s="1795">
        <v>0</v>
      </c>
      <c r="D20" s="1795">
        <v>0</v>
      </c>
      <c r="E20" s="1795">
        <v>0</v>
      </c>
      <c r="F20" s="1795">
        <v>0</v>
      </c>
      <c r="G20" s="1795">
        <v>1</v>
      </c>
    </row>
    <row r="21" spans="1:7" x14ac:dyDescent="0.15">
      <c r="A21" s="143" t="s">
        <v>1026</v>
      </c>
      <c r="B21" s="1792">
        <f t="shared" si="1"/>
        <v>1</v>
      </c>
      <c r="C21" s="1795">
        <v>1</v>
      </c>
      <c r="D21" s="1795">
        <v>0</v>
      </c>
      <c r="E21" s="1795">
        <v>0</v>
      </c>
      <c r="F21" s="1795">
        <v>0</v>
      </c>
      <c r="G21" s="1795">
        <v>0</v>
      </c>
    </row>
    <row r="22" spans="1:7" x14ac:dyDescent="0.15">
      <c r="A22" s="767" t="s">
        <v>7</v>
      </c>
      <c r="B22" s="1792">
        <f t="shared" si="1"/>
        <v>28</v>
      </c>
      <c r="C22" s="1792">
        <f t="shared" ref="C22:G22" si="4">SUM(C23:C24)</f>
        <v>0</v>
      </c>
      <c r="D22" s="1792">
        <f t="shared" si="4"/>
        <v>13</v>
      </c>
      <c r="E22" s="1792">
        <f t="shared" si="4"/>
        <v>0</v>
      </c>
      <c r="F22" s="1792">
        <f t="shared" si="4"/>
        <v>0</v>
      </c>
      <c r="G22" s="1792">
        <f t="shared" si="4"/>
        <v>15</v>
      </c>
    </row>
    <row r="23" spans="1:7" x14ac:dyDescent="0.15">
      <c r="A23" s="143" t="s">
        <v>1018</v>
      </c>
      <c r="B23" s="1792">
        <f t="shared" si="1"/>
        <v>8</v>
      </c>
      <c r="C23" s="1795">
        <v>0</v>
      </c>
      <c r="D23" s="1795">
        <v>3</v>
      </c>
      <c r="E23" s="1795">
        <v>0</v>
      </c>
      <c r="F23" s="1795">
        <v>0</v>
      </c>
      <c r="G23" s="1795">
        <v>5</v>
      </c>
    </row>
    <row r="24" spans="1:7" x14ac:dyDescent="0.15">
      <c r="A24" s="143" t="s">
        <v>7</v>
      </c>
      <c r="B24" s="1792">
        <f t="shared" si="1"/>
        <v>20</v>
      </c>
      <c r="C24" s="1795">
        <v>0</v>
      </c>
      <c r="D24" s="1795">
        <v>10</v>
      </c>
      <c r="E24" s="1795">
        <v>0</v>
      </c>
      <c r="F24" s="1795">
        <v>0</v>
      </c>
      <c r="G24" s="1795">
        <v>10</v>
      </c>
    </row>
    <row r="25" spans="1:7" x14ac:dyDescent="0.15">
      <c r="A25" s="767" t="s">
        <v>8</v>
      </c>
      <c r="B25" s="1792">
        <f t="shared" si="1"/>
        <v>43</v>
      </c>
      <c r="C25" s="1792">
        <f t="shared" ref="C25:G25" si="5">SUM(C26:C30)</f>
        <v>8</v>
      </c>
      <c r="D25" s="1792">
        <f t="shared" si="5"/>
        <v>20</v>
      </c>
      <c r="E25" s="1792">
        <f t="shared" si="5"/>
        <v>1</v>
      </c>
      <c r="F25" s="1792">
        <f t="shared" si="5"/>
        <v>0</v>
      </c>
      <c r="G25" s="1792">
        <f t="shared" si="5"/>
        <v>14</v>
      </c>
    </row>
    <row r="26" spans="1:7" x14ac:dyDescent="0.15">
      <c r="A26" s="143" t="s">
        <v>7</v>
      </c>
      <c r="B26" s="1792">
        <f t="shared" si="1"/>
        <v>1</v>
      </c>
      <c r="C26" s="1795">
        <v>0</v>
      </c>
      <c r="D26" s="1795">
        <v>1</v>
      </c>
      <c r="E26" s="1795">
        <v>0</v>
      </c>
      <c r="F26" s="1795">
        <v>0</v>
      </c>
      <c r="G26" s="1795">
        <v>0</v>
      </c>
    </row>
    <row r="27" spans="1:7" x14ac:dyDescent="0.15">
      <c r="A27" s="143" t="s">
        <v>498</v>
      </c>
      <c r="B27" s="1792">
        <f t="shared" si="1"/>
        <v>25</v>
      </c>
      <c r="C27" s="1795">
        <v>6</v>
      </c>
      <c r="D27" s="1795">
        <v>12</v>
      </c>
      <c r="E27" s="1795">
        <v>1</v>
      </c>
      <c r="F27" s="1795">
        <v>0</v>
      </c>
      <c r="G27" s="1795">
        <v>6</v>
      </c>
    </row>
    <row r="28" spans="1:7" x14ac:dyDescent="0.15">
      <c r="A28" s="143" t="s">
        <v>1021</v>
      </c>
      <c r="B28" s="1792">
        <f t="shared" si="1"/>
        <v>6</v>
      </c>
      <c r="C28" s="1795">
        <v>0</v>
      </c>
      <c r="D28" s="1795">
        <v>6</v>
      </c>
      <c r="E28" s="1795">
        <v>0</v>
      </c>
      <c r="F28" s="1795">
        <v>0</v>
      </c>
      <c r="G28" s="1795">
        <v>0</v>
      </c>
    </row>
    <row r="29" spans="1:7" x14ac:dyDescent="0.15">
      <c r="A29" s="143" t="s">
        <v>1101</v>
      </c>
      <c r="B29" s="1792">
        <f t="shared" si="1"/>
        <v>10</v>
      </c>
      <c r="C29" s="1795">
        <v>2</v>
      </c>
      <c r="D29" s="1795">
        <v>1</v>
      </c>
      <c r="E29" s="1795">
        <v>0</v>
      </c>
      <c r="F29" s="1795">
        <v>0</v>
      </c>
      <c r="G29" s="1795">
        <v>7</v>
      </c>
    </row>
    <row r="30" spans="1:7" x14ac:dyDescent="0.15">
      <c r="A30" s="143" t="s">
        <v>1027</v>
      </c>
      <c r="B30" s="1792">
        <f t="shared" si="1"/>
        <v>1</v>
      </c>
      <c r="C30" s="1795">
        <v>0</v>
      </c>
      <c r="D30" s="1795">
        <v>0</v>
      </c>
      <c r="E30" s="1795">
        <v>0</v>
      </c>
      <c r="F30" s="1795">
        <v>0</v>
      </c>
      <c r="G30" s="1795">
        <v>1</v>
      </c>
    </row>
    <row r="31" spans="1:7" x14ac:dyDescent="0.15">
      <c r="A31" s="767" t="s">
        <v>9</v>
      </c>
      <c r="B31" s="1792">
        <f t="shared" si="1"/>
        <v>20</v>
      </c>
      <c r="C31" s="1792">
        <f t="shared" ref="C31:G31" si="6">SUM(C32:C39)</f>
        <v>8</v>
      </c>
      <c r="D31" s="1792">
        <f t="shared" si="6"/>
        <v>3</v>
      </c>
      <c r="E31" s="1792">
        <f t="shared" si="6"/>
        <v>0</v>
      </c>
      <c r="F31" s="1792">
        <f t="shared" si="6"/>
        <v>0</v>
      </c>
      <c r="G31" s="1792">
        <f t="shared" si="6"/>
        <v>9</v>
      </c>
    </row>
    <row r="32" spans="1:7" x14ac:dyDescent="0.15">
      <c r="A32" s="143" t="s">
        <v>1042</v>
      </c>
      <c r="B32" s="1792">
        <f t="shared" si="1"/>
        <v>2</v>
      </c>
      <c r="C32" s="1795">
        <v>0</v>
      </c>
      <c r="D32" s="1795">
        <v>1</v>
      </c>
      <c r="E32" s="1795">
        <v>0</v>
      </c>
      <c r="F32" s="1795">
        <v>0</v>
      </c>
      <c r="G32" s="1795">
        <v>1</v>
      </c>
    </row>
    <row r="33" spans="1:7" x14ac:dyDescent="0.15">
      <c r="A33" s="143" t="s">
        <v>9</v>
      </c>
      <c r="B33" s="1792">
        <f t="shared" si="1"/>
        <v>6</v>
      </c>
      <c r="C33" s="1795">
        <v>3</v>
      </c>
      <c r="D33" s="1795">
        <v>0</v>
      </c>
      <c r="E33" s="1795">
        <v>0</v>
      </c>
      <c r="F33" s="1795">
        <v>0</v>
      </c>
      <c r="G33" s="1795">
        <v>3</v>
      </c>
    </row>
    <row r="34" spans="1:7" x14ac:dyDescent="0.15">
      <c r="A34" s="143" t="s">
        <v>1023</v>
      </c>
      <c r="B34" s="1792">
        <f t="shared" si="1"/>
        <v>3</v>
      </c>
      <c r="C34" s="1795">
        <v>0</v>
      </c>
      <c r="D34" s="1795">
        <v>2</v>
      </c>
      <c r="E34" s="1795">
        <v>0</v>
      </c>
      <c r="F34" s="1795">
        <v>0</v>
      </c>
      <c r="G34" s="1795">
        <v>1</v>
      </c>
    </row>
    <row r="35" spans="1:7" x14ac:dyDescent="0.15">
      <c r="A35" s="143" t="s">
        <v>1102</v>
      </c>
      <c r="B35" s="1792">
        <f t="shared" si="1"/>
        <v>1</v>
      </c>
      <c r="C35" s="1795">
        <v>1</v>
      </c>
      <c r="D35" s="1795">
        <v>0</v>
      </c>
      <c r="E35" s="1795">
        <v>0</v>
      </c>
      <c r="F35" s="1795">
        <v>0</v>
      </c>
      <c r="G35" s="1795">
        <v>0</v>
      </c>
    </row>
    <row r="36" spans="1:7" x14ac:dyDescent="0.15">
      <c r="A36" s="143" t="s">
        <v>1103</v>
      </c>
      <c r="B36" s="1792">
        <f t="shared" si="1"/>
        <v>1</v>
      </c>
      <c r="C36" s="1795">
        <v>1</v>
      </c>
      <c r="D36" s="1795">
        <v>0</v>
      </c>
      <c r="E36" s="1795">
        <v>0</v>
      </c>
      <c r="F36" s="1795">
        <v>0</v>
      </c>
      <c r="G36" s="1795">
        <v>0</v>
      </c>
    </row>
    <row r="37" spans="1:7" x14ac:dyDescent="0.15">
      <c r="A37" s="143" t="s">
        <v>1054</v>
      </c>
      <c r="B37" s="1792">
        <f t="shared" si="1"/>
        <v>1</v>
      </c>
      <c r="C37" s="1795">
        <v>1</v>
      </c>
      <c r="D37" s="1795">
        <v>0</v>
      </c>
      <c r="E37" s="1795">
        <v>0</v>
      </c>
      <c r="F37" s="1795">
        <v>0</v>
      </c>
      <c r="G37" s="1795">
        <v>0</v>
      </c>
    </row>
    <row r="38" spans="1:7" x14ac:dyDescent="0.15">
      <c r="A38" s="143" t="s">
        <v>1031</v>
      </c>
      <c r="B38" s="1792">
        <f t="shared" si="1"/>
        <v>4</v>
      </c>
      <c r="C38" s="1795">
        <v>0</v>
      </c>
      <c r="D38" s="1795">
        <v>0</v>
      </c>
      <c r="E38" s="1795">
        <v>0</v>
      </c>
      <c r="F38" s="1795">
        <v>0</v>
      </c>
      <c r="G38" s="1795">
        <v>4</v>
      </c>
    </row>
    <row r="39" spans="1:7" x14ac:dyDescent="0.15">
      <c r="A39" s="143" t="s">
        <v>1060</v>
      </c>
      <c r="B39" s="1792">
        <f t="shared" si="1"/>
        <v>2</v>
      </c>
      <c r="C39" s="1795">
        <v>2</v>
      </c>
      <c r="D39" s="1795">
        <v>0</v>
      </c>
      <c r="E39" s="1795">
        <v>0</v>
      </c>
      <c r="F39" s="1795">
        <v>0</v>
      </c>
      <c r="G39" s="1795">
        <v>0</v>
      </c>
    </row>
    <row r="40" spans="1:7" x14ac:dyDescent="0.15">
      <c r="A40" s="767" t="s">
        <v>10</v>
      </c>
      <c r="B40" s="1792">
        <f t="shared" si="1"/>
        <v>128</v>
      </c>
      <c r="C40" s="1792">
        <f t="shared" ref="C40:G40" si="7">SUM(C41:C66)</f>
        <v>14</v>
      </c>
      <c r="D40" s="1792">
        <f t="shared" si="7"/>
        <v>18</v>
      </c>
      <c r="E40" s="1792">
        <f t="shared" si="7"/>
        <v>1</v>
      </c>
      <c r="F40" s="1792">
        <f t="shared" si="7"/>
        <v>2</v>
      </c>
      <c r="G40" s="1792">
        <f t="shared" si="7"/>
        <v>93</v>
      </c>
    </row>
    <row r="41" spans="1:7" x14ac:dyDescent="0.15">
      <c r="A41" s="143" t="s">
        <v>1024</v>
      </c>
      <c r="B41" s="1792">
        <f t="shared" si="1"/>
        <v>1</v>
      </c>
      <c r="C41" s="1795">
        <v>0</v>
      </c>
      <c r="D41" s="1795">
        <v>1</v>
      </c>
      <c r="E41" s="1795">
        <v>0</v>
      </c>
      <c r="F41" s="1795">
        <v>0</v>
      </c>
      <c r="G41" s="1795">
        <v>0</v>
      </c>
    </row>
    <row r="42" spans="1:7" x14ac:dyDescent="0.15">
      <c r="A42" s="143" t="s">
        <v>1104</v>
      </c>
      <c r="B42" s="1792">
        <f t="shared" si="1"/>
        <v>4</v>
      </c>
      <c r="C42" s="1795">
        <v>0</v>
      </c>
      <c r="D42" s="1795">
        <v>4</v>
      </c>
      <c r="E42" s="1795">
        <v>0</v>
      </c>
      <c r="F42" s="1795">
        <v>0</v>
      </c>
      <c r="G42" s="1795">
        <v>0</v>
      </c>
    </row>
    <row r="43" spans="1:7" x14ac:dyDescent="0.15">
      <c r="A43" s="143" t="s">
        <v>598</v>
      </c>
      <c r="B43" s="1792">
        <f t="shared" si="1"/>
        <v>4</v>
      </c>
      <c r="C43" s="1795">
        <v>0</v>
      </c>
      <c r="D43" s="1795">
        <v>2</v>
      </c>
      <c r="E43" s="1795">
        <v>0</v>
      </c>
      <c r="F43" s="1795">
        <v>0</v>
      </c>
      <c r="G43" s="1795">
        <v>2</v>
      </c>
    </row>
    <row r="44" spans="1:7" x14ac:dyDescent="0.15">
      <c r="A44" s="143" t="s">
        <v>1105</v>
      </c>
      <c r="B44" s="1792">
        <f t="shared" si="1"/>
        <v>1</v>
      </c>
      <c r="C44" s="1795">
        <v>1</v>
      </c>
      <c r="D44" s="1795">
        <v>0</v>
      </c>
      <c r="E44" s="1795">
        <v>0</v>
      </c>
      <c r="F44" s="1795">
        <v>0</v>
      </c>
      <c r="G44" s="1795">
        <v>0</v>
      </c>
    </row>
    <row r="45" spans="1:7" x14ac:dyDescent="0.15">
      <c r="A45" s="143" t="s">
        <v>1106</v>
      </c>
      <c r="B45" s="1792">
        <f t="shared" si="1"/>
        <v>4</v>
      </c>
      <c r="C45" s="1795">
        <v>0</v>
      </c>
      <c r="D45" s="1795">
        <v>0</v>
      </c>
      <c r="E45" s="1795">
        <v>0</v>
      </c>
      <c r="F45" s="1795">
        <v>1</v>
      </c>
      <c r="G45" s="1795">
        <v>3</v>
      </c>
    </row>
    <row r="46" spans="1:7" x14ac:dyDescent="0.15">
      <c r="A46" s="143" t="s">
        <v>508</v>
      </c>
      <c r="B46" s="1792">
        <f t="shared" si="1"/>
        <v>5</v>
      </c>
      <c r="C46" s="1795">
        <v>0</v>
      </c>
      <c r="D46" s="1795">
        <v>4</v>
      </c>
      <c r="E46" s="1795">
        <v>0</v>
      </c>
      <c r="F46" s="1795">
        <v>0</v>
      </c>
      <c r="G46" s="1795">
        <v>1</v>
      </c>
    </row>
    <row r="47" spans="1:7" x14ac:dyDescent="0.15">
      <c r="A47" s="143" t="s">
        <v>1107</v>
      </c>
      <c r="B47" s="1792">
        <f t="shared" si="1"/>
        <v>7</v>
      </c>
      <c r="C47" s="1795">
        <v>0</v>
      </c>
      <c r="D47" s="1795">
        <v>2</v>
      </c>
      <c r="E47" s="1795">
        <v>0</v>
      </c>
      <c r="F47" s="1795">
        <v>1</v>
      </c>
      <c r="G47" s="1795">
        <v>4</v>
      </c>
    </row>
    <row r="48" spans="1:7" x14ac:dyDescent="0.15">
      <c r="A48" s="143" t="s">
        <v>10</v>
      </c>
      <c r="B48" s="1792">
        <f t="shared" si="1"/>
        <v>23</v>
      </c>
      <c r="C48" s="1795">
        <v>0</v>
      </c>
      <c r="D48" s="1795">
        <v>0</v>
      </c>
      <c r="E48" s="1795">
        <v>0</v>
      </c>
      <c r="F48" s="1795">
        <v>0</v>
      </c>
      <c r="G48" s="1795">
        <v>23</v>
      </c>
    </row>
    <row r="49" spans="1:7" x14ac:dyDescent="0.15">
      <c r="A49" s="143" t="s">
        <v>1108</v>
      </c>
      <c r="B49" s="1792">
        <f t="shared" si="1"/>
        <v>29</v>
      </c>
      <c r="C49" s="1795">
        <v>6</v>
      </c>
      <c r="D49" s="1795">
        <v>1</v>
      </c>
      <c r="E49" s="1795">
        <v>1</v>
      </c>
      <c r="F49" s="1795">
        <v>0</v>
      </c>
      <c r="G49" s="1795">
        <v>21</v>
      </c>
    </row>
    <row r="50" spans="1:7" x14ac:dyDescent="0.15">
      <c r="A50" s="143" t="s">
        <v>1043</v>
      </c>
      <c r="B50" s="1792">
        <f t="shared" si="1"/>
        <v>1</v>
      </c>
      <c r="C50" s="1795">
        <v>0</v>
      </c>
      <c r="D50" s="1795">
        <v>0</v>
      </c>
      <c r="E50" s="1795">
        <v>0</v>
      </c>
      <c r="F50" s="1795">
        <v>0</v>
      </c>
      <c r="G50" s="1795">
        <v>1</v>
      </c>
    </row>
    <row r="51" spans="1:7" x14ac:dyDescent="0.15">
      <c r="A51" s="143" t="s">
        <v>1109</v>
      </c>
      <c r="B51" s="1792">
        <f t="shared" si="1"/>
        <v>4</v>
      </c>
      <c r="C51" s="1795">
        <v>0</v>
      </c>
      <c r="D51" s="1795">
        <v>0</v>
      </c>
      <c r="E51" s="1795">
        <v>0</v>
      </c>
      <c r="F51" s="1795">
        <v>0</v>
      </c>
      <c r="G51" s="1795">
        <v>4</v>
      </c>
    </row>
    <row r="52" spans="1:7" x14ac:dyDescent="0.15">
      <c r="A52" s="143" t="s">
        <v>1039</v>
      </c>
      <c r="B52" s="1792">
        <f t="shared" si="1"/>
        <v>1</v>
      </c>
      <c r="C52" s="1795">
        <v>0</v>
      </c>
      <c r="D52" s="1795">
        <v>0</v>
      </c>
      <c r="E52" s="1795">
        <v>0</v>
      </c>
      <c r="F52" s="1795">
        <v>0</v>
      </c>
      <c r="G52" s="1795">
        <v>1</v>
      </c>
    </row>
    <row r="53" spans="1:7" x14ac:dyDescent="0.15">
      <c r="A53" s="143" t="s">
        <v>601</v>
      </c>
      <c r="B53" s="1792">
        <f t="shared" si="1"/>
        <v>18</v>
      </c>
      <c r="C53" s="1795">
        <v>1</v>
      </c>
      <c r="D53" s="1795">
        <v>0</v>
      </c>
      <c r="E53" s="1795">
        <v>0</v>
      </c>
      <c r="F53" s="1795">
        <v>0</v>
      </c>
      <c r="G53" s="1795">
        <v>17</v>
      </c>
    </row>
    <row r="54" spans="1:7" x14ac:dyDescent="0.15">
      <c r="A54" s="143" t="s">
        <v>1110</v>
      </c>
      <c r="B54" s="1792">
        <f t="shared" si="1"/>
        <v>7</v>
      </c>
      <c r="C54" s="1795">
        <v>0</v>
      </c>
      <c r="D54" s="1795">
        <v>2</v>
      </c>
      <c r="E54" s="1795">
        <v>0</v>
      </c>
      <c r="F54" s="1795">
        <v>0</v>
      </c>
      <c r="G54" s="1795">
        <v>5</v>
      </c>
    </row>
    <row r="55" spans="1:7" x14ac:dyDescent="0.15">
      <c r="A55" s="143" t="s">
        <v>1111</v>
      </c>
      <c r="B55" s="1792">
        <f t="shared" si="1"/>
        <v>5</v>
      </c>
      <c r="C55" s="1795">
        <v>1</v>
      </c>
      <c r="D55" s="1795">
        <v>2</v>
      </c>
      <c r="E55" s="1795">
        <v>0</v>
      </c>
      <c r="F55" s="1795">
        <v>0</v>
      </c>
      <c r="G55" s="1795">
        <v>2</v>
      </c>
    </row>
    <row r="56" spans="1:7" x14ac:dyDescent="0.15">
      <c r="A56" s="143" t="s">
        <v>1040</v>
      </c>
      <c r="B56" s="1792">
        <f t="shared" si="1"/>
        <v>1</v>
      </c>
      <c r="C56" s="1795">
        <v>0</v>
      </c>
      <c r="D56" s="1795">
        <v>0</v>
      </c>
      <c r="E56" s="1795">
        <v>0</v>
      </c>
      <c r="F56" s="1795">
        <v>0</v>
      </c>
      <c r="G56" s="1795">
        <v>1</v>
      </c>
    </row>
    <row r="57" spans="1:7" x14ac:dyDescent="0.15">
      <c r="A57" s="143" t="s">
        <v>1112</v>
      </c>
      <c r="B57" s="1792">
        <f t="shared" si="1"/>
        <v>1</v>
      </c>
      <c r="C57" s="1795">
        <v>1</v>
      </c>
      <c r="D57" s="1795">
        <v>0</v>
      </c>
      <c r="E57" s="1795">
        <v>0</v>
      </c>
      <c r="F57" s="1795">
        <v>0</v>
      </c>
      <c r="G57" s="1795">
        <v>0</v>
      </c>
    </row>
    <row r="58" spans="1:7" x14ac:dyDescent="0.15">
      <c r="A58" s="143" t="s">
        <v>511</v>
      </c>
      <c r="B58" s="1792">
        <f t="shared" si="1"/>
        <v>0</v>
      </c>
      <c r="C58" s="1795">
        <v>0</v>
      </c>
      <c r="D58" s="1795">
        <v>0</v>
      </c>
      <c r="E58" s="1795">
        <v>0</v>
      </c>
      <c r="F58" s="1795">
        <v>0</v>
      </c>
      <c r="G58" s="1795">
        <v>0</v>
      </c>
    </row>
    <row r="59" spans="1:7" x14ac:dyDescent="0.15">
      <c r="A59" s="143" t="s">
        <v>1026</v>
      </c>
      <c r="B59" s="1792">
        <f t="shared" si="1"/>
        <v>3</v>
      </c>
      <c r="C59" s="1795">
        <v>1</v>
      </c>
      <c r="D59" s="1795">
        <v>0</v>
      </c>
      <c r="E59" s="1795">
        <v>0</v>
      </c>
      <c r="F59" s="1795">
        <v>0</v>
      </c>
      <c r="G59" s="1795">
        <v>2</v>
      </c>
    </row>
    <row r="60" spans="1:7" x14ac:dyDescent="0.15">
      <c r="A60" s="143" t="s">
        <v>1113</v>
      </c>
      <c r="B60" s="1792">
        <f t="shared" si="1"/>
        <v>2</v>
      </c>
      <c r="C60" s="1795">
        <v>1</v>
      </c>
      <c r="D60" s="1795">
        <v>0</v>
      </c>
      <c r="E60" s="1795">
        <v>0</v>
      </c>
      <c r="F60" s="1795">
        <v>0</v>
      </c>
      <c r="G60" s="1795">
        <v>1</v>
      </c>
    </row>
    <row r="61" spans="1:7" x14ac:dyDescent="0.15">
      <c r="A61" s="143" t="s">
        <v>1053</v>
      </c>
      <c r="B61" s="1792">
        <f t="shared" si="1"/>
        <v>1</v>
      </c>
      <c r="C61" s="1795">
        <v>0</v>
      </c>
      <c r="D61" s="1795">
        <v>0</v>
      </c>
      <c r="E61" s="1795">
        <v>0</v>
      </c>
      <c r="F61" s="1795">
        <v>0</v>
      </c>
      <c r="G61" s="1795">
        <v>1</v>
      </c>
    </row>
    <row r="62" spans="1:7" x14ac:dyDescent="0.15">
      <c r="A62" s="143" t="s">
        <v>1056</v>
      </c>
      <c r="B62" s="1792">
        <f t="shared" si="1"/>
        <v>1</v>
      </c>
      <c r="C62" s="1795">
        <v>1</v>
      </c>
      <c r="D62" s="1795">
        <v>0</v>
      </c>
      <c r="E62" s="1795">
        <v>0</v>
      </c>
      <c r="F62" s="1795">
        <v>0</v>
      </c>
      <c r="G62" s="1795">
        <v>0</v>
      </c>
    </row>
    <row r="63" spans="1:7" x14ac:dyDescent="0.15">
      <c r="A63" s="143" t="s">
        <v>1059</v>
      </c>
      <c r="B63" s="1792">
        <f t="shared" si="1"/>
        <v>2</v>
      </c>
      <c r="C63" s="1795">
        <v>0</v>
      </c>
      <c r="D63" s="1795">
        <v>0</v>
      </c>
      <c r="E63" s="1795">
        <v>0</v>
      </c>
      <c r="F63" s="1795">
        <v>0</v>
      </c>
      <c r="G63" s="1795">
        <v>2</v>
      </c>
    </row>
    <row r="64" spans="1:7" x14ac:dyDescent="0.15">
      <c r="A64" s="143" t="s">
        <v>1114</v>
      </c>
      <c r="B64" s="1792">
        <f t="shared" si="1"/>
        <v>1</v>
      </c>
      <c r="C64" s="1795">
        <v>0</v>
      </c>
      <c r="D64" s="1795">
        <v>0</v>
      </c>
      <c r="E64" s="1795">
        <v>0</v>
      </c>
      <c r="F64" s="1795">
        <v>0</v>
      </c>
      <c r="G64" s="1795">
        <v>1</v>
      </c>
    </row>
    <row r="65" spans="1:7" x14ac:dyDescent="0.15">
      <c r="A65" s="143" t="s">
        <v>1115</v>
      </c>
      <c r="B65" s="1792">
        <f t="shared" si="1"/>
        <v>1</v>
      </c>
      <c r="C65" s="1795">
        <v>0</v>
      </c>
      <c r="D65" s="1795">
        <v>0</v>
      </c>
      <c r="E65" s="1795">
        <v>0</v>
      </c>
      <c r="F65" s="1795">
        <v>0</v>
      </c>
      <c r="G65" s="1795">
        <v>1</v>
      </c>
    </row>
    <row r="66" spans="1:7" x14ac:dyDescent="0.15">
      <c r="A66" s="143" t="s">
        <v>1116</v>
      </c>
      <c r="B66" s="1792">
        <f t="shared" si="1"/>
        <v>1</v>
      </c>
      <c r="C66" s="1795">
        <v>1</v>
      </c>
      <c r="D66" s="1795">
        <v>0</v>
      </c>
      <c r="E66" s="1795">
        <v>0</v>
      </c>
      <c r="F66" s="1795">
        <v>0</v>
      </c>
      <c r="G66" s="1795">
        <v>0</v>
      </c>
    </row>
    <row r="67" spans="1:7" x14ac:dyDescent="0.15">
      <c r="A67" s="767" t="s">
        <v>11</v>
      </c>
      <c r="B67" s="1792">
        <f t="shared" si="1"/>
        <v>279</v>
      </c>
      <c r="C67" s="1792">
        <f t="shared" ref="C67:G67" si="8">SUM(C68:C119)</f>
        <v>19</v>
      </c>
      <c r="D67" s="1792">
        <f t="shared" si="8"/>
        <v>25</v>
      </c>
      <c r="E67" s="1792">
        <f t="shared" si="8"/>
        <v>1</v>
      </c>
      <c r="F67" s="1792">
        <f t="shared" si="8"/>
        <v>3</v>
      </c>
      <c r="G67" s="1792">
        <f t="shared" si="8"/>
        <v>231</v>
      </c>
    </row>
    <row r="68" spans="1:7" x14ac:dyDescent="0.15">
      <c r="A68" s="143" t="s">
        <v>1024</v>
      </c>
      <c r="B68" s="1792">
        <f t="shared" si="1"/>
        <v>1</v>
      </c>
      <c r="C68" s="1795">
        <v>0</v>
      </c>
      <c r="D68" s="1795">
        <v>0</v>
      </c>
      <c r="E68" s="1795">
        <v>0</v>
      </c>
      <c r="F68" s="1795">
        <v>0</v>
      </c>
      <c r="G68" s="1795">
        <v>1</v>
      </c>
    </row>
    <row r="69" spans="1:7" x14ac:dyDescent="0.15">
      <c r="A69" s="143" t="s">
        <v>1040</v>
      </c>
      <c r="B69" s="1792">
        <f t="shared" si="1"/>
        <v>1</v>
      </c>
      <c r="C69" s="1795">
        <v>0</v>
      </c>
      <c r="D69" s="1795">
        <v>0</v>
      </c>
      <c r="E69" s="1795">
        <v>0</v>
      </c>
      <c r="F69" s="1795">
        <v>0</v>
      </c>
      <c r="G69" s="1795">
        <v>1</v>
      </c>
    </row>
    <row r="70" spans="1:7" x14ac:dyDescent="0.15">
      <c r="A70" s="143" t="s">
        <v>1044</v>
      </c>
      <c r="B70" s="1792">
        <f t="shared" si="1"/>
        <v>2</v>
      </c>
      <c r="C70" s="1795">
        <v>0</v>
      </c>
      <c r="D70" s="1795">
        <v>1</v>
      </c>
      <c r="E70" s="1795">
        <v>0</v>
      </c>
      <c r="F70" s="1795">
        <v>0</v>
      </c>
      <c r="G70" s="1795">
        <v>1</v>
      </c>
    </row>
    <row r="71" spans="1:7" x14ac:dyDescent="0.15">
      <c r="A71" s="143" t="s">
        <v>1117</v>
      </c>
      <c r="B71" s="1792">
        <f t="shared" ref="B71:B134" si="9">SUM(C71:G71)</f>
        <v>0</v>
      </c>
      <c r="C71" s="1795">
        <v>0</v>
      </c>
      <c r="D71" s="1795">
        <v>0</v>
      </c>
      <c r="E71" s="1795">
        <v>0</v>
      </c>
      <c r="F71" s="1795">
        <v>0</v>
      </c>
      <c r="G71" s="1795">
        <v>0</v>
      </c>
    </row>
    <row r="72" spans="1:7" x14ac:dyDescent="0.15">
      <c r="A72" s="143" t="s">
        <v>1118</v>
      </c>
      <c r="B72" s="1792">
        <f t="shared" si="9"/>
        <v>1</v>
      </c>
      <c r="C72" s="1795">
        <v>0</v>
      </c>
      <c r="D72" s="1795">
        <v>0</v>
      </c>
      <c r="E72" s="1795">
        <v>0</v>
      </c>
      <c r="F72" s="1795">
        <v>0</v>
      </c>
      <c r="G72" s="1795">
        <v>1</v>
      </c>
    </row>
    <row r="73" spans="1:7" x14ac:dyDescent="0.15">
      <c r="A73" s="143" t="s">
        <v>517</v>
      </c>
      <c r="B73" s="1792">
        <f t="shared" si="9"/>
        <v>0</v>
      </c>
      <c r="C73" s="1795">
        <v>0</v>
      </c>
      <c r="D73" s="1795">
        <v>0</v>
      </c>
      <c r="E73" s="1795">
        <v>0</v>
      </c>
      <c r="F73" s="1795">
        <v>0</v>
      </c>
      <c r="G73" s="1795">
        <v>0</v>
      </c>
    </row>
    <row r="74" spans="1:7" x14ac:dyDescent="0.15">
      <c r="A74" s="143" t="s">
        <v>1119</v>
      </c>
      <c r="B74" s="1792">
        <f t="shared" si="9"/>
        <v>1</v>
      </c>
      <c r="C74" s="1795">
        <v>1</v>
      </c>
      <c r="D74" s="1795">
        <v>0</v>
      </c>
      <c r="E74" s="1795">
        <v>0</v>
      </c>
      <c r="F74" s="1795">
        <v>0</v>
      </c>
      <c r="G74" s="1795">
        <v>0</v>
      </c>
    </row>
    <row r="75" spans="1:7" x14ac:dyDescent="0.15">
      <c r="A75" s="143" t="s">
        <v>709</v>
      </c>
      <c r="B75" s="1792">
        <f t="shared" si="9"/>
        <v>1</v>
      </c>
      <c r="C75" s="1795">
        <v>0</v>
      </c>
      <c r="D75" s="1795">
        <v>0</v>
      </c>
      <c r="E75" s="1795">
        <v>0</v>
      </c>
      <c r="F75" s="1795">
        <v>0</v>
      </c>
      <c r="G75" s="1795">
        <v>1</v>
      </c>
    </row>
    <row r="76" spans="1:7" x14ac:dyDescent="0.15">
      <c r="A76" s="143" t="s">
        <v>1026</v>
      </c>
      <c r="B76" s="1792">
        <f t="shared" si="9"/>
        <v>30</v>
      </c>
      <c r="C76" s="1795">
        <v>1</v>
      </c>
      <c r="D76" s="1795">
        <v>1</v>
      </c>
      <c r="E76" s="1795">
        <v>0</v>
      </c>
      <c r="F76" s="1795">
        <v>0</v>
      </c>
      <c r="G76" s="1795">
        <v>28</v>
      </c>
    </row>
    <row r="77" spans="1:7" x14ac:dyDescent="0.15">
      <c r="A77" s="143" t="s">
        <v>1046</v>
      </c>
      <c r="B77" s="1792">
        <f t="shared" si="9"/>
        <v>5</v>
      </c>
      <c r="C77" s="1795">
        <v>0</v>
      </c>
      <c r="D77" s="1795">
        <v>2</v>
      </c>
      <c r="E77" s="1795">
        <v>0</v>
      </c>
      <c r="F77" s="1795">
        <v>0</v>
      </c>
      <c r="G77" s="1795">
        <v>3</v>
      </c>
    </row>
    <row r="78" spans="1:7" x14ac:dyDescent="0.15">
      <c r="A78" s="143" t="s">
        <v>1120</v>
      </c>
      <c r="B78" s="1792">
        <f t="shared" si="9"/>
        <v>3</v>
      </c>
      <c r="C78" s="1795">
        <v>0</v>
      </c>
      <c r="D78" s="1795">
        <v>1</v>
      </c>
      <c r="E78" s="1795">
        <v>0</v>
      </c>
      <c r="F78" s="1795">
        <v>0</v>
      </c>
      <c r="G78" s="1795">
        <v>2</v>
      </c>
    </row>
    <row r="79" spans="1:7" x14ac:dyDescent="0.15">
      <c r="A79" s="143" t="s">
        <v>1121</v>
      </c>
      <c r="B79" s="1792">
        <f t="shared" si="9"/>
        <v>8</v>
      </c>
      <c r="C79" s="1795">
        <v>2</v>
      </c>
      <c r="D79" s="1795">
        <v>1</v>
      </c>
      <c r="E79" s="1795">
        <v>1</v>
      </c>
      <c r="F79" s="1795">
        <v>0</v>
      </c>
      <c r="G79" s="1795">
        <v>4</v>
      </c>
    </row>
    <row r="80" spans="1:7" x14ac:dyDescent="0.15">
      <c r="A80" s="143" t="s">
        <v>1027</v>
      </c>
      <c r="B80" s="1792">
        <f t="shared" si="9"/>
        <v>13</v>
      </c>
      <c r="C80" s="1795">
        <v>0</v>
      </c>
      <c r="D80" s="1795">
        <v>0</v>
      </c>
      <c r="E80" s="1795">
        <v>0</v>
      </c>
      <c r="F80" s="1795">
        <v>0</v>
      </c>
      <c r="G80" s="1795">
        <v>13</v>
      </c>
    </row>
    <row r="81" spans="1:7" x14ac:dyDescent="0.15">
      <c r="A81" s="143" t="s">
        <v>1028</v>
      </c>
      <c r="B81" s="1792">
        <f t="shared" si="9"/>
        <v>1</v>
      </c>
      <c r="C81" s="1795">
        <v>0</v>
      </c>
      <c r="D81" s="1795">
        <v>0</v>
      </c>
      <c r="E81" s="1795">
        <v>0</v>
      </c>
      <c r="F81" s="1795">
        <v>0</v>
      </c>
      <c r="G81" s="1795">
        <v>1</v>
      </c>
    </row>
    <row r="82" spans="1:7" x14ac:dyDescent="0.15">
      <c r="A82" s="143" t="s">
        <v>1048</v>
      </c>
      <c r="B82" s="1792">
        <f t="shared" si="9"/>
        <v>3</v>
      </c>
      <c r="C82" s="1795">
        <v>0</v>
      </c>
      <c r="D82" s="1795">
        <v>0</v>
      </c>
      <c r="E82" s="1795">
        <v>0</v>
      </c>
      <c r="F82" s="1795">
        <v>0</v>
      </c>
      <c r="G82" s="1795">
        <v>3</v>
      </c>
    </row>
    <row r="83" spans="1:7" x14ac:dyDescent="0.15">
      <c r="A83" s="143" t="s">
        <v>1049</v>
      </c>
      <c r="B83" s="1792">
        <f t="shared" si="9"/>
        <v>2</v>
      </c>
      <c r="C83" s="1795">
        <v>0</v>
      </c>
      <c r="D83" s="1795">
        <v>1</v>
      </c>
      <c r="E83" s="1795">
        <v>0</v>
      </c>
      <c r="F83" s="1795">
        <v>0</v>
      </c>
      <c r="G83" s="1795">
        <v>1</v>
      </c>
    </row>
    <row r="84" spans="1:7" x14ac:dyDescent="0.15">
      <c r="A84" s="143" t="s">
        <v>1029</v>
      </c>
      <c r="B84" s="1792">
        <f t="shared" si="9"/>
        <v>1</v>
      </c>
      <c r="C84" s="1795">
        <v>0</v>
      </c>
      <c r="D84" s="1795">
        <v>0</v>
      </c>
      <c r="E84" s="1795">
        <v>0</v>
      </c>
      <c r="F84" s="1795">
        <v>1</v>
      </c>
      <c r="G84" s="1795">
        <v>0</v>
      </c>
    </row>
    <row r="85" spans="1:7" x14ac:dyDescent="0.15">
      <c r="A85" s="143" t="s">
        <v>1122</v>
      </c>
      <c r="B85" s="1792">
        <f t="shared" si="9"/>
        <v>3</v>
      </c>
      <c r="C85" s="1795">
        <v>0</v>
      </c>
      <c r="D85" s="1795">
        <v>0</v>
      </c>
      <c r="E85" s="1795">
        <v>0</v>
      </c>
      <c r="F85" s="1795">
        <v>0</v>
      </c>
      <c r="G85" s="1795">
        <v>3</v>
      </c>
    </row>
    <row r="86" spans="1:7" x14ac:dyDescent="0.15">
      <c r="A86" s="143" t="s">
        <v>1123</v>
      </c>
      <c r="B86" s="1792">
        <f t="shared" si="9"/>
        <v>3</v>
      </c>
      <c r="C86" s="1795">
        <v>0</v>
      </c>
      <c r="D86" s="1795">
        <v>0</v>
      </c>
      <c r="E86" s="1795">
        <v>0</v>
      </c>
      <c r="F86" s="1795">
        <v>0</v>
      </c>
      <c r="G86" s="1795">
        <v>3</v>
      </c>
    </row>
    <row r="87" spans="1:7" x14ac:dyDescent="0.15">
      <c r="A87" s="143" t="s">
        <v>1050</v>
      </c>
      <c r="B87" s="1792">
        <f t="shared" si="9"/>
        <v>1</v>
      </c>
      <c r="C87" s="1795">
        <v>0</v>
      </c>
      <c r="D87" s="1795">
        <v>0</v>
      </c>
      <c r="E87" s="1795">
        <v>0</v>
      </c>
      <c r="F87" s="1795">
        <v>0</v>
      </c>
      <c r="G87" s="1795">
        <v>1</v>
      </c>
    </row>
    <row r="88" spans="1:7" x14ac:dyDescent="0.15">
      <c r="A88" s="143" t="s">
        <v>1051</v>
      </c>
      <c r="B88" s="1792">
        <f t="shared" si="9"/>
        <v>7</v>
      </c>
      <c r="C88" s="1795">
        <v>1</v>
      </c>
      <c r="D88" s="1795">
        <v>0</v>
      </c>
      <c r="E88" s="1795">
        <v>0</v>
      </c>
      <c r="F88" s="1795">
        <v>0</v>
      </c>
      <c r="G88" s="1795">
        <v>6</v>
      </c>
    </row>
    <row r="89" spans="1:7" x14ac:dyDescent="0.15">
      <c r="A89" s="143" t="s">
        <v>1052</v>
      </c>
      <c r="B89" s="1792">
        <f t="shared" si="9"/>
        <v>2</v>
      </c>
      <c r="C89" s="1795">
        <v>1</v>
      </c>
      <c r="D89" s="1795">
        <v>1</v>
      </c>
      <c r="E89" s="1795">
        <v>0</v>
      </c>
      <c r="F89" s="1795">
        <v>0</v>
      </c>
      <c r="G89" s="1795">
        <v>0</v>
      </c>
    </row>
    <row r="90" spans="1:7" x14ac:dyDescent="0.15">
      <c r="A90" s="143" t="s">
        <v>1113</v>
      </c>
      <c r="B90" s="1792">
        <f t="shared" si="9"/>
        <v>5</v>
      </c>
      <c r="C90" s="1795">
        <v>0</v>
      </c>
      <c r="D90" s="1795">
        <v>1</v>
      </c>
      <c r="E90" s="1795">
        <v>0</v>
      </c>
      <c r="F90" s="1795">
        <v>0</v>
      </c>
      <c r="G90" s="1795">
        <v>4</v>
      </c>
    </row>
    <row r="91" spans="1:7" x14ac:dyDescent="0.15">
      <c r="A91" s="143" t="s">
        <v>1102</v>
      </c>
      <c r="B91" s="1792">
        <f t="shared" si="9"/>
        <v>8</v>
      </c>
      <c r="C91" s="1795">
        <v>1</v>
      </c>
      <c r="D91" s="1795">
        <v>3</v>
      </c>
      <c r="E91" s="1795">
        <v>0</v>
      </c>
      <c r="F91" s="1795">
        <v>0</v>
      </c>
      <c r="G91" s="1795">
        <v>4</v>
      </c>
    </row>
    <row r="92" spans="1:7" x14ac:dyDescent="0.15">
      <c r="A92" s="143" t="s">
        <v>1053</v>
      </c>
      <c r="B92" s="1792">
        <f t="shared" si="9"/>
        <v>8</v>
      </c>
      <c r="C92" s="1795">
        <v>2</v>
      </c>
      <c r="D92" s="1795">
        <v>0</v>
      </c>
      <c r="E92" s="1795">
        <v>0</v>
      </c>
      <c r="F92" s="1795">
        <v>0</v>
      </c>
      <c r="G92" s="1795">
        <v>6</v>
      </c>
    </row>
    <row r="93" spans="1:7" x14ac:dyDescent="0.15">
      <c r="A93" s="143" t="s">
        <v>1030</v>
      </c>
      <c r="B93" s="1792">
        <f t="shared" si="9"/>
        <v>4</v>
      </c>
      <c r="C93" s="1795">
        <v>2</v>
      </c>
      <c r="D93" s="1795">
        <v>0</v>
      </c>
      <c r="E93" s="1795">
        <v>0</v>
      </c>
      <c r="F93" s="1795">
        <v>0</v>
      </c>
      <c r="G93" s="1795">
        <v>2</v>
      </c>
    </row>
    <row r="94" spans="1:7" x14ac:dyDescent="0.15">
      <c r="A94" s="143" t="s">
        <v>1103</v>
      </c>
      <c r="B94" s="1792">
        <f t="shared" si="9"/>
        <v>8</v>
      </c>
      <c r="C94" s="1795">
        <v>0</v>
      </c>
      <c r="D94" s="1795">
        <v>0</v>
      </c>
      <c r="E94" s="1795">
        <v>0</v>
      </c>
      <c r="F94" s="1795">
        <v>0</v>
      </c>
      <c r="G94" s="1795">
        <v>8</v>
      </c>
    </row>
    <row r="95" spans="1:7" x14ac:dyDescent="0.15">
      <c r="A95" s="143" t="s">
        <v>1054</v>
      </c>
      <c r="B95" s="1792">
        <f t="shared" si="9"/>
        <v>3</v>
      </c>
      <c r="C95" s="1795">
        <v>0</v>
      </c>
      <c r="D95" s="1795">
        <v>1</v>
      </c>
      <c r="E95" s="1795">
        <v>0</v>
      </c>
      <c r="F95" s="1795">
        <v>0</v>
      </c>
      <c r="G95" s="1795">
        <v>2</v>
      </c>
    </row>
    <row r="96" spans="1:7" x14ac:dyDescent="0.15">
      <c r="A96" s="143" t="s">
        <v>1124</v>
      </c>
      <c r="B96" s="1792">
        <f t="shared" si="9"/>
        <v>7</v>
      </c>
      <c r="C96" s="1795">
        <v>0</v>
      </c>
      <c r="D96" s="1795">
        <v>0</v>
      </c>
      <c r="E96" s="1795">
        <v>0</v>
      </c>
      <c r="F96" s="1795">
        <v>0</v>
      </c>
      <c r="G96" s="1795">
        <v>7</v>
      </c>
    </row>
    <row r="97" spans="1:7" x14ac:dyDescent="0.15">
      <c r="A97" s="143" t="s">
        <v>1031</v>
      </c>
      <c r="B97" s="1792">
        <f t="shared" si="9"/>
        <v>7</v>
      </c>
      <c r="C97" s="1795">
        <v>0</v>
      </c>
      <c r="D97" s="1795">
        <v>0</v>
      </c>
      <c r="E97" s="1795">
        <v>0</v>
      </c>
      <c r="F97" s="1795">
        <v>0</v>
      </c>
      <c r="G97" s="1795">
        <v>7</v>
      </c>
    </row>
    <row r="98" spans="1:7" x14ac:dyDescent="0.15">
      <c r="A98" s="143" t="s">
        <v>1055</v>
      </c>
      <c r="B98" s="1792">
        <f t="shared" si="9"/>
        <v>20</v>
      </c>
      <c r="C98" s="1795">
        <v>4</v>
      </c>
      <c r="D98" s="1795">
        <v>0</v>
      </c>
      <c r="E98" s="1795">
        <v>0</v>
      </c>
      <c r="F98" s="1795">
        <v>0</v>
      </c>
      <c r="G98" s="1795">
        <v>16</v>
      </c>
    </row>
    <row r="99" spans="1:7" x14ac:dyDescent="0.15">
      <c r="A99" s="143" t="s">
        <v>1125</v>
      </c>
      <c r="B99" s="1792">
        <f t="shared" si="9"/>
        <v>7</v>
      </c>
      <c r="C99" s="1795">
        <v>0</v>
      </c>
      <c r="D99" s="1795">
        <v>0</v>
      </c>
      <c r="E99" s="1795">
        <v>0</v>
      </c>
      <c r="F99" s="1795">
        <v>0</v>
      </c>
      <c r="G99" s="1795">
        <v>7</v>
      </c>
    </row>
    <row r="100" spans="1:7" x14ac:dyDescent="0.15">
      <c r="A100" s="143" t="s">
        <v>1056</v>
      </c>
      <c r="B100" s="1792">
        <f t="shared" si="9"/>
        <v>17</v>
      </c>
      <c r="C100" s="1795">
        <v>0</v>
      </c>
      <c r="D100" s="1795">
        <v>0</v>
      </c>
      <c r="E100" s="1795">
        <v>0</v>
      </c>
      <c r="F100" s="1795">
        <v>0</v>
      </c>
      <c r="G100" s="1795">
        <v>17</v>
      </c>
    </row>
    <row r="101" spans="1:7" x14ac:dyDescent="0.15">
      <c r="A101" s="143" t="s">
        <v>1057</v>
      </c>
      <c r="B101" s="1792">
        <f t="shared" si="9"/>
        <v>8</v>
      </c>
      <c r="C101" s="1795">
        <v>1</v>
      </c>
      <c r="D101" s="1795">
        <v>1</v>
      </c>
      <c r="E101" s="1795">
        <v>0</v>
      </c>
      <c r="F101" s="1795">
        <v>0</v>
      </c>
      <c r="G101" s="1795">
        <v>6</v>
      </c>
    </row>
    <row r="102" spans="1:7" x14ac:dyDescent="0.15">
      <c r="A102" s="143" t="s">
        <v>1058</v>
      </c>
      <c r="B102" s="1792">
        <f t="shared" si="9"/>
        <v>5</v>
      </c>
      <c r="C102" s="1795">
        <v>0</v>
      </c>
      <c r="D102" s="1795">
        <v>0</v>
      </c>
      <c r="E102" s="1795">
        <v>0</v>
      </c>
      <c r="F102" s="1795">
        <v>0</v>
      </c>
      <c r="G102" s="1795">
        <v>5</v>
      </c>
    </row>
    <row r="103" spans="1:7" x14ac:dyDescent="0.15">
      <c r="A103" s="143" t="s">
        <v>1038</v>
      </c>
      <c r="B103" s="1792">
        <f t="shared" si="9"/>
        <v>11</v>
      </c>
      <c r="C103" s="1795">
        <v>0</v>
      </c>
      <c r="D103" s="1795">
        <v>0</v>
      </c>
      <c r="E103" s="1795">
        <v>0</v>
      </c>
      <c r="F103" s="1795">
        <v>0</v>
      </c>
      <c r="G103" s="1795">
        <v>11</v>
      </c>
    </row>
    <row r="104" spans="1:7" x14ac:dyDescent="0.15">
      <c r="A104" s="143" t="s">
        <v>1126</v>
      </c>
      <c r="B104" s="1792">
        <f t="shared" si="9"/>
        <v>6</v>
      </c>
      <c r="C104" s="1795">
        <v>0</v>
      </c>
      <c r="D104" s="1795">
        <v>0</v>
      </c>
      <c r="E104" s="1795">
        <v>0</v>
      </c>
      <c r="F104" s="1795">
        <v>0</v>
      </c>
      <c r="G104" s="1795">
        <v>6</v>
      </c>
    </row>
    <row r="105" spans="1:7" x14ac:dyDescent="0.15">
      <c r="A105" s="143" t="s">
        <v>1127</v>
      </c>
      <c r="B105" s="1792">
        <f t="shared" si="9"/>
        <v>11</v>
      </c>
      <c r="C105" s="1795">
        <v>0</v>
      </c>
      <c r="D105" s="1795">
        <v>2</v>
      </c>
      <c r="E105" s="1795">
        <v>0</v>
      </c>
      <c r="F105" s="1795">
        <v>0</v>
      </c>
      <c r="G105" s="1795">
        <v>9</v>
      </c>
    </row>
    <row r="106" spans="1:7" x14ac:dyDescent="0.15">
      <c r="A106" s="143" t="s">
        <v>1032</v>
      </c>
      <c r="B106" s="1792">
        <f t="shared" si="9"/>
        <v>4</v>
      </c>
      <c r="C106" s="1795">
        <v>0</v>
      </c>
      <c r="D106" s="1795">
        <v>1</v>
      </c>
      <c r="E106" s="1795">
        <v>0</v>
      </c>
      <c r="F106" s="1795">
        <v>0</v>
      </c>
      <c r="G106" s="1795">
        <v>3</v>
      </c>
    </row>
    <row r="107" spans="1:7" x14ac:dyDescent="0.15">
      <c r="A107" s="143" t="s">
        <v>1059</v>
      </c>
      <c r="B107" s="1792">
        <f t="shared" si="9"/>
        <v>2</v>
      </c>
      <c r="C107" s="1795">
        <v>0</v>
      </c>
      <c r="D107" s="1795">
        <v>0</v>
      </c>
      <c r="E107" s="1795">
        <v>0</v>
      </c>
      <c r="F107" s="1795">
        <v>0</v>
      </c>
      <c r="G107" s="1795">
        <v>2</v>
      </c>
    </row>
    <row r="108" spans="1:7" x14ac:dyDescent="0.15">
      <c r="A108" s="143" t="s">
        <v>1033</v>
      </c>
      <c r="B108" s="1792">
        <f t="shared" si="9"/>
        <v>1</v>
      </c>
      <c r="C108" s="1795">
        <v>0</v>
      </c>
      <c r="D108" s="1795">
        <v>0</v>
      </c>
      <c r="E108" s="1795">
        <v>0</v>
      </c>
      <c r="F108" s="1795">
        <v>0</v>
      </c>
      <c r="G108" s="1795">
        <v>1</v>
      </c>
    </row>
    <row r="109" spans="1:7" x14ac:dyDescent="0.15">
      <c r="A109" s="143" t="s">
        <v>1060</v>
      </c>
      <c r="B109" s="1792">
        <f t="shared" si="9"/>
        <v>12</v>
      </c>
      <c r="C109" s="1795">
        <v>1</v>
      </c>
      <c r="D109" s="1795">
        <v>4</v>
      </c>
      <c r="E109" s="1795">
        <v>0</v>
      </c>
      <c r="F109" s="1795">
        <v>1</v>
      </c>
      <c r="G109" s="1795">
        <v>6</v>
      </c>
    </row>
    <row r="110" spans="1:7" x14ac:dyDescent="0.15">
      <c r="A110" s="143" t="s">
        <v>1061</v>
      </c>
      <c r="B110" s="1792">
        <f t="shared" si="9"/>
        <v>15</v>
      </c>
      <c r="C110" s="1795">
        <v>0</v>
      </c>
      <c r="D110" s="1795">
        <v>2</v>
      </c>
      <c r="E110" s="1795">
        <v>0</v>
      </c>
      <c r="F110" s="1795">
        <v>1</v>
      </c>
      <c r="G110" s="1795">
        <v>12</v>
      </c>
    </row>
    <row r="111" spans="1:7" x14ac:dyDescent="0.15">
      <c r="A111" s="143" t="s">
        <v>1114</v>
      </c>
      <c r="B111" s="1792">
        <f t="shared" si="9"/>
        <v>1</v>
      </c>
      <c r="C111" s="1795">
        <v>1</v>
      </c>
      <c r="D111" s="1795">
        <v>0</v>
      </c>
      <c r="E111" s="1795">
        <v>0</v>
      </c>
      <c r="F111" s="1795">
        <v>0</v>
      </c>
      <c r="G111" s="1795">
        <v>0</v>
      </c>
    </row>
    <row r="112" spans="1:7" x14ac:dyDescent="0.15">
      <c r="A112" s="143" t="s">
        <v>1128</v>
      </c>
      <c r="B112" s="1792">
        <f t="shared" si="9"/>
        <v>1</v>
      </c>
      <c r="C112" s="1795">
        <v>0</v>
      </c>
      <c r="D112" s="1795">
        <v>0</v>
      </c>
      <c r="E112" s="1795">
        <v>0</v>
      </c>
      <c r="F112" s="1795">
        <v>0</v>
      </c>
      <c r="G112" s="1795">
        <v>1</v>
      </c>
    </row>
    <row r="113" spans="1:7" x14ac:dyDescent="0.15">
      <c r="A113" s="143" t="s">
        <v>1129</v>
      </c>
      <c r="B113" s="1792">
        <f t="shared" si="9"/>
        <v>1</v>
      </c>
      <c r="C113" s="1795">
        <v>0</v>
      </c>
      <c r="D113" s="1795">
        <v>0</v>
      </c>
      <c r="E113" s="1795">
        <v>0</v>
      </c>
      <c r="F113" s="1795">
        <v>0</v>
      </c>
      <c r="G113" s="1795">
        <v>1</v>
      </c>
    </row>
    <row r="114" spans="1:7" x14ac:dyDescent="0.15">
      <c r="A114" s="143" t="s">
        <v>606</v>
      </c>
      <c r="B114" s="1792">
        <f t="shared" si="9"/>
        <v>5</v>
      </c>
      <c r="C114" s="1795">
        <v>0</v>
      </c>
      <c r="D114" s="1795">
        <v>2</v>
      </c>
      <c r="E114" s="1795">
        <v>0</v>
      </c>
      <c r="F114" s="1795">
        <v>0</v>
      </c>
      <c r="G114" s="1795">
        <v>3</v>
      </c>
    </row>
    <row r="115" spans="1:7" x14ac:dyDescent="0.15">
      <c r="A115" s="143" t="s">
        <v>1115</v>
      </c>
      <c r="B115" s="1792">
        <f t="shared" si="9"/>
        <v>2</v>
      </c>
      <c r="C115" s="1795">
        <v>0</v>
      </c>
      <c r="D115" s="1795">
        <v>0</v>
      </c>
      <c r="E115" s="1795">
        <v>0</v>
      </c>
      <c r="F115" s="1795">
        <v>0</v>
      </c>
      <c r="G115" s="1795">
        <v>2</v>
      </c>
    </row>
    <row r="116" spans="1:7" x14ac:dyDescent="0.15">
      <c r="A116" s="143" t="s">
        <v>1130</v>
      </c>
      <c r="B116" s="1792">
        <f t="shared" si="9"/>
        <v>6</v>
      </c>
      <c r="C116" s="1795">
        <v>1</v>
      </c>
      <c r="D116" s="1795">
        <v>0</v>
      </c>
      <c r="E116" s="1795">
        <v>0</v>
      </c>
      <c r="F116" s="1795">
        <v>0</v>
      </c>
      <c r="G116" s="1795">
        <v>5</v>
      </c>
    </row>
    <row r="117" spans="1:7" x14ac:dyDescent="0.15">
      <c r="A117" s="143" t="s">
        <v>1131</v>
      </c>
      <c r="B117" s="1792">
        <f t="shared" si="9"/>
        <v>2</v>
      </c>
      <c r="C117" s="1795">
        <v>0</v>
      </c>
      <c r="D117" s="1795">
        <v>0</v>
      </c>
      <c r="E117" s="1795">
        <v>0</v>
      </c>
      <c r="F117" s="1795">
        <v>0</v>
      </c>
      <c r="G117" s="1795">
        <v>2</v>
      </c>
    </row>
    <row r="118" spans="1:7" x14ac:dyDescent="0.15">
      <c r="A118" s="143" t="s">
        <v>1132</v>
      </c>
      <c r="B118" s="1792">
        <f t="shared" si="9"/>
        <v>1</v>
      </c>
      <c r="C118" s="1795">
        <v>0</v>
      </c>
      <c r="D118" s="1795">
        <v>0</v>
      </c>
      <c r="E118" s="1795">
        <v>0</v>
      </c>
      <c r="F118" s="1795">
        <v>0</v>
      </c>
      <c r="G118" s="1795">
        <v>1</v>
      </c>
    </row>
    <row r="119" spans="1:7" x14ac:dyDescent="0.15">
      <c r="A119" s="143" t="s">
        <v>1116</v>
      </c>
      <c r="B119" s="1792">
        <f t="shared" si="9"/>
        <v>2</v>
      </c>
      <c r="C119" s="1795">
        <v>0</v>
      </c>
      <c r="D119" s="1795">
        <v>0</v>
      </c>
      <c r="E119" s="1795">
        <v>0</v>
      </c>
      <c r="F119" s="1795">
        <v>0</v>
      </c>
      <c r="G119" s="1795">
        <v>2</v>
      </c>
    </row>
    <row r="120" spans="1:7" x14ac:dyDescent="0.15">
      <c r="A120" s="767" t="s">
        <v>12</v>
      </c>
      <c r="B120" s="1792">
        <f t="shared" si="9"/>
        <v>23</v>
      </c>
      <c r="C120" s="1792">
        <f t="shared" ref="C120:G120" si="10">SUM(C121:C129)</f>
        <v>2</v>
      </c>
      <c r="D120" s="1792">
        <f t="shared" si="10"/>
        <v>3</v>
      </c>
      <c r="E120" s="1792">
        <f t="shared" si="10"/>
        <v>0</v>
      </c>
      <c r="F120" s="1792">
        <f t="shared" si="10"/>
        <v>1</v>
      </c>
      <c r="G120" s="1792">
        <f t="shared" si="10"/>
        <v>17</v>
      </c>
    </row>
    <row r="121" spans="1:7" x14ac:dyDescent="0.15">
      <c r="A121" s="143" t="s">
        <v>1044</v>
      </c>
      <c r="B121" s="1792">
        <f t="shared" si="9"/>
        <v>8</v>
      </c>
      <c r="C121" s="1795">
        <v>0</v>
      </c>
      <c r="D121" s="1795">
        <v>2</v>
      </c>
      <c r="E121" s="1795">
        <v>0</v>
      </c>
      <c r="F121" s="1795">
        <v>1</v>
      </c>
      <c r="G121" s="1795">
        <v>5</v>
      </c>
    </row>
    <row r="122" spans="1:7" x14ac:dyDescent="0.15">
      <c r="A122" s="143" t="s">
        <v>1133</v>
      </c>
      <c r="B122" s="1792">
        <f t="shared" si="9"/>
        <v>1</v>
      </c>
      <c r="C122" s="1795">
        <v>0</v>
      </c>
      <c r="D122" s="1795">
        <v>0</v>
      </c>
      <c r="E122" s="1795">
        <v>0</v>
      </c>
      <c r="F122" s="1795">
        <v>0</v>
      </c>
      <c r="G122" s="1795">
        <v>1</v>
      </c>
    </row>
    <row r="123" spans="1:7" x14ac:dyDescent="0.15">
      <c r="A123" s="143" t="s">
        <v>1134</v>
      </c>
      <c r="B123" s="1792">
        <f t="shared" si="9"/>
        <v>1</v>
      </c>
      <c r="C123" s="1795">
        <v>0</v>
      </c>
      <c r="D123" s="1795">
        <v>1</v>
      </c>
      <c r="E123" s="1795">
        <v>0</v>
      </c>
      <c r="F123" s="1795">
        <v>0</v>
      </c>
      <c r="G123" s="1795">
        <v>0</v>
      </c>
    </row>
    <row r="124" spans="1:7" x14ac:dyDescent="0.15">
      <c r="A124" s="143" t="s">
        <v>1062</v>
      </c>
      <c r="B124" s="1792">
        <f t="shared" si="9"/>
        <v>5</v>
      </c>
      <c r="C124" s="1795">
        <v>0</v>
      </c>
      <c r="D124" s="1795">
        <v>0</v>
      </c>
      <c r="E124" s="1795">
        <v>0</v>
      </c>
      <c r="F124" s="1795">
        <v>0</v>
      </c>
      <c r="G124" s="1795">
        <v>5</v>
      </c>
    </row>
    <row r="125" spans="1:7" x14ac:dyDescent="0.15">
      <c r="A125" s="143" t="s">
        <v>1135</v>
      </c>
      <c r="B125" s="1792">
        <f t="shared" si="9"/>
        <v>2</v>
      </c>
      <c r="C125" s="1795">
        <v>0</v>
      </c>
      <c r="D125" s="1795">
        <v>0</v>
      </c>
      <c r="E125" s="1795">
        <v>0</v>
      </c>
      <c r="F125" s="1795">
        <v>0</v>
      </c>
      <c r="G125" s="1795">
        <v>2</v>
      </c>
    </row>
    <row r="126" spans="1:7" x14ac:dyDescent="0.15">
      <c r="A126" s="143" t="s">
        <v>1136</v>
      </c>
      <c r="B126" s="1792">
        <f t="shared" si="9"/>
        <v>3</v>
      </c>
      <c r="C126" s="1795">
        <v>2</v>
      </c>
      <c r="D126" s="1795">
        <v>0</v>
      </c>
      <c r="E126" s="1795">
        <v>0</v>
      </c>
      <c r="F126" s="1795">
        <v>0</v>
      </c>
      <c r="G126" s="1795">
        <v>1</v>
      </c>
    </row>
    <row r="127" spans="1:7" x14ac:dyDescent="0.15">
      <c r="A127" s="143" t="s">
        <v>1050</v>
      </c>
      <c r="B127" s="1792">
        <f t="shared" si="9"/>
        <v>1</v>
      </c>
      <c r="C127" s="1795">
        <v>0</v>
      </c>
      <c r="D127" s="1795">
        <v>0</v>
      </c>
      <c r="E127" s="1795">
        <v>0</v>
      </c>
      <c r="F127" s="1795">
        <v>0</v>
      </c>
      <c r="G127" s="1795">
        <v>1</v>
      </c>
    </row>
    <row r="128" spans="1:7" x14ac:dyDescent="0.15">
      <c r="A128" s="143" t="s">
        <v>1124</v>
      </c>
      <c r="B128" s="1792">
        <f t="shared" si="9"/>
        <v>1</v>
      </c>
      <c r="C128" s="1795">
        <v>0</v>
      </c>
      <c r="D128" s="1795">
        <v>0</v>
      </c>
      <c r="E128" s="1795">
        <v>0</v>
      </c>
      <c r="F128" s="1795">
        <v>0</v>
      </c>
      <c r="G128" s="1795">
        <v>1</v>
      </c>
    </row>
    <row r="129" spans="1:7" x14ac:dyDescent="0.15">
      <c r="A129" s="143" t="s">
        <v>1130</v>
      </c>
      <c r="B129" s="1792">
        <f t="shared" si="9"/>
        <v>1</v>
      </c>
      <c r="C129" s="1795">
        <v>0</v>
      </c>
      <c r="D129" s="1795">
        <v>0</v>
      </c>
      <c r="E129" s="1795">
        <v>0</v>
      </c>
      <c r="F129" s="1795">
        <v>0</v>
      </c>
      <c r="G129" s="1795">
        <v>1</v>
      </c>
    </row>
    <row r="130" spans="1:7" x14ac:dyDescent="0.15">
      <c r="A130" s="767" t="s">
        <v>13</v>
      </c>
      <c r="B130" s="1792">
        <f t="shared" si="9"/>
        <v>65</v>
      </c>
      <c r="C130" s="1792">
        <f t="shared" ref="C130:G130" si="11">SUM(C131:C143)</f>
        <v>7</v>
      </c>
      <c r="D130" s="1792">
        <f t="shared" si="11"/>
        <v>9</v>
      </c>
      <c r="E130" s="1792">
        <f t="shared" si="11"/>
        <v>3</v>
      </c>
      <c r="F130" s="1792">
        <f t="shared" si="11"/>
        <v>3</v>
      </c>
      <c r="G130" s="1792">
        <f t="shared" si="11"/>
        <v>43</v>
      </c>
    </row>
    <row r="131" spans="1:7" x14ac:dyDescent="0.15">
      <c r="A131" s="143" t="s">
        <v>517</v>
      </c>
      <c r="B131" s="1792">
        <f t="shared" si="9"/>
        <v>3</v>
      </c>
      <c r="C131" s="1795">
        <v>0</v>
      </c>
      <c r="D131" s="1795">
        <v>2</v>
      </c>
      <c r="E131" s="1795">
        <v>0</v>
      </c>
      <c r="F131" s="1795">
        <v>0</v>
      </c>
      <c r="G131" s="1795">
        <v>1</v>
      </c>
    </row>
    <row r="132" spans="1:7" x14ac:dyDescent="0.15">
      <c r="A132" s="143" t="s">
        <v>1137</v>
      </c>
      <c r="B132" s="1792">
        <f t="shared" si="9"/>
        <v>1</v>
      </c>
      <c r="C132" s="1795">
        <v>0</v>
      </c>
      <c r="D132" s="1795">
        <v>0</v>
      </c>
      <c r="E132" s="1795">
        <v>0</v>
      </c>
      <c r="F132" s="1795">
        <v>0</v>
      </c>
      <c r="G132" s="1795">
        <v>1</v>
      </c>
    </row>
    <row r="133" spans="1:7" x14ac:dyDescent="0.15">
      <c r="A133" s="143" t="s">
        <v>614</v>
      </c>
      <c r="B133" s="1792">
        <f t="shared" si="9"/>
        <v>30</v>
      </c>
      <c r="C133" s="1795">
        <v>0</v>
      </c>
      <c r="D133" s="1795">
        <v>4</v>
      </c>
      <c r="E133" s="1795">
        <v>3</v>
      </c>
      <c r="F133" s="1795">
        <v>2</v>
      </c>
      <c r="G133" s="1795">
        <v>21</v>
      </c>
    </row>
    <row r="134" spans="1:7" x14ac:dyDescent="0.15">
      <c r="A134" s="143" t="s">
        <v>13</v>
      </c>
      <c r="B134" s="1792">
        <f t="shared" si="9"/>
        <v>2</v>
      </c>
      <c r="C134" s="1795">
        <v>0</v>
      </c>
      <c r="D134" s="1795">
        <v>0</v>
      </c>
      <c r="E134" s="1795">
        <v>0</v>
      </c>
      <c r="F134" s="1795">
        <v>0</v>
      </c>
      <c r="G134" s="1795">
        <v>2</v>
      </c>
    </row>
    <row r="135" spans="1:7" x14ac:dyDescent="0.15">
      <c r="A135" s="143" t="s">
        <v>1138</v>
      </c>
      <c r="B135" s="1792">
        <f t="shared" ref="B135:B186" si="12">SUM(C135:G135)</f>
        <v>1</v>
      </c>
      <c r="C135" s="1795">
        <v>0</v>
      </c>
      <c r="D135" s="1795">
        <v>1</v>
      </c>
      <c r="E135" s="1795">
        <v>0</v>
      </c>
      <c r="F135" s="1795">
        <v>0</v>
      </c>
      <c r="G135" s="1795">
        <v>0</v>
      </c>
    </row>
    <row r="136" spans="1:7" x14ac:dyDescent="0.15">
      <c r="A136" s="143" t="s">
        <v>1139</v>
      </c>
      <c r="B136" s="1792">
        <f t="shared" si="12"/>
        <v>8</v>
      </c>
      <c r="C136" s="1795">
        <v>6</v>
      </c>
      <c r="D136" s="1795">
        <v>1</v>
      </c>
      <c r="E136" s="1795">
        <v>0</v>
      </c>
      <c r="F136" s="1795">
        <v>1</v>
      </c>
      <c r="G136" s="1795">
        <v>0</v>
      </c>
    </row>
    <row r="137" spans="1:7" x14ac:dyDescent="0.15">
      <c r="A137" s="143" t="s">
        <v>620</v>
      </c>
      <c r="B137" s="1792">
        <f t="shared" si="12"/>
        <v>8</v>
      </c>
      <c r="C137" s="1795">
        <v>0</v>
      </c>
      <c r="D137" s="1795">
        <v>0</v>
      </c>
      <c r="E137" s="1795">
        <v>0</v>
      </c>
      <c r="F137" s="1795">
        <v>0</v>
      </c>
      <c r="G137" s="1795">
        <v>8</v>
      </c>
    </row>
    <row r="138" spans="1:7" x14ac:dyDescent="0.15">
      <c r="A138" s="143" t="s">
        <v>1140</v>
      </c>
      <c r="B138" s="1792">
        <f t="shared" si="12"/>
        <v>1</v>
      </c>
      <c r="C138" s="1795">
        <v>0</v>
      </c>
      <c r="D138" s="1795">
        <v>0</v>
      </c>
      <c r="E138" s="1795">
        <v>0</v>
      </c>
      <c r="F138" s="1795">
        <v>0</v>
      </c>
      <c r="G138" s="1795">
        <v>1</v>
      </c>
    </row>
    <row r="139" spans="1:7" x14ac:dyDescent="0.15">
      <c r="A139" s="143" t="s">
        <v>1141</v>
      </c>
      <c r="B139" s="1792">
        <f t="shared" si="12"/>
        <v>3</v>
      </c>
      <c r="C139" s="1795">
        <v>0</v>
      </c>
      <c r="D139" s="1795">
        <v>0</v>
      </c>
      <c r="E139" s="1795">
        <v>0</v>
      </c>
      <c r="F139" s="1795">
        <v>0</v>
      </c>
      <c r="G139" s="1795">
        <v>3</v>
      </c>
    </row>
    <row r="140" spans="1:7" x14ac:dyDescent="0.15">
      <c r="A140" s="143" t="s">
        <v>1142</v>
      </c>
      <c r="B140" s="1792">
        <f t="shared" si="12"/>
        <v>3</v>
      </c>
      <c r="C140" s="1795">
        <v>0</v>
      </c>
      <c r="D140" s="1795">
        <v>0</v>
      </c>
      <c r="E140" s="1795">
        <v>0</v>
      </c>
      <c r="F140" s="1795">
        <v>0</v>
      </c>
      <c r="G140" s="1795">
        <v>3</v>
      </c>
    </row>
    <row r="141" spans="1:7" x14ac:dyDescent="0.15">
      <c r="A141" s="143" t="s">
        <v>1143</v>
      </c>
      <c r="B141" s="1792">
        <f t="shared" si="12"/>
        <v>1</v>
      </c>
      <c r="C141" s="1795">
        <v>0</v>
      </c>
      <c r="D141" s="1795">
        <v>0</v>
      </c>
      <c r="E141" s="1795">
        <v>0</v>
      </c>
      <c r="F141" s="1795">
        <v>0</v>
      </c>
      <c r="G141" s="1795">
        <v>1</v>
      </c>
    </row>
    <row r="142" spans="1:7" x14ac:dyDescent="0.15">
      <c r="A142" s="143" t="s">
        <v>626</v>
      </c>
      <c r="B142" s="1792">
        <f t="shared" si="12"/>
        <v>2</v>
      </c>
      <c r="C142" s="1795">
        <v>1</v>
      </c>
      <c r="D142" s="1795">
        <v>0</v>
      </c>
      <c r="E142" s="1795">
        <v>0</v>
      </c>
      <c r="F142" s="1795">
        <v>0</v>
      </c>
      <c r="G142" s="1795">
        <v>1</v>
      </c>
    </row>
    <row r="143" spans="1:7" x14ac:dyDescent="0.15">
      <c r="A143" s="143" t="s">
        <v>624</v>
      </c>
      <c r="B143" s="1792">
        <f t="shared" si="12"/>
        <v>2</v>
      </c>
      <c r="C143" s="1795">
        <v>0</v>
      </c>
      <c r="D143" s="1795">
        <v>1</v>
      </c>
      <c r="E143" s="1795">
        <v>0</v>
      </c>
      <c r="F143" s="1795">
        <v>0</v>
      </c>
      <c r="G143" s="1795">
        <v>1</v>
      </c>
    </row>
    <row r="144" spans="1:7" x14ac:dyDescent="0.15">
      <c r="A144" s="767" t="s">
        <v>14</v>
      </c>
      <c r="B144" s="1792">
        <f t="shared" si="12"/>
        <v>43</v>
      </c>
      <c r="C144" s="1792">
        <f t="shared" ref="C144:G144" si="13">SUM(C145:C156)</f>
        <v>1</v>
      </c>
      <c r="D144" s="1792">
        <f t="shared" si="13"/>
        <v>8</v>
      </c>
      <c r="E144" s="1792">
        <f t="shared" si="13"/>
        <v>0</v>
      </c>
      <c r="F144" s="1792">
        <f t="shared" si="13"/>
        <v>0</v>
      </c>
      <c r="G144" s="1792">
        <f t="shared" si="13"/>
        <v>34</v>
      </c>
    </row>
    <row r="145" spans="1:7" x14ac:dyDescent="0.15">
      <c r="A145" s="143" t="s">
        <v>10</v>
      </c>
      <c r="B145" s="1792">
        <f t="shared" si="12"/>
        <v>1</v>
      </c>
      <c r="C145" s="1795">
        <v>0</v>
      </c>
      <c r="D145" s="1795">
        <v>1</v>
      </c>
      <c r="E145" s="1795">
        <v>0</v>
      </c>
      <c r="F145" s="1795">
        <v>0</v>
      </c>
      <c r="G145" s="1795">
        <v>0</v>
      </c>
    </row>
    <row r="146" spans="1:7" x14ac:dyDescent="0.15">
      <c r="A146" s="143" t="s">
        <v>1062</v>
      </c>
      <c r="B146" s="1792">
        <f t="shared" si="12"/>
        <v>2</v>
      </c>
      <c r="C146" s="1795">
        <v>0</v>
      </c>
      <c r="D146" s="1795">
        <v>0</v>
      </c>
      <c r="E146" s="1795">
        <v>0</v>
      </c>
      <c r="F146" s="1795">
        <v>0</v>
      </c>
      <c r="G146" s="1795">
        <v>2</v>
      </c>
    </row>
    <row r="147" spans="1:7" x14ac:dyDescent="0.15">
      <c r="A147" s="143" t="s">
        <v>1063</v>
      </c>
      <c r="B147" s="1792">
        <f t="shared" si="12"/>
        <v>14</v>
      </c>
      <c r="C147" s="1795">
        <v>1</v>
      </c>
      <c r="D147" s="1795">
        <v>5</v>
      </c>
      <c r="E147" s="1795">
        <v>0</v>
      </c>
      <c r="F147" s="1795">
        <v>0</v>
      </c>
      <c r="G147" s="1795">
        <v>8</v>
      </c>
    </row>
    <row r="148" spans="1:7" x14ac:dyDescent="0.15">
      <c r="A148" s="143" t="s">
        <v>1119</v>
      </c>
      <c r="B148" s="1792">
        <f t="shared" si="12"/>
        <v>7</v>
      </c>
      <c r="C148" s="1795">
        <v>0</v>
      </c>
      <c r="D148" s="1795">
        <v>1</v>
      </c>
      <c r="E148" s="1795">
        <v>0</v>
      </c>
      <c r="F148" s="1795">
        <v>0</v>
      </c>
      <c r="G148" s="1795">
        <v>6</v>
      </c>
    </row>
    <row r="149" spans="1:7" x14ac:dyDescent="0.15">
      <c r="A149" s="143" t="s">
        <v>1144</v>
      </c>
      <c r="B149" s="1792">
        <f t="shared" si="12"/>
        <v>1</v>
      </c>
      <c r="C149" s="1795">
        <v>0</v>
      </c>
      <c r="D149" s="1795">
        <v>0</v>
      </c>
      <c r="E149" s="1795">
        <v>0</v>
      </c>
      <c r="F149" s="1795">
        <v>0</v>
      </c>
      <c r="G149" s="1795">
        <v>1</v>
      </c>
    </row>
    <row r="150" spans="1:7" x14ac:dyDescent="0.15">
      <c r="A150" s="143" t="s">
        <v>641</v>
      </c>
      <c r="B150" s="1792">
        <f t="shared" si="12"/>
        <v>7</v>
      </c>
      <c r="C150" s="1795">
        <v>0</v>
      </c>
      <c r="D150" s="1795">
        <v>0</v>
      </c>
      <c r="E150" s="1795">
        <v>0</v>
      </c>
      <c r="F150" s="1795">
        <v>0</v>
      </c>
      <c r="G150" s="1795">
        <v>7</v>
      </c>
    </row>
    <row r="151" spans="1:7" x14ac:dyDescent="0.15">
      <c r="A151" s="143" t="s">
        <v>1145</v>
      </c>
      <c r="B151" s="1792">
        <f t="shared" si="12"/>
        <v>2</v>
      </c>
      <c r="C151" s="1795">
        <v>0</v>
      </c>
      <c r="D151" s="1795">
        <v>0</v>
      </c>
      <c r="E151" s="1795">
        <v>0</v>
      </c>
      <c r="F151" s="1795">
        <v>0</v>
      </c>
      <c r="G151" s="1795">
        <v>2</v>
      </c>
    </row>
    <row r="152" spans="1:7" x14ac:dyDescent="0.15">
      <c r="A152" s="143" t="s">
        <v>1146</v>
      </c>
      <c r="B152" s="1792">
        <f t="shared" si="12"/>
        <v>1</v>
      </c>
      <c r="C152" s="1795">
        <v>0</v>
      </c>
      <c r="D152" s="1795">
        <v>0</v>
      </c>
      <c r="E152" s="1795">
        <v>0</v>
      </c>
      <c r="F152" s="1795">
        <v>0</v>
      </c>
      <c r="G152" s="1795">
        <v>1</v>
      </c>
    </row>
    <row r="153" spans="1:7" x14ac:dyDescent="0.15">
      <c r="A153" s="143" t="s">
        <v>1147</v>
      </c>
      <c r="B153" s="1792">
        <f t="shared" si="12"/>
        <v>3</v>
      </c>
      <c r="C153" s="1795">
        <v>0</v>
      </c>
      <c r="D153" s="1795">
        <v>0</v>
      </c>
      <c r="E153" s="1795">
        <v>0</v>
      </c>
      <c r="F153" s="1795">
        <v>0</v>
      </c>
      <c r="G153" s="1795">
        <v>3</v>
      </c>
    </row>
    <row r="154" spans="1:7" x14ac:dyDescent="0.15">
      <c r="A154" s="143" t="s">
        <v>1148</v>
      </c>
      <c r="B154" s="1792">
        <f t="shared" si="12"/>
        <v>3</v>
      </c>
      <c r="C154" s="1795">
        <v>0</v>
      </c>
      <c r="D154" s="1795">
        <v>0</v>
      </c>
      <c r="E154" s="1795">
        <v>0</v>
      </c>
      <c r="F154" s="1795">
        <v>0</v>
      </c>
      <c r="G154" s="1795">
        <v>3</v>
      </c>
    </row>
    <row r="155" spans="1:7" x14ac:dyDescent="0.15">
      <c r="A155" s="143" t="s">
        <v>1149</v>
      </c>
      <c r="B155" s="1792">
        <f t="shared" si="12"/>
        <v>1</v>
      </c>
      <c r="C155" s="1795">
        <v>0</v>
      </c>
      <c r="D155" s="1795">
        <v>1</v>
      </c>
      <c r="E155" s="1795">
        <v>0</v>
      </c>
      <c r="F155" s="1795">
        <v>0</v>
      </c>
      <c r="G155" s="1795">
        <v>0</v>
      </c>
    </row>
    <row r="156" spans="1:7" x14ac:dyDescent="0.15">
      <c r="A156" s="143" t="s">
        <v>629</v>
      </c>
      <c r="B156" s="1792">
        <f t="shared" si="12"/>
        <v>1</v>
      </c>
      <c r="C156" s="1795">
        <v>0</v>
      </c>
      <c r="D156" s="1795">
        <v>0</v>
      </c>
      <c r="E156" s="1795">
        <v>0</v>
      </c>
      <c r="F156" s="1795">
        <v>0</v>
      </c>
      <c r="G156" s="1795">
        <v>1</v>
      </c>
    </row>
    <row r="157" spans="1:7" x14ac:dyDescent="0.15">
      <c r="A157" s="767" t="s">
        <v>350</v>
      </c>
      <c r="B157" s="1792">
        <f t="shared" si="12"/>
        <v>35</v>
      </c>
      <c r="C157" s="1792">
        <f t="shared" ref="C157:G157" si="14">SUM(C158:C168)</f>
        <v>8</v>
      </c>
      <c r="D157" s="1792">
        <f t="shared" si="14"/>
        <v>1</v>
      </c>
      <c r="E157" s="1792">
        <f t="shared" si="14"/>
        <v>0</v>
      </c>
      <c r="F157" s="1792">
        <f t="shared" si="14"/>
        <v>5</v>
      </c>
      <c r="G157" s="1792">
        <f t="shared" si="14"/>
        <v>21</v>
      </c>
    </row>
    <row r="158" spans="1:7" x14ac:dyDescent="0.15">
      <c r="A158" s="143" t="s">
        <v>641</v>
      </c>
      <c r="B158" s="1792">
        <f t="shared" si="12"/>
        <v>1</v>
      </c>
      <c r="C158" s="1795">
        <v>1</v>
      </c>
      <c r="D158" s="1795">
        <v>0</v>
      </c>
      <c r="E158" s="1795">
        <v>0</v>
      </c>
      <c r="F158" s="1795">
        <v>0</v>
      </c>
      <c r="G158" s="1795">
        <v>0</v>
      </c>
    </row>
    <row r="159" spans="1:7" x14ac:dyDescent="0.15">
      <c r="A159" s="143" t="s">
        <v>1145</v>
      </c>
      <c r="B159" s="1792">
        <f t="shared" si="12"/>
        <v>2</v>
      </c>
      <c r="C159" s="1795">
        <v>0</v>
      </c>
      <c r="D159" s="1795">
        <v>0</v>
      </c>
      <c r="E159" s="1795">
        <v>0</v>
      </c>
      <c r="F159" s="1795">
        <v>0</v>
      </c>
      <c r="G159" s="1795">
        <v>2</v>
      </c>
    </row>
    <row r="160" spans="1:7" x14ac:dyDescent="0.15">
      <c r="A160" s="143" t="s">
        <v>1150</v>
      </c>
      <c r="B160" s="1792">
        <f t="shared" si="12"/>
        <v>1</v>
      </c>
      <c r="C160" s="1795">
        <v>0</v>
      </c>
      <c r="D160" s="1795">
        <v>0</v>
      </c>
      <c r="E160" s="1795">
        <v>0</v>
      </c>
      <c r="F160" s="1795">
        <v>0</v>
      </c>
      <c r="G160" s="1795">
        <v>1</v>
      </c>
    </row>
    <row r="161" spans="1:7" x14ac:dyDescent="0.15">
      <c r="A161" s="143" t="s">
        <v>644</v>
      </c>
      <c r="B161" s="1792">
        <f t="shared" si="12"/>
        <v>1</v>
      </c>
      <c r="C161" s="1795">
        <v>0</v>
      </c>
      <c r="D161" s="1795">
        <v>0</v>
      </c>
      <c r="E161" s="1795">
        <v>0</v>
      </c>
      <c r="F161" s="1795">
        <v>0</v>
      </c>
      <c r="G161" s="1795">
        <v>1</v>
      </c>
    </row>
    <row r="162" spans="1:7" x14ac:dyDescent="0.15">
      <c r="A162" s="143" t="s">
        <v>709</v>
      </c>
      <c r="B162" s="1792">
        <f t="shared" si="12"/>
        <v>23</v>
      </c>
      <c r="C162" s="1795">
        <v>5</v>
      </c>
      <c r="D162" s="1795">
        <v>1</v>
      </c>
      <c r="E162" s="1795">
        <v>0</v>
      </c>
      <c r="F162" s="1795">
        <v>4</v>
      </c>
      <c r="G162" s="1795">
        <v>13</v>
      </c>
    </row>
    <row r="163" spans="1:7" x14ac:dyDescent="0.15">
      <c r="A163" s="143" t="s">
        <v>1041</v>
      </c>
      <c r="B163" s="1792">
        <f t="shared" si="12"/>
        <v>1</v>
      </c>
      <c r="C163" s="1795">
        <v>0</v>
      </c>
      <c r="D163" s="1795">
        <v>0</v>
      </c>
      <c r="E163" s="1795">
        <v>0</v>
      </c>
      <c r="F163" s="1795">
        <v>0</v>
      </c>
      <c r="G163" s="1795">
        <v>1</v>
      </c>
    </row>
    <row r="164" spans="1:7" x14ac:dyDescent="0.15">
      <c r="A164" s="143" t="s">
        <v>1151</v>
      </c>
      <c r="B164" s="1792">
        <f t="shared" si="12"/>
        <v>1</v>
      </c>
      <c r="C164" s="1795">
        <v>0</v>
      </c>
      <c r="D164" s="1795">
        <v>0</v>
      </c>
      <c r="E164" s="1795">
        <v>0</v>
      </c>
      <c r="F164" s="1795">
        <v>0</v>
      </c>
      <c r="G164" s="1795">
        <v>1</v>
      </c>
    </row>
    <row r="165" spans="1:7" x14ac:dyDescent="0.15">
      <c r="A165" s="143" t="s">
        <v>1152</v>
      </c>
      <c r="B165" s="1792">
        <f t="shared" si="12"/>
        <v>1</v>
      </c>
      <c r="C165" s="1795">
        <v>0</v>
      </c>
      <c r="D165" s="1795">
        <v>0</v>
      </c>
      <c r="E165" s="1795">
        <v>0</v>
      </c>
      <c r="F165" s="1795">
        <v>1</v>
      </c>
      <c r="G165" s="1795">
        <v>0</v>
      </c>
    </row>
    <row r="166" spans="1:7" x14ac:dyDescent="0.15">
      <c r="A166" s="143" t="s">
        <v>1153</v>
      </c>
      <c r="B166" s="1792">
        <f t="shared" si="12"/>
        <v>1</v>
      </c>
      <c r="C166" s="1795">
        <v>1</v>
      </c>
      <c r="D166" s="1795">
        <v>0</v>
      </c>
      <c r="E166" s="1795">
        <v>0</v>
      </c>
      <c r="F166" s="1795">
        <v>0</v>
      </c>
      <c r="G166" s="1795">
        <v>0</v>
      </c>
    </row>
    <row r="167" spans="1:7" x14ac:dyDescent="0.15">
      <c r="A167" s="143" t="s">
        <v>1154</v>
      </c>
      <c r="B167" s="1792">
        <f t="shared" si="12"/>
        <v>2</v>
      </c>
      <c r="C167" s="1795">
        <v>1</v>
      </c>
      <c r="D167" s="1795">
        <v>0</v>
      </c>
      <c r="E167" s="1795">
        <v>0</v>
      </c>
      <c r="F167" s="1795">
        <v>0</v>
      </c>
      <c r="G167" s="1795">
        <v>1</v>
      </c>
    </row>
    <row r="168" spans="1:7" x14ac:dyDescent="0.15">
      <c r="A168" s="143" t="s">
        <v>1126</v>
      </c>
      <c r="B168" s="1792">
        <f t="shared" si="12"/>
        <v>1</v>
      </c>
      <c r="C168" s="1795">
        <v>0</v>
      </c>
      <c r="D168" s="1795">
        <v>0</v>
      </c>
      <c r="E168" s="1795">
        <v>0</v>
      </c>
      <c r="F168" s="1795">
        <v>0</v>
      </c>
      <c r="G168" s="1795">
        <v>1</v>
      </c>
    </row>
    <row r="169" spans="1:7" x14ac:dyDescent="0.15">
      <c r="A169" s="767" t="s">
        <v>16</v>
      </c>
      <c r="B169" s="1792">
        <f t="shared" si="12"/>
        <v>39</v>
      </c>
      <c r="C169" s="1792">
        <f t="shared" ref="C169:G169" si="15">SUM(C170:C174)</f>
        <v>10</v>
      </c>
      <c r="D169" s="1792">
        <f t="shared" si="15"/>
        <v>2</v>
      </c>
      <c r="E169" s="1792">
        <f t="shared" si="15"/>
        <v>3</v>
      </c>
      <c r="F169" s="1792">
        <f t="shared" si="15"/>
        <v>10</v>
      </c>
      <c r="G169" s="1792">
        <f t="shared" si="15"/>
        <v>14</v>
      </c>
    </row>
    <row r="170" spans="1:7" x14ac:dyDescent="0.15">
      <c r="A170" s="143" t="s">
        <v>1155</v>
      </c>
      <c r="B170" s="1792">
        <f t="shared" si="12"/>
        <v>0</v>
      </c>
      <c r="C170" s="1795">
        <v>0</v>
      </c>
      <c r="D170" s="1795">
        <v>0</v>
      </c>
      <c r="E170" s="1795">
        <v>0</v>
      </c>
      <c r="F170" s="1795">
        <v>0</v>
      </c>
      <c r="G170" s="1795">
        <v>0</v>
      </c>
    </row>
    <row r="171" spans="1:7" x14ac:dyDescent="0.15">
      <c r="A171" s="143" t="s">
        <v>711</v>
      </c>
      <c r="B171" s="1792">
        <f t="shared" si="12"/>
        <v>0</v>
      </c>
      <c r="C171" s="1795">
        <v>0</v>
      </c>
      <c r="D171" s="1795">
        <v>0</v>
      </c>
      <c r="E171" s="1795">
        <v>0</v>
      </c>
      <c r="F171" s="1795">
        <v>0</v>
      </c>
      <c r="G171" s="1795">
        <v>0</v>
      </c>
    </row>
    <row r="172" spans="1:7" x14ac:dyDescent="0.15">
      <c r="A172" s="143" t="s">
        <v>655</v>
      </c>
      <c r="B172" s="1792">
        <f t="shared" si="12"/>
        <v>36</v>
      </c>
      <c r="C172" s="1795">
        <v>10</v>
      </c>
      <c r="D172" s="1795">
        <v>1</v>
      </c>
      <c r="E172" s="1795">
        <v>3</v>
      </c>
      <c r="F172" s="1795">
        <v>10</v>
      </c>
      <c r="G172" s="1795">
        <v>12</v>
      </c>
    </row>
    <row r="173" spans="1:7" x14ac:dyDescent="0.15">
      <c r="A173" s="143" t="s">
        <v>1070</v>
      </c>
      <c r="B173" s="1792">
        <f t="shared" si="12"/>
        <v>1</v>
      </c>
      <c r="C173" s="1795">
        <v>0</v>
      </c>
      <c r="D173" s="1795">
        <v>0</v>
      </c>
      <c r="E173" s="1795">
        <v>0</v>
      </c>
      <c r="F173" s="1795">
        <v>0</v>
      </c>
      <c r="G173" s="1795">
        <v>1</v>
      </c>
    </row>
    <row r="174" spans="1:7" x14ac:dyDescent="0.15">
      <c r="A174" s="143" t="s">
        <v>1156</v>
      </c>
      <c r="B174" s="1792">
        <f t="shared" si="12"/>
        <v>2</v>
      </c>
      <c r="C174" s="1795">
        <v>0</v>
      </c>
      <c r="D174" s="1795">
        <v>1</v>
      </c>
      <c r="E174" s="1795">
        <v>0</v>
      </c>
      <c r="F174" s="1795">
        <v>0</v>
      </c>
      <c r="G174" s="1795">
        <v>1</v>
      </c>
    </row>
    <row r="175" spans="1:7" x14ac:dyDescent="0.15">
      <c r="A175" s="767" t="s">
        <v>17</v>
      </c>
      <c r="B175" s="1792">
        <f t="shared" si="12"/>
        <v>71</v>
      </c>
      <c r="C175" s="1792">
        <f t="shared" ref="C175:G175" si="16">SUM(C176:C182)</f>
        <v>8</v>
      </c>
      <c r="D175" s="1792">
        <f t="shared" si="16"/>
        <v>6</v>
      </c>
      <c r="E175" s="1792">
        <f t="shared" si="16"/>
        <v>1</v>
      </c>
      <c r="F175" s="1792">
        <f t="shared" si="16"/>
        <v>0</v>
      </c>
      <c r="G175" s="1792">
        <f t="shared" si="16"/>
        <v>56</v>
      </c>
    </row>
    <row r="176" spans="1:7" x14ac:dyDescent="0.15">
      <c r="A176" s="143" t="s">
        <v>1157</v>
      </c>
      <c r="B176" s="1792">
        <f t="shared" si="12"/>
        <v>15</v>
      </c>
      <c r="C176" s="1795">
        <v>1</v>
      </c>
      <c r="D176" s="1795">
        <v>0</v>
      </c>
      <c r="E176" s="1795">
        <v>0</v>
      </c>
      <c r="F176" s="1795">
        <v>0</v>
      </c>
      <c r="G176" s="1795">
        <v>14</v>
      </c>
    </row>
    <row r="177" spans="1:7" x14ac:dyDescent="0.15">
      <c r="A177" s="143" t="s">
        <v>711</v>
      </c>
      <c r="B177" s="1792">
        <f t="shared" si="12"/>
        <v>50</v>
      </c>
      <c r="C177" s="1795">
        <v>7</v>
      </c>
      <c r="D177" s="1795">
        <v>6</v>
      </c>
      <c r="E177" s="1795">
        <v>1</v>
      </c>
      <c r="F177" s="1795">
        <v>0</v>
      </c>
      <c r="G177" s="1795">
        <v>36</v>
      </c>
    </row>
    <row r="178" spans="1:7" x14ac:dyDescent="0.15">
      <c r="A178" s="143" t="s">
        <v>1158</v>
      </c>
      <c r="B178" s="1792">
        <f t="shared" si="12"/>
        <v>1</v>
      </c>
      <c r="C178" s="1795">
        <v>0</v>
      </c>
      <c r="D178" s="1795">
        <v>0</v>
      </c>
      <c r="E178" s="1795">
        <v>0</v>
      </c>
      <c r="F178" s="1795">
        <v>0</v>
      </c>
      <c r="G178" s="1795">
        <v>1</v>
      </c>
    </row>
    <row r="179" spans="1:7" x14ac:dyDescent="0.15">
      <c r="A179" s="143" t="s">
        <v>1159</v>
      </c>
      <c r="B179" s="1792">
        <f t="shared" si="12"/>
        <v>1</v>
      </c>
      <c r="C179" s="1795">
        <v>0</v>
      </c>
      <c r="D179" s="1795">
        <v>0</v>
      </c>
      <c r="E179" s="1795">
        <v>0</v>
      </c>
      <c r="F179" s="1795">
        <v>0</v>
      </c>
      <c r="G179" s="1795">
        <v>1</v>
      </c>
    </row>
    <row r="180" spans="1:7" x14ac:dyDescent="0.15">
      <c r="A180" s="143" t="s">
        <v>713</v>
      </c>
      <c r="B180" s="1792">
        <f t="shared" si="12"/>
        <v>1</v>
      </c>
      <c r="C180" s="1795">
        <v>0</v>
      </c>
      <c r="D180" s="1795">
        <v>0</v>
      </c>
      <c r="E180" s="1795">
        <v>0</v>
      </c>
      <c r="F180" s="1795">
        <v>0</v>
      </c>
      <c r="G180" s="1795">
        <v>1</v>
      </c>
    </row>
    <row r="181" spans="1:7" x14ac:dyDescent="0.15">
      <c r="A181" s="143" t="s">
        <v>561</v>
      </c>
      <c r="B181" s="1792">
        <f t="shared" si="12"/>
        <v>2</v>
      </c>
      <c r="C181" s="1795">
        <v>0</v>
      </c>
      <c r="D181" s="1795">
        <v>0</v>
      </c>
      <c r="E181" s="1795">
        <v>0</v>
      </c>
      <c r="F181" s="1795">
        <v>0</v>
      </c>
      <c r="G181" s="1795">
        <v>2</v>
      </c>
    </row>
    <row r="182" spans="1:7" x14ac:dyDescent="0.15">
      <c r="A182" s="143" t="s">
        <v>1026</v>
      </c>
      <c r="B182" s="1792">
        <f t="shared" si="12"/>
        <v>1</v>
      </c>
      <c r="C182" s="1795">
        <v>0</v>
      </c>
      <c r="D182" s="1795">
        <v>0</v>
      </c>
      <c r="E182" s="1795">
        <v>0</v>
      </c>
      <c r="F182" s="1795">
        <v>0</v>
      </c>
      <c r="G182" s="1795">
        <v>1</v>
      </c>
    </row>
    <row r="183" spans="1:7" x14ac:dyDescent="0.15">
      <c r="A183" s="767" t="s">
        <v>18</v>
      </c>
      <c r="B183" s="1792">
        <f t="shared" si="12"/>
        <v>6</v>
      </c>
      <c r="C183" s="1792">
        <f t="shared" ref="C183:G183" si="17">SUM(C184)</f>
        <v>1</v>
      </c>
      <c r="D183" s="1792">
        <f t="shared" si="17"/>
        <v>1</v>
      </c>
      <c r="E183" s="1792">
        <f t="shared" si="17"/>
        <v>0</v>
      </c>
      <c r="F183" s="1792">
        <f t="shared" si="17"/>
        <v>0</v>
      </c>
      <c r="G183" s="1792">
        <f t="shared" si="17"/>
        <v>4</v>
      </c>
    </row>
    <row r="184" spans="1:7" x14ac:dyDescent="0.15">
      <c r="A184" s="143" t="s">
        <v>665</v>
      </c>
      <c r="B184" s="1792">
        <f t="shared" si="12"/>
        <v>6</v>
      </c>
      <c r="C184" s="1795">
        <v>1</v>
      </c>
      <c r="D184" s="1795">
        <v>1</v>
      </c>
      <c r="E184" s="1795">
        <v>0</v>
      </c>
      <c r="F184" s="1795">
        <v>0</v>
      </c>
      <c r="G184" s="1795">
        <v>4</v>
      </c>
    </row>
    <row r="185" spans="1:7" x14ac:dyDescent="0.15">
      <c r="A185" s="767" t="s">
        <v>19</v>
      </c>
      <c r="B185" s="1792">
        <f t="shared" si="12"/>
        <v>13</v>
      </c>
      <c r="C185" s="1792">
        <f t="shared" ref="C185:G185" si="18">SUM(C186)</f>
        <v>0</v>
      </c>
      <c r="D185" s="1792">
        <f t="shared" si="18"/>
        <v>5</v>
      </c>
      <c r="E185" s="1792">
        <f t="shared" si="18"/>
        <v>0</v>
      </c>
      <c r="F185" s="1792">
        <f t="shared" si="18"/>
        <v>0</v>
      </c>
      <c r="G185" s="1792">
        <f t="shared" si="18"/>
        <v>8</v>
      </c>
    </row>
    <row r="186" spans="1:7" x14ac:dyDescent="0.15">
      <c r="A186" s="143" t="s">
        <v>691</v>
      </c>
      <c r="B186" s="1792">
        <f t="shared" si="12"/>
        <v>13</v>
      </c>
      <c r="C186" s="1795">
        <v>0</v>
      </c>
      <c r="D186" s="1795">
        <v>5</v>
      </c>
      <c r="E186" s="1795">
        <v>0</v>
      </c>
      <c r="F186" s="1795">
        <v>0</v>
      </c>
      <c r="G186" s="1795">
        <v>8</v>
      </c>
    </row>
    <row r="187" spans="1:7" x14ac:dyDescent="0.15">
      <c r="A187" s="2345"/>
      <c r="B187" s="2345"/>
      <c r="C187" s="2345"/>
      <c r="D187" s="2345"/>
      <c r="E187" s="2345"/>
      <c r="F187" s="2345"/>
      <c r="G187" s="2345"/>
    </row>
    <row r="188" spans="1:7" ht="11.25" customHeight="1" x14ac:dyDescent="0.15">
      <c r="A188" s="2462" t="s">
        <v>3828</v>
      </c>
      <c r="B188" s="3030"/>
      <c r="C188" s="3030"/>
      <c r="D188" s="3030"/>
      <c r="E188" s="3030"/>
      <c r="F188" s="3030"/>
      <c r="G188" s="3030"/>
    </row>
    <row r="189" spans="1:7" ht="11.25" customHeight="1" x14ac:dyDescent="0.15">
      <c r="A189" s="3371" t="s">
        <v>20</v>
      </c>
      <c r="B189" s="3625"/>
      <c r="C189" s="3625"/>
      <c r="D189" s="3625"/>
      <c r="E189" s="3625"/>
      <c r="F189" s="3625"/>
      <c r="G189" s="3625"/>
    </row>
    <row r="190" spans="1:7" x14ac:dyDescent="0.15">
      <c r="A190" s="2462" t="s">
        <v>1075</v>
      </c>
      <c r="B190" s="3342"/>
      <c r="C190" s="3342"/>
      <c r="D190" s="3342"/>
      <c r="E190" s="3342"/>
      <c r="F190" s="3342"/>
      <c r="G190" s="3342"/>
    </row>
  </sheetData>
  <mergeCells count="9">
    <mergeCell ref="A188:G188"/>
    <mergeCell ref="A189:G189"/>
    <mergeCell ref="A190:G190"/>
    <mergeCell ref="A2:G2"/>
    <mergeCell ref="A3:G3"/>
    <mergeCell ref="A4:A5"/>
    <mergeCell ref="B4:B5"/>
    <mergeCell ref="C4:G4"/>
    <mergeCell ref="A187:G18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1"/>
  <dimension ref="A2:F25"/>
  <sheetViews>
    <sheetView workbookViewId="0">
      <selection activeCell="A2" sqref="A2:G2"/>
    </sheetView>
  </sheetViews>
  <sheetFormatPr baseColWidth="10" defaultColWidth="9.140625" defaultRowHeight="10.5" x14ac:dyDescent="0.15"/>
  <cols>
    <col min="1" max="1" width="23.140625" style="167" customWidth="1"/>
    <col min="2" max="2" width="13.42578125" style="167" customWidth="1"/>
    <col min="3" max="3" width="17.7109375" style="167" customWidth="1"/>
    <col min="4" max="4" width="20.140625" style="167" customWidth="1"/>
    <col min="5" max="5" width="19.5703125" style="167" customWidth="1"/>
    <col min="6" max="16384" width="9.140625" style="167"/>
  </cols>
  <sheetData>
    <row r="2" spans="1:6" ht="22.5" customHeight="1" x14ac:dyDescent="0.15">
      <c r="A2" s="2768" t="s">
        <v>4237</v>
      </c>
      <c r="B2" s="3633"/>
      <c r="C2" s="3633"/>
      <c r="D2" s="3633"/>
      <c r="E2" s="3633"/>
      <c r="F2" s="1990"/>
    </row>
    <row r="3" spans="1:6" ht="11.25" customHeight="1" x14ac:dyDescent="0.15">
      <c r="A3" s="3317"/>
      <c r="B3" s="2357"/>
      <c r="C3" s="2357"/>
      <c r="D3" s="2357"/>
      <c r="E3" s="2357"/>
    </row>
    <row r="4" spans="1:6" ht="12.75" customHeight="1" x14ac:dyDescent="0.15">
      <c r="A4" s="3377" t="s">
        <v>995</v>
      </c>
      <c r="B4" s="2374" t="s">
        <v>3829</v>
      </c>
      <c r="C4" s="2375"/>
      <c r="D4" s="2375"/>
      <c r="E4" s="2375"/>
    </row>
    <row r="5" spans="1:6" ht="12.75" customHeight="1" x14ac:dyDescent="0.15">
      <c r="A5" s="3377"/>
      <c r="B5" s="2351" t="s">
        <v>141</v>
      </c>
      <c r="C5" s="2351" t="s">
        <v>3830</v>
      </c>
      <c r="D5" s="3374"/>
      <c r="E5" s="3374"/>
    </row>
    <row r="6" spans="1:6" ht="84" x14ac:dyDescent="0.15">
      <c r="A6" s="3377"/>
      <c r="B6" s="2351"/>
      <c r="C6" s="427" t="s">
        <v>3831</v>
      </c>
      <c r="D6" s="427" t="s">
        <v>3832</v>
      </c>
      <c r="E6" s="427" t="s">
        <v>3833</v>
      </c>
    </row>
    <row r="7" spans="1:6" x14ac:dyDescent="0.15">
      <c r="A7" s="146" t="s">
        <v>141</v>
      </c>
      <c r="B7" s="1797">
        <f t="shared" ref="B7:B22" si="0">SUM(C7:E7)</f>
        <v>30</v>
      </c>
      <c r="C7" s="1797">
        <f>SUM(C8:C22)</f>
        <v>1</v>
      </c>
      <c r="D7" s="1797">
        <f>SUM(D8:D22)</f>
        <v>10</v>
      </c>
      <c r="E7" s="1797">
        <f>SUM(E8:E22)</f>
        <v>19</v>
      </c>
    </row>
    <row r="8" spans="1:6" x14ac:dyDescent="0.15">
      <c r="A8" s="476" t="s">
        <v>5</v>
      </c>
      <c r="B8" s="1797">
        <f t="shared" si="0"/>
        <v>0</v>
      </c>
      <c r="C8" s="537">
        <v>0</v>
      </c>
      <c r="D8" s="537">
        <v>0</v>
      </c>
      <c r="E8" s="537">
        <v>0</v>
      </c>
    </row>
    <row r="9" spans="1:6" x14ac:dyDescent="0.15">
      <c r="A9" s="476" t="s">
        <v>6</v>
      </c>
      <c r="B9" s="1797">
        <f t="shared" si="0"/>
        <v>1</v>
      </c>
      <c r="C9" s="537">
        <v>0</v>
      </c>
      <c r="D9" s="537">
        <v>0</v>
      </c>
      <c r="E9" s="537">
        <v>1</v>
      </c>
    </row>
    <row r="10" spans="1:6" x14ac:dyDescent="0.15">
      <c r="A10" s="476" t="s">
        <v>7</v>
      </c>
      <c r="B10" s="1797">
        <f t="shared" si="0"/>
        <v>1</v>
      </c>
      <c r="C10" s="537">
        <v>0</v>
      </c>
      <c r="D10" s="537">
        <v>1</v>
      </c>
      <c r="E10" s="537">
        <v>0</v>
      </c>
    </row>
    <row r="11" spans="1:6" x14ac:dyDescent="0.15">
      <c r="A11" s="476" t="s">
        <v>8</v>
      </c>
      <c r="B11" s="1797">
        <f t="shared" si="0"/>
        <v>0</v>
      </c>
      <c r="C11" s="537">
        <v>0</v>
      </c>
      <c r="D11" s="537">
        <v>0</v>
      </c>
      <c r="E11" s="537">
        <v>0</v>
      </c>
    </row>
    <row r="12" spans="1:6" x14ac:dyDescent="0.15">
      <c r="A12" s="476" t="s">
        <v>9</v>
      </c>
      <c r="B12" s="1797">
        <f t="shared" si="0"/>
        <v>1</v>
      </c>
      <c r="C12" s="537">
        <v>0</v>
      </c>
      <c r="D12" s="537">
        <v>1</v>
      </c>
      <c r="E12" s="537">
        <v>0</v>
      </c>
    </row>
    <row r="13" spans="1:6" x14ac:dyDescent="0.15">
      <c r="A13" s="476" t="s">
        <v>10</v>
      </c>
      <c r="B13" s="1797">
        <f t="shared" si="0"/>
        <v>3</v>
      </c>
      <c r="C13" s="537">
        <v>0</v>
      </c>
      <c r="D13" s="537">
        <v>2</v>
      </c>
      <c r="E13" s="537">
        <v>1</v>
      </c>
    </row>
    <row r="14" spans="1:6" x14ac:dyDescent="0.15">
      <c r="A14" s="476" t="s">
        <v>11</v>
      </c>
      <c r="B14" s="1797">
        <f t="shared" si="0"/>
        <v>14</v>
      </c>
      <c r="C14" s="537">
        <v>1</v>
      </c>
      <c r="D14" s="537">
        <v>0</v>
      </c>
      <c r="E14" s="537">
        <v>13</v>
      </c>
    </row>
    <row r="15" spans="1:6" x14ac:dyDescent="0.15">
      <c r="A15" s="476" t="s">
        <v>12</v>
      </c>
      <c r="B15" s="1797">
        <f t="shared" si="0"/>
        <v>0</v>
      </c>
      <c r="C15" s="537">
        <v>0</v>
      </c>
      <c r="D15" s="537">
        <v>0</v>
      </c>
      <c r="E15" s="537">
        <v>0</v>
      </c>
    </row>
    <row r="16" spans="1:6" x14ac:dyDescent="0.15">
      <c r="A16" s="476" t="s">
        <v>13</v>
      </c>
      <c r="B16" s="1797">
        <f t="shared" si="0"/>
        <v>9</v>
      </c>
      <c r="C16" s="537">
        <v>0</v>
      </c>
      <c r="D16" s="537">
        <v>5</v>
      </c>
      <c r="E16" s="537">
        <v>4</v>
      </c>
    </row>
    <row r="17" spans="1:5" x14ac:dyDescent="0.15">
      <c r="A17" s="476" t="s">
        <v>14</v>
      </c>
      <c r="B17" s="1797">
        <f t="shared" si="0"/>
        <v>1</v>
      </c>
      <c r="C17" s="537">
        <v>0</v>
      </c>
      <c r="D17" s="537">
        <v>1</v>
      </c>
      <c r="E17" s="537">
        <v>0</v>
      </c>
    </row>
    <row r="18" spans="1:5" x14ac:dyDescent="0.15">
      <c r="A18" s="476" t="s">
        <v>15</v>
      </c>
      <c r="B18" s="1797">
        <f t="shared" si="0"/>
        <v>0</v>
      </c>
      <c r="C18" s="537">
        <v>0</v>
      </c>
      <c r="D18" s="537">
        <v>0</v>
      </c>
      <c r="E18" s="537">
        <v>0</v>
      </c>
    </row>
    <row r="19" spans="1:5" x14ac:dyDescent="0.15">
      <c r="A19" s="476" t="s">
        <v>16</v>
      </c>
      <c r="B19" s="1797">
        <f t="shared" si="0"/>
        <v>0</v>
      </c>
      <c r="C19" s="537">
        <v>0</v>
      </c>
      <c r="D19" s="537">
        <v>0</v>
      </c>
      <c r="E19" s="537">
        <v>0</v>
      </c>
    </row>
    <row r="20" spans="1:5" x14ac:dyDescent="0.15">
      <c r="A20" s="476" t="s">
        <v>17</v>
      </c>
      <c r="B20" s="1797">
        <f t="shared" si="0"/>
        <v>0</v>
      </c>
      <c r="C20" s="537">
        <v>0</v>
      </c>
      <c r="D20" s="537">
        <v>0</v>
      </c>
      <c r="E20" s="537">
        <v>0</v>
      </c>
    </row>
    <row r="21" spans="1:5" x14ac:dyDescent="0.15">
      <c r="A21" s="476" t="s">
        <v>18</v>
      </c>
      <c r="B21" s="1797">
        <f t="shared" si="0"/>
        <v>0</v>
      </c>
      <c r="C21" s="537">
        <v>0</v>
      </c>
      <c r="D21" s="537">
        <v>0</v>
      </c>
      <c r="E21" s="537">
        <v>0</v>
      </c>
    </row>
    <row r="22" spans="1:5" x14ac:dyDescent="0.15">
      <c r="A22" s="476" t="s">
        <v>19</v>
      </c>
      <c r="B22" s="1797">
        <f t="shared" si="0"/>
        <v>0</v>
      </c>
      <c r="C22" s="537">
        <v>0</v>
      </c>
      <c r="D22" s="537">
        <v>0</v>
      </c>
      <c r="E22" s="537">
        <v>0</v>
      </c>
    </row>
    <row r="23" spans="1:5" ht="11.25" customHeight="1" x14ac:dyDescent="0.15">
      <c r="A23" s="2356"/>
      <c r="B23" s="2357"/>
      <c r="C23" s="2357"/>
      <c r="D23" s="2357"/>
      <c r="E23" s="2357"/>
    </row>
    <row r="24" spans="1:5" ht="11.25" customHeight="1" x14ac:dyDescent="0.15">
      <c r="A24" s="3631" t="s">
        <v>20</v>
      </c>
      <c r="B24" s="3632"/>
      <c r="C24" s="3632"/>
      <c r="D24" s="3632"/>
      <c r="E24" s="3632"/>
    </row>
    <row r="25" spans="1:5" x14ac:dyDescent="0.15">
      <c r="A25" s="2356" t="s">
        <v>997</v>
      </c>
      <c r="B25" s="2373"/>
      <c r="C25" s="2373"/>
      <c r="D25" s="2373"/>
      <c r="E25" s="2373"/>
    </row>
  </sheetData>
  <mergeCells count="9">
    <mergeCell ref="A23:E23"/>
    <mergeCell ref="A24:E24"/>
    <mergeCell ref="A25:E25"/>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2"/>
  <dimension ref="A2:E26"/>
  <sheetViews>
    <sheetView workbookViewId="0">
      <selection activeCell="A2" sqref="A2:G2"/>
    </sheetView>
  </sheetViews>
  <sheetFormatPr baseColWidth="10" defaultColWidth="9.140625" defaultRowHeight="10.5" x14ac:dyDescent="0.15"/>
  <cols>
    <col min="1" max="1" width="23.140625" style="167" customWidth="1"/>
    <col min="2" max="2" width="13.42578125" style="167" customWidth="1"/>
    <col min="3" max="3" width="17.7109375" style="167" customWidth="1"/>
    <col min="4" max="4" width="20.140625" style="167" customWidth="1"/>
    <col min="5" max="5" width="19.5703125" style="167" customWidth="1"/>
    <col min="6" max="16384" width="9.140625" style="167"/>
  </cols>
  <sheetData>
    <row r="2" spans="1:5" ht="22.5" customHeight="1" x14ac:dyDescent="0.15">
      <c r="A2" s="2768" t="s">
        <v>4238</v>
      </c>
      <c r="B2" s="3030"/>
      <c r="C2" s="3030"/>
      <c r="D2" s="3030"/>
      <c r="E2" s="3030"/>
    </row>
    <row r="3" spans="1:5" ht="11.25" customHeight="1" x14ac:dyDescent="0.15">
      <c r="A3" s="3634"/>
      <c r="B3" s="2357"/>
      <c r="C3" s="2357"/>
      <c r="D3" s="2357"/>
      <c r="E3" s="2357"/>
    </row>
    <row r="4" spans="1:5" x14ac:dyDescent="0.15">
      <c r="A4" s="3635" t="s">
        <v>998</v>
      </c>
      <c r="B4" s="2878" t="s">
        <v>3829</v>
      </c>
      <c r="C4" s="3374"/>
      <c r="D4" s="3374"/>
      <c r="E4" s="3374"/>
    </row>
    <row r="5" spans="1:5" x14ac:dyDescent="0.15">
      <c r="A5" s="3635"/>
      <c r="B5" s="2878" t="s">
        <v>141</v>
      </c>
      <c r="C5" s="2878" t="s">
        <v>3830</v>
      </c>
      <c r="D5" s="3374"/>
      <c r="E5" s="3374"/>
    </row>
    <row r="6" spans="1:5" ht="84" x14ac:dyDescent="0.15">
      <c r="A6" s="3635"/>
      <c r="B6" s="2878"/>
      <c r="C6" s="1806" t="s">
        <v>3831</v>
      </c>
      <c r="D6" s="1806" t="s">
        <v>3832</v>
      </c>
      <c r="E6" s="1806" t="s">
        <v>3833</v>
      </c>
    </row>
    <row r="7" spans="1:5" x14ac:dyDescent="0.15">
      <c r="A7" s="1807" t="s">
        <v>141</v>
      </c>
      <c r="B7" s="1808">
        <f>SUM(B8:B21)</f>
        <v>30</v>
      </c>
      <c r="C7" s="1808">
        <f>SUM(C8:C21)</f>
        <v>1</v>
      </c>
      <c r="D7" s="1808">
        <f>SUM(D8:D21)</f>
        <v>10</v>
      </c>
      <c r="E7" s="1808">
        <f>SUM(E8:E21)</f>
        <v>19</v>
      </c>
    </row>
    <row r="8" spans="1:5" x14ac:dyDescent="0.15">
      <c r="A8" s="1809" t="s">
        <v>999</v>
      </c>
      <c r="B8" s="1808">
        <f t="shared" ref="B8:B21" si="0">SUM(C8:E8)</f>
        <v>0</v>
      </c>
      <c r="C8" s="1810">
        <v>0</v>
      </c>
      <c r="D8" s="1810">
        <v>0</v>
      </c>
      <c r="E8" s="1810">
        <v>0</v>
      </c>
    </row>
    <row r="9" spans="1:5" x14ac:dyDescent="0.15">
      <c r="A9" s="1809" t="s">
        <v>1000</v>
      </c>
      <c r="B9" s="1808">
        <f t="shared" si="0"/>
        <v>0</v>
      </c>
      <c r="C9" s="1810">
        <v>0</v>
      </c>
      <c r="D9" s="1810">
        <v>0</v>
      </c>
      <c r="E9" s="1810">
        <v>0</v>
      </c>
    </row>
    <row r="10" spans="1:5" x14ac:dyDescent="0.15">
      <c r="A10" s="1809" t="s">
        <v>1001</v>
      </c>
      <c r="B10" s="1808">
        <f t="shared" si="0"/>
        <v>1</v>
      </c>
      <c r="C10" s="1810">
        <v>0</v>
      </c>
      <c r="D10" s="1810">
        <v>1</v>
      </c>
      <c r="E10" s="1810">
        <v>0</v>
      </c>
    </row>
    <row r="11" spans="1:5" x14ac:dyDescent="0.15">
      <c r="A11" s="1809" t="s">
        <v>1002</v>
      </c>
      <c r="B11" s="1808">
        <f t="shared" si="0"/>
        <v>2</v>
      </c>
      <c r="C11" s="1810">
        <v>1</v>
      </c>
      <c r="D11" s="1810">
        <v>0</v>
      </c>
      <c r="E11" s="1810">
        <v>1</v>
      </c>
    </row>
    <row r="12" spans="1:5" x14ac:dyDescent="0.15">
      <c r="A12" s="1809" t="s">
        <v>1003</v>
      </c>
      <c r="B12" s="1808">
        <f t="shared" si="0"/>
        <v>1</v>
      </c>
      <c r="C12" s="1810">
        <v>0</v>
      </c>
      <c r="D12" s="1810">
        <v>1</v>
      </c>
      <c r="E12" s="1810">
        <v>0</v>
      </c>
    </row>
    <row r="13" spans="1:5" x14ac:dyDescent="0.15">
      <c r="A13" s="1809" t="s">
        <v>1004</v>
      </c>
      <c r="B13" s="1808">
        <f t="shared" si="0"/>
        <v>1</v>
      </c>
      <c r="C13" s="1810">
        <v>0</v>
      </c>
      <c r="D13" s="1810">
        <v>0</v>
      </c>
      <c r="E13" s="1810">
        <v>1</v>
      </c>
    </row>
    <row r="14" spans="1:5" x14ac:dyDescent="0.15">
      <c r="A14" s="1809" t="s">
        <v>1005</v>
      </c>
      <c r="B14" s="1808">
        <f t="shared" si="0"/>
        <v>6</v>
      </c>
      <c r="C14" s="1810">
        <v>0</v>
      </c>
      <c r="D14" s="1810">
        <v>1</v>
      </c>
      <c r="E14" s="1810">
        <v>5</v>
      </c>
    </row>
    <row r="15" spans="1:5" x14ac:dyDescent="0.15">
      <c r="A15" s="1809" t="s">
        <v>26</v>
      </c>
      <c r="B15" s="1808">
        <f t="shared" si="0"/>
        <v>3</v>
      </c>
      <c r="C15" s="1810">
        <v>0</v>
      </c>
      <c r="D15" s="1810">
        <v>1</v>
      </c>
      <c r="E15" s="1810">
        <v>2</v>
      </c>
    </row>
    <row r="16" spans="1:5" x14ac:dyDescent="0.15">
      <c r="A16" s="1809" t="s">
        <v>1006</v>
      </c>
      <c r="B16" s="1808">
        <f t="shared" si="0"/>
        <v>4</v>
      </c>
      <c r="C16" s="1810">
        <v>0</v>
      </c>
      <c r="D16" s="1810">
        <v>2</v>
      </c>
      <c r="E16" s="1810">
        <v>2</v>
      </c>
    </row>
    <row r="17" spans="1:5" x14ac:dyDescent="0.15">
      <c r="A17" s="1809" t="s">
        <v>1007</v>
      </c>
      <c r="B17" s="1808">
        <f t="shared" si="0"/>
        <v>0</v>
      </c>
      <c r="C17" s="1810">
        <v>0</v>
      </c>
      <c r="D17" s="1810">
        <v>0</v>
      </c>
      <c r="E17" s="1810">
        <v>0</v>
      </c>
    </row>
    <row r="18" spans="1:5" x14ac:dyDescent="0.15">
      <c r="A18" s="1809" t="s">
        <v>1008</v>
      </c>
      <c r="B18" s="1808">
        <f t="shared" si="0"/>
        <v>1</v>
      </c>
      <c r="C18" s="1810">
        <v>0</v>
      </c>
      <c r="D18" s="1810">
        <v>0</v>
      </c>
      <c r="E18" s="1810">
        <v>1</v>
      </c>
    </row>
    <row r="19" spans="1:5" x14ac:dyDescent="0.15">
      <c r="A19" s="1809" t="s">
        <v>1009</v>
      </c>
      <c r="B19" s="1808">
        <f t="shared" si="0"/>
        <v>1</v>
      </c>
      <c r="C19" s="1810">
        <v>0</v>
      </c>
      <c r="D19" s="1810">
        <v>0</v>
      </c>
      <c r="E19" s="1810">
        <v>1</v>
      </c>
    </row>
    <row r="20" spans="1:5" ht="11.25" x14ac:dyDescent="0.15">
      <c r="A20" s="650" t="s">
        <v>1010</v>
      </c>
      <c r="B20" s="1808">
        <f t="shared" si="0"/>
        <v>7</v>
      </c>
      <c r="C20" s="1810">
        <v>0</v>
      </c>
      <c r="D20" s="1810">
        <v>3</v>
      </c>
      <c r="E20" s="1810">
        <v>4</v>
      </c>
    </row>
    <row r="21" spans="1:5" ht="11.25" x14ac:dyDescent="0.15">
      <c r="A21" s="1809" t="s">
        <v>1011</v>
      </c>
      <c r="B21" s="1808">
        <f t="shared" si="0"/>
        <v>3</v>
      </c>
      <c r="C21" s="1810">
        <v>0</v>
      </c>
      <c r="D21" s="1810">
        <v>1</v>
      </c>
      <c r="E21" s="1810">
        <v>2</v>
      </c>
    </row>
    <row r="22" spans="1:5" x14ac:dyDescent="0.15">
      <c r="A22" s="3636"/>
      <c r="B22" s="2357"/>
      <c r="C22" s="2357"/>
      <c r="D22" s="2357"/>
      <c r="E22" s="2357"/>
    </row>
    <row r="23" spans="1:5" ht="21.75" customHeight="1" x14ac:dyDescent="0.15">
      <c r="A23" s="3637" t="s">
        <v>1012</v>
      </c>
      <c r="B23" s="3637"/>
      <c r="C23" s="3637"/>
      <c r="D23" s="3637"/>
      <c r="E23" s="3637"/>
    </row>
    <row r="24" spans="1:5" x14ac:dyDescent="0.15">
      <c r="A24" s="2440" t="s">
        <v>1013</v>
      </c>
      <c r="B24" s="2440"/>
      <c r="C24" s="2440"/>
      <c r="D24" s="2440"/>
      <c r="E24" s="2440"/>
    </row>
    <row r="25" spans="1:5" x14ac:dyDescent="0.15">
      <c r="A25" s="3636" t="s">
        <v>20</v>
      </c>
      <c r="B25" s="2373"/>
      <c r="C25" s="2373"/>
      <c r="D25" s="2373"/>
      <c r="E25" s="2373"/>
    </row>
    <row r="26" spans="1:5" ht="11.25" customHeight="1" x14ac:dyDescent="0.15">
      <c r="A26" s="3636" t="s">
        <v>997</v>
      </c>
      <c r="B26" s="2373"/>
      <c r="C26" s="2373"/>
      <c r="D26" s="2373"/>
      <c r="E26" s="2373"/>
    </row>
  </sheetData>
  <mergeCells count="11">
    <mergeCell ref="A22:E22"/>
    <mergeCell ref="A23:E23"/>
    <mergeCell ref="A24:E24"/>
    <mergeCell ref="A25:E25"/>
    <mergeCell ref="A26:E26"/>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3"/>
  <dimension ref="A2:F50"/>
  <sheetViews>
    <sheetView workbookViewId="0">
      <selection activeCell="J15" sqref="J15"/>
    </sheetView>
  </sheetViews>
  <sheetFormatPr baseColWidth="10" defaultColWidth="9.140625" defaultRowHeight="10.5" x14ac:dyDescent="0.15"/>
  <cols>
    <col min="1" max="1" width="23.140625" style="968" customWidth="1"/>
    <col min="2" max="2" width="13.42578125" style="968" customWidth="1"/>
    <col min="3" max="3" width="17.7109375" style="968" customWidth="1"/>
    <col min="4" max="4" width="20.140625" style="968" customWidth="1"/>
    <col min="5" max="5" width="19.5703125" style="968" customWidth="1"/>
    <col min="6" max="16384" width="9.140625" style="968"/>
  </cols>
  <sheetData>
    <row r="2" spans="1:6" ht="34.5" customHeight="1" x14ac:dyDescent="0.15">
      <c r="A2" s="2694" t="s">
        <v>4239</v>
      </c>
      <c r="B2" s="3030"/>
      <c r="C2" s="3030"/>
      <c r="D2" s="3030"/>
      <c r="E2" s="3030"/>
      <c r="F2" s="2134"/>
    </row>
    <row r="3" spans="1:6" x14ac:dyDescent="0.15">
      <c r="A3" s="3626"/>
      <c r="B3" s="3341"/>
      <c r="C3" s="3341"/>
      <c r="D3" s="3341"/>
      <c r="E3" s="3341"/>
    </row>
    <row r="4" spans="1:6" ht="12.75" customHeight="1" x14ac:dyDescent="0.15">
      <c r="A4" s="3627" t="s">
        <v>3834</v>
      </c>
      <c r="B4" s="2785" t="s">
        <v>3835</v>
      </c>
      <c r="C4" s="3638"/>
      <c r="D4" s="3638"/>
      <c r="E4" s="3638"/>
    </row>
    <row r="5" spans="1:6" ht="84" x14ac:dyDescent="0.15">
      <c r="A5" s="3627"/>
      <c r="B5" s="1525" t="s">
        <v>141</v>
      </c>
      <c r="C5" s="1525" t="s">
        <v>3831</v>
      </c>
      <c r="D5" s="1525" t="s">
        <v>3832</v>
      </c>
      <c r="E5" s="1525" t="s">
        <v>3833</v>
      </c>
    </row>
    <row r="6" spans="1:6" x14ac:dyDescent="0.15">
      <c r="A6" s="767" t="s">
        <v>141</v>
      </c>
      <c r="B6" s="1792">
        <f>SUM(B7,B10,B13,B16,B20,B22,B28,B41,B45)</f>
        <v>30</v>
      </c>
      <c r="C6" s="1792">
        <f>SUM(C7,C10,C13,C16,C20,C22,C28,C41,C45)</f>
        <v>1</v>
      </c>
      <c r="D6" s="1792">
        <f>SUM(D7,D10,D13,D16,D20,D22,D28,D41,D45)</f>
        <v>10</v>
      </c>
      <c r="E6" s="1792">
        <f>SUM(E7,E10,E13,E16,E20,E22,E28,E41,E45)</f>
        <v>19</v>
      </c>
    </row>
    <row r="7" spans="1:6" x14ac:dyDescent="0.15">
      <c r="A7" s="767" t="s">
        <v>5</v>
      </c>
      <c r="B7" s="1792">
        <f t="shared" ref="B7:B15" si="0">SUM(C7:E7)</f>
        <v>0</v>
      </c>
      <c r="C7" s="1792">
        <f>SUM(C8:C9)</f>
        <v>0</v>
      </c>
      <c r="D7" s="1792">
        <f>SUM(D8:D9)</f>
        <v>0</v>
      </c>
      <c r="E7" s="1792">
        <f>SUM(E8:E9)</f>
        <v>0</v>
      </c>
    </row>
    <row r="8" spans="1:6" x14ac:dyDescent="0.15">
      <c r="A8" s="143" t="s">
        <v>1015</v>
      </c>
      <c r="B8" s="1795">
        <f t="shared" si="0"/>
        <v>0</v>
      </c>
      <c r="C8" s="1795">
        <v>0</v>
      </c>
      <c r="D8" s="1795">
        <v>0</v>
      </c>
      <c r="E8" s="1795">
        <v>0</v>
      </c>
    </row>
    <row r="9" spans="1:6" x14ac:dyDescent="0.15">
      <c r="A9" s="143" t="s">
        <v>696</v>
      </c>
      <c r="B9" s="1795">
        <f t="shared" si="0"/>
        <v>0</v>
      </c>
      <c r="C9" s="1795">
        <v>0</v>
      </c>
      <c r="D9" s="1795">
        <v>0</v>
      </c>
      <c r="E9" s="1795">
        <v>0</v>
      </c>
    </row>
    <row r="10" spans="1:6" x14ac:dyDescent="0.15">
      <c r="A10" s="767" t="s">
        <v>6</v>
      </c>
      <c r="B10" s="1792">
        <f t="shared" si="0"/>
        <v>1</v>
      </c>
      <c r="C10" s="1792">
        <f>SUM(C11:C12)</f>
        <v>0</v>
      </c>
      <c r="D10" s="1792">
        <f>SUM(D11:D12)</f>
        <v>0</v>
      </c>
      <c r="E10" s="1792">
        <f>SUM(E11:E12)</f>
        <v>1</v>
      </c>
    </row>
    <row r="11" spans="1:6" x14ac:dyDescent="0.15">
      <c r="A11" s="143" t="s">
        <v>1016</v>
      </c>
      <c r="B11" s="1795">
        <f t="shared" si="0"/>
        <v>0</v>
      </c>
      <c r="C11" s="1795">
        <v>0</v>
      </c>
      <c r="D11" s="1795">
        <v>0</v>
      </c>
      <c r="E11" s="1795">
        <v>0</v>
      </c>
    </row>
    <row r="12" spans="1:6" x14ac:dyDescent="0.15">
      <c r="A12" s="143" t="s">
        <v>1017</v>
      </c>
      <c r="B12" s="1795">
        <f t="shared" si="0"/>
        <v>1</v>
      </c>
      <c r="C12" s="1795">
        <v>0</v>
      </c>
      <c r="D12" s="1795">
        <v>0</v>
      </c>
      <c r="E12" s="1795">
        <v>1</v>
      </c>
    </row>
    <row r="13" spans="1:6" x14ac:dyDescent="0.15">
      <c r="A13" s="767" t="s">
        <v>7</v>
      </c>
      <c r="B13" s="1792">
        <f t="shared" si="0"/>
        <v>1</v>
      </c>
      <c r="C13" s="1792">
        <f>SUM(C14:C15)</f>
        <v>0</v>
      </c>
      <c r="D13" s="1792">
        <f>SUM(D14:D15)</f>
        <v>1</v>
      </c>
      <c r="E13" s="1792">
        <f>SUM(E14:E15)</f>
        <v>0</v>
      </c>
    </row>
    <row r="14" spans="1:6" x14ac:dyDescent="0.15">
      <c r="A14" s="143" t="s">
        <v>1018</v>
      </c>
      <c r="B14" s="1795">
        <f t="shared" si="0"/>
        <v>1</v>
      </c>
      <c r="C14" s="1795">
        <v>0</v>
      </c>
      <c r="D14" s="1795">
        <v>1</v>
      </c>
      <c r="E14" s="1795">
        <v>0</v>
      </c>
    </row>
    <row r="15" spans="1:6" x14ac:dyDescent="0.15">
      <c r="A15" s="143" t="s">
        <v>1019</v>
      </c>
      <c r="B15" s="1795">
        <f t="shared" si="0"/>
        <v>0</v>
      </c>
      <c r="C15" s="1795">
        <v>0</v>
      </c>
      <c r="D15" s="1795">
        <v>0</v>
      </c>
      <c r="E15" s="1795">
        <v>0</v>
      </c>
    </row>
    <row r="16" spans="1:6" x14ac:dyDescent="0.15">
      <c r="A16" s="767" t="s">
        <v>8</v>
      </c>
      <c r="B16" s="1792">
        <f>SUM(B17:B19)</f>
        <v>0</v>
      </c>
      <c r="C16" s="1792">
        <f>SUM(C17:C19)</f>
        <v>0</v>
      </c>
      <c r="D16" s="1792">
        <f>SUM(D17:D19)</f>
        <v>0</v>
      </c>
      <c r="E16" s="1792">
        <f>SUM(E17:E19)</f>
        <v>0</v>
      </c>
    </row>
    <row r="17" spans="1:5" x14ac:dyDescent="0.15">
      <c r="A17" s="143" t="s">
        <v>1020</v>
      </c>
      <c r="B17" s="1795">
        <f t="shared" ref="B17:B46" si="1">SUM(C17:E17)</f>
        <v>0</v>
      </c>
      <c r="C17" s="1795">
        <v>0</v>
      </c>
      <c r="D17" s="1795">
        <v>0</v>
      </c>
      <c r="E17" s="1795">
        <v>0</v>
      </c>
    </row>
    <row r="18" spans="1:5" x14ac:dyDescent="0.15">
      <c r="A18" s="143" t="s">
        <v>1021</v>
      </c>
      <c r="B18" s="1795">
        <f t="shared" si="1"/>
        <v>0</v>
      </c>
      <c r="C18" s="1795">
        <v>0</v>
      </c>
      <c r="D18" s="1795">
        <v>0</v>
      </c>
      <c r="E18" s="1795">
        <v>0</v>
      </c>
    </row>
    <row r="19" spans="1:5" ht="11.25" x14ac:dyDescent="0.15">
      <c r="A19" s="143" t="s">
        <v>3827</v>
      </c>
      <c r="B19" s="1795">
        <f t="shared" si="1"/>
        <v>0</v>
      </c>
      <c r="C19" s="1795">
        <v>0</v>
      </c>
      <c r="D19" s="1795">
        <v>0</v>
      </c>
      <c r="E19" s="1795">
        <v>0</v>
      </c>
    </row>
    <row r="20" spans="1:5" x14ac:dyDescent="0.15">
      <c r="A20" s="767" t="s">
        <v>9</v>
      </c>
      <c r="B20" s="1792">
        <f t="shared" si="1"/>
        <v>1</v>
      </c>
      <c r="C20" s="1792">
        <f>SUM(C21)</f>
        <v>0</v>
      </c>
      <c r="D20" s="1792">
        <f>SUM(D21)</f>
        <v>1</v>
      </c>
      <c r="E20" s="1792">
        <f>SUM(E21)</f>
        <v>0</v>
      </c>
    </row>
    <row r="21" spans="1:5" x14ac:dyDescent="0.15">
      <c r="A21" s="143" t="s">
        <v>1023</v>
      </c>
      <c r="B21" s="1795">
        <f t="shared" si="1"/>
        <v>1</v>
      </c>
      <c r="C21" s="1795">
        <v>0</v>
      </c>
      <c r="D21" s="1795">
        <v>1</v>
      </c>
      <c r="E21" s="1795">
        <v>0</v>
      </c>
    </row>
    <row r="22" spans="1:5" x14ac:dyDescent="0.15">
      <c r="A22" s="767" t="s">
        <v>10</v>
      </c>
      <c r="B22" s="1792">
        <f t="shared" si="1"/>
        <v>3</v>
      </c>
      <c r="C22" s="1792">
        <f>SUM(C23:C27)</f>
        <v>0</v>
      </c>
      <c r="D22" s="1792">
        <f>SUM(D23:D27)</f>
        <v>2</v>
      </c>
      <c r="E22" s="1792">
        <f>SUM(E23:E27)</f>
        <v>1</v>
      </c>
    </row>
    <row r="23" spans="1:5" x14ac:dyDescent="0.15">
      <c r="A23" s="143" t="s">
        <v>1024</v>
      </c>
      <c r="B23" s="1795">
        <f t="shared" si="1"/>
        <v>1</v>
      </c>
      <c r="C23" s="1795">
        <v>0</v>
      </c>
      <c r="D23" s="1795">
        <v>1</v>
      </c>
      <c r="E23" s="1795">
        <v>0</v>
      </c>
    </row>
    <row r="24" spans="1:5" x14ac:dyDescent="0.15">
      <c r="A24" s="143" t="s">
        <v>508</v>
      </c>
      <c r="B24" s="1795">
        <f t="shared" si="1"/>
        <v>1</v>
      </c>
      <c r="C24" s="1795">
        <v>0</v>
      </c>
      <c r="D24" s="1795">
        <v>1</v>
      </c>
      <c r="E24" s="1795">
        <v>0</v>
      </c>
    </row>
    <row r="25" spans="1:5" x14ac:dyDescent="0.15">
      <c r="A25" s="143" t="s">
        <v>1025</v>
      </c>
      <c r="B25" s="1795">
        <f t="shared" si="1"/>
        <v>1</v>
      </c>
      <c r="C25" s="1795">
        <v>0</v>
      </c>
      <c r="D25" s="1795">
        <v>0</v>
      </c>
      <c r="E25" s="1795">
        <v>1</v>
      </c>
    </row>
    <row r="26" spans="1:5" x14ac:dyDescent="0.15">
      <c r="A26" s="143" t="s">
        <v>601</v>
      </c>
      <c r="B26" s="1795">
        <f t="shared" si="1"/>
        <v>0</v>
      </c>
      <c r="C26" s="1795">
        <v>0</v>
      </c>
      <c r="D26" s="1795">
        <v>0</v>
      </c>
      <c r="E26" s="1795">
        <v>0</v>
      </c>
    </row>
    <row r="27" spans="1:5" x14ac:dyDescent="0.15">
      <c r="A27" s="143" t="s">
        <v>511</v>
      </c>
      <c r="B27" s="1795">
        <f t="shared" si="1"/>
        <v>0</v>
      </c>
      <c r="C27" s="1795">
        <v>0</v>
      </c>
      <c r="D27" s="1795">
        <v>0</v>
      </c>
      <c r="E27" s="1795">
        <v>0</v>
      </c>
    </row>
    <row r="28" spans="1:5" x14ac:dyDescent="0.15">
      <c r="A28" s="767" t="s">
        <v>11</v>
      </c>
      <c r="B28" s="1792">
        <f t="shared" si="1"/>
        <v>14</v>
      </c>
      <c r="C28" s="1792">
        <f>SUM(C29:C40)</f>
        <v>1</v>
      </c>
      <c r="D28" s="1792">
        <f>SUM(D29:D40)</f>
        <v>0</v>
      </c>
      <c r="E28" s="1792">
        <f>SUM(E29:E40)</f>
        <v>13</v>
      </c>
    </row>
    <row r="29" spans="1:5" x14ac:dyDescent="0.15">
      <c r="A29" s="143" t="s">
        <v>1024</v>
      </c>
      <c r="B29" s="1795">
        <f t="shared" si="1"/>
        <v>1</v>
      </c>
      <c r="C29" s="1795">
        <v>0</v>
      </c>
      <c r="D29" s="1795">
        <v>0</v>
      </c>
      <c r="E29" s="1795">
        <v>1</v>
      </c>
    </row>
    <row r="30" spans="1:5" x14ac:dyDescent="0.15">
      <c r="A30" s="143" t="s">
        <v>10</v>
      </c>
      <c r="B30" s="1795">
        <f t="shared" si="1"/>
        <v>1</v>
      </c>
      <c r="C30" s="1795">
        <v>0</v>
      </c>
      <c r="D30" s="1795">
        <v>0</v>
      </c>
      <c r="E30" s="1795">
        <v>1</v>
      </c>
    </row>
    <row r="31" spans="1:5" x14ac:dyDescent="0.15">
      <c r="A31" s="143" t="s">
        <v>1025</v>
      </c>
      <c r="B31" s="1795">
        <f t="shared" si="1"/>
        <v>1</v>
      </c>
      <c r="C31" s="1795">
        <v>0</v>
      </c>
      <c r="D31" s="1795">
        <v>0</v>
      </c>
      <c r="E31" s="1795">
        <v>1</v>
      </c>
    </row>
    <row r="32" spans="1:5" x14ac:dyDescent="0.15">
      <c r="A32" s="143" t="s">
        <v>709</v>
      </c>
      <c r="B32" s="1795">
        <f t="shared" si="1"/>
        <v>1</v>
      </c>
      <c r="C32" s="1795">
        <v>0</v>
      </c>
      <c r="D32" s="1795">
        <v>0</v>
      </c>
      <c r="E32" s="1795">
        <v>1</v>
      </c>
    </row>
    <row r="33" spans="1:5" x14ac:dyDescent="0.15">
      <c r="A33" s="143" t="s">
        <v>1026</v>
      </c>
      <c r="B33" s="1795">
        <f t="shared" si="1"/>
        <v>6</v>
      </c>
      <c r="C33" s="1795">
        <v>0</v>
      </c>
      <c r="D33" s="1795">
        <v>0</v>
      </c>
      <c r="E33" s="1795">
        <v>6</v>
      </c>
    </row>
    <row r="34" spans="1:5" x14ac:dyDescent="0.15">
      <c r="A34" s="143" t="s">
        <v>1027</v>
      </c>
      <c r="B34" s="1795">
        <f t="shared" si="1"/>
        <v>0</v>
      </c>
      <c r="C34" s="1795">
        <v>0</v>
      </c>
      <c r="D34" s="1795">
        <v>0</v>
      </c>
      <c r="E34" s="1795">
        <v>0</v>
      </c>
    </row>
    <row r="35" spans="1:5" x14ac:dyDescent="0.15">
      <c r="A35" s="143" t="s">
        <v>1028</v>
      </c>
      <c r="B35" s="1795">
        <f t="shared" si="1"/>
        <v>1</v>
      </c>
      <c r="C35" s="1795">
        <v>0</v>
      </c>
      <c r="D35" s="1795">
        <v>0</v>
      </c>
      <c r="E35" s="1795">
        <v>1</v>
      </c>
    </row>
    <row r="36" spans="1:5" x14ac:dyDescent="0.15">
      <c r="A36" s="143" t="s">
        <v>1029</v>
      </c>
      <c r="B36" s="1795">
        <f t="shared" si="1"/>
        <v>1</v>
      </c>
      <c r="C36" s="1795">
        <v>1</v>
      </c>
      <c r="D36" s="1795">
        <v>0</v>
      </c>
      <c r="E36" s="1795">
        <v>0</v>
      </c>
    </row>
    <row r="37" spans="1:5" x14ac:dyDescent="0.15">
      <c r="A37" s="143" t="s">
        <v>1030</v>
      </c>
      <c r="B37" s="1795">
        <f t="shared" si="1"/>
        <v>1</v>
      </c>
      <c r="C37" s="1795">
        <v>0</v>
      </c>
      <c r="D37" s="1795">
        <v>0</v>
      </c>
      <c r="E37" s="1795">
        <v>1</v>
      </c>
    </row>
    <row r="38" spans="1:5" x14ac:dyDescent="0.15">
      <c r="A38" s="143" t="s">
        <v>1031</v>
      </c>
      <c r="B38" s="1795">
        <f t="shared" si="1"/>
        <v>0</v>
      </c>
      <c r="C38" s="1795">
        <v>0</v>
      </c>
      <c r="D38" s="1795">
        <v>0</v>
      </c>
      <c r="E38" s="1795">
        <v>0</v>
      </c>
    </row>
    <row r="39" spans="1:5" ht="12" customHeight="1" x14ac:dyDescent="0.15">
      <c r="A39" s="143" t="s">
        <v>1032</v>
      </c>
      <c r="B39" s="1795">
        <f t="shared" si="1"/>
        <v>1</v>
      </c>
      <c r="C39" s="1795">
        <v>0</v>
      </c>
      <c r="D39" s="1795">
        <v>0</v>
      </c>
      <c r="E39" s="1795">
        <v>1</v>
      </c>
    </row>
    <row r="40" spans="1:5" ht="12" customHeight="1" x14ac:dyDescent="0.15">
      <c r="A40" s="143" t="s">
        <v>1033</v>
      </c>
      <c r="B40" s="1795">
        <f t="shared" si="1"/>
        <v>0</v>
      </c>
      <c r="C40" s="1795">
        <v>0</v>
      </c>
      <c r="D40" s="1795">
        <v>0</v>
      </c>
      <c r="E40" s="1795">
        <v>0</v>
      </c>
    </row>
    <row r="41" spans="1:5" x14ac:dyDescent="0.15">
      <c r="A41" s="767" t="s">
        <v>13</v>
      </c>
      <c r="B41" s="1792">
        <f t="shared" si="1"/>
        <v>9</v>
      </c>
      <c r="C41" s="1792">
        <f>SUM(C42:C44)</f>
        <v>0</v>
      </c>
      <c r="D41" s="1792">
        <f>SUM(D42:D44)</f>
        <v>5</v>
      </c>
      <c r="E41" s="1792">
        <f>SUM(E42:E44)</f>
        <v>4</v>
      </c>
    </row>
    <row r="42" spans="1:5" x14ac:dyDescent="0.15">
      <c r="A42" s="143" t="s">
        <v>10</v>
      </c>
      <c r="B42" s="1795">
        <f t="shared" si="1"/>
        <v>1</v>
      </c>
      <c r="C42" s="1795">
        <v>0</v>
      </c>
      <c r="D42" s="1795">
        <v>0</v>
      </c>
      <c r="E42" s="1795">
        <v>1</v>
      </c>
    </row>
    <row r="43" spans="1:5" x14ac:dyDescent="0.15">
      <c r="A43" s="143" t="s">
        <v>623</v>
      </c>
      <c r="B43" s="1795">
        <f t="shared" si="1"/>
        <v>5</v>
      </c>
      <c r="C43" s="1795">
        <v>0</v>
      </c>
      <c r="D43" s="1795">
        <v>3</v>
      </c>
      <c r="E43" s="1795">
        <v>2</v>
      </c>
    </row>
    <row r="44" spans="1:5" x14ac:dyDescent="0.15">
      <c r="A44" s="143" t="s">
        <v>624</v>
      </c>
      <c r="B44" s="1795">
        <f t="shared" si="1"/>
        <v>3</v>
      </c>
      <c r="C44" s="1795">
        <v>0</v>
      </c>
      <c r="D44" s="1795">
        <v>2</v>
      </c>
      <c r="E44" s="1795">
        <v>1</v>
      </c>
    </row>
    <row r="45" spans="1:5" x14ac:dyDescent="0.15">
      <c r="A45" s="767" t="s">
        <v>14</v>
      </c>
      <c r="B45" s="1792">
        <f t="shared" si="1"/>
        <v>1</v>
      </c>
      <c r="C45" s="1792">
        <f>SUM(C46)</f>
        <v>0</v>
      </c>
      <c r="D45" s="1792">
        <f>SUM(D46)</f>
        <v>1</v>
      </c>
      <c r="E45" s="1792">
        <f>SUM(E46)</f>
        <v>0</v>
      </c>
    </row>
    <row r="46" spans="1:5" x14ac:dyDescent="0.15">
      <c r="A46" s="143" t="s">
        <v>641</v>
      </c>
      <c r="B46" s="1795">
        <f t="shared" si="1"/>
        <v>1</v>
      </c>
      <c r="C46" s="1795">
        <v>0</v>
      </c>
      <c r="D46" s="1795">
        <v>1</v>
      </c>
      <c r="E46" s="1795">
        <v>0</v>
      </c>
    </row>
    <row r="47" spans="1:5" ht="11.25" customHeight="1" x14ac:dyDescent="0.15">
      <c r="A47" s="2645"/>
      <c r="B47" s="3341"/>
      <c r="C47" s="3341"/>
      <c r="D47" s="3341"/>
      <c r="E47" s="3341"/>
    </row>
    <row r="48" spans="1:5" ht="11.25" customHeight="1" x14ac:dyDescent="0.15">
      <c r="A48" s="2462" t="s">
        <v>3828</v>
      </c>
      <c r="B48" s="2462"/>
      <c r="C48" s="2462"/>
      <c r="D48" s="2462"/>
      <c r="E48" s="2462"/>
    </row>
    <row r="49" spans="1:5" ht="11.25" customHeight="1" x14ac:dyDescent="0.15">
      <c r="A49" s="3371" t="s">
        <v>20</v>
      </c>
      <c r="B49" s="3625"/>
      <c r="C49" s="3625"/>
      <c r="D49" s="3625"/>
      <c r="E49" s="3625"/>
    </row>
    <row r="50" spans="1:5" ht="11.25" customHeight="1" x14ac:dyDescent="0.15">
      <c r="A50" s="2462" t="s">
        <v>997</v>
      </c>
      <c r="B50" s="3342"/>
      <c r="C50" s="3342"/>
      <c r="D50" s="3342"/>
      <c r="E50" s="3342"/>
    </row>
  </sheetData>
  <mergeCells count="8">
    <mergeCell ref="A49:E49"/>
    <mergeCell ref="A50:E50"/>
    <mergeCell ref="A2:E2"/>
    <mergeCell ref="A3:E3"/>
    <mergeCell ref="A4:A5"/>
    <mergeCell ref="B4:E4"/>
    <mergeCell ref="A47:E47"/>
    <mergeCell ref="A48:E4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4"/>
  <dimension ref="A2:J53"/>
  <sheetViews>
    <sheetView zoomScale="106" zoomScaleNormal="106" workbookViewId="0">
      <selection activeCell="H12" sqref="H12"/>
    </sheetView>
  </sheetViews>
  <sheetFormatPr baseColWidth="10" defaultRowHeight="10.5" x14ac:dyDescent="0.15"/>
  <cols>
    <col min="1" max="1" width="20.140625" style="2135" customWidth="1"/>
    <col min="2" max="2" width="16.28515625" style="2135" customWidth="1"/>
    <col min="3" max="3" width="14.140625" style="2135" customWidth="1"/>
    <col min="4" max="4" width="16.42578125" style="2135" customWidth="1"/>
    <col min="5" max="5" width="14.28515625" style="2135" customWidth="1"/>
    <col min="6" max="6" width="21.5703125" style="2135" customWidth="1"/>
    <col min="7" max="7" width="17.7109375" style="2135" customWidth="1"/>
    <col min="8" max="16384" width="11.42578125" style="2135"/>
  </cols>
  <sheetData>
    <row r="2" spans="1:10" ht="15" customHeight="1" x14ac:dyDescent="0.15">
      <c r="A2" s="3447" t="s">
        <v>4334</v>
      </c>
      <c r="B2" s="3447"/>
      <c r="C2" s="3447"/>
      <c r="D2" s="3447"/>
      <c r="E2" s="3447"/>
      <c r="F2" s="3447"/>
      <c r="G2" s="3447"/>
    </row>
    <row r="3" spans="1:10" x14ac:dyDescent="0.15">
      <c r="A3" s="3640"/>
      <c r="B3" s="3640"/>
      <c r="C3" s="3640"/>
      <c r="D3" s="3640"/>
      <c r="E3" s="3640"/>
      <c r="F3" s="3640"/>
      <c r="G3" s="3640"/>
    </row>
    <row r="4" spans="1:10" ht="12.75" customHeight="1" x14ac:dyDescent="0.15">
      <c r="A4" s="3641" t="s">
        <v>1288</v>
      </c>
      <c r="B4" s="2900" t="s">
        <v>69</v>
      </c>
      <c r="C4" s="3036"/>
      <c r="D4" s="3036"/>
      <c r="E4" s="3036"/>
      <c r="F4" s="3036"/>
      <c r="G4" s="3036"/>
    </row>
    <row r="5" spans="1:10" ht="84" x14ac:dyDescent="0.15">
      <c r="A5" s="3641"/>
      <c r="B5" s="2900"/>
      <c r="C5" s="2112" t="s">
        <v>3836</v>
      </c>
      <c r="D5" s="2112" t="s">
        <v>3837</v>
      </c>
      <c r="E5" s="2112" t="s">
        <v>3838</v>
      </c>
      <c r="F5" s="2112" t="s">
        <v>3839</v>
      </c>
      <c r="G5" s="2112" t="s">
        <v>3840</v>
      </c>
      <c r="I5" s="2113"/>
      <c r="J5" s="2113"/>
    </row>
    <row r="6" spans="1:10" x14ac:dyDescent="0.15">
      <c r="A6" s="1811" t="s">
        <v>141</v>
      </c>
      <c r="B6" s="1812">
        <f>SUM(B7:B23)</f>
        <v>2425</v>
      </c>
      <c r="C6" s="1812">
        <f t="shared" ref="C6:G6" si="0">SUM(C7:C23)</f>
        <v>176</v>
      </c>
      <c r="D6" s="1812">
        <f t="shared" si="0"/>
        <v>220</v>
      </c>
      <c r="E6" s="1812">
        <f t="shared" si="0"/>
        <v>1644</v>
      </c>
      <c r="F6" s="1812">
        <f t="shared" si="0"/>
        <v>33</v>
      </c>
      <c r="G6" s="1812">
        <f t="shared" si="0"/>
        <v>352</v>
      </c>
    </row>
    <row r="7" spans="1:10" x14ac:dyDescent="0.15">
      <c r="A7" s="1813" t="s">
        <v>696</v>
      </c>
      <c r="B7" s="1814">
        <f t="shared" ref="B7:B23" si="1">SUM(C7:G7)</f>
        <v>60</v>
      </c>
      <c r="C7" s="300">
        <v>0</v>
      </c>
      <c r="D7" s="300">
        <v>9</v>
      </c>
      <c r="E7" s="300">
        <v>21</v>
      </c>
      <c r="F7" s="300">
        <v>2</v>
      </c>
      <c r="G7" s="300">
        <v>28</v>
      </c>
    </row>
    <row r="8" spans="1:10" x14ac:dyDescent="0.15">
      <c r="A8" s="1813" t="s">
        <v>1037</v>
      </c>
      <c r="B8" s="1814">
        <f t="shared" si="1"/>
        <v>188</v>
      </c>
      <c r="C8" s="300">
        <v>0</v>
      </c>
      <c r="D8" s="300">
        <v>35</v>
      </c>
      <c r="E8" s="300">
        <v>95</v>
      </c>
      <c r="F8" s="300">
        <v>25</v>
      </c>
      <c r="G8" s="300">
        <v>33</v>
      </c>
      <c r="H8" s="2113"/>
    </row>
    <row r="9" spans="1:10" x14ac:dyDescent="0.15">
      <c r="A9" s="1813" t="s">
        <v>7</v>
      </c>
      <c r="B9" s="1814">
        <f t="shared" si="1"/>
        <v>157</v>
      </c>
      <c r="C9" s="300">
        <v>0</v>
      </c>
      <c r="D9" s="300">
        <v>10</v>
      </c>
      <c r="E9" s="300">
        <v>55</v>
      </c>
      <c r="F9" s="300">
        <v>0</v>
      </c>
      <c r="G9" s="300">
        <v>92</v>
      </c>
    </row>
    <row r="10" spans="1:10" x14ac:dyDescent="0.15">
      <c r="A10" s="1813" t="s">
        <v>498</v>
      </c>
      <c r="B10" s="1814">
        <f t="shared" si="1"/>
        <v>53</v>
      </c>
      <c r="C10" s="300">
        <v>0</v>
      </c>
      <c r="D10" s="300">
        <v>13</v>
      </c>
      <c r="E10" s="300">
        <v>26</v>
      </c>
      <c r="F10" s="300">
        <v>0</v>
      </c>
      <c r="G10" s="300">
        <v>14</v>
      </c>
    </row>
    <row r="11" spans="1:10" x14ac:dyDescent="0.15">
      <c r="A11" s="1813" t="s">
        <v>1042</v>
      </c>
      <c r="B11" s="1814">
        <f t="shared" si="1"/>
        <v>56</v>
      </c>
      <c r="C11" s="300">
        <v>0</v>
      </c>
      <c r="D11" s="300">
        <v>8</v>
      </c>
      <c r="E11" s="300">
        <v>34</v>
      </c>
      <c r="F11" s="300">
        <v>0</v>
      </c>
      <c r="G11" s="300">
        <v>14</v>
      </c>
    </row>
    <row r="12" spans="1:10" x14ac:dyDescent="0.15">
      <c r="A12" s="1813" t="s">
        <v>10</v>
      </c>
      <c r="B12" s="1814">
        <f t="shared" si="1"/>
        <v>429</v>
      </c>
      <c r="C12" s="300">
        <v>0</v>
      </c>
      <c r="D12" s="300">
        <v>59</v>
      </c>
      <c r="E12" s="300">
        <v>323</v>
      </c>
      <c r="F12" s="300">
        <v>1</v>
      </c>
      <c r="G12" s="300">
        <v>46</v>
      </c>
    </row>
    <row r="13" spans="1:10" x14ac:dyDescent="0.15">
      <c r="A13" s="1813" t="s">
        <v>1026</v>
      </c>
      <c r="B13" s="1814">
        <f t="shared" si="1"/>
        <v>606</v>
      </c>
      <c r="C13" s="300">
        <v>173</v>
      </c>
      <c r="D13" s="300">
        <v>41</v>
      </c>
      <c r="E13" s="300">
        <v>377</v>
      </c>
      <c r="F13" s="300">
        <v>5</v>
      </c>
      <c r="G13" s="300">
        <v>10</v>
      </c>
    </row>
    <row r="14" spans="1:10" x14ac:dyDescent="0.15">
      <c r="A14" s="1813" t="s">
        <v>1030</v>
      </c>
      <c r="B14" s="1814">
        <f t="shared" si="1"/>
        <v>222</v>
      </c>
      <c r="C14" s="300">
        <v>0</v>
      </c>
      <c r="D14" s="300">
        <v>17</v>
      </c>
      <c r="E14" s="300">
        <v>156</v>
      </c>
      <c r="F14" s="300">
        <v>0</v>
      </c>
      <c r="G14" s="300">
        <v>49</v>
      </c>
    </row>
    <row r="15" spans="1:10" x14ac:dyDescent="0.15">
      <c r="A15" s="1813" t="s">
        <v>1044</v>
      </c>
      <c r="B15" s="1814">
        <f t="shared" si="1"/>
        <v>91</v>
      </c>
      <c r="C15" s="300">
        <v>0</v>
      </c>
      <c r="D15" s="300">
        <v>3</v>
      </c>
      <c r="E15" s="300">
        <v>72</v>
      </c>
      <c r="F15" s="300">
        <v>0</v>
      </c>
      <c r="G15" s="300">
        <v>16</v>
      </c>
    </row>
    <row r="16" spans="1:10" x14ac:dyDescent="0.15">
      <c r="A16" s="1813" t="s">
        <v>614</v>
      </c>
      <c r="B16" s="1814">
        <f t="shared" si="1"/>
        <v>137</v>
      </c>
      <c r="C16" s="300">
        <v>0</v>
      </c>
      <c r="D16" s="300">
        <v>5</v>
      </c>
      <c r="E16" s="300">
        <v>125</v>
      </c>
      <c r="F16" s="300">
        <v>0</v>
      </c>
      <c r="G16" s="300">
        <v>7</v>
      </c>
    </row>
    <row r="17" spans="1:7" x14ac:dyDescent="0.15">
      <c r="A17" s="1813" t="s">
        <v>1063</v>
      </c>
      <c r="B17" s="1814">
        <f t="shared" si="1"/>
        <v>36</v>
      </c>
      <c r="C17" s="300">
        <v>0</v>
      </c>
      <c r="D17" s="300">
        <v>0</v>
      </c>
      <c r="E17" s="300">
        <v>31</v>
      </c>
      <c r="F17" s="300">
        <v>0</v>
      </c>
      <c r="G17" s="300">
        <v>5</v>
      </c>
    </row>
    <row r="18" spans="1:7" x14ac:dyDescent="0.15">
      <c r="A18" s="1813" t="s">
        <v>641</v>
      </c>
      <c r="B18" s="1814">
        <f t="shared" si="1"/>
        <v>188</v>
      </c>
      <c r="C18" s="300">
        <v>1</v>
      </c>
      <c r="D18" s="300">
        <v>13</v>
      </c>
      <c r="E18" s="300">
        <v>149</v>
      </c>
      <c r="F18" s="300">
        <v>0</v>
      </c>
      <c r="G18" s="300">
        <v>25</v>
      </c>
    </row>
    <row r="19" spans="1:7" x14ac:dyDescent="0.15">
      <c r="A19" s="1813" t="s">
        <v>709</v>
      </c>
      <c r="B19" s="1814">
        <f t="shared" si="1"/>
        <v>68</v>
      </c>
      <c r="C19" s="300">
        <v>0</v>
      </c>
      <c r="D19" s="300">
        <v>4</v>
      </c>
      <c r="E19" s="300">
        <v>56</v>
      </c>
      <c r="F19" s="300">
        <v>0</v>
      </c>
      <c r="G19" s="300">
        <v>8</v>
      </c>
    </row>
    <row r="20" spans="1:7" x14ac:dyDescent="0.15">
      <c r="A20" s="1813" t="s">
        <v>655</v>
      </c>
      <c r="B20" s="1814">
        <f t="shared" si="1"/>
        <v>38</v>
      </c>
      <c r="C20" s="300">
        <v>2</v>
      </c>
      <c r="D20" s="300">
        <v>2</v>
      </c>
      <c r="E20" s="300">
        <v>30</v>
      </c>
      <c r="F20" s="300">
        <v>0</v>
      </c>
      <c r="G20" s="300">
        <v>4</v>
      </c>
    </row>
    <row r="21" spans="1:7" x14ac:dyDescent="0.15">
      <c r="A21" s="1813" t="s">
        <v>711</v>
      </c>
      <c r="B21" s="1814">
        <f t="shared" si="1"/>
        <v>78</v>
      </c>
      <c r="C21" s="300">
        <v>0</v>
      </c>
      <c r="D21" s="300">
        <v>1</v>
      </c>
      <c r="E21" s="300">
        <v>76</v>
      </c>
      <c r="F21" s="300">
        <v>0</v>
      </c>
      <c r="G21" s="300">
        <v>1</v>
      </c>
    </row>
    <row r="22" spans="1:7" x14ac:dyDescent="0.15">
      <c r="A22" s="1813" t="s">
        <v>665</v>
      </c>
      <c r="B22" s="1814">
        <f t="shared" si="1"/>
        <v>7</v>
      </c>
      <c r="C22" s="300">
        <v>0</v>
      </c>
      <c r="D22" s="300">
        <v>0</v>
      </c>
      <c r="E22" s="300">
        <v>7</v>
      </c>
      <c r="F22" s="300">
        <v>0</v>
      </c>
      <c r="G22" s="300">
        <v>0</v>
      </c>
    </row>
    <row r="23" spans="1:7" x14ac:dyDescent="0.15">
      <c r="A23" s="1813" t="s">
        <v>691</v>
      </c>
      <c r="B23" s="1814">
        <f t="shared" si="1"/>
        <v>11</v>
      </c>
      <c r="C23" s="300">
        <v>0</v>
      </c>
      <c r="D23" s="300">
        <v>0</v>
      </c>
      <c r="E23" s="300">
        <v>11</v>
      </c>
      <c r="F23" s="300">
        <v>0</v>
      </c>
      <c r="G23" s="300">
        <v>0</v>
      </c>
    </row>
    <row r="24" spans="1:7" x14ac:dyDescent="0.15">
      <c r="A24" s="3343"/>
      <c r="B24" s="3343"/>
      <c r="C24" s="3343"/>
      <c r="D24" s="3343"/>
      <c r="E24" s="3343"/>
      <c r="F24" s="3343"/>
      <c r="G24" s="3343"/>
    </row>
    <row r="25" spans="1:7" x14ac:dyDescent="0.15">
      <c r="A25" s="3639" t="s">
        <v>20</v>
      </c>
      <c r="B25" s="3639"/>
      <c r="C25" s="3639"/>
      <c r="D25" s="3639"/>
      <c r="E25" s="3639"/>
      <c r="F25" s="3639"/>
      <c r="G25" s="3639"/>
    </row>
    <row r="26" spans="1:7" x14ac:dyDescent="0.15">
      <c r="A26" s="3343" t="s">
        <v>1293</v>
      </c>
      <c r="B26" s="3343"/>
      <c r="C26" s="3343"/>
      <c r="D26" s="3343"/>
      <c r="E26" s="3343"/>
      <c r="F26" s="3343"/>
      <c r="G26" s="3343"/>
    </row>
    <row r="27" spans="1:7" x14ac:dyDescent="0.15">
      <c r="G27" s="1815"/>
    </row>
    <row r="52" ht="15" customHeight="1" x14ac:dyDescent="0.15"/>
    <row r="53" ht="15" customHeight="1" x14ac:dyDescent="0.15"/>
  </sheetData>
  <mergeCells count="8">
    <mergeCell ref="A25:G25"/>
    <mergeCell ref="A26:G26"/>
    <mergeCell ref="A2:G2"/>
    <mergeCell ref="A3:G3"/>
    <mergeCell ref="A4:A5"/>
    <mergeCell ref="B4:B5"/>
    <mergeCell ref="C4:G4"/>
    <mergeCell ref="A24:G24"/>
  </mergeCells>
  <pageMargins left="0.74803149606299213" right="0.74803149606299213" top="0.98425196850393704" bottom="0.98425196850393704" header="0" footer="0"/>
  <pageSetup paperSize="14" orientation="landscape" r:id="rId1"/>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5"/>
  <dimension ref="A1:R51"/>
  <sheetViews>
    <sheetView zoomScaleNormal="100" workbookViewId="0">
      <selection activeCell="I24" sqref="I24"/>
    </sheetView>
  </sheetViews>
  <sheetFormatPr baseColWidth="10" defaultRowHeight="10.5" x14ac:dyDescent="0.15"/>
  <cols>
    <col min="1" max="1" width="20.5703125" style="99" customWidth="1"/>
    <col min="2" max="2" width="11.42578125" style="99"/>
    <col min="3" max="4" width="17.85546875" style="99" customWidth="1"/>
    <col min="5" max="5" width="15.85546875" style="99" customWidth="1"/>
    <col min="6" max="6" width="17.85546875" style="99" customWidth="1"/>
    <col min="7" max="7" width="19.28515625" style="99" customWidth="1"/>
    <col min="8" max="16384" width="11.42578125" style="99"/>
  </cols>
  <sheetData>
    <row r="1" spans="1:18" x14ac:dyDescent="0.15">
      <c r="A1" s="1816"/>
      <c r="H1" s="1815"/>
    </row>
    <row r="2" spans="1:18" ht="22.5" customHeight="1" x14ac:dyDescent="0.15">
      <c r="A2" s="3642" t="s">
        <v>4240</v>
      </c>
      <c r="B2" s="3642"/>
      <c r="C2" s="3642"/>
      <c r="D2" s="3642"/>
      <c r="E2" s="3642"/>
      <c r="F2" s="3642"/>
      <c r="G2" s="3642"/>
    </row>
    <row r="3" spans="1:18" x14ac:dyDescent="0.15">
      <c r="A3" s="1817"/>
      <c r="B3" s="1817"/>
      <c r="C3" s="1817"/>
      <c r="D3" s="1817"/>
      <c r="E3" s="1817"/>
      <c r="F3" s="1817"/>
      <c r="G3" s="1817"/>
    </row>
    <row r="4" spans="1:18" ht="12.75" customHeight="1" x14ac:dyDescent="0.15">
      <c r="A4" s="3641" t="s">
        <v>1288</v>
      </c>
      <c r="B4" s="2900" t="s">
        <v>69</v>
      </c>
      <c r="C4" s="3643" t="s">
        <v>3841</v>
      </c>
      <c r="D4" s="3644"/>
      <c r="E4" s="3644"/>
      <c r="F4" s="3644"/>
      <c r="G4" s="3645"/>
    </row>
    <row r="5" spans="1:18" ht="84" x14ac:dyDescent="0.15">
      <c r="A5" s="3641"/>
      <c r="B5" s="2900"/>
      <c r="C5" s="827" t="s">
        <v>3842</v>
      </c>
      <c r="D5" s="827" t="s">
        <v>3837</v>
      </c>
      <c r="E5" s="827" t="s">
        <v>3838</v>
      </c>
      <c r="F5" s="827" t="s">
        <v>3843</v>
      </c>
      <c r="G5" s="827" t="s">
        <v>3844</v>
      </c>
      <c r="M5" s="123"/>
      <c r="N5" s="123"/>
      <c r="O5" s="123"/>
      <c r="P5" s="123"/>
      <c r="Q5" s="123"/>
      <c r="R5" s="123"/>
    </row>
    <row r="6" spans="1:18" x14ac:dyDescent="0.15">
      <c r="A6" s="161" t="s">
        <v>141</v>
      </c>
      <c r="B6" s="1818">
        <f>SUM(B7:B23)</f>
        <v>916</v>
      </c>
      <c r="C6" s="1818">
        <f>SUM(C7:C23)</f>
        <v>97</v>
      </c>
      <c r="D6" s="1818">
        <f t="shared" ref="D6:G6" si="0">SUM(D7:D23)</f>
        <v>39</v>
      </c>
      <c r="E6" s="1818">
        <f t="shared" si="0"/>
        <v>647</v>
      </c>
      <c r="F6" s="1818">
        <f t="shared" si="0"/>
        <v>130</v>
      </c>
      <c r="G6" s="1818">
        <f t="shared" si="0"/>
        <v>3</v>
      </c>
      <c r="H6" s="1819"/>
    </row>
    <row r="7" spans="1:18" x14ac:dyDescent="0.15">
      <c r="A7" s="1813" t="s">
        <v>696</v>
      </c>
      <c r="B7" s="1818">
        <f t="shared" ref="B7:B23" si="1">SUM(C7:G7)</f>
        <v>10</v>
      </c>
      <c r="C7" s="248">
        <v>0</v>
      </c>
      <c r="D7" s="248">
        <v>0</v>
      </c>
      <c r="E7" s="248">
        <v>2</v>
      </c>
      <c r="F7" s="248">
        <v>8</v>
      </c>
      <c r="G7" s="248">
        <v>0</v>
      </c>
      <c r="H7" s="968"/>
    </row>
    <row r="8" spans="1:18" x14ac:dyDescent="0.15">
      <c r="A8" s="1813" t="s">
        <v>1037</v>
      </c>
      <c r="B8" s="1818">
        <f t="shared" si="1"/>
        <v>45</v>
      </c>
      <c r="C8" s="248">
        <v>0</v>
      </c>
      <c r="D8" s="248">
        <v>0</v>
      </c>
      <c r="E8" s="248">
        <v>37</v>
      </c>
      <c r="F8" s="248">
        <v>5</v>
      </c>
      <c r="G8" s="248">
        <v>3</v>
      </c>
      <c r="K8" s="123"/>
      <c r="L8" s="123"/>
    </row>
    <row r="9" spans="1:18" x14ac:dyDescent="0.15">
      <c r="A9" s="1813" t="s">
        <v>7</v>
      </c>
      <c r="B9" s="1818">
        <f t="shared" si="1"/>
        <v>87</v>
      </c>
      <c r="C9" s="248">
        <v>0</v>
      </c>
      <c r="D9" s="248">
        <v>5</v>
      </c>
      <c r="E9" s="248">
        <v>38</v>
      </c>
      <c r="F9" s="248">
        <v>44</v>
      </c>
      <c r="G9" s="248">
        <v>0</v>
      </c>
    </row>
    <row r="10" spans="1:18" x14ac:dyDescent="0.15">
      <c r="A10" s="1813" t="s">
        <v>498</v>
      </c>
      <c r="B10" s="1818">
        <f t="shared" si="1"/>
        <v>22</v>
      </c>
      <c r="C10" s="248">
        <v>0</v>
      </c>
      <c r="D10" s="248">
        <v>3</v>
      </c>
      <c r="E10" s="248">
        <v>12</v>
      </c>
      <c r="F10" s="248">
        <v>7</v>
      </c>
      <c r="G10" s="248">
        <v>0</v>
      </c>
    </row>
    <row r="11" spans="1:18" x14ac:dyDescent="0.15">
      <c r="A11" s="1813" t="s">
        <v>1042</v>
      </c>
      <c r="B11" s="1818">
        <f t="shared" si="1"/>
        <v>23</v>
      </c>
      <c r="C11" s="248">
        <v>0</v>
      </c>
      <c r="D11" s="248">
        <v>3</v>
      </c>
      <c r="E11" s="248">
        <v>15</v>
      </c>
      <c r="F11" s="248">
        <v>5</v>
      </c>
      <c r="G11" s="248">
        <v>0</v>
      </c>
    </row>
    <row r="12" spans="1:18" x14ac:dyDescent="0.15">
      <c r="A12" s="1813" t="s">
        <v>10</v>
      </c>
      <c r="B12" s="1818">
        <f t="shared" si="1"/>
        <v>152</v>
      </c>
      <c r="C12" s="248">
        <v>0</v>
      </c>
      <c r="D12" s="248">
        <v>11</v>
      </c>
      <c r="E12" s="248">
        <v>126</v>
      </c>
      <c r="F12" s="248">
        <v>15</v>
      </c>
      <c r="G12" s="248">
        <v>0</v>
      </c>
    </row>
    <row r="13" spans="1:18" x14ac:dyDescent="0.15">
      <c r="A13" s="1813" t="s">
        <v>1026</v>
      </c>
      <c r="B13" s="1818">
        <f t="shared" si="1"/>
        <v>217</v>
      </c>
      <c r="C13" s="248">
        <v>90</v>
      </c>
      <c r="D13" s="248">
        <v>6</v>
      </c>
      <c r="E13" s="248">
        <v>117</v>
      </c>
      <c r="F13" s="248">
        <v>4</v>
      </c>
      <c r="G13" s="248">
        <v>0</v>
      </c>
    </row>
    <row r="14" spans="1:18" x14ac:dyDescent="0.15">
      <c r="A14" s="1813" t="s">
        <v>1030</v>
      </c>
      <c r="B14" s="1818">
        <f t="shared" si="1"/>
        <v>80</v>
      </c>
      <c r="C14" s="248">
        <v>0</v>
      </c>
      <c r="D14" s="248">
        <v>4</v>
      </c>
      <c r="E14" s="248">
        <v>57</v>
      </c>
      <c r="F14" s="248">
        <v>19</v>
      </c>
      <c r="G14" s="248">
        <v>0</v>
      </c>
    </row>
    <row r="15" spans="1:18" x14ac:dyDescent="0.15">
      <c r="A15" s="1813" t="s">
        <v>1044</v>
      </c>
      <c r="B15" s="1818">
        <f t="shared" si="1"/>
        <v>26</v>
      </c>
      <c r="C15" s="248">
        <v>0</v>
      </c>
      <c r="D15" s="248">
        <v>1</v>
      </c>
      <c r="E15" s="248">
        <v>21</v>
      </c>
      <c r="F15" s="248">
        <v>4</v>
      </c>
      <c r="G15" s="248">
        <v>0</v>
      </c>
    </row>
    <row r="16" spans="1:18" x14ac:dyDescent="0.15">
      <c r="A16" s="1813" t="s">
        <v>614</v>
      </c>
      <c r="B16" s="1818">
        <f t="shared" si="1"/>
        <v>58</v>
      </c>
      <c r="C16" s="248">
        <v>0</v>
      </c>
      <c r="D16" s="248">
        <v>2</v>
      </c>
      <c r="E16" s="248">
        <v>52</v>
      </c>
      <c r="F16" s="248">
        <v>4</v>
      </c>
      <c r="G16" s="248">
        <v>0</v>
      </c>
    </row>
    <row r="17" spans="1:7" x14ac:dyDescent="0.15">
      <c r="A17" s="1813" t="s">
        <v>1063</v>
      </c>
      <c r="B17" s="1818">
        <f t="shared" si="1"/>
        <v>16</v>
      </c>
      <c r="C17" s="248">
        <v>0</v>
      </c>
      <c r="D17" s="248">
        <v>0</v>
      </c>
      <c r="E17" s="248">
        <v>14</v>
      </c>
      <c r="F17" s="248">
        <v>2</v>
      </c>
      <c r="G17" s="248">
        <v>0</v>
      </c>
    </row>
    <row r="18" spans="1:7" x14ac:dyDescent="0.15">
      <c r="A18" s="1813" t="s">
        <v>641</v>
      </c>
      <c r="B18" s="1818">
        <f t="shared" si="1"/>
        <v>72</v>
      </c>
      <c r="C18" s="248">
        <v>1</v>
      </c>
      <c r="D18" s="248">
        <v>3</v>
      </c>
      <c r="E18" s="248">
        <v>58</v>
      </c>
      <c r="F18" s="248">
        <v>10</v>
      </c>
      <c r="G18" s="248">
        <v>0</v>
      </c>
    </row>
    <row r="19" spans="1:7" x14ac:dyDescent="0.15">
      <c r="A19" s="1813" t="s">
        <v>709</v>
      </c>
      <c r="B19" s="1818">
        <f t="shared" si="1"/>
        <v>22</v>
      </c>
      <c r="C19" s="248">
        <v>0</v>
      </c>
      <c r="D19" s="248">
        <v>0</v>
      </c>
      <c r="E19" s="248">
        <v>22</v>
      </c>
      <c r="F19" s="248">
        <v>0</v>
      </c>
      <c r="G19" s="248">
        <v>0</v>
      </c>
    </row>
    <row r="20" spans="1:7" x14ac:dyDescent="0.15">
      <c r="A20" s="1813" t="s">
        <v>655</v>
      </c>
      <c r="B20" s="1818">
        <f>SUM(C20:G20)</f>
        <v>29</v>
      </c>
      <c r="C20" s="248">
        <v>6</v>
      </c>
      <c r="D20" s="248">
        <v>1</v>
      </c>
      <c r="E20" s="248">
        <v>21</v>
      </c>
      <c r="F20" s="248">
        <v>1</v>
      </c>
      <c r="G20" s="248">
        <v>0</v>
      </c>
    </row>
    <row r="21" spans="1:7" x14ac:dyDescent="0.15">
      <c r="A21" s="1813" t="s">
        <v>711</v>
      </c>
      <c r="B21" s="1818">
        <f t="shared" si="1"/>
        <v>46</v>
      </c>
      <c r="C21" s="248">
        <v>0</v>
      </c>
      <c r="D21" s="248">
        <v>0</v>
      </c>
      <c r="E21" s="248">
        <v>45</v>
      </c>
      <c r="F21" s="248">
        <v>1</v>
      </c>
      <c r="G21" s="248">
        <v>0</v>
      </c>
    </row>
    <row r="22" spans="1:7" x14ac:dyDescent="0.15">
      <c r="A22" s="1813" t="s">
        <v>665</v>
      </c>
      <c r="B22" s="1818">
        <f t="shared" si="1"/>
        <v>3</v>
      </c>
      <c r="C22" s="248">
        <v>0</v>
      </c>
      <c r="D22" s="248">
        <v>0</v>
      </c>
      <c r="E22" s="248">
        <v>3</v>
      </c>
      <c r="F22" s="248">
        <v>0</v>
      </c>
      <c r="G22" s="248">
        <v>0</v>
      </c>
    </row>
    <row r="23" spans="1:7" x14ac:dyDescent="0.15">
      <c r="A23" s="1813" t="s">
        <v>691</v>
      </c>
      <c r="B23" s="1818">
        <f t="shared" si="1"/>
        <v>8</v>
      </c>
      <c r="C23" s="248">
        <v>0</v>
      </c>
      <c r="D23" s="248">
        <v>0</v>
      </c>
      <c r="E23" s="248">
        <v>7</v>
      </c>
      <c r="F23" s="248">
        <v>1</v>
      </c>
      <c r="G23" s="248">
        <v>0</v>
      </c>
    </row>
    <row r="24" spans="1:7" x14ac:dyDescent="0.15">
      <c r="A24" s="1820"/>
      <c r="B24" s="1820"/>
      <c r="C24" s="1820"/>
      <c r="D24" s="1820"/>
      <c r="E24" s="1820"/>
      <c r="F24" s="1820"/>
      <c r="G24" s="1820"/>
    </row>
    <row r="25" spans="1:7" x14ac:dyDescent="0.15">
      <c r="A25" s="306" t="s">
        <v>20</v>
      </c>
      <c r="B25" s="306"/>
      <c r="C25" s="306"/>
      <c r="D25" s="306"/>
      <c r="E25" s="306"/>
      <c r="F25" s="306"/>
      <c r="G25" s="306"/>
    </row>
    <row r="26" spans="1:7" x14ac:dyDescent="0.15">
      <c r="A26" s="812" t="s">
        <v>1293</v>
      </c>
      <c r="B26" s="812"/>
      <c r="C26" s="812"/>
      <c r="D26" s="812"/>
      <c r="E26" s="812"/>
      <c r="F26" s="812"/>
      <c r="G26" s="812"/>
    </row>
    <row r="33" spans="1:3" ht="15" x14ac:dyDescent="0.25">
      <c r="A33" s="1821"/>
      <c r="B33" s="1822"/>
      <c r="C33" s="968"/>
    </row>
    <row r="34" spans="1:3" ht="15" x14ac:dyDescent="0.25">
      <c r="A34" s="1821"/>
      <c r="B34" s="1822"/>
      <c r="C34" s="968"/>
    </row>
    <row r="35" spans="1:3" ht="12.75" x14ac:dyDescent="0.2">
      <c r="A35" s="1823"/>
      <c r="B35" s="1824"/>
      <c r="C35" s="968"/>
    </row>
    <row r="36" spans="1:3" ht="15" x14ac:dyDescent="0.25">
      <c r="A36" s="1822"/>
      <c r="B36" s="1825"/>
      <c r="C36" s="968"/>
    </row>
    <row r="37" spans="1:3" ht="15" x14ac:dyDescent="0.25">
      <c r="A37" s="1821"/>
      <c r="B37" s="1822"/>
      <c r="C37" s="968"/>
    </row>
    <row r="38" spans="1:3" ht="15" x14ac:dyDescent="0.25">
      <c r="A38" s="1826"/>
      <c r="B38" s="1822"/>
      <c r="C38" s="968"/>
    </row>
    <row r="39" spans="1:3" ht="15" x14ac:dyDescent="0.25">
      <c r="A39" s="1821"/>
      <c r="B39" s="1822"/>
      <c r="C39" s="968"/>
    </row>
    <row r="40" spans="1:3" ht="12.75" customHeight="1" x14ac:dyDescent="0.15">
      <c r="A40" s="1827"/>
      <c r="B40" s="1827"/>
      <c r="C40" s="968"/>
    </row>
    <row r="41" spans="1:3" ht="12.75" x14ac:dyDescent="0.15">
      <c r="A41" s="1828"/>
      <c r="B41" s="1828"/>
      <c r="C41" s="968"/>
    </row>
    <row r="42" spans="1:3" ht="12" x14ac:dyDescent="0.15">
      <c r="A42" s="1829"/>
      <c r="B42" s="1829"/>
      <c r="C42" s="968"/>
    </row>
    <row r="43" spans="1:3" ht="15" customHeight="1" x14ac:dyDescent="0.15">
      <c r="A43" s="1830"/>
      <c r="B43" s="1830"/>
      <c r="C43" s="968"/>
    </row>
    <row r="44" spans="1:3" ht="12" x14ac:dyDescent="0.15">
      <c r="A44" s="1829"/>
      <c r="B44" s="1829"/>
      <c r="C44" s="968"/>
    </row>
    <row r="45" spans="1:3" ht="15" x14ac:dyDescent="0.25">
      <c r="A45" s="1822"/>
      <c r="B45" s="1822"/>
      <c r="C45" s="968"/>
    </row>
    <row r="46" spans="1:3" ht="15" x14ac:dyDescent="0.15">
      <c r="A46" s="1831"/>
      <c r="B46" s="1831"/>
    </row>
    <row r="47" spans="1:3" ht="11.25" x14ac:dyDescent="0.15">
      <c r="A47" s="1832"/>
      <c r="B47" s="1832"/>
    </row>
    <row r="48" spans="1:3" ht="12.75" x14ac:dyDescent="0.15">
      <c r="A48" s="1833"/>
      <c r="B48" s="1834"/>
      <c r="C48" s="812"/>
    </row>
    <row r="49" spans="1:3" ht="12.75" x14ac:dyDescent="0.15">
      <c r="A49" s="1833"/>
      <c r="B49" s="1835"/>
      <c r="C49" s="812"/>
    </row>
    <row r="50" spans="1:3" ht="15" x14ac:dyDescent="0.25">
      <c r="A50" s="1836"/>
      <c r="B50" s="1837"/>
      <c r="C50" s="812"/>
    </row>
    <row r="51" spans="1:3" ht="15" x14ac:dyDescent="0.25">
      <c r="A51" s="1836"/>
      <c r="B51" s="1837"/>
      <c r="C51" s="812"/>
    </row>
  </sheetData>
  <mergeCells count="4">
    <mergeCell ref="A2:G2"/>
    <mergeCell ref="A4:A5"/>
    <mergeCell ref="B4:B5"/>
    <mergeCell ref="C4:G4"/>
  </mergeCells>
  <pageMargins left="0.70866141732283472" right="0.70866141732283472" top="0.74803149606299213" bottom="0.74803149606299213" header="0.31496062992125984" footer="0.31496062992125984"/>
  <pageSetup paperSize="14" orientation="portrait" verticalDpi="599"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6"/>
  <dimension ref="A2:M27"/>
  <sheetViews>
    <sheetView zoomScaleNormal="100" workbookViewId="0">
      <selection activeCell="L29" sqref="L29"/>
    </sheetView>
  </sheetViews>
  <sheetFormatPr baseColWidth="10" defaultRowHeight="10.5" x14ac:dyDescent="0.15"/>
  <cols>
    <col min="1" max="1" width="22.28515625" style="68" customWidth="1"/>
    <col min="2" max="2" width="11.42578125" style="68" customWidth="1"/>
    <col min="3" max="3" width="11.5703125" style="68" customWidth="1"/>
    <col min="4" max="5" width="12.140625" style="68" customWidth="1"/>
    <col min="6" max="7" width="12.28515625" style="68" customWidth="1"/>
    <col min="8" max="9" width="14.28515625" style="68" customWidth="1"/>
    <col min="10" max="11" width="12.140625" style="68" customWidth="1"/>
    <col min="12" max="13" width="11.42578125" style="68" customWidth="1"/>
    <col min="14" max="16384" width="11.42578125" style="68"/>
  </cols>
  <sheetData>
    <row r="2" spans="1:13" ht="24" customHeight="1" x14ac:dyDescent="0.15">
      <c r="A2" s="3647" t="s">
        <v>4241</v>
      </c>
      <c r="B2" s="3647"/>
      <c r="C2" s="3647"/>
      <c r="D2" s="3647"/>
      <c r="E2" s="3647"/>
      <c r="F2" s="3647"/>
      <c r="G2" s="3647"/>
      <c r="H2" s="3647"/>
      <c r="I2" s="3647"/>
      <c r="J2" s="3647"/>
      <c r="K2" s="3647"/>
      <c r="L2" s="3647"/>
      <c r="M2" s="3647"/>
    </row>
    <row r="3" spans="1:13" x14ac:dyDescent="0.15">
      <c r="A3" s="3648" t="s">
        <v>3845</v>
      </c>
      <c r="B3" s="3648"/>
      <c r="C3" s="3648"/>
      <c r="D3" s="3648"/>
      <c r="E3" s="3648"/>
      <c r="F3" s="3648"/>
      <c r="G3" s="3648"/>
      <c r="H3" s="3648"/>
      <c r="I3" s="3648"/>
      <c r="J3" s="3648"/>
      <c r="K3" s="3648"/>
      <c r="L3" s="3648"/>
      <c r="M3" s="3648"/>
    </row>
    <row r="4" spans="1:13" ht="63.75" customHeight="1" x14ac:dyDescent="0.15">
      <c r="A4" s="2323" t="s">
        <v>3846</v>
      </c>
      <c r="B4" s="2323" t="s">
        <v>3847</v>
      </c>
      <c r="C4" s="2323"/>
      <c r="D4" s="3649" t="s">
        <v>3848</v>
      </c>
      <c r="E4" s="3650"/>
      <c r="F4" s="3649" t="s">
        <v>3843</v>
      </c>
      <c r="G4" s="3650"/>
      <c r="H4" s="3649" t="s">
        <v>3839</v>
      </c>
      <c r="I4" s="3650"/>
      <c r="J4" s="2323" t="s">
        <v>3849</v>
      </c>
      <c r="K4" s="2323"/>
      <c r="L4" s="2323" t="s">
        <v>3850</v>
      </c>
      <c r="M4" s="2323"/>
    </row>
    <row r="5" spans="1:13" ht="21.75" customHeight="1" x14ac:dyDescent="0.15">
      <c r="A5" s="2323"/>
      <c r="B5" s="63" t="s">
        <v>1290</v>
      </c>
      <c r="C5" s="63" t="s">
        <v>3851</v>
      </c>
      <c r="D5" s="63" t="s">
        <v>1290</v>
      </c>
      <c r="E5" s="63" t="s">
        <v>3851</v>
      </c>
      <c r="F5" s="63" t="s">
        <v>1290</v>
      </c>
      <c r="G5" s="63" t="s">
        <v>3851</v>
      </c>
      <c r="H5" s="63" t="s">
        <v>1290</v>
      </c>
      <c r="I5" s="63" t="s">
        <v>3851</v>
      </c>
      <c r="J5" s="63" t="s">
        <v>1290</v>
      </c>
      <c r="K5" s="63" t="s">
        <v>3851</v>
      </c>
      <c r="L5" s="63" t="s">
        <v>1290</v>
      </c>
      <c r="M5" s="63" t="s">
        <v>3851</v>
      </c>
    </row>
    <row r="6" spans="1:13" s="605" customFormat="1" x14ac:dyDescent="0.15">
      <c r="A6" s="1838" t="s">
        <v>141</v>
      </c>
      <c r="B6" s="1839">
        <f>SUM(B7:B23)</f>
        <v>2089</v>
      </c>
      <c r="C6" s="1839">
        <f t="shared" ref="C6:M6" si="0">SUM(C7:C23)</f>
        <v>2628</v>
      </c>
      <c r="D6" s="1839">
        <f t="shared" si="0"/>
        <v>181</v>
      </c>
      <c r="E6" s="1839">
        <f t="shared" si="0"/>
        <v>133</v>
      </c>
      <c r="F6" s="1839">
        <f t="shared" si="0"/>
        <v>290</v>
      </c>
      <c r="G6" s="1839">
        <f t="shared" si="0"/>
        <v>332</v>
      </c>
      <c r="H6" s="1839">
        <f t="shared" si="0"/>
        <v>26</v>
      </c>
      <c r="I6" s="1839">
        <f t="shared" si="0"/>
        <v>31</v>
      </c>
      <c r="J6" s="1839">
        <f t="shared" si="0"/>
        <v>162</v>
      </c>
      <c r="K6" s="1839">
        <f t="shared" si="0"/>
        <v>271</v>
      </c>
      <c r="L6" s="1839">
        <f t="shared" si="0"/>
        <v>1430</v>
      </c>
      <c r="M6" s="1839">
        <f t="shared" si="0"/>
        <v>1861</v>
      </c>
    </row>
    <row r="7" spans="1:13" x14ac:dyDescent="0.15">
      <c r="A7" s="1840" t="s">
        <v>696</v>
      </c>
      <c r="B7" s="1839">
        <f>+D7+F7+H7+J7+L7</f>
        <v>53</v>
      </c>
      <c r="C7" s="1839">
        <f>+E7+G7+I7+K7+M7</f>
        <v>62</v>
      </c>
      <c r="D7" s="210">
        <v>11</v>
      </c>
      <c r="E7" s="210">
        <v>5</v>
      </c>
      <c r="F7" s="210">
        <v>16</v>
      </c>
      <c r="G7" s="210">
        <v>27</v>
      </c>
      <c r="H7" s="210">
        <v>2</v>
      </c>
      <c r="I7" s="210">
        <v>1</v>
      </c>
      <c r="J7" s="210">
        <v>0</v>
      </c>
      <c r="K7" s="210">
        <v>5</v>
      </c>
      <c r="L7" s="210">
        <v>24</v>
      </c>
      <c r="M7" s="210">
        <v>24</v>
      </c>
    </row>
    <row r="8" spans="1:13" x14ac:dyDescent="0.15">
      <c r="A8" s="1840" t="s">
        <v>1037</v>
      </c>
      <c r="B8" s="1839">
        <f t="shared" ref="B8:C23" si="1">+D8+F8+H8+J8+L8</f>
        <v>126</v>
      </c>
      <c r="C8" s="1839">
        <f t="shared" si="1"/>
        <v>150</v>
      </c>
      <c r="D8" s="210">
        <v>17</v>
      </c>
      <c r="E8" s="210">
        <v>10</v>
      </c>
      <c r="F8" s="210">
        <v>21</v>
      </c>
      <c r="G8" s="210">
        <v>12</v>
      </c>
      <c r="H8" s="210">
        <v>18</v>
      </c>
      <c r="I8" s="210">
        <v>21</v>
      </c>
      <c r="J8" s="210">
        <v>0</v>
      </c>
      <c r="K8" s="210">
        <v>0</v>
      </c>
      <c r="L8" s="210">
        <v>70</v>
      </c>
      <c r="M8" s="210">
        <v>107</v>
      </c>
    </row>
    <row r="9" spans="1:13" x14ac:dyDescent="0.15">
      <c r="A9" s="1840" t="s">
        <v>7</v>
      </c>
      <c r="B9" s="1839">
        <f t="shared" si="1"/>
        <v>134</v>
      </c>
      <c r="C9" s="1839">
        <f t="shared" si="1"/>
        <v>157</v>
      </c>
      <c r="D9" s="210">
        <v>11</v>
      </c>
      <c r="E9" s="210">
        <v>9</v>
      </c>
      <c r="F9" s="210">
        <v>78</v>
      </c>
      <c r="G9" s="210">
        <v>80</v>
      </c>
      <c r="H9" s="210">
        <v>0</v>
      </c>
      <c r="I9" s="210">
        <v>1</v>
      </c>
      <c r="J9" s="210">
        <v>0</v>
      </c>
      <c r="K9" s="210">
        <v>0</v>
      </c>
      <c r="L9" s="210">
        <v>45</v>
      </c>
      <c r="M9" s="210">
        <v>67</v>
      </c>
    </row>
    <row r="10" spans="1:13" x14ac:dyDescent="0.15">
      <c r="A10" s="1840" t="s">
        <v>498</v>
      </c>
      <c r="B10" s="1839">
        <f>+D10+F10+H10+J10+L10</f>
        <v>48</v>
      </c>
      <c r="C10" s="1839">
        <f t="shared" si="1"/>
        <v>62</v>
      </c>
      <c r="D10" s="210">
        <v>10</v>
      </c>
      <c r="E10" s="210">
        <v>6</v>
      </c>
      <c r="F10" s="210">
        <v>14</v>
      </c>
      <c r="G10" s="210">
        <v>18</v>
      </c>
      <c r="H10" s="210">
        <v>0</v>
      </c>
      <c r="I10" s="210">
        <v>0</v>
      </c>
      <c r="J10" s="210">
        <v>0</v>
      </c>
      <c r="K10" s="210">
        <v>0</v>
      </c>
      <c r="L10" s="210">
        <v>24</v>
      </c>
      <c r="M10" s="210">
        <v>38</v>
      </c>
    </row>
    <row r="11" spans="1:13" x14ac:dyDescent="0.15">
      <c r="A11" s="1840" t="s">
        <v>1042</v>
      </c>
      <c r="B11" s="1839">
        <f t="shared" si="1"/>
        <v>45</v>
      </c>
      <c r="C11" s="1839">
        <f t="shared" si="1"/>
        <v>68</v>
      </c>
      <c r="D11" s="210">
        <v>6</v>
      </c>
      <c r="E11" s="210">
        <v>5</v>
      </c>
      <c r="F11" s="210">
        <v>9</v>
      </c>
      <c r="G11" s="210">
        <v>17</v>
      </c>
      <c r="H11" s="210">
        <v>0</v>
      </c>
      <c r="I11" s="210">
        <v>0</v>
      </c>
      <c r="J11" s="210">
        <v>0</v>
      </c>
      <c r="K11" s="210">
        <v>1</v>
      </c>
      <c r="L11" s="210">
        <v>30</v>
      </c>
      <c r="M11" s="210">
        <v>45</v>
      </c>
    </row>
    <row r="12" spans="1:13" x14ac:dyDescent="0.15">
      <c r="A12" s="1840" t="s">
        <v>10</v>
      </c>
      <c r="B12" s="1839">
        <f t="shared" si="1"/>
        <v>379</v>
      </c>
      <c r="C12" s="1839">
        <f t="shared" si="1"/>
        <v>383</v>
      </c>
      <c r="D12" s="210">
        <v>50</v>
      </c>
      <c r="E12" s="210">
        <v>25</v>
      </c>
      <c r="F12" s="210">
        <v>42</v>
      </c>
      <c r="G12" s="210">
        <v>42</v>
      </c>
      <c r="H12" s="210">
        <v>1</v>
      </c>
      <c r="I12" s="210">
        <v>0</v>
      </c>
      <c r="J12" s="210">
        <v>0</v>
      </c>
      <c r="K12" s="210">
        <v>2</v>
      </c>
      <c r="L12" s="210">
        <v>286</v>
      </c>
      <c r="M12" s="210">
        <v>314</v>
      </c>
    </row>
    <row r="13" spans="1:13" x14ac:dyDescent="0.15">
      <c r="A13" s="1840" t="s">
        <v>1026</v>
      </c>
      <c r="B13" s="1839">
        <f t="shared" si="1"/>
        <v>546</v>
      </c>
      <c r="C13" s="1839">
        <f t="shared" si="1"/>
        <v>794</v>
      </c>
      <c r="D13" s="210">
        <v>39</v>
      </c>
      <c r="E13" s="210">
        <v>33</v>
      </c>
      <c r="F13" s="210">
        <v>8</v>
      </c>
      <c r="G13" s="210">
        <v>17</v>
      </c>
      <c r="H13" s="210">
        <v>5</v>
      </c>
      <c r="I13" s="210">
        <v>6</v>
      </c>
      <c r="J13" s="210">
        <v>159</v>
      </c>
      <c r="K13" s="210">
        <v>250</v>
      </c>
      <c r="L13" s="210">
        <v>335</v>
      </c>
      <c r="M13" s="210">
        <v>488</v>
      </c>
    </row>
    <row r="14" spans="1:13" x14ac:dyDescent="0.15">
      <c r="A14" s="1840" t="s">
        <v>1030</v>
      </c>
      <c r="B14" s="1839">
        <f t="shared" si="1"/>
        <v>194</v>
      </c>
      <c r="C14" s="1839">
        <f t="shared" si="1"/>
        <v>330</v>
      </c>
      <c r="D14" s="210">
        <v>15</v>
      </c>
      <c r="E14" s="210">
        <v>19</v>
      </c>
      <c r="F14" s="210">
        <v>43</v>
      </c>
      <c r="G14" s="210">
        <v>58</v>
      </c>
      <c r="H14" s="210">
        <v>0</v>
      </c>
      <c r="I14" s="210">
        <v>0</v>
      </c>
      <c r="J14" s="210">
        <v>0</v>
      </c>
      <c r="K14" s="210">
        <v>3</v>
      </c>
      <c r="L14" s="210">
        <v>136</v>
      </c>
      <c r="M14" s="210">
        <v>250</v>
      </c>
    </row>
    <row r="15" spans="1:13" x14ac:dyDescent="0.15">
      <c r="A15" s="1840" t="s">
        <v>1044</v>
      </c>
      <c r="B15" s="1839">
        <f t="shared" si="1"/>
        <v>82</v>
      </c>
      <c r="C15" s="1839">
        <f t="shared" si="1"/>
        <v>73</v>
      </c>
      <c r="D15" s="210">
        <v>3</v>
      </c>
      <c r="E15" s="210">
        <v>3</v>
      </c>
      <c r="F15" s="210">
        <v>16</v>
      </c>
      <c r="G15" s="210">
        <v>13</v>
      </c>
      <c r="H15" s="210">
        <v>0</v>
      </c>
      <c r="I15" s="210">
        <v>0</v>
      </c>
      <c r="J15" s="210">
        <v>0</v>
      </c>
      <c r="K15" s="210">
        <v>0</v>
      </c>
      <c r="L15" s="210">
        <v>63</v>
      </c>
      <c r="M15" s="210">
        <v>57</v>
      </c>
    </row>
    <row r="16" spans="1:13" x14ac:dyDescent="0.15">
      <c r="A16" s="1840" t="s">
        <v>614</v>
      </c>
      <c r="B16" s="1839">
        <f t="shared" si="1"/>
        <v>122</v>
      </c>
      <c r="C16" s="1839">
        <f t="shared" si="1"/>
        <v>132</v>
      </c>
      <c r="D16" s="210">
        <v>5</v>
      </c>
      <c r="E16" s="210">
        <v>6</v>
      </c>
      <c r="F16" s="210">
        <v>7</v>
      </c>
      <c r="G16" s="210">
        <v>6</v>
      </c>
      <c r="H16" s="210">
        <v>0</v>
      </c>
      <c r="I16" s="210">
        <v>0</v>
      </c>
      <c r="J16" s="210">
        <v>0</v>
      </c>
      <c r="K16" s="210">
        <v>0</v>
      </c>
      <c r="L16" s="210">
        <v>110</v>
      </c>
      <c r="M16" s="210">
        <v>120</v>
      </c>
    </row>
    <row r="17" spans="1:13" x14ac:dyDescent="0.15">
      <c r="A17" s="1840" t="s">
        <v>1063</v>
      </c>
      <c r="B17" s="1839">
        <f t="shared" si="1"/>
        <v>27</v>
      </c>
      <c r="C17" s="1839">
        <f t="shared" si="1"/>
        <v>29</v>
      </c>
      <c r="D17" s="210">
        <v>0</v>
      </c>
      <c r="E17" s="210">
        <v>0</v>
      </c>
      <c r="F17" s="210">
        <v>4</v>
      </c>
      <c r="G17" s="210">
        <v>6</v>
      </c>
      <c r="H17" s="210">
        <v>0</v>
      </c>
      <c r="I17" s="210">
        <v>0</v>
      </c>
      <c r="J17" s="210">
        <v>0</v>
      </c>
      <c r="K17" s="210">
        <v>0</v>
      </c>
      <c r="L17" s="210">
        <v>23</v>
      </c>
      <c r="M17" s="210">
        <v>23</v>
      </c>
    </row>
    <row r="18" spans="1:13" x14ac:dyDescent="0.15">
      <c r="A18" s="1840" t="s">
        <v>641</v>
      </c>
      <c r="B18" s="1839">
        <f t="shared" si="1"/>
        <v>162</v>
      </c>
      <c r="C18" s="1839">
        <f t="shared" si="1"/>
        <v>186</v>
      </c>
      <c r="D18" s="210">
        <v>8</v>
      </c>
      <c r="E18" s="210">
        <v>7</v>
      </c>
      <c r="F18" s="210">
        <v>22</v>
      </c>
      <c r="G18" s="210">
        <v>25</v>
      </c>
      <c r="H18" s="210">
        <v>0</v>
      </c>
      <c r="I18" s="210">
        <v>0</v>
      </c>
      <c r="J18" s="210">
        <v>1</v>
      </c>
      <c r="K18" s="210">
        <v>1</v>
      </c>
      <c r="L18" s="210">
        <v>131</v>
      </c>
      <c r="M18" s="210">
        <v>153</v>
      </c>
    </row>
    <row r="19" spans="1:13" x14ac:dyDescent="0.15">
      <c r="A19" s="1840" t="s">
        <v>709</v>
      </c>
      <c r="B19" s="1839">
        <f t="shared" si="1"/>
        <v>53</v>
      </c>
      <c r="C19" s="1839">
        <f t="shared" si="1"/>
        <v>59</v>
      </c>
      <c r="D19" s="210">
        <v>3</v>
      </c>
      <c r="E19" s="210">
        <v>3</v>
      </c>
      <c r="F19" s="210">
        <v>5</v>
      </c>
      <c r="G19" s="210">
        <v>2</v>
      </c>
      <c r="H19" s="210">
        <v>0</v>
      </c>
      <c r="I19" s="210">
        <v>2</v>
      </c>
      <c r="J19" s="210">
        <v>0</v>
      </c>
      <c r="K19" s="210">
        <v>2</v>
      </c>
      <c r="L19" s="210">
        <v>45</v>
      </c>
      <c r="M19" s="210">
        <v>50</v>
      </c>
    </row>
    <row r="20" spans="1:13" x14ac:dyDescent="0.15">
      <c r="A20" s="1840" t="s">
        <v>655</v>
      </c>
      <c r="B20" s="1839">
        <f t="shared" si="1"/>
        <v>33</v>
      </c>
      <c r="C20" s="1839">
        <f t="shared" si="1"/>
        <v>53</v>
      </c>
      <c r="D20" s="210">
        <v>2</v>
      </c>
      <c r="E20" s="210">
        <v>2</v>
      </c>
      <c r="F20" s="210">
        <v>4</v>
      </c>
      <c r="G20" s="210">
        <v>5</v>
      </c>
      <c r="H20" s="210">
        <v>0</v>
      </c>
      <c r="I20" s="210">
        <v>0</v>
      </c>
      <c r="J20" s="210">
        <v>2</v>
      </c>
      <c r="K20" s="210">
        <v>6</v>
      </c>
      <c r="L20" s="210">
        <v>25</v>
      </c>
      <c r="M20" s="210">
        <v>40</v>
      </c>
    </row>
    <row r="21" spans="1:13" x14ac:dyDescent="0.15">
      <c r="A21" s="1840" t="s">
        <v>711</v>
      </c>
      <c r="B21" s="1839">
        <f t="shared" si="1"/>
        <v>70</v>
      </c>
      <c r="C21" s="1839">
        <f t="shared" si="1"/>
        <v>69</v>
      </c>
      <c r="D21" s="210">
        <v>1</v>
      </c>
      <c r="E21" s="210">
        <v>0</v>
      </c>
      <c r="F21" s="210">
        <v>1</v>
      </c>
      <c r="G21" s="210">
        <v>1</v>
      </c>
      <c r="H21" s="210">
        <v>0</v>
      </c>
      <c r="I21" s="210">
        <v>0</v>
      </c>
      <c r="J21" s="210">
        <v>0</v>
      </c>
      <c r="K21" s="210">
        <v>1</v>
      </c>
      <c r="L21" s="210">
        <v>68</v>
      </c>
      <c r="M21" s="210">
        <v>67</v>
      </c>
    </row>
    <row r="22" spans="1:13" x14ac:dyDescent="0.15">
      <c r="A22" s="1840" t="s">
        <v>665</v>
      </c>
      <c r="B22" s="1839">
        <f t="shared" si="1"/>
        <v>6</v>
      </c>
      <c r="C22" s="1839">
        <f t="shared" si="1"/>
        <v>3</v>
      </c>
      <c r="D22" s="210">
        <v>0</v>
      </c>
      <c r="E22" s="210">
        <v>0</v>
      </c>
      <c r="F22" s="210">
        <v>0</v>
      </c>
      <c r="G22" s="210">
        <v>0</v>
      </c>
      <c r="H22" s="210">
        <v>0</v>
      </c>
      <c r="I22" s="210">
        <v>0</v>
      </c>
      <c r="J22" s="210">
        <v>0</v>
      </c>
      <c r="K22" s="210">
        <v>0</v>
      </c>
      <c r="L22" s="210">
        <v>6</v>
      </c>
      <c r="M22" s="210">
        <v>3</v>
      </c>
    </row>
    <row r="23" spans="1:13" x14ac:dyDescent="0.15">
      <c r="A23" s="1840" t="s">
        <v>691</v>
      </c>
      <c r="B23" s="1839">
        <f t="shared" si="1"/>
        <v>9</v>
      </c>
      <c r="C23" s="1839">
        <f t="shared" si="1"/>
        <v>18</v>
      </c>
      <c r="D23" s="210">
        <v>0</v>
      </c>
      <c r="E23" s="210">
        <v>0</v>
      </c>
      <c r="F23" s="210">
        <v>0</v>
      </c>
      <c r="G23" s="210">
        <v>3</v>
      </c>
      <c r="H23" s="210">
        <v>0</v>
      </c>
      <c r="I23" s="210">
        <v>0</v>
      </c>
      <c r="J23" s="210">
        <v>0</v>
      </c>
      <c r="K23" s="210">
        <v>0</v>
      </c>
      <c r="L23" s="210">
        <v>9</v>
      </c>
      <c r="M23" s="210">
        <v>15</v>
      </c>
    </row>
    <row r="24" spans="1:13" x14ac:dyDescent="0.15">
      <c r="A24" s="3646"/>
      <c r="B24" s="3646"/>
      <c r="C24" s="3646"/>
      <c r="D24" s="3646"/>
      <c r="E24" s="3646"/>
      <c r="F24" s="3646"/>
      <c r="G24" s="3646"/>
      <c r="H24" s="3646"/>
      <c r="I24" s="3646"/>
      <c r="J24" s="3646"/>
      <c r="K24" s="3646"/>
      <c r="L24" s="3646"/>
      <c r="M24" s="3646"/>
    </row>
    <row r="25" spans="1:13" x14ac:dyDescent="0.15">
      <c r="A25" s="1841" t="s">
        <v>3852</v>
      </c>
      <c r="B25" s="1842"/>
      <c r="C25" s="1842"/>
      <c r="D25" s="1842"/>
      <c r="E25" s="1842"/>
      <c r="F25" s="1842"/>
      <c r="G25" s="1842"/>
      <c r="H25" s="1842"/>
      <c r="I25" s="1842"/>
      <c r="J25" s="1842"/>
      <c r="K25" s="1842"/>
      <c r="L25" s="1842"/>
      <c r="M25" s="1842"/>
    </row>
    <row r="26" spans="1:13" x14ac:dyDescent="0.15">
      <c r="A26" s="1843" t="s">
        <v>20</v>
      </c>
      <c r="B26" s="1843"/>
      <c r="C26" s="1843"/>
      <c r="D26" s="1843"/>
      <c r="E26" s="1843"/>
      <c r="F26" s="1843"/>
      <c r="G26" s="1843"/>
      <c r="H26" s="1843"/>
      <c r="I26" s="1843"/>
      <c r="J26" s="1843"/>
      <c r="K26" s="1843"/>
      <c r="L26" s="1843"/>
      <c r="M26" s="1843"/>
    </row>
    <row r="27" spans="1:13" x14ac:dyDescent="0.15">
      <c r="A27" s="2803" t="s">
        <v>1293</v>
      </c>
      <c r="B27" s="2803"/>
      <c r="C27" s="2803"/>
      <c r="D27" s="2803"/>
      <c r="E27" s="2803"/>
      <c r="F27" s="2803"/>
      <c r="G27" s="2803"/>
      <c r="H27" s="2803"/>
      <c r="I27" s="2803"/>
      <c r="J27" s="2803"/>
      <c r="K27" s="2803"/>
      <c r="L27" s="2803"/>
      <c r="M27" s="2803"/>
    </row>
  </sheetData>
  <mergeCells count="11">
    <mergeCell ref="A24:M24"/>
    <mergeCell ref="A27:M27"/>
    <mergeCell ref="A2:M2"/>
    <mergeCell ref="A3:M3"/>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7"/>
  <dimension ref="A1:F30"/>
  <sheetViews>
    <sheetView zoomScaleNormal="100" workbookViewId="0">
      <selection activeCell="N33" sqref="N33"/>
    </sheetView>
  </sheetViews>
  <sheetFormatPr baseColWidth="10" defaultRowHeight="12.75" x14ac:dyDescent="0.2"/>
  <cols>
    <col min="1" max="1" width="26.28515625" style="1852" customWidth="1"/>
    <col min="2" max="6" width="11.42578125" style="1852"/>
    <col min="7" max="7" width="11.42578125" style="1852" customWidth="1"/>
    <col min="8" max="16384" width="11.42578125" style="1852"/>
  </cols>
  <sheetData>
    <row r="1" spans="1:6" s="99" customFormat="1" ht="10.5" x14ac:dyDescent="0.15">
      <c r="A1" s="1164"/>
      <c r="B1" s="1164"/>
      <c r="C1" s="1164"/>
      <c r="D1" s="1164"/>
    </row>
    <row r="2" spans="1:6" s="99" customFormat="1" ht="22.5" customHeight="1" x14ac:dyDescent="0.15">
      <c r="A2" s="3651" t="s">
        <v>4242</v>
      </c>
      <c r="B2" s="3651"/>
      <c r="C2" s="3651"/>
      <c r="D2" s="3651"/>
      <c r="E2" s="3651"/>
      <c r="F2" s="3651"/>
    </row>
    <row r="3" spans="1:6" s="968" customFormat="1" ht="10.5" x14ac:dyDescent="0.15">
      <c r="A3" s="1844"/>
      <c r="B3" s="1844"/>
      <c r="C3" s="1844"/>
      <c r="D3" s="1844"/>
      <c r="E3" s="1844"/>
      <c r="F3" s="830"/>
    </row>
    <row r="4" spans="1:6" s="1816" customFormat="1" ht="23.25" customHeight="1" x14ac:dyDescent="0.25">
      <c r="A4" s="839" t="s">
        <v>3853</v>
      </c>
      <c r="B4" s="839">
        <v>2011</v>
      </c>
      <c r="C4" s="839">
        <v>2012</v>
      </c>
      <c r="D4" s="839">
        <v>2013</v>
      </c>
      <c r="E4" s="839">
        <v>2014</v>
      </c>
      <c r="F4" s="839">
        <v>2015</v>
      </c>
    </row>
    <row r="5" spans="1:6" s="144" customFormat="1" ht="10.5" customHeight="1" x14ac:dyDescent="0.15">
      <c r="A5" s="1811" t="s">
        <v>141</v>
      </c>
      <c r="B5" s="1845">
        <f t="shared" ref="B5:F5" si="0">SUM(B6:B23)</f>
        <v>4466</v>
      </c>
      <c r="C5" s="1845">
        <f t="shared" si="0"/>
        <v>3327</v>
      </c>
      <c r="D5" s="1845">
        <f t="shared" si="0"/>
        <v>2892</v>
      </c>
      <c r="E5" s="1845">
        <f t="shared" si="0"/>
        <v>2425</v>
      </c>
      <c r="F5" s="1845">
        <f t="shared" si="0"/>
        <v>2127</v>
      </c>
    </row>
    <row r="6" spans="1:6" s="99" customFormat="1" ht="10.5" x14ac:dyDescent="0.15">
      <c r="A6" s="1846" t="s">
        <v>5</v>
      </c>
      <c r="B6" s="1847">
        <v>177</v>
      </c>
      <c r="C6" s="1847">
        <v>84</v>
      </c>
      <c r="D6" s="1847">
        <v>96</v>
      </c>
      <c r="E6" s="1847">
        <v>57</v>
      </c>
      <c r="F6" s="1848">
        <v>42</v>
      </c>
    </row>
    <row r="7" spans="1:6" s="99" customFormat="1" ht="10.5" x14ac:dyDescent="0.15">
      <c r="A7" s="1849" t="s">
        <v>6</v>
      </c>
      <c r="B7" s="1847">
        <v>224</v>
      </c>
      <c r="C7" s="1847">
        <v>206</v>
      </c>
      <c r="D7" s="1847">
        <v>206</v>
      </c>
      <c r="E7" s="1847">
        <v>167</v>
      </c>
      <c r="F7" s="1848">
        <v>115</v>
      </c>
    </row>
    <row r="8" spans="1:6" s="99" customFormat="1" ht="10.5" x14ac:dyDescent="0.15">
      <c r="A8" s="1849" t="s">
        <v>7</v>
      </c>
      <c r="B8" s="1847">
        <v>163</v>
      </c>
      <c r="C8" s="1847">
        <v>128</v>
      </c>
      <c r="D8" s="1847">
        <v>109</v>
      </c>
      <c r="E8" s="1847">
        <v>153</v>
      </c>
      <c r="F8" s="1848">
        <v>124</v>
      </c>
    </row>
    <row r="9" spans="1:6" s="99" customFormat="1" ht="10.5" x14ac:dyDescent="0.15">
      <c r="A9" s="1849" t="s">
        <v>8</v>
      </c>
      <c r="B9" s="1847">
        <v>55</v>
      </c>
      <c r="C9" s="1847">
        <v>50</v>
      </c>
      <c r="D9" s="1847">
        <v>71</v>
      </c>
      <c r="E9" s="1847">
        <v>69</v>
      </c>
      <c r="F9" s="1848">
        <v>56</v>
      </c>
    </row>
    <row r="10" spans="1:6" s="99" customFormat="1" ht="10.5" x14ac:dyDescent="0.15">
      <c r="A10" s="1849" t="s">
        <v>9</v>
      </c>
      <c r="B10" s="1847">
        <v>93</v>
      </c>
      <c r="C10" s="1847">
        <v>95</v>
      </c>
      <c r="D10" s="1847">
        <v>126</v>
      </c>
      <c r="E10" s="1847">
        <v>79</v>
      </c>
      <c r="F10" s="1848">
        <v>60</v>
      </c>
    </row>
    <row r="11" spans="1:6" s="99" customFormat="1" ht="10.5" x14ac:dyDescent="0.15">
      <c r="A11" s="1849" t="s">
        <v>10</v>
      </c>
      <c r="B11" s="1847">
        <v>553</v>
      </c>
      <c r="C11" s="1847">
        <v>404</v>
      </c>
      <c r="D11" s="1847">
        <v>351</v>
      </c>
      <c r="E11" s="1847">
        <v>365</v>
      </c>
      <c r="F11" s="1848">
        <v>374</v>
      </c>
    </row>
    <row r="12" spans="1:6" s="99" customFormat="1" ht="11.25" x14ac:dyDescent="0.15">
      <c r="A12" s="819" t="s">
        <v>40</v>
      </c>
      <c r="B12" s="1847">
        <v>766</v>
      </c>
      <c r="C12" s="1847">
        <v>592</v>
      </c>
      <c r="D12" s="1847">
        <v>536</v>
      </c>
      <c r="E12" s="1847">
        <v>445</v>
      </c>
      <c r="F12" s="1848">
        <v>348</v>
      </c>
    </row>
    <row r="13" spans="1:6" s="99" customFormat="1" ht="11.25" x14ac:dyDescent="0.15">
      <c r="A13" s="968" t="s">
        <v>41</v>
      </c>
      <c r="B13" s="1847">
        <v>475</v>
      </c>
      <c r="C13" s="1847">
        <v>250</v>
      </c>
      <c r="D13" s="1847">
        <v>206</v>
      </c>
      <c r="E13" s="1847">
        <v>181</v>
      </c>
      <c r="F13" s="1848">
        <v>108</v>
      </c>
    </row>
    <row r="14" spans="1:6" s="99" customFormat="1" ht="11.25" x14ac:dyDescent="0.15">
      <c r="A14" s="968" t="s">
        <v>55</v>
      </c>
      <c r="B14" s="1847">
        <v>265</v>
      </c>
      <c r="C14" s="1847">
        <v>181</v>
      </c>
      <c r="D14" s="1847">
        <v>178</v>
      </c>
      <c r="E14" s="1847">
        <v>112</v>
      </c>
      <c r="F14" s="1848">
        <v>166</v>
      </c>
    </row>
    <row r="15" spans="1:6" s="99" customFormat="1" ht="11.25" x14ac:dyDescent="0.15">
      <c r="A15" s="968" t="s">
        <v>1296</v>
      </c>
      <c r="B15" s="1847">
        <v>478</v>
      </c>
      <c r="C15" s="1847">
        <v>364</v>
      </c>
      <c r="D15" s="1847">
        <v>256</v>
      </c>
      <c r="E15" s="1847">
        <v>137</v>
      </c>
      <c r="F15" s="1848">
        <v>98</v>
      </c>
    </row>
    <row r="16" spans="1:6" s="99" customFormat="1" ht="10.5" x14ac:dyDescent="0.15">
      <c r="A16" s="1846" t="s">
        <v>12</v>
      </c>
      <c r="B16" s="1847">
        <v>249</v>
      </c>
      <c r="C16" s="1847">
        <v>215</v>
      </c>
      <c r="D16" s="1847">
        <v>154</v>
      </c>
      <c r="E16" s="1847">
        <v>87</v>
      </c>
      <c r="F16" s="1848">
        <v>94</v>
      </c>
    </row>
    <row r="17" spans="1:6" s="99" customFormat="1" ht="10.5" x14ac:dyDescent="0.15">
      <c r="A17" s="1849" t="s">
        <v>13</v>
      </c>
      <c r="B17" s="1847">
        <v>149</v>
      </c>
      <c r="C17" s="1847">
        <v>158</v>
      </c>
      <c r="D17" s="1847">
        <v>114</v>
      </c>
      <c r="E17" s="1847">
        <v>149</v>
      </c>
      <c r="F17" s="1848">
        <v>141</v>
      </c>
    </row>
    <row r="18" spans="1:6" s="99" customFormat="1" ht="10.5" x14ac:dyDescent="0.15">
      <c r="A18" s="1849" t="s">
        <v>14</v>
      </c>
      <c r="B18" s="1847">
        <v>352</v>
      </c>
      <c r="C18" s="1847">
        <v>249</v>
      </c>
      <c r="D18" s="1847">
        <v>213</v>
      </c>
      <c r="E18" s="1847">
        <v>218</v>
      </c>
      <c r="F18" s="1848">
        <v>200</v>
      </c>
    </row>
    <row r="19" spans="1:6" s="99" customFormat="1" ht="10.5" x14ac:dyDescent="0.15">
      <c r="A19" s="1849" t="s">
        <v>350</v>
      </c>
      <c r="B19" s="1847">
        <v>113</v>
      </c>
      <c r="C19" s="1847">
        <v>66</v>
      </c>
      <c r="D19" s="1847">
        <v>91</v>
      </c>
      <c r="E19" s="1847">
        <v>59</v>
      </c>
      <c r="F19" s="1848">
        <v>60</v>
      </c>
    </row>
    <row r="20" spans="1:6" s="99" customFormat="1" ht="10.5" x14ac:dyDescent="0.15">
      <c r="A20" s="1849" t="s">
        <v>16</v>
      </c>
      <c r="B20" s="1847">
        <v>49</v>
      </c>
      <c r="C20" s="1847">
        <v>40</v>
      </c>
      <c r="D20" s="1847">
        <v>36</v>
      </c>
      <c r="E20" s="1847">
        <v>32</v>
      </c>
      <c r="F20" s="1848">
        <v>27</v>
      </c>
    </row>
    <row r="21" spans="1:6" s="99" customFormat="1" ht="10.5" x14ac:dyDescent="0.15">
      <c r="A21" s="1849" t="s">
        <v>17</v>
      </c>
      <c r="B21" s="1847">
        <v>264</v>
      </c>
      <c r="C21" s="1847">
        <v>220</v>
      </c>
      <c r="D21" s="1847">
        <v>131</v>
      </c>
      <c r="E21" s="1847">
        <v>97</v>
      </c>
      <c r="F21" s="1848">
        <v>85</v>
      </c>
    </row>
    <row r="22" spans="1:6" s="99" customFormat="1" ht="10.5" x14ac:dyDescent="0.15">
      <c r="A22" s="1849" t="s">
        <v>18</v>
      </c>
      <c r="B22" s="1847">
        <v>11</v>
      </c>
      <c r="C22" s="1847">
        <v>3</v>
      </c>
      <c r="D22" s="1847">
        <v>2</v>
      </c>
      <c r="E22" s="1847">
        <v>2</v>
      </c>
      <c r="F22" s="1848">
        <v>15</v>
      </c>
    </row>
    <row r="23" spans="1:6" s="99" customFormat="1" ht="10.5" x14ac:dyDescent="0.15">
      <c r="A23" s="1846" t="s">
        <v>19</v>
      </c>
      <c r="B23" s="1847">
        <v>30</v>
      </c>
      <c r="C23" s="1847">
        <v>22</v>
      </c>
      <c r="D23" s="1847">
        <v>16</v>
      </c>
      <c r="E23" s="1847">
        <v>16</v>
      </c>
      <c r="F23" s="1848">
        <v>14</v>
      </c>
    </row>
    <row r="24" spans="1:6" s="99" customFormat="1" ht="10.5" x14ac:dyDescent="0.15">
      <c r="B24" s="1815"/>
      <c r="C24" s="1524"/>
      <c r="E24" s="1524"/>
      <c r="F24" s="1524"/>
    </row>
    <row r="25" spans="1:6" s="99" customFormat="1" ht="10.5" x14ac:dyDescent="0.15">
      <c r="A25" s="123" t="s">
        <v>3854</v>
      </c>
      <c r="B25" s="1164"/>
      <c r="C25" s="1164"/>
      <c r="D25" s="1164"/>
    </row>
    <row r="26" spans="1:6" s="99" customFormat="1" ht="10.5" x14ac:dyDescent="0.15">
      <c r="A26" s="99" t="s">
        <v>3855</v>
      </c>
      <c r="B26" s="1164"/>
      <c r="C26" s="1164"/>
      <c r="D26" s="1164"/>
    </row>
    <row r="27" spans="1:6" s="99" customFormat="1" ht="10.5" x14ac:dyDescent="0.15">
      <c r="A27" s="99" t="s">
        <v>3856</v>
      </c>
      <c r="B27" s="1164"/>
      <c r="C27" s="1164"/>
      <c r="D27" s="1164"/>
    </row>
    <row r="28" spans="1:6" s="99" customFormat="1" ht="10.5" x14ac:dyDescent="0.15">
      <c r="A28" s="99" t="s">
        <v>3857</v>
      </c>
      <c r="B28" s="1164"/>
      <c r="C28" s="1164"/>
      <c r="D28" s="1164"/>
    </row>
    <row r="29" spans="1:6" s="99" customFormat="1" ht="10.5" x14ac:dyDescent="0.15">
      <c r="A29" s="3652" t="s">
        <v>1301</v>
      </c>
      <c r="B29" s="3652"/>
      <c r="C29" s="3652"/>
      <c r="D29" s="3652"/>
      <c r="E29" s="3652"/>
      <c r="F29" s="3652"/>
    </row>
    <row r="30" spans="1:6" s="1851" customFormat="1" ht="11.25" x14ac:dyDescent="0.2">
      <c r="A30" s="1850"/>
      <c r="B30" s="1850"/>
      <c r="C30" s="1850"/>
      <c r="D30" s="1850"/>
    </row>
  </sheetData>
  <mergeCells count="2">
    <mergeCell ref="A2:F2"/>
    <mergeCell ref="A29:F29"/>
  </mergeCells>
  <pageMargins left="0.70866141732283472" right="0.70866141732283472" top="0.74803149606299213" bottom="0.74803149606299213" header="0.31496062992125984" footer="0.31496062992125984"/>
  <pageSetup paperSize="14" orientation="portrait" verticalDpi="599"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8"/>
  <dimension ref="A1:F30"/>
  <sheetViews>
    <sheetView zoomScaleNormal="100" workbookViewId="0">
      <selection activeCell="K31" sqref="K31"/>
    </sheetView>
  </sheetViews>
  <sheetFormatPr baseColWidth="10" defaultRowHeight="12.75" x14ac:dyDescent="0.2"/>
  <cols>
    <col min="1" max="1" width="29.42578125" style="1852" customWidth="1"/>
    <col min="2" max="16384" width="11.42578125" style="1852"/>
  </cols>
  <sheetData>
    <row r="1" spans="1:6" x14ac:dyDescent="0.2">
      <c r="A1" s="1853"/>
    </row>
    <row r="2" spans="1:6" s="99" customFormat="1" ht="25.5" customHeight="1" x14ac:dyDescent="0.15">
      <c r="A2" s="3653" t="s">
        <v>4243</v>
      </c>
      <c r="B2" s="3653"/>
      <c r="C2" s="3653"/>
      <c r="D2" s="3653"/>
      <c r="E2" s="3653"/>
      <c r="F2" s="3653"/>
    </row>
    <row r="3" spans="1:6" s="99" customFormat="1" x14ac:dyDescent="0.2">
      <c r="B3" s="1854"/>
    </row>
    <row r="4" spans="1:6" s="1816" customFormat="1" ht="27.75" customHeight="1" x14ac:dyDescent="0.25">
      <c r="A4" s="839" t="s">
        <v>3853</v>
      </c>
      <c r="B4" s="839">
        <v>2011</v>
      </c>
      <c r="C4" s="839">
        <v>2012</v>
      </c>
      <c r="D4" s="839">
        <v>2013</v>
      </c>
      <c r="E4" s="839">
        <v>2014</v>
      </c>
      <c r="F4" s="839">
        <v>2015</v>
      </c>
    </row>
    <row r="5" spans="1:6" s="99" customFormat="1" ht="15" customHeight="1" x14ac:dyDescent="0.15">
      <c r="A5" s="1855" t="s">
        <v>141</v>
      </c>
      <c r="B5" s="1856">
        <f t="shared" ref="B5:F5" si="0">SUM(B6:B23)</f>
        <v>7273</v>
      </c>
      <c r="C5" s="1856">
        <f t="shared" si="0"/>
        <v>5939</v>
      </c>
      <c r="D5" s="1856">
        <f t="shared" si="0"/>
        <v>4545</v>
      </c>
      <c r="E5" s="1856">
        <f t="shared" si="0"/>
        <v>3856</v>
      </c>
      <c r="F5" s="1856">
        <f t="shared" si="0"/>
        <v>3159</v>
      </c>
    </row>
    <row r="6" spans="1:6" s="99" customFormat="1" ht="10.5" x14ac:dyDescent="0.15">
      <c r="A6" s="1846" t="s">
        <v>5</v>
      </c>
      <c r="B6" s="1857">
        <v>242</v>
      </c>
      <c r="C6" s="1857">
        <v>212</v>
      </c>
      <c r="D6" s="968">
        <v>164</v>
      </c>
      <c r="E6" s="968">
        <v>70</v>
      </c>
      <c r="F6" s="17">
        <v>53</v>
      </c>
    </row>
    <row r="7" spans="1:6" s="99" customFormat="1" ht="10.5" x14ac:dyDescent="0.15">
      <c r="A7" s="1849" t="s">
        <v>6</v>
      </c>
      <c r="B7" s="1857">
        <v>327</v>
      </c>
      <c r="C7" s="1857">
        <v>449</v>
      </c>
      <c r="D7" s="968">
        <v>278</v>
      </c>
      <c r="E7" s="968">
        <v>240</v>
      </c>
      <c r="F7" s="17">
        <v>196</v>
      </c>
    </row>
    <row r="8" spans="1:6" s="99" customFormat="1" ht="10.5" x14ac:dyDescent="0.15">
      <c r="A8" s="1849" t="s">
        <v>7</v>
      </c>
      <c r="B8" s="1857">
        <v>255</v>
      </c>
      <c r="C8" s="1857">
        <v>165</v>
      </c>
      <c r="D8" s="968">
        <v>143</v>
      </c>
      <c r="E8" s="968">
        <v>155</v>
      </c>
      <c r="F8" s="17">
        <v>214</v>
      </c>
    </row>
    <row r="9" spans="1:6" s="99" customFormat="1" ht="10.5" x14ac:dyDescent="0.15">
      <c r="A9" s="1849" t="s">
        <v>8</v>
      </c>
      <c r="B9" s="1857">
        <v>79</v>
      </c>
      <c r="C9" s="1857">
        <v>61</v>
      </c>
      <c r="D9" s="968">
        <v>85</v>
      </c>
      <c r="E9" s="968">
        <v>108</v>
      </c>
      <c r="F9" s="17">
        <v>78</v>
      </c>
    </row>
    <row r="10" spans="1:6" s="99" customFormat="1" ht="10.5" x14ac:dyDescent="0.15">
      <c r="A10" s="1849" t="s">
        <v>9</v>
      </c>
      <c r="B10" s="1857">
        <v>195</v>
      </c>
      <c r="C10" s="1857">
        <v>150</v>
      </c>
      <c r="D10" s="968">
        <v>171</v>
      </c>
      <c r="E10" s="968">
        <v>170</v>
      </c>
      <c r="F10" s="17">
        <v>87</v>
      </c>
    </row>
    <row r="11" spans="1:6" s="99" customFormat="1" ht="10.5" x14ac:dyDescent="0.15">
      <c r="A11" s="1849" t="s">
        <v>10</v>
      </c>
      <c r="B11" s="1857">
        <v>897</v>
      </c>
      <c r="C11" s="1857">
        <v>681</v>
      </c>
      <c r="D11" s="968">
        <v>522</v>
      </c>
      <c r="E11" s="968">
        <v>568</v>
      </c>
      <c r="F11" s="17">
        <v>513</v>
      </c>
    </row>
    <row r="12" spans="1:6" s="99" customFormat="1" ht="11.25" customHeight="1" x14ac:dyDescent="0.15">
      <c r="A12" s="819" t="s">
        <v>41</v>
      </c>
      <c r="B12" s="1857">
        <v>1819</v>
      </c>
      <c r="C12" s="1857">
        <v>1016</v>
      </c>
      <c r="D12" s="968">
        <v>1014</v>
      </c>
      <c r="E12" s="968">
        <v>712</v>
      </c>
      <c r="F12" s="17">
        <v>564</v>
      </c>
    </row>
    <row r="13" spans="1:6" s="99" customFormat="1" ht="11.25" x14ac:dyDescent="0.15">
      <c r="A13" s="968" t="s">
        <v>55</v>
      </c>
      <c r="B13" s="1857">
        <v>413</v>
      </c>
      <c r="C13" s="1857">
        <v>393</v>
      </c>
      <c r="D13" s="968">
        <v>220</v>
      </c>
      <c r="E13" s="968">
        <v>260</v>
      </c>
      <c r="F13" s="17">
        <v>168</v>
      </c>
    </row>
    <row r="14" spans="1:6" s="99" customFormat="1" ht="11.25" x14ac:dyDescent="0.15">
      <c r="A14" s="968" t="s">
        <v>1296</v>
      </c>
      <c r="B14" s="1857">
        <v>676</v>
      </c>
      <c r="C14" s="1857">
        <v>733</v>
      </c>
      <c r="D14" s="968">
        <v>316</v>
      </c>
      <c r="E14" s="968">
        <v>284</v>
      </c>
      <c r="F14" s="17">
        <v>275</v>
      </c>
    </row>
    <row r="15" spans="1:6" s="99" customFormat="1" ht="11.25" x14ac:dyDescent="0.15">
      <c r="A15" s="968" t="s">
        <v>3858</v>
      </c>
      <c r="B15" s="1857">
        <v>699</v>
      </c>
      <c r="C15" s="1857">
        <v>756</v>
      </c>
      <c r="D15" s="968">
        <v>486</v>
      </c>
      <c r="E15" s="968">
        <v>256</v>
      </c>
      <c r="F15" s="17">
        <v>187</v>
      </c>
    </row>
    <row r="16" spans="1:6" s="99" customFormat="1" ht="10.5" x14ac:dyDescent="0.15">
      <c r="A16" s="1846" t="s">
        <v>12</v>
      </c>
      <c r="B16" s="1857">
        <v>330</v>
      </c>
      <c r="C16" s="1857">
        <v>277</v>
      </c>
      <c r="D16" s="968">
        <v>238</v>
      </c>
      <c r="E16" s="968">
        <v>207</v>
      </c>
      <c r="F16" s="17">
        <v>141</v>
      </c>
    </row>
    <row r="17" spans="1:6" s="99" customFormat="1" ht="10.5" x14ac:dyDescent="0.15">
      <c r="A17" s="1849" t="s">
        <v>13</v>
      </c>
      <c r="B17" s="1857">
        <v>235</v>
      </c>
      <c r="C17" s="1857">
        <v>213</v>
      </c>
      <c r="D17" s="968">
        <v>202</v>
      </c>
      <c r="E17" s="968">
        <v>210</v>
      </c>
      <c r="F17" s="17">
        <v>184</v>
      </c>
    </row>
    <row r="18" spans="1:6" s="99" customFormat="1" ht="10.5" x14ac:dyDescent="0.15">
      <c r="A18" s="1849" t="s">
        <v>14</v>
      </c>
      <c r="B18" s="1857">
        <v>518</v>
      </c>
      <c r="C18" s="1857">
        <v>354</v>
      </c>
      <c r="D18" s="968">
        <v>295</v>
      </c>
      <c r="E18" s="968">
        <v>293</v>
      </c>
      <c r="F18" s="17">
        <v>258</v>
      </c>
    </row>
    <row r="19" spans="1:6" s="99" customFormat="1" ht="10.5" x14ac:dyDescent="0.15">
      <c r="A19" s="1849" t="s">
        <v>350</v>
      </c>
      <c r="B19" s="1857">
        <v>172</v>
      </c>
      <c r="C19" s="1857">
        <v>106</v>
      </c>
      <c r="D19" s="968">
        <v>97</v>
      </c>
      <c r="E19" s="968">
        <v>96</v>
      </c>
      <c r="F19" s="17">
        <v>61</v>
      </c>
    </row>
    <row r="20" spans="1:6" s="99" customFormat="1" ht="10.5" x14ac:dyDescent="0.15">
      <c r="A20" s="1849" t="s">
        <v>16</v>
      </c>
      <c r="B20" s="1857">
        <v>55</v>
      </c>
      <c r="C20" s="1857">
        <v>60</v>
      </c>
      <c r="D20" s="968">
        <v>67</v>
      </c>
      <c r="E20" s="968">
        <v>46</v>
      </c>
      <c r="F20" s="17">
        <v>38</v>
      </c>
    </row>
    <row r="21" spans="1:6" s="99" customFormat="1" ht="10.5" x14ac:dyDescent="0.15">
      <c r="A21" s="1849" t="s">
        <v>17</v>
      </c>
      <c r="B21" s="1857">
        <v>317</v>
      </c>
      <c r="C21" s="1857">
        <v>268</v>
      </c>
      <c r="D21" s="968">
        <v>212</v>
      </c>
      <c r="E21" s="968">
        <v>152</v>
      </c>
      <c r="F21" s="17">
        <v>112</v>
      </c>
    </row>
    <row r="22" spans="1:6" s="99" customFormat="1" ht="10.5" x14ac:dyDescent="0.15">
      <c r="A22" s="1849" t="s">
        <v>18</v>
      </c>
      <c r="B22" s="1857">
        <v>13</v>
      </c>
      <c r="C22" s="1857">
        <v>14</v>
      </c>
      <c r="D22" s="968">
        <v>16</v>
      </c>
      <c r="E22" s="968">
        <v>4</v>
      </c>
      <c r="F22" s="17">
        <v>9</v>
      </c>
    </row>
    <row r="23" spans="1:6" s="99" customFormat="1" ht="11.25" customHeight="1" x14ac:dyDescent="0.15">
      <c r="A23" s="1846" t="s">
        <v>19</v>
      </c>
      <c r="B23" s="1857">
        <v>31</v>
      </c>
      <c r="C23" s="1857">
        <v>31</v>
      </c>
      <c r="D23" s="968">
        <v>19</v>
      </c>
      <c r="E23" s="968">
        <v>25</v>
      </c>
      <c r="F23" s="17">
        <v>21</v>
      </c>
    </row>
    <row r="24" spans="1:6" s="99" customFormat="1" ht="10.5" customHeight="1" x14ac:dyDescent="0.15">
      <c r="B24" s="1815"/>
      <c r="C24" s="1815"/>
      <c r="D24" s="1815"/>
    </row>
    <row r="25" spans="1:6" s="99" customFormat="1" ht="22.5" customHeight="1" x14ac:dyDescent="0.15">
      <c r="A25" s="2839" t="s">
        <v>3859</v>
      </c>
      <c r="B25" s="2839"/>
      <c r="C25" s="2839"/>
      <c r="D25" s="2839"/>
      <c r="E25" s="2839"/>
      <c r="F25" s="2839"/>
    </row>
    <row r="26" spans="1:6" s="99" customFormat="1" ht="10.5" x14ac:dyDescent="0.15">
      <c r="A26" s="1858" t="s">
        <v>3860</v>
      </c>
      <c r="B26" s="1164"/>
      <c r="C26" s="1164"/>
      <c r="D26" s="1164"/>
    </row>
    <row r="27" spans="1:6" s="99" customFormat="1" ht="10.5" x14ac:dyDescent="0.15">
      <c r="A27" s="1165" t="s">
        <v>3861</v>
      </c>
      <c r="B27" s="1164"/>
      <c r="C27" s="1164"/>
      <c r="D27" s="1164"/>
    </row>
    <row r="28" spans="1:6" s="99" customFormat="1" ht="10.5" x14ac:dyDescent="0.15">
      <c r="A28" s="1165" t="s">
        <v>3862</v>
      </c>
      <c r="B28" s="1164"/>
      <c r="C28" s="1164"/>
      <c r="D28" s="1164"/>
    </row>
    <row r="29" spans="1:6" s="99" customFormat="1" ht="10.5" x14ac:dyDescent="0.15">
      <c r="A29" s="1165" t="s">
        <v>3863</v>
      </c>
      <c r="B29" s="1164"/>
      <c r="C29" s="1164"/>
      <c r="D29" s="1164"/>
    </row>
    <row r="30" spans="1:6" s="99" customFormat="1" ht="12" customHeight="1" x14ac:dyDescent="0.15">
      <c r="A30" s="3343" t="s">
        <v>1301</v>
      </c>
      <c r="B30" s="3343"/>
      <c r="C30" s="3343"/>
      <c r="D30" s="3343"/>
      <c r="E30" s="3343"/>
      <c r="F30" s="3343"/>
    </row>
  </sheetData>
  <mergeCells count="3">
    <mergeCell ref="A2:F2"/>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2:F73"/>
  <sheetViews>
    <sheetView workbookViewId="0">
      <selection activeCell="A2" sqref="A2:F2"/>
    </sheetView>
  </sheetViews>
  <sheetFormatPr baseColWidth="10" defaultColWidth="9.140625" defaultRowHeight="10.5" x14ac:dyDescent="0.15"/>
  <cols>
    <col min="1" max="1" width="44.42578125" style="97" customWidth="1"/>
    <col min="2" max="5" width="15.28515625" style="97" customWidth="1"/>
    <col min="6" max="6" width="16" style="97" customWidth="1"/>
    <col min="7" max="16384" width="9.140625" style="97"/>
  </cols>
  <sheetData>
    <row r="2" spans="1:6" ht="22.5" customHeight="1" x14ac:dyDescent="0.15">
      <c r="A2" s="2416" t="s">
        <v>4345</v>
      </c>
      <c r="B2" s="2416"/>
      <c r="C2" s="2416"/>
      <c r="D2" s="2416"/>
      <c r="E2" s="2416"/>
      <c r="F2" s="2478"/>
    </row>
    <row r="3" spans="1:6" ht="11.25" customHeight="1" x14ac:dyDescent="0.15">
      <c r="A3" s="176"/>
      <c r="B3" s="176"/>
      <c r="C3" s="176"/>
      <c r="D3" s="176"/>
      <c r="E3" s="176"/>
      <c r="F3" s="177"/>
    </row>
    <row r="4" spans="1:6" ht="12.75" customHeight="1" x14ac:dyDescent="0.15">
      <c r="A4" s="2479" t="s">
        <v>437</v>
      </c>
      <c r="B4" s="2481" t="s">
        <v>2</v>
      </c>
      <c r="C4" s="2481"/>
      <c r="D4" s="2481"/>
      <c r="E4" s="2481"/>
      <c r="F4" s="2482"/>
    </row>
    <row r="5" spans="1:6" ht="18.75" customHeight="1" x14ac:dyDescent="0.15">
      <c r="A5" s="2480"/>
      <c r="B5" s="127" t="s">
        <v>424</v>
      </c>
      <c r="C5" s="127" t="s">
        <v>425</v>
      </c>
      <c r="D5" s="127" t="s">
        <v>426</v>
      </c>
      <c r="E5" s="127" t="s">
        <v>427</v>
      </c>
      <c r="F5" s="127" t="s">
        <v>428</v>
      </c>
    </row>
    <row r="6" spans="1:6" x14ac:dyDescent="0.15">
      <c r="A6" s="1996" t="s">
        <v>141</v>
      </c>
      <c r="B6" s="718">
        <f t="shared" ref="B6:E10" si="0">SUM(B11,B16,B21,B26)</f>
        <v>419</v>
      </c>
      <c r="C6" s="718">
        <f t="shared" si="0"/>
        <v>58</v>
      </c>
      <c r="D6" s="718">
        <f t="shared" si="0"/>
        <v>1287</v>
      </c>
      <c r="E6" s="718">
        <f t="shared" si="0"/>
        <v>266</v>
      </c>
      <c r="F6" s="2036">
        <f>SUM(F7:F10)</f>
        <v>329</v>
      </c>
    </row>
    <row r="7" spans="1:6" x14ac:dyDescent="0.15">
      <c r="A7" s="1996" t="s">
        <v>429</v>
      </c>
      <c r="B7" s="718">
        <f t="shared" si="0"/>
        <v>54</v>
      </c>
      <c r="C7" s="718">
        <f t="shared" si="0"/>
        <v>22</v>
      </c>
      <c r="D7" s="718">
        <f t="shared" si="0"/>
        <v>185</v>
      </c>
      <c r="E7" s="718">
        <f t="shared" si="0"/>
        <v>37</v>
      </c>
      <c r="F7" s="718">
        <f>SUM(F12,F17,F22,F27)</f>
        <v>67</v>
      </c>
    </row>
    <row r="8" spans="1:6" x14ac:dyDescent="0.15">
      <c r="A8" s="1996" t="s">
        <v>430</v>
      </c>
      <c r="B8" s="718">
        <f t="shared" si="0"/>
        <v>298</v>
      </c>
      <c r="C8" s="718">
        <f t="shared" si="0"/>
        <v>35</v>
      </c>
      <c r="D8" s="718">
        <f t="shared" si="0"/>
        <v>841</v>
      </c>
      <c r="E8" s="718">
        <f t="shared" si="0"/>
        <v>187</v>
      </c>
      <c r="F8" s="718">
        <f>SUM(F13,F18,F23,F28)</f>
        <v>238</v>
      </c>
    </row>
    <row r="9" spans="1:6" x14ac:dyDescent="0.15">
      <c r="A9" s="1996" t="s">
        <v>431</v>
      </c>
      <c r="B9" s="718">
        <f t="shared" si="0"/>
        <v>55</v>
      </c>
      <c r="C9" s="718">
        <f t="shared" si="0"/>
        <v>1</v>
      </c>
      <c r="D9" s="718">
        <f t="shared" si="0"/>
        <v>233</v>
      </c>
      <c r="E9" s="718">
        <f t="shared" si="0"/>
        <v>25</v>
      </c>
      <c r="F9" s="718">
        <f>SUM(F29,F24,F14)</f>
        <v>21</v>
      </c>
    </row>
    <row r="10" spans="1:6" x14ac:dyDescent="0.15">
      <c r="A10" s="1996" t="s">
        <v>432</v>
      </c>
      <c r="B10" s="718">
        <f t="shared" si="0"/>
        <v>12</v>
      </c>
      <c r="C10" s="718">
        <f t="shared" si="0"/>
        <v>0</v>
      </c>
      <c r="D10" s="718">
        <f t="shared" si="0"/>
        <v>28</v>
      </c>
      <c r="E10" s="718">
        <f t="shared" si="0"/>
        <v>17</v>
      </c>
      <c r="F10" s="718">
        <f>SUM(F15)</f>
        <v>3</v>
      </c>
    </row>
    <row r="11" spans="1:6" ht="21" x14ac:dyDescent="0.15">
      <c r="A11" s="1996" t="s">
        <v>333</v>
      </c>
      <c r="B11" s="718">
        <f>SUM(B12:B15)</f>
        <v>90</v>
      </c>
      <c r="C11" s="718">
        <f>SUM(C12:C15)</f>
        <v>6</v>
      </c>
      <c r="D11" s="718">
        <f>SUM(D12:D15)</f>
        <v>211</v>
      </c>
      <c r="E11" s="718">
        <f>SUM(E12:E15)</f>
        <v>77</v>
      </c>
      <c r="F11" s="718">
        <f>SUM(F12:F15)</f>
        <v>84</v>
      </c>
    </row>
    <row r="12" spans="1:6" x14ac:dyDescent="0.15">
      <c r="A12" s="2001" t="s">
        <v>429</v>
      </c>
      <c r="B12" s="438">
        <v>10</v>
      </c>
      <c r="C12" s="438">
        <v>1</v>
      </c>
      <c r="D12" s="438">
        <v>19</v>
      </c>
      <c r="E12" s="438">
        <v>4</v>
      </c>
      <c r="F12" s="438">
        <v>9</v>
      </c>
    </row>
    <row r="13" spans="1:6" x14ac:dyDescent="0.15">
      <c r="A13" s="2001" t="s">
        <v>430</v>
      </c>
      <c r="B13" s="438">
        <v>66</v>
      </c>
      <c r="C13" s="438">
        <v>5</v>
      </c>
      <c r="D13" s="438">
        <v>162</v>
      </c>
      <c r="E13" s="438">
        <v>56</v>
      </c>
      <c r="F13" s="438">
        <v>70</v>
      </c>
    </row>
    <row r="14" spans="1:6" x14ac:dyDescent="0.15">
      <c r="A14" s="2001" t="s">
        <v>431</v>
      </c>
      <c r="B14" s="438">
        <v>2</v>
      </c>
      <c r="C14" s="438">
        <v>0</v>
      </c>
      <c r="D14" s="438">
        <v>2</v>
      </c>
      <c r="E14" s="438">
        <v>0</v>
      </c>
      <c r="F14" s="438">
        <v>2</v>
      </c>
    </row>
    <row r="15" spans="1:6" x14ac:dyDescent="0.15">
      <c r="A15" s="2001" t="s">
        <v>432</v>
      </c>
      <c r="B15" s="438">
        <v>12</v>
      </c>
      <c r="C15" s="438">
        <v>0</v>
      </c>
      <c r="D15" s="438">
        <v>28</v>
      </c>
      <c r="E15" s="438">
        <v>17</v>
      </c>
      <c r="F15" s="438">
        <v>3</v>
      </c>
    </row>
    <row r="16" spans="1:6" x14ac:dyDescent="0.15">
      <c r="A16" s="1996" t="s">
        <v>367</v>
      </c>
      <c r="B16" s="718">
        <f>SUM(B17:B20)</f>
        <v>74</v>
      </c>
      <c r="C16" s="718">
        <f>SUM(C17:C20)</f>
        <v>14</v>
      </c>
      <c r="D16" s="718">
        <f>SUM(D17:D20)</f>
        <v>352</v>
      </c>
      <c r="E16" s="718">
        <f>SUM(E17:E20)</f>
        <v>44</v>
      </c>
      <c r="F16" s="718">
        <f>SUM(F17:F20)</f>
        <v>89</v>
      </c>
    </row>
    <row r="17" spans="1:6" x14ac:dyDescent="0.15">
      <c r="A17" s="2001" t="s">
        <v>429</v>
      </c>
      <c r="B17" s="438">
        <v>4</v>
      </c>
      <c r="C17" s="438">
        <v>2</v>
      </c>
      <c r="D17" s="438">
        <v>35</v>
      </c>
      <c r="E17" s="438">
        <v>4</v>
      </c>
      <c r="F17" s="438">
        <v>14</v>
      </c>
    </row>
    <row r="18" spans="1:6" x14ac:dyDescent="0.15">
      <c r="A18" s="2001" t="s">
        <v>430</v>
      </c>
      <c r="B18" s="438">
        <v>70</v>
      </c>
      <c r="C18" s="438">
        <v>12</v>
      </c>
      <c r="D18" s="438">
        <v>317</v>
      </c>
      <c r="E18" s="438">
        <v>40</v>
      </c>
      <c r="F18" s="438">
        <v>75</v>
      </c>
    </row>
    <row r="19" spans="1:6" x14ac:dyDescent="0.15">
      <c r="A19" s="2001" t="s">
        <v>431</v>
      </c>
      <c r="B19" s="438">
        <v>0</v>
      </c>
      <c r="C19" s="438">
        <v>0</v>
      </c>
      <c r="D19" s="438">
        <v>0</v>
      </c>
      <c r="E19" s="438">
        <v>0</v>
      </c>
      <c r="F19" s="438">
        <v>0</v>
      </c>
    </row>
    <row r="20" spans="1:6" x14ac:dyDescent="0.15">
      <c r="A20" s="2001" t="s">
        <v>432</v>
      </c>
      <c r="B20" s="438">
        <v>0</v>
      </c>
      <c r="C20" s="438">
        <v>0</v>
      </c>
      <c r="D20" s="438">
        <v>0</v>
      </c>
      <c r="E20" s="438">
        <v>0</v>
      </c>
      <c r="F20" s="438">
        <v>0</v>
      </c>
    </row>
    <row r="21" spans="1:6" x14ac:dyDescent="0.15">
      <c r="A21" s="1996" t="s">
        <v>368</v>
      </c>
      <c r="B21" s="718">
        <f>SUM(B22:B25)</f>
        <v>67</v>
      </c>
      <c r="C21" s="718">
        <f>SUM(C22:C25)</f>
        <v>9</v>
      </c>
      <c r="D21" s="718">
        <f>SUM(D22:D25)</f>
        <v>151</v>
      </c>
      <c r="E21" s="718">
        <f>SUM(E22:E25)</f>
        <v>49</v>
      </c>
      <c r="F21" s="718">
        <f>SUM(F22:F25)</f>
        <v>51</v>
      </c>
    </row>
    <row r="22" spans="1:6" x14ac:dyDescent="0.15">
      <c r="A22" s="2001" t="s">
        <v>429</v>
      </c>
      <c r="B22" s="438">
        <v>4</v>
      </c>
      <c r="C22" s="438">
        <v>0</v>
      </c>
      <c r="D22" s="438">
        <v>12</v>
      </c>
      <c r="E22" s="438">
        <v>5</v>
      </c>
      <c r="F22" s="438">
        <v>6</v>
      </c>
    </row>
    <row r="23" spans="1:6" x14ac:dyDescent="0.15">
      <c r="A23" s="2001" t="s">
        <v>430</v>
      </c>
      <c r="B23" s="438">
        <v>63</v>
      </c>
      <c r="C23" s="438">
        <v>9</v>
      </c>
      <c r="D23" s="438">
        <v>139</v>
      </c>
      <c r="E23" s="438">
        <v>44</v>
      </c>
      <c r="F23" s="438">
        <v>42</v>
      </c>
    </row>
    <row r="24" spans="1:6" x14ac:dyDescent="0.15">
      <c r="A24" s="2001" t="s">
        <v>431</v>
      </c>
      <c r="B24" s="438">
        <v>0</v>
      </c>
      <c r="C24" s="438">
        <v>0</v>
      </c>
      <c r="D24" s="438">
        <v>0</v>
      </c>
      <c r="E24" s="438">
        <v>0</v>
      </c>
      <c r="F24" s="438">
        <v>3</v>
      </c>
    </row>
    <row r="25" spans="1:6" x14ac:dyDescent="0.15">
      <c r="A25" s="2001" t="s">
        <v>432</v>
      </c>
      <c r="B25" s="438">
        <v>0</v>
      </c>
      <c r="C25" s="438">
        <v>0</v>
      </c>
      <c r="D25" s="438">
        <v>0</v>
      </c>
      <c r="E25" s="438">
        <v>0</v>
      </c>
      <c r="F25" s="438">
        <v>0</v>
      </c>
    </row>
    <row r="26" spans="1:6" x14ac:dyDescent="0.15">
      <c r="A26" s="1996" t="s">
        <v>338</v>
      </c>
      <c r="B26" s="718">
        <f>SUM(B27:B30)</f>
        <v>188</v>
      </c>
      <c r="C26" s="718">
        <f>SUM(C27:C30)</f>
        <v>29</v>
      </c>
      <c r="D26" s="718">
        <f>SUM(D27:D30)</f>
        <v>573</v>
      </c>
      <c r="E26" s="718">
        <f>SUM(E27:E30)</f>
        <v>96</v>
      </c>
      <c r="F26" s="718">
        <f>SUM(F27:F30)</f>
        <v>105</v>
      </c>
    </row>
    <row r="27" spans="1:6" x14ac:dyDescent="0.15">
      <c r="A27" s="2001" t="s">
        <v>429</v>
      </c>
      <c r="B27" s="438">
        <v>36</v>
      </c>
      <c r="C27" s="438">
        <v>19</v>
      </c>
      <c r="D27" s="438">
        <v>119</v>
      </c>
      <c r="E27" s="438">
        <v>24</v>
      </c>
      <c r="F27" s="434">
        <v>38</v>
      </c>
    </row>
    <row r="28" spans="1:6" x14ac:dyDescent="0.15">
      <c r="A28" s="2001" t="s">
        <v>430</v>
      </c>
      <c r="B28" s="438">
        <v>99</v>
      </c>
      <c r="C28" s="438">
        <v>9</v>
      </c>
      <c r="D28" s="438">
        <v>223</v>
      </c>
      <c r="E28" s="438">
        <v>47</v>
      </c>
      <c r="F28" s="438">
        <v>51</v>
      </c>
    </row>
    <row r="29" spans="1:6" x14ac:dyDescent="0.15">
      <c r="A29" s="2001" t="s">
        <v>431</v>
      </c>
      <c r="B29" s="438">
        <v>53</v>
      </c>
      <c r="C29" s="438">
        <v>1</v>
      </c>
      <c r="D29" s="438">
        <v>231</v>
      </c>
      <c r="E29" s="438">
        <v>25</v>
      </c>
      <c r="F29" s="438">
        <v>16</v>
      </c>
    </row>
    <row r="30" spans="1:6" x14ac:dyDescent="0.15">
      <c r="A30" s="2001" t="s">
        <v>432</v>
      </c>
      <c r="B30" s="438">
        <v>0</v>
      </c>
      <c r="C30" s="438">
        <v>0</v>
      </c>
      <c r="D30" s="438">
        <v>0</v>
      </c>
      <c r="E30" s="438">
        <v>0</v>
      </c>
      <c r="F30" s="438">
        <v>0</v>
      </c>
    </row>
    <row r="31" spans="1:6" x14ac:dyDescent="0.15">
      <c r="A31" s="2477"/>
      <c r="B31" s="2477"/>
      <c r="C31" s="2477"/>
      <c r="D31" s="2477"/>
      <c r="E31" s="2477"/>
      <c r="F31" s="2357"/>
    </row>
    <row r="32" spans="1:6" x14ac:dyDescent="0.15">
      <c r="A32" s="175" t="s">
        <v>436</v>
      </c>
      <c r="B32" s="2001"/>
      <c r="C32" s="2001"/>
      <c r="D32" s="2001"/>
      <c r="E32" s="2001"/>
      <c r="F32" s="2005"/>
    </row>
    <row r="33" spans="1:6" x14ac:dyDescent="0.15">
      <c r="A33" s="2394" t="s">
        <v>438</v>
      </c>
      <c r="B33" s="2394"/>
      <c r="C33" s="2394"/>
      <c r="D33" s="2394"/>
      <c r="E33" s="2394"/>
      <c r="F33" s="2394"/>
    </row>
    <row r="34" spans="1:6" x14ac:dyDescent="0.15">
      <c r="A34" s="2390" t="s">
        <v>326</v>
      </c>
      <c r="B34" s="2390"/>
      <c r="C34" s="2390"/>
      <c r="D34" s="2390"/>
      <c r="E34" s="2390"/>
      <c r="F34" s="2373"/>
    </row>
    <row r="35" spans="1:6" x14ac:dyDescent="0.15">
      <c r="A35" s="2356" t="s">
        <v>327</v>
      </c>
      <c r="B35" s="2356"/>
      <c r="C35" s="2356"/>
      <c r="D35" s="2356"/>
      <c r="E35" s="2356"/>
      <c r="F35" s="2373"/>
    </row>
    <row r="36" spans="1:6" x14ac:dyDescent="0.15">
      <c r="A36" s="2009"/>
      <c r="B36" s="2009"/>
      <c r="C36" s="2009"/>
      <c r="D36" s="2009"/>
      <c r="E36" s="2009"/>
      <c r="F36" s="2009"/>
    </row>
    <row r="48" spans="1:6" x14ac:dyDescent="0.15">
      <c r="A48" s="178"/>
      <c r="B48" s="178"/>
      <c r="C48" s="178"/>
      <c r="D48" s="178"/>
      <c r="E48" s="178"/>
    </row>
    <row r="49" spans="1:5" x14ac:dyDescent="0.15">
      <c r="A49" s="178"/>
      <c r="B49" s="178"/>
      <c r="C49" s="178"/>
      <c r="D49" s="178"/>
      <c r="E49" s="178"/>
    </row>
    <row r="50" spans="1:5" x14ac:dyDescent="0.15">
      <c r="A50" s="178"/>
      <c r="B50" s="178"/>
      <c r="C50" s="178"/>
      <c r="D50" s="178"/>
      <c r="E50" s="178"/>
    </row>
    <row r="51" spans="1:5" x14ac:dyDescent="0.15">
      <c r="A51" s="178"/>
      <c r="B51" s="178"/>
      <c r="C51" s="178"/>
      <c r="D51" s="178"/>
      <c r="E51" s="178"/>
    </row>
    <row r="52" spans="1:5" x14ac:dyDescent="0.15">
      <c r="A52" s="178"/>
      <c r="B52" s="178"/>
      <c r="C52" s="178"/>
      <c r="D52" s="178"/>
      <c r="E52" s="178"/>
    </row>
    <row r="53" spans="1:5" x14ac:dyDescent="0.15">
      <c r="A53" s="178"/>
      <c r="B53" s="178"/>
      <c r="C53" s="178"/>
      <c r="D53" s="178"/>
      <c r="E53" s="178"/>
    </row>
    <row r="54" spans="1:5" x14ac:dyDescent="0.15">
      <c r="A54" s="178"/>
      <c r="B54" s="178"/>
      <c r="C54" s="178"/>
      <c r="D54" s="178"/>
      <c r="E54" s="178"/>
    </row>
    <row r="55" spans="1:5" x14ac:dyDescent="0.15">
      <c r="A55" s="178"/>
      <c r="B55" s="178"/>
      <c r="C55" s="178"/>
      <c r="D55" s="178"/>
      <c r="E55" s="178"/>
    </row>
    <row r="56" spans="1:5" x14ac:dyDescent="0.15">
      <c r="A56" s="178"/>
      <c r="B56" s="178"/>
      <c r="C56" s="178"/>
      <c r="D56" s="178"/>
      <c r="E56" s="178"/>
    </row>
    <row r="57" spans="1:5" x14ac:dyDescent="0.15">
      <c r="A57" s="178"/>
      <c r="B57" s="178"/>
      <c r="C57" s="178"/>
      <c r="D57" s="178"/>
      <c r="E57" s="178"/>
    </row>
    <row r="58" spans="1:5" x14ac:dyDescent="0.15">
      <c r="A58" s="178"/>
      <c r="B58" s="178"/>
      <c r="C58" s="178"/>
      <c r="D58" s="178"/>
      <c r="E58" s="178"/>
    </row>
    <row r="59" spans="1:5" x14ac:dyDescent="0.15">
      <c r="A59" s="178"/>
      <c r="B59" s="178"/>
      <c r="C59" s="178"/>
      <c r="D59" s="178"/>
      <c r="E59" s="178"/>
    </row>
    <row r="60" spans="1:5" x14ac:dyDescent="0.15">
      <c r="A60" s="178"/>
      <c r="B60" s="178"/>
      <c r="C60" s="178"/>
      <c r="D60" s="178"/>
      <c r="E60" s="178"/>
    </row>
    <row r="61" spans="1:5" x14ac:dyDescent="0.15">
      <c r="A61" s="178"/>
      <c r="B61" s="178"/>
      <c r="C61" s="178"/>
      <c r="D61" s="178"/>
      <c r="E61" s="178"/>
    </row>
    <row r="62" spans="1:5" x14ac:dyDescent="0.15">
      <c r="A62" s="178"/>
      <c r="B62" s="178"/>
      <c r="C62" s="178"/>
      <c r="D62" s="178"/>
      <c r="E62" s="178"/>
    </row>
    <row r="63" spans="1:5" x14ac:dyDescent="0.15">
      <c r="A63" s="178"/>
      <c r="B63" s="178"/>
      <c r="C63" s="178"/>
      <c r="D63" s="178"/>
      <c r="E63" s="178"/>
    </row>
    <row r="64" spans="1:5" x14ac:dyDescent="0.15">
      <c r="A64" s="178"/>
      <c r="B64" s="178"/>
      <c r="C64" s="178"/>
      <c r="D64" s="178"/>
      <c r="E64" s="178"/>
    </row>
    <row r="65" spans="1:5" x14ac:dyDescent="0.15">
      <c r="A65" s="178"/>
      <c r="B65" s="178"/>
      <c r="C65" s="178"/>
      <c r="D65" s="178"/>
      <c r="E65" s="178"/>
    </row>
    <row r="66" spans="1:5" x14ac:dyDescent="0.15">
      <c r="A66" s="178"/>
      <c r="B66" s="178"/>
      <c r="C66" s="178"/>
      <c r="D66" s="178"/>
      <c r="E66" s="178"/>
    </row>
    <row r="67" spans="1:5" x14ac:dyDescent="0.15">
      <c r="A67" s="178"/>
      <c r="B67" s="178"/>
      <c r="C67" s="178"/>
      <c r="D67" s="178"/>
      <c r="E67" s="178"/>
    </row>
    <row r="68" spans="1:5" x14ac:dyDescent="0.15">
      <c r="A68" s="178"/>
      <c r="B68" s="178"/>
      <c r="C68" s="178"/>
      <c r="D68" s="178"/>
      <c r="E68" s="178"/>
    </row>
    <row r="69" spans="1:5" x14ac:dyDescent="0.15">
      <c r="A69" s="178"/>
      <c r="B69" s="178"/>
      <c r="C69" s="178"/>
      <c r="D69" s="178"/>
      <c r="E69" s="178"/>
    </row>
    <row r="70" spans="1:5" x14ac:dyDescent="0.15">
      <c r="A70" s="178"/>
      <c r="B70" s="178"/>
      <c r="C70" s="178"/>
      <c r="D70" s="178"/>
      <c r="E70" s="178"/>
    </row>
    <row r="71" spans="1:5" x14ac:dyDescent="0.15">
      <c r="A71" s="178"/>
      <c r="B71" s="178"/>
      <c r="C71" s="178"/>
      <c r="D71" s="178"/>
      <c r="E71" s="178"/>
    </row>
    <row r="72" spans="1:5" x14ac:dyDescent="0.15">
      <c r="A72" s="178"/>
      <c r="B72" s="178"/>
      <c r="C72" s="178"/>
      <c r="D72" s="178"/>
      <c r="E72" s="178"/>
    </row>
    <row r="73" spans="1:5" x14ac:dyDescent="0.15">
      <c r="A73" s="178"/>
      <c r="B73" s="178"/>
      <c r="C73" s="178"/>
      <c r="D73" s="178"/>
      <c r="E73" s="178"/>
    </row>
  </sheetData>
  <mergeCells count="7">
    <mergeCell ref="A34:F34"/>
    <mergeCell ref="A35:F35"/>
    <mergeCell ref="A2:F2"/>
    <mergeCell ref="A4:A5"/>
    <mergeCell ref="B4:F4"/>
    <mergeCell ref="A31:F31"/>
    <mergeCell ref="A33:F3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9"/>
  <dimension ref="A1:F31"/>
  <sheetViews>
    <sheetView zoomScaleNormal="100" workbookViewId="0">
      <selection activeCell="F34" sqref="F34"/>
    </sheetView>
  </sheetViews>
  <sheetFormatPr baseColWidth="10" defaultRowHeight="10.5" x14ac:dyDescent="0.15"/>
  <cols>
    <col min="1" max="1" width="25.5703125" style="144" customWidth="1"/>
    <col min="2" max="16384" width="11.42578125" style="144"/>
  </cols>
  <sheetData>
    <row r="1" spans="1:6" x14ac:dyDescent="0.15">
      <c r="A1" s="1859"/>
    </row>
    <row r="2" spans="1:6" ht="21" customHeight="1" x14ac:dyDescent="0.15">
      <c r="A2" s="3653" t="s">
        <v>4244</v>
      </c>
      <c r="B2" s="3653"/>
      <c r="C2" s="3653"/>
      <c r="D2" s="3653"/>
      <c r="E2" s="3653"/>
      <c r="F2" s="3653"/>
    </row>
    <row r="4" spans="1:6" ht="32.25" customHeight="1" x14ac:dyDescent="0.15">
      <c r="A4" s="3654" t="s">
        <v>3853</v>
      </c>
      <c r="B4" s="3656" t="s">
        <v>3864</v>
      </c>
      <c r="C4" s="3657"/>
      <c r="D4" s="3657"/>
      <c r="E4" s="3657"/>
      <c r="F4" s="3658"/>
    </row>
    <row r="5" spans="1:6" s="1640" customFormat="1" x14ac:dyDescent="0.25">
      <c r="A5" s="3655"/>
      <c r="B5" s="839">
        <v>2011</v>
      </c>
      <c r="C5" s="839">
        <v>2012</v>
      </c>
      <c r="D5" s="839">
        <v>2013</v>
      </c>
      <c r="E5" s="839">
        <v>2014</v>
      </c>
      <c r="F5" s="1860">
        <v>2015</v>
      </c>
    </row>
    <row r="6" spans="1:6" ht="10.5" customHeight="1" x14ac:dyDescent="0.15">
      <c r="A6" s="1855" t="s">
        <v>141</v>
      </c>
      <c r="B6" s="1818">
        <f t="shared" ref="B6:E6" si="0">SUM(B7:B24)</f>
        <v>1862</v>
      </c>
      <c r="C6" s="1818">
        <f t="shared" si="0"/>
        <v>1425</v>
      </c>
      <c r="D6" s="1818">
        <f t="shared" si="0"/>
        <v>1199</v>
      </c>
      <c r="E6" s="1818">
        <f t="shared" si="0"/>
        <v>1063</v>
      </c>
      <c r="F6" s="144">
        <v>917</v>
      </c>
    </row>
    <row r="7" spans="1:6" s="99" customFormat="1" x14ac:dyDescent="0.15">
      <c r="A7" s="1846" t="s">
        <v>5</v>
      </c>
      <c r="B7" s="1861">
        <v>36</v>
      </c>
      <c r="C7" s="1862">
        <v>25</v>
      </c>
      <c r="D7" s="1861">
        <v>26</v>
      </c>
      <c r="E7" s="1861">
        <v>18</v>
      </c>
      <c r="F7" s="99">
        <v>10</v>
      </c>
    </row>
    <row r="8" spans="1:6" s="99" customFormat="1" x14ac:dyDescent="0.15">
      <c r="A8" s="1849" t="s">
        <v>6</v>
      </c>
      <c r="B8" s="1861">
        <v>79</v>
      </c>
      <c r="C8" s="1862">
        <v>71</v>
      </c>
      <c r="D8" s="1861">
        <v>51</v>
      </c>
      <c r="E8" s="1861">
        <v>54</v>
      </c>
      <c r="F8" s="99">
        <v>52</v>
      </c>
    </row>
    <row r="9" spans="1:6" s="99" customFormat="1" x14ac:dyDescent="0.15">
      <c r="A9" s="1849" t="s">
        <v>7</v>
      </c>
      <c r="B9" s="1861">
        <v>106</v>
      </c>
      <c r="C9" s="1862">
        <v>56</v>
      </c>
      <c r="D9" s="1861">
        <v>54</v>
      </c>
      <c r="E9" s="1861">
        <v>62</v>
      </c>
      <c r="F9" s="99">
        <v>88</v>
      </c>
    </row>
    <row r="10" spans="1:6" s="99" customFormat="1" x14ac:dyDescent="0.15">
      <c r="A10" s="1849" t="s">
        <v>8</v>
      </c>
      <c r="B10" s="1861">
        <v>27</v>
      </c>
      <c r="C10" s="1862">
        <v>24</v>
      </c>
      <c r="D10" s="1861">
        <v>34</v>
      </c>
      <c r="E10" s="1861">
        <v>31</v>
      </c>
      <c r="F10" s="99">
        <v>21</v>
      </c>
    </row>
    <row r="11" spans="1:6" s="99" customFormat="1" x14ac:dyDescent="0.15">
      <c r="A11" s="1849" t="s">
        <v>9</v>
      </c>
      <c r="B11" s="1861">
        <v>62</v>
      </c>
      <c r="C11" s="1862">
        <v>67</v>
      </c>
      <c r="D11" s="1861">
        <v>84</v>
      </c>
      <c r="E11" s="1861">
        <v>67</v>
      </c>
      <c r="F11" s="99">
        <v>26</v>
      </c>
    </row>
    <row r="12" spans="1:6" s="99" customFormat="1" x14ac:dyDescent="0.15">
      <c r="A12" s="1849" t="s">
        <v>10</v>
      </c>
      <c r="B12" s="1861">
        <v>180</v>
      </c>
      <c r="C12" s="1862">
        <v>149</v>
      </c>
      <c r="D12" s="1861">
        <v>115</v>
      </c>
      <c r="E12" s="1861">
        <v>136</v>
      </c>
      <c r="F12" s="99">
        <v>156</v>
      </c>
    </row>
    <row r="13" spans="1:6" s="99" customFormat="1" ht="11.25" x14ac:dyDescent="0.15">
      <c r="A13" s="819" t="s">
        <v>40</v>
      </c>
      <c r="B13" s="1861">
        <v>279</v>
      </c>
      <c r="C13" s="1862">
        <v>242</v>
      </c>
      <c r="D13" s="1861">
        <v>194</v>
      </c>
      <c r="E13" s="1861">
        <v>179</v>
      </c>
      <c r="F13" s="99">
        <v>167</v>
      </c>
    </row>
    <row r="14" spans="1:6" s="99" customFormat="1" ht="11.25" x14ac:dyDescent="0.15">
      <c r="A14" s="968" t="s">
        <v>41</v>
      </c>
      <c r="B14" s="1861">
        <v>96</v>
      </c>
      <c r="C14" s="1862">
        <v>75</v>
      </c>
      <c r="D14" s="1861">
        <v>63</v>
      </c>
      <c r="E14" s="1861">
        <v>48</v>
      </c>
      <c r="F14" s="99">
        <v>29</v>
      </c>
    </row>
    <row r="15" spans="1:6" s="99" customFormat="1" ht="11.25" x14ac:dyDescent="0.15">
      <c r="A15" s="968" t="s">
        <v>55</v>
      </c>
      <c r="B15" s="1861">
        <v>172</v>
      </c>
      <c r="C15" s="1862">
        <v>111</v>
      </c>
      <c r="D15" s="1861">
        <v>61</v>
      </c>
      <c r="E15" s="1861">
        <v>65</v>
      </c>
      <c r="F15" s="99">
        <v>57</v>
      </c>
    </row>
    <row r="16" spans="1:6" s="99" customFormat="1" ht="11.25" x14ac:dyDescent="0.15">
      <c r="A16" s="968" t="s">
        <v>1296</v>
      </c>
      <c r="B16" s="1861">
        <v>140</v>
      </c>
      <c r="C16" s="1862">
        <v>100</v>
      </c>
      <c r="D16" s="1861">
        <v>80</v>
      </c>
      <c r="E16" s="1861">
        <v>82</v>
      </c>
      <c r="F16" s="99">
        <v>39</v>
      </c>
    </row>
    <row r="17" spans="1:6" s="99" customFormat="1" x14ac:dyDescent="0.15">
      <c r="A17" s="1846" t="s">
        <v>12</v>
      </c>
      <c r="B17" s="1861">
        <v>146</v>
      </c>
      <c r="C17" s="1862">
        <v>112</v>
      </c>
      <c r="D17" s="1861">
        <v>73</v>
      </c>
      <c r="E17" s="1861">
        <v>66</v>
      </c>
      <c r="F17" s="99">
        <v>27</v>
      </c>
    </row>
    <row r="18" spans="1:6" s="99" customFormat="1" x14ac:dyDescent="0.15">
      <c r="A18" s="1849" t="s">
        <v>13</v>
      </c>
      <c r="B18" s="1861">
        <v>85</v>
      </c>
      <c r="C18" s="1862">
        <v>76</v>
      </c>
      <c r="D18" s="1861">
        <v>73</v>
      </c>
      <c r="E18" s="1861">
        <v>45</v>
      </c>
      <c r="F18" s="99">
        <v>57</v>
      </c>
    </row>
    <row r="19" spans="1:6" s="99" customFormat="1" x14ac:dyDescent="0.15">
      <c r="A19" s="1849" t="s">
        <v>14</v>
      </c>
      <c r="B19" s="1861">
        <v>194</v>
      </c>
      <c r="C19" s="1862">
        <v>122</v>
      </c>
      <c r="D19" s="1861">
        <v>123</v>
      </c>
      <c r="E19" s="1861">
        <v>86</v>
      </c>
      <c r="F19" s="99">
        <v>83</v>
      </c>
    </row>
    <row r="20" spans="1:6" s="99" customFormat="1" x14ac:dyDescent="0.15">
      <c r="A20" s="1849" t="s">
        <v>350</v>
      </c>
      <c r="B20" s="1861">
        <v>79</v>
      </c>
      <c r="C20" s="1862">
        <v>41</v>
      </c>
      <c r="D20" s="1861">
        <v>45</v>
      </c>
      <c r="E20" s="1861">
        <v>38</v>
      </c>
      <c r="F20" s="99">
        <v>19</v>
      </c>
    </row>
    <row r="21" spans="1:6" s="99" customFormat="1" x14ac:dyDescent="0.15">
      <c r="A21" s="1849" t="s">
        <v>16</v>
      </c>
      <c r="B21" s="1861">
        <v>9</v>
      </c>
      <c r="C21" s="1862">
        <v>11</v>
      </c>
      <c r="D21" s="1861">
        <v>19</v>
      </c>
      <c r="E21" s="1861">
        <v>17</v>
      </c>
      <c r="F21" s="99">
        <v>19</v>
      </c>
    </row>
    <row r="22" spans="1:6" s="99" customFormat="1" x14ac:dyDescent="0.15">
      <c r="A22" s="1849" t="s">
        <v>17</v>
      </c>
      <c r="B22" s="1861">
        <v>160</v>
      </c>
      <c r="C22" s="1862">
        <v>127</v>
      </c>
      <c r="D22" s="1861">
        <v>92</v>
      </c>
      <c r="E22" s="1861">
        <v>64</v>
      </c>
      <c r="F22" s="99">
        <v>56</v>
      </c>
    </row>
    <row r="23" spans="1:6" s="99" customFormat="1" x14ac:dyDescent="0.15">
      <c r="A23" s="1849" t="s">
        <v>18</v>
      </c>
      <c r="B23" s="1861">
        <v>8</v>
      </c>
      <c r="C23" s="1862">
        <v>11</v>
      </c>
      <c r="D23" s="1861">
        <v>8</v>
      </c>
      <c r="E23" s="1861">
        <v>0</v>
      </c>
      <c r="F23" s="99">
        <v>3</v>
      </c>
    </row>
    <row r="24" spans="1:6" s="99" customFormat="1" x14ac:dyDescent="0.15">
      <c r="A24" s="1846" t="s">
        <v>19</v>
      </c>
      <c r="B24" s="1861">
        <v>4</v>
      </c>
      <c r="C24" s="1862">
        <v>5</v>
      </c>
      <c r="D24" s="1861">
        <v>4</v>
      </c>
      <c r="E24" s="1861">
        <v>5</v>
      </c>
      <c r="F24" s="99">
        <v>8</v>
      </c>
    </row>
    <row r="25" spans="1:6" s="99" customFormat="1" ht="10.5" customHeight="1" x14ac:dyDescent="0.15">
      <c r="C25" s="1863"/>
      <c r="D25" s="1524"/>
      <c r="E25" s="1524"/>
      <c r="F25" s="1524"/>
    </row>
    <row r="26" spans="1:6" s="99" customFormat="1" ht="12" customHeight="1" x14ac:dyDescent="0.15">
      <c r="A26" s="123" t="s">
        <v>3865</v>
      </c>
      <c r="C26" s="1863"/>
      <c r="D26" s="1524"/>
      <c r="E26" s="1524"/>
      <c r="F26" s="1524"/>
    </row>
    <row r="27" spans="1:6" s="99" customFormat="1" ht="12" customHeight="1" x14ac:dyDescent="0.15">
      <c r="A27" s="99" t="s">
        <v>3866</v>
      </c>
      <c r="C27" s="1863"/>
      <c r="D27" s="1524"/>
      <c r="E27" s="1524"/>
      <c r="F27" s="1524"/>
    </row>
    <row r="28" spans="1:6" s="99" customFormat="1" ht="12" customHeight="1" x14ac:dyDescent="0.15">
      <c r="A28" s="99" t="s">
        <v>3867</v>
      </c>
      <c r="C28" s="1863"/>
      <c r="D28" s="1524"/>
      <c r="E28" s="1524"/>
      <c r="F28" s="1524"/>
    </row>
    <row r="29" spans="1:6" s="99" customFormat="1" ht="12" customHeight="1" x14ac:dyDescent="0.15">
      <c r="A29" s="99" t="s">
        <v>3868</v>
      </c>
      <c r="C29" s="1863"/>
      <c r="D29" s="1524"/>
      <c r="E29" s="1524"/>
      <c r="F29" s="1524"/>
    </row>
    <row r="30" spans="1:6" s="99" customFormat="1" ht="12" customHeight="1" x14ac:dyDescent="0.15">
      <c r="A30" s="2529" t="s">
        <v>20</v>
      </c>
      <c r="B30" s="2529"/>
      <c r="C30" s="2529"/>
      <c r="D30" s="2529"/>
      <c r="E30" s="2529"/>
      <c r="F30" s="2529"/>
    </row>
    <row r="31" spans="1:6" s="99" customFormat="1" x14ac:dyDescent="0.15">
      <c r="A31" s="3063" t="s">
        <v>1301</v>
      </c>
      <c r="B31" s="3063"/>
      <c r="C31" s="3063"/>
      <c r="D31" s="3063"/>
      <c r="E31" s="3063"/>
      <c r="F31" s="3063"/>
    </row>
  </sheetData>
  <mergeCells count="5">
    <mergeCell ref="A2:F2"/>
    <mergeCell ref="A4:A5"/>
    <mergeCell ref="B4:F4"/>
    <mergeCell ref="A30:F30"/>
    <mergeCell ref="A31:F31"/>
  </mergeCells>
  <pageMargins left="0.7" right="0.7" top="0.75" bottom="0.75" header="0.3" footer="0.3"/>
  <pageSetup paperSize="14" orientation="portrait" verticalDpi="599"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B12"/>
  <sheetViews>
    <sheetView workbookViewId="0">
      <selection activeCell="B4" sqref="A4:B4"/>
    </sheetView>
  </sheetViews>
  <sheetFormatPr baseColWidth="10" defaultColWidth="9.140625" defaultRowHeight="10.5" x14ac:dyDescent="0.15"/>
  <cols>
    <col min="1" max="1" width="49.140625" style="97" customWidth="1"/>
    <col min="2" max="2" width="17.85546875" style="97" customWidth="1"/>
    <col min="3" max="3" width="9.140625" style="97" customWidth="1"/>
    <col min="4" max="16384" width="9.140625" style="97"/>
  </cols>
  <sheetData>
    <row r="2" spans="1:2" ht="21.75" customHeight="1" x14ac:dyDescent="0.15">
      <c r="A2" s="2377" t="s">
        <v>439</v>
      </c>
      <c r="B2" s="2378"/>
    </row>
    <row r="3" spans="1:2" ht="17.100000000000001" customHeight="1" x14ac:dyDescent="0.15">
      <c r="A3" s="2347"/>
      <c r="B3" s="2348"/>
    </row>
    <row r="4" spans="1:2" x14ac:dyDescent="0.15">
      <c r="A4" s="1615" t="s">
        <v>440</v>
      </c>
      <c r="B4" s="1615" t="s">
        <v>69</v>
      </c>
    </row>
    <row r="5" spans="1:2" x14ac:dyDescent="0.15">
      <c r="A5" s="146" t="s">
        <v>141</v>
      </c>
      <c r="B5" s="2043">
        <f>SUM(B6:B8)</f>
        <v>966</v>
      </c>
    </row>
    <row r="6" spans="1:2" x14ac:dyDescent="0.15">
      <c r="A6" s="2002" t="s">
        <v>441</v>
      </c>
      <c r="B6" s="804">
        <v>312</v>
      </c>
    </row>
    <row r="7" spans="1:2" x14ac:dyDescent="0.15">
      <c r="A7" s="2002" t="s">
        <v>442</v>
      </c>
      <c r="B7" s="804">
        <v>96</v>
      </c>
    </row>
    <row r="8" spans="1:2" x14ac:dyDescent="0.15">
      <c r="A8" s="2002" t="s">
        <v>443</v>
      </c>
      <c r="B8" s="804">
        <v>558</v>
      </c>
    </row>
    <row r="9" spans="1:2" ht="17.100000000000001" customHeight="1" x14ac:dyDescent="0.15">
      <c r="A9" s="2356"/>
      <c r="B9" s="2373"/>
    </row>
    <row r="10" spans="1:2" ht="16.5" customHeight="1" x14ac:dyDescent="0.15">
      <c r="A10" s="2366" t="s">
        <v>444</v>
      </c>
      <c r="B10" s="2365"/>
    </row>
    <row r="11" spans="1:2" ht="17.100000000000001" customHeight="1" x14ac:dyDescent="0.15">
      <c r="A11" s="2364" t="s">
        <v>199</v>
      </c>
      <c r="B11" s="2365"/>
    </row>
    <row r="12" spans="1:2" x14ac:dyDescent="0.15">
      <c r="A12" s="2009"/>
      <c r="B12" s="2009"/>
    </row>
  </sheetData>
  <mergeCells count="5">
    <mergeCell ref="A2:B2"/>
    <mergeCell ref="A3:B3"/>
    <mergeCell ref="A9:B9"/>
    <mergeCell ref="A10:B10"/>
    <mergeCell ref="A11:B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B11"/>
  <sheetViews>
    <sheetView workbookViewId="0">
      <selection activeCell="B4" sqref="A4:B4"/>
    </sheetView>
  </sheetViews>
  <sheetFormatPr baseColWidth="10" defaultColWidth="9.140625" defaultRowHeight="10.5" x14ac:dyDescent="0.15"/>
  <cols>
    <col min="1" max="1" width="45" style="97" customWidth="1"/>
    <col min="2" max="2" width="15.28515625" style="97" customWidth="1"/>
    <col min="3" max="3" width="9.140625" style="97" customWidth="1"/>
    <col min="4" max="16384" width="9.140625" style="97"/>
  </cols>
  <sheetData>
    <row r="1" spans="1:2" ht="15" customHeight="1" x14ac:dyDescent="0.15"/>
    <row r="2" spans="1:2" ht="36" customHeight="1" x14ac:dyDescent="0.15">
      <c r="A2" s="2483" t="s">
        <v>445</v>
      </c>
      <c r="B2" s="2378"/>
    </row>
    <row r="3" spans="1:2" ht="15" customHeight="1" x14ac:dyDescent="0.15">
      <c r="A3" s="2347"/>
      <c r="B3" s="2348"/>
    </row>
    <row r="4" spans="1:2" x14ac:dyDescent="0.15">
      <c r="A4" s="1615" t="s">
        <v>446</v>
      </c>
      <c r="B4" s="1615" t="s">
        <v>69</v>
      </c>
    </row>
    <row r="5" spans="1:2" x14ac:dyDescent="0.15">
      <c r="A5" s="146" t="s">
        <v>141</v>
      </c>
      <c r="B5" s="2044">
        <f>SUM(B6:B7)</f>
        <v>520371</v>
      </c>
    </row>
    <row r="6" spans="1:2" x14ac:dyDescent="0.15">
      <c r="A6" s="2002" t="s">
        <v>447</v>
      </c>
      <c r="B6" s="2045">
        <v>307356</v>
      </c>
    </row>
    <row r="7" spans="1:2" x14ac:dyDescent="0.15">
      <c r="A7" s="2002" t="s">
        <v>448</v>
      </c>
      <c r="B7" s="2045">
        <v>213015</v>
      </c>
    </row>
    <row r="8" spans="1:2" ht="17.100000000000001" customHeight="1" x14ac:dyDescent="0.15">
      <c r="A8" s="2356"/>
      <c r="B8" s="2357"/>
    </row>
    <row r="9" spans="1:2" ht="28.5" customHeight="1" x14ac:dyDescent="0.15">
      <c r="A9" s="2392" t="s">
        <v>444</v>
      </c>
      <c r="B9" s="2484"/>
    </row>
    <row r="10" spans="1:2" ht="18" customHeight="1" x14ac:dyDescent="0.15">
      <c r="A10" s="2364" t="s">
        <v>199</v>
      </c>
      <c r="B10" s="2365"/>
    </row>
    <row r="11" spans="1:2" x14ac:dyDescent="0.15">
      <c r="A11" s="2009"/>
      <c r="B11" s="2009"/>
    </row>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M26"/>
  <sheetViews>
    <sheetView zoomScaleNormal="100" workbookViewId="0">
      <selection activeCell="A2" sqref="A2:M2"/>
    </sheetView>
  </sheetViews>
  <sheetFormatPr baseColWidth="10" defaultRowHeight="10.5" x14ac:dyDescent="0.15"/>
  <cols>
    <col min="1" max="1" width="20.5703125" style="180" customWidth="1"/>
    <col min="2" max="2" width="11" style="180" customWidth="1"/>
    <col min="3" max="4" width="17.7109375" style="180" customWidth="1"/>
    <col min="5" max="5" width="12" style="180" customWidth="1"/>
    <col min="6" max="7" width="17.7109375" style="180" customWidth="1"/>
    <col min="8" max="8" width="10.85546875" style="180" customWidth="1"/>
    <col min="9" max="9" width="15.28515625" style="180" customWidth="1"/>
    <col min="10" max="10" width="16.42578125" style="180" customWidth="1"/>
    <col min="11" max="11" width="11.42578125" style="180"/>
    <col min="12" max="13" width="15.28515625" style="180" customWidth="1"/>
    <col min="14" max="16384" width="11.42578125" style="180"/>
  </cols>
  <sheetData>
    <row r="1" spans="1:13" x14ac:dyDescent="0.15">
      <c r="A1" s="179"/>
    </row>
    <row r="2" spans="1:13" ht="25.5" customHeight="1" x14ac:dyDescent="0.15">
      <c r="A2" s="2487" t="s">
        <v>449</v>
      </c>
      <c r="B2" s="2487"/>
      <c r="C2" s="2487"/>
      <c r="D2" s="2487"/>
      <c r="E2" s="2487"/>
      <c r="F2" s="2487"/>
      <c r="G2" s="2487"/>
      <c r="H2" s="2487"/>
      <c r="I2" s="2487"/>
      <c r="J2" s="2487"/>
      <c r="K2" s="2487"/>
      <c r="L2" s="2487"/>
      <c r="M2" s="2487"/>
    </row>
    <row r="4" spans="1:13" ht="15" customHeight="1" x14ac:dyDescent="0.15">
      <c r="A4" s="2488" t="s">
        <v>1</v>
      </c>
      <c r="B4" s="2488">
        <v>2012</v>
      </c>
      <c r="C4" s="2488"/>
      <c r="D4" s="2488"/>
      <c r="E4" s="2488">
        <v>2013</v>
      </c>
      <c r="F4" s="2488"/>
      <c r="G4" s="2488"/>
      <c r="H4" s="2488" t="s">
        <v>450</v>
      </c>
      <c r="I4" s="2488"/>
      <c r="J4" s="2488"/>
      <c r="K4" s="2489">
        <v>2015</v>
      </c>
      <c r="L4" s="2490"/>
      <c r="M4" s="2491"/>
    </row>
    <row r="5" spans="1:13" ht="60" customHeight="1" x14ac:dyDescent="0.15">
      <c r="A5" s="2488"/>
      <c r="B5" s="181" t="s">
        <v>69</v>
      </c>
      <c r="C5" s="181" t="s">
        <v>451</v>
      </c>
      <c r="D5" s="181" t="s">
        <v>452</v>
      </c>
      <c r="E5" s="181" t="s">
        <v>69</v>
      </c>
      <c r="F5" s="181" t="s">
        <v>451</v>
      </c>
      <c r="G5" s="181" t="s">
        <v>452</v>
      </c>
      <c r="H5" s="181" t="s">
        <v>69</v>
      </c>
      <c r="I5" s="181" t="s">
        <v>451</v>
      </c>
      <c r="J5" s="181" t="s">
        <v>452</v>
      </c>
      <c r="K5" s="182" t="s">
        <v>453</v>
      </c>
      <c r="L5" s="182" t="s">
        <v>451</v>
      </c>
      <c r="M5" s="182" t="s">
        <v>452</v>
      </c>
    </row>
    <row r="6" spans="1:13" s="183" customFormat="1" x14ac:dyDescent="0.15">
      <c r="A6" s="183" t="s">
        <v>141</v>
      </c>
      <c r="B6" s="184">
        <f t="shared" ref="B6:G6" si="0">SUM(B7:B21)</f>
        <v>65462</v>
      </c>
      <c r="C6" s="184">
        <f t="shared" si="0"/>
        <v>49583</v>
      </c>
      <c r="D6" s="184">
        <f t="shared" si="0"/>
        <v>15879</v>
      </c>
      <c r="E6" s="184">
        <f t="shared" si="0"/>
        <v>77241</v>
      </c>
      <c r="F6" s="184">
        <f t="shared" si="0"/>
        <v>60489</v>
      </c>
      <c r="G6" s="184">
        <f t="shared" si="0"/>
        <v>16752</v>
      </c>
      <c r="H6" s="185" t="s">
        <v>181</v>
      </c>
      <c r="I6" s="185" t="s">
        <v>181</v>
      </c>
      <c r="J6" s="185" t="s">
        <v>181</v>
      </c>
      <c r="K6" s="184">
        <f t="shared" ref="K6:M6" si="1">SUM(K7:K21)</f>
        <v>73075</v>
      </c>
      <c r="L6" s="184">
        <f t="shared" si="1"/>
        <v>56511</v>
      </c>
      <c r="M6" s="184">
        <f t="shared" si="1"/>
        <v>16564</v>
      </c>
    </row>
    <row r="7" spans="1:13" x14ac:dyDescent="0.15">
      <c r="A7" s="180" t="s">
        <v>5</v>
      </c>
      <c r="B7" s="184">
        <f>SUM(C7:D7)</f>
        <v>717</v>
      </c>
      <c r="C7" s="186">
        <v>587</v>
      </c>
      <c r="D7" s="186">
        <v>130</v>
      </c>
      <c r="E7" s="184">
        <v>97</v>
      </c>
      <c r="F7" s="186">
        <v>44</v>
      </c>
      <c r="G7" s="186">
        <v>53</v>
      </c>
      <c r="H7" s="185" t="s">
        <v>181</v>
      </c>
      <c r="I7" s="187" t="s">
        <v>181</v>
      </c>
      <c r="J7" s="187" t="s">
        <v>181</v>
      </c>
      <c r="K7" s="184">
        <f>+L7+M7</f>
        <v>97</v>
      </c>
      <c r="L7" s="186">
        <v>62</v>
      </c>
      <c r="M7" s="186">
        <v>35</v>
      </c>
    </row>
    <row r="8" spans="1:13" x14ac:dyDescent="0.15">
      <c r="A8" s="180" t="s">
        <v>6</v>
      </c>
      <c r="B8" s="184">
        <f>SUM(C8:D8)</f>
        <v>1033</v>
      </c>
      <c r="C8" s="186">
        <v>897</v>
      </c>
      <c r="D8" s="186">
        <v>136</v>
      </c>
      <c r="E8" s="184">
        <f>SUM(F8:G8)</f>
        <v>410</v>
      </c>
      <c r="F8" s="186">
        <v>400</v>
      </c>
      <c r="G8" s="186">
        <v>10</v>
      </c>
      <c r="H8" s="185" t="s">
        <v>181</v>
      </c>
      <c r="I8" s="187" t="s">
        <v>181</v>
      </c>
      <c r="J8" s="187" t="s">
        <v>181</v>
      </c>
      <c r="K8" s="184">
        <f>+L8+M8</f>
        <v>2581</v>
      </c>
      <c r="L8" s="186">
        <v>2369</v>
      </c>
      <c r="M8" s="186">
        <v>212</v>
      </c>
    </row>
    <row r="9" spans="1:13" x14ac:dyDescent="0.15">
      <c r="A9" s="180" t="s">
        <v>7</v>
      </c>
      <c r="B9" s="184">
        <f t="shared" ref="B9:B17" si="2">SUM(C9:D9)</f>
        <v>4620</v>
      </c>
      <c r="C9" s="186">
        <v>2717</v>
      </c>
      <c r="D9" s="186">
        <v>1903</v>
      </c>
      <c r="E9" s="184">
        <f t="shared" ref="E9:E20" si="3">SUM(F9:G9)</f>
        <v>3515</v>
      </c>
      <c r="F9" s="186">
        <v>2007</v>
      </c>
      <c r="G9" s="186">
        <v>1508</v>
      </c>
      <c r="H9" s="185" t="s">
        <v>181</v>
      </c>
      <c r="I9" s="187" t="s">
        <v>181</v>
      </c>
      <c r="J9" s="187" t="s">
        <v>181</v>
      </c>
      <c r="K9" s="184">
        <f t="shared" ref="K9:K21" si="4">+L9+M9</f>
        <v>1753</v>
      </c>
      <c r="L9" s="186">
        <v>1080</v>
      </c>
      <c r="M9" s="186">
        <v>673</v>
      </c>
    </row>
    <row r="10" spans="1:13" x14ac:dyDescent="0.15">
      <c r="A10" s="180" t="s">
        <v>8</v>
      </c>
      <c r="B10" s="184">
        <f t="shared" si="2"/>
        <v>3793</v>
      </c>
      <c r="C10" s="186">
        <v>3667</v>
      </c>
      <c r="D10" s="186">
        <v>126</v>
      </c>
      <c r="E10" s="184">
        <f t="shared" si="3"/>
        <v>755</v>
      </c>
      <c r="F10" s="186">
        <v>679</v>
      </c>
      <c r="G10" s="186">
        <v>76</v>
      </c>
      <c r="H10" s="185" t="s">
        <v>181</v>
      </c>
      <c r="I10" s="187" t="s">
        <v>181</v>
      </c>
      <c r="J10" s="187" t="s">
        <v>181</v>
      </c>
      <c r="K10" s="184">
        <f t="shared" si="4"/>
        <v>1707</v>
      </c>
      <c r="L10" s="186">
        <v>1687</v>
      </c>
      <c r="M10" s="186">
        <v>20</v>
      </c>
    </row>
    <row r="11" spans="1:13" x14ac:dyDescent="0.15">
      <c r="A11" s="180" t="s">
        <v>9</v>
      </c>
      <c r="B11" s="184">
        <f t="shared" si="2"/>
        <v>5135</v>
      </c>
      <c r="C11" s="186">
        <v>5124</v>
      </c>
      <c r="D11" s="186">
        <v>11</v>
      </c>
      <c r="E11" s="184">
        <f t="shared" si="3"/>
        <v>14159</v>
      </c>
      <c r="F11" s="186">
        <v>13869</v>
      </c>
      <c r="G11" s="186">
        <v>290</v>
      </c>
      <c r="H11" s="185" t="s">
        <v>181</v>
      </c>
      <c r="I11" s="187" t="s">
        <v>181</v>
      </c>
      <c r="J11" s="187" t="s">
        <v>181</v>
      </c>
      <c r="K11" s="184">
        <f t="shared" si="4"/>
        <v>21437</v>
      </c>
      <c r="L11" s="186">
        <v>20885</v>
      </c>
      <c r="M11" s="186">
        <v>552</v>
      </c>
    </row>
    <row r="12" spans="1:13" x14ac:dyDescent="0.15">
      <c r="A12" s="180" t="s">
        <v>10</v>
      </c>
      <c r="B12" s="184">
        <f t="shared" si="2"/>
        <v>10566</v>
      </c>
      <c r="C12" s="186">
        <v>5734</v>
      </c>
      <c r="D12" s="186">
        <v>4832</v>
      </c>
      <c r="E12" s="184">
        <f t="shared" si="3"/>
        <v>19137</v>
      </c>
      <c r="F12" s="186">
        <v>13829</v>
      </c>
      <c r="G12" s="186">
        <v>5308</v>
      </c>
      <c r="H12" s="185" t="s">
        <v>181</v>
      </c>
      <c r="I12" s="187" t="s">
        <v>181</v>
      </c>
      <c r="J12" s="187" t="s">
        <v>181</v>
      </c>
      <c r="K12" s="184">
        <f t="shared" si="4"/>
        <v>9817</v>
      </c>
      <c r="L12" s="186">
        <v>2314</v>
      </c>
      <c r="M12" s="186">
        <v>7503</v>
      </c>
    </row>
    <row r="13" spans="1:13" x14ac:dyDescent="0.15">
      <c r="A13" s="180" t="s">
        <v>11</v>
      </c>
      <c r="B13" s="184">
        <f t="shared" si="2"/>
        <v>1831</v>
      </c>
      <c r="C13" s="186">
        <v>1415</v>
      </c>
      <c r="D13" s="186">
        <v>416</v>
      </c>
      <c r="E13" s="184">
        <f t="shared" si="3"/>
        <v>1694</v>
      </c>
      <c r="F13" s="186">
        <v>1263</v>
      </c>
      <c r="G13" s="186">
        <v>431</v>
      </c>
      <c r="H13" s="185" t="s">
        <v>181</v>
      </c>
      <c r="I13" s="187" t="s">
        <v>181</v>
      </c>
      <c r="J13" s="187" t="s">
        <v>181</v>
      </c>
      <c r="K13" s="184">
        <f t="shared" si="4"/>
        <v>3499</v>
      </c>
      <c r="L13" s="186">
        <v>2902</v>
      </c>
      <c r="M13" s="186">
        <v>597</v>
      </c>
    </row>
    <row r="14" spans="1:13" x14ac:dyDescent="0.15">
      <c r="A14" s="180" t="s">
        <v>12</v>
      </c>
      <c r="B14" s="184">
        <f t="shared" si="2"/>
        <v>3075</v>
      </c>
      <c r="C14" s="186">
        <v>2911</v>
      </c>
      <c r="D14" s="186">
        <v>164</v>
      </c>
      <c r="E14" s="184">
        <f t="shared" si="3"/>
        <v>5220</v>
      </c>
      <c r="F14" s="186">
        <v>4280</v>
      </c>
      <c r="G14" s="186">
        <v>940</v>
      </c>
      <c r="H14" s="185" t="s">
        <v>181</v>
      </c>
      <c r="I14" s="187" t="s">
        <v>181</v>
      </c>
      <c r="J14" s="187" t="s">
        <v>181</v>
      </c>
      <c r="K14" s="184">
        <f t="shared" si="4"/>
        <v>6330</v>
      </c>
      <c r="L14" s="186">
        <v>5117</v>
      </c>
      <c r="M14" s="186">
        <v>1213</v>
      </c>
    </row>
    <row r="15" spans="1:13" x14ac:dyDescent="0.15">
      <c r="A15" s="180" t="s">
        <v>13</v>
      </c>
      <c r="B15" s="184">
        <f t="shared" si="2"/>
        <v>6173</v>
      </c>
      <c r="C15" s="186">
        <v>4095</v>
      </c>
      <c r="D15" s="186">
        <v>2078</v>
      </c>
      <c r="E15" s="184">
        <f t="shared" si="3"/>
        <v>8378</v>
      </c>
      <c r="F15" s="186">
        <v>5273</v>
      </c>
      <c r="G15" s="186">
        <v>3105</v>
      </c>
      <c r="H15" s="185" t="s">
        <v>181</v>
      </c>
      <c r="I15" s="187" t="s">
        <v>181</v>
      </c>
      <c r="J15" s="187" t="s">
        <v>181</v>
      </c>
      <c r="K15" s="184">
        <f t="shared" si="4"/>
        <v>7626</v>
      </c>
      <c r="L15" s="186">
        <v>6752</v>
      </c>
      <c r="M15" s="186">
        <v>874</v>
      </c>
    </row>
    <row r="16" spans="1:13" x14ac:dyDescent="0.15">
      <c r="A16" s="180" t="s">
        <v>14</v>
      </c>
      <c r="B16" s="184">
        <f t="shared" si="2"/>
        <v>4181</v>
      </c>
      <c r="C16" s="186">
        <v>2867</v>
      </c>
      <c r="D16" s="186">
        <v>1314</v>
      </c>
      <c r="E16" s="184">
        <f t="shared" si="3"/>
        <v>1695</v>
      </c>
      <c r="F16" s="186">
        <v>1372</v>
      </c>
      <c r="G16" s="186">
        <v>323</v>
      </c>
      <c r="H16" s="185" t="s">
        <v>181</v>
      </c>
      <c r="I16" s="187" t="s">
        <v>181</v>
      </c>
      <c r="J16" s="187" t="s">
        <v>181</v>
      </c>
      <c r="K16" s="184">
        <f t="shared" si="4"/>
        <v>1512</v>
      </c>
      <c r="L16" s="186">
        <v>1187</v>
      </c>
      <c r="M16" s="186">
        <v>325</v>
      </c>
    </row>
    <row r="17" spans="1:13" x14ac:dyDescent="0.15">
      <c r="A17" s="180" t="s">
        <v>15</v>
      </c>
      <c r="B17" s="184">
        <f t="shared" si="2"/>
        <v>7807</v>
      </c>
      <c r="C17" s="186">
        <v>5560</v>
      </c>
      <c r="D17" s="186">
        <v>2247</v>
      </c>
      <c r="E17" s="184">
        <f t="shared" si="3"/>
        <v>8322</v>
      </c>
      <c r="F17" s="186">
        <v>6787</v>
      </c>
      <c r="G17" s="186">
        <v>1535</v>
      </c>
      <c r="H17" s="185" t="s">
        <v>181</v>
      </c>
      <c r="I17" s="187" t="s">
        <v>181</v>
      </c>
      <c r="J17" s="187" t="s">
        <v>181</v>
      </c>
      <c r="K17" s="184">
        <f t="shared" si="4"/>
        <v>8237</v>
      </c>
      <c r="L17" s="186">
        <v>5029</v>
      </c>
      <c r="M17" s="186">
        <v>3208</v>
      </c>
    </row>
    <row r="18" spans="1:13" x14ac:dyDescent="0.15">
      <c r="A18" s="180" t="s">
        <v>16</v>
      </c>
      <c r="B18" s="184">
        <f>SUM(C18:D18)</f>
        <v>100</v>
      </c>
      <c r="C18" s="186">
        <v>78</v>
      </c>
      <c r="D18" s="186">
        <v>22</v>
      </c>
      <c r="E18" s="184">
        <f t="shared" si="3"/>
        <v>1003</v>
      </c>
      <c r="F18" s="186">
        <v>170</v>
      </c>
      <c r="G18" s="186">
        <v>833</v>
      </c>
      <c r="H18" s="185" t="s">
        <v>181</v>
      </c>
      <c r="I18" s="187" t="s">
        <v>181</v>
      </c>
      <c r="J18" s="187" t="s">
        <v>181</v>
      </c>
      <c r="K18" s="184">
        <f t="shared" si="4"/>
        <v>0</v>
      </c>
      <c r="L18" s="186">
        <v>0</v>
      </c>
      <c r="M18" s="186">
        <v>0</v>
      </c>
    </row>
    <row r="19" spans="1:13" x14ac:dyDescent="0.15">
      <c r="A19" s="180" t="s">
        <v>17</v>
      </c>
      <c r="B19" s="184">
        <f>SUM(C19:D19)</f>
        <v>10850</v>
      </c>
      <c r="C19" s="186">
        <v>10850</v>
      </c>
      <c r="D19" s="186">
        <v>0</v>
      </c>
      <c r="E19" s="184">
        <f t="shared" si="3"/>
        <v>9114</v>
      </c>
      <c r="F19" s="186">
        <v>8207</v>
      </c>
      <c r="G19" s="186">
        <v>907</v>
      </c>
      <c r="H19" s="185" t="s">
        <v>181</v>
      </c>
      <c r="I19" s="187" t="s">
        <v>181</v>
      </c>
      <c r="J19" s="187" t="s">
        <v>181</v>
      </c>
      <c r="K19" s="184">
        <f t="shared" si="4"/>
        <v>7638</v>
      </c>
      <c r="L19" s="186">
        <v>6914</v>
      </c>
      <c r="M19" s="186">
        <v>724</v>
      </c>
    </row>
    <row r="20" spans="1:13" x14ac:dyDescent="0.15">
      <c r="A20" s="180" t="s">
        <v>18</v>
      </c>
      <c r="B20" s="184">
        <f>SUM(C20:D20)</f>
        <v>3859</v>
      </c>
      <c r="C20" s="186">
        <v>2489</v>
      </c>
      <c r="D20" s="186">
        <v>1370</v>
      </c>
      <c r="E20" s="184">
        <f t="shared" si="3"/>
        <v>2789</v>
      </c>
      <c r="F20" s="186">
        <v>1705</v>
      </c>
      <c r="G20" s="186">
        <v>1084</v>
      </c>
      <c r="H20" s="185" t="s">
        <v>181</v>
      </c>
      <c r="I20" s="187" t="s">
        <v>181</v>
      </c>
      <c r="J20" s="187" t="s">
        <v>181</v>
      </c>
      <c r="K20" s="184">
        <f t="shared" si="4"/>
        <v>0</v>
      </c>
      <c r="L20" s="186">
        <v>0</v>
      </c>
      <c r="M20" s="186">
        <v>0</v>
      </c>
    </row>
    <row r="21" spans="1:13" x14ac:dyDescent="0.15">
      <c r="A21" s="180" t="s">
        <v>19</v>
      </c>
      <c r="B21" s="184">
        <f>SUM(C21:D21)</f>
        <v>1722</v>
      </c>
      <c r="C21" s="186">
        <v>592</v>
      </c>
      <c r="D21" s="186">
        <v>1130</v>
      </c>
      <c r="E21" s="184">
        <f>SUM(F21:G21)</f>
        <v>953</v>
      </c>
      <c r="F21" s="186">
        <v>604</v>
      </c>
      <c r="G21" s="186">
        <v>349</v>
      </c>
      <c r="H21" s="185" t="s">
        <v>181</v>
      </c>
      <c r="I21" s="187" t="s">
        <v>181</v>
      </c>
      <c r="J21" s="187" t="s">
        <v>181</v>
      </c>
      <c r="K21" s="184">
        <f t="shared" si="4"/>
        <v>841</v>
      </c>
      <c r="L21" s="186">
        <v>213</v>
      </c>
      <c r="M21" s="186">
        <v>628</v>
      </c>
    </row>
    <row r="23" spans="1:13" x14ac:dyDescent="0.15">
      <c r="A23" s="188" t="s">
        <v>20</v>
      </c>
      <c r="L23" s="92"/>
      <c r="M23" s="92"/>
    </row>
    <row r="24" spans="1:13" x14ac:dyDescent="0.15">
      <c r="A24" s="2485" t="s">
        <v>454</v>
      </c>
      <c r="B24" s="2485"/>
      <c r="C24" s="2485"/>
      <c r="D24" s="2485"/>
      <c r="E24" s="2485"/>
    </row>
    <row r="25" spans="1:13" x14ac:dyDescent="0.15">
      <c r="A25" s="180" t="s">
        <v>455</v>
      </c>
    </row>
    <row r="26" spans="1:13" x14ac:dyDescent="0.15">
      <c r="A26" s="2486" t="s">
        <v>456</v>
      </c>
      <c r="B26" s="2486"/>
      <c r="C26" s="2486"/>
      <c r="D26" s="2486"/>
      <c r="E26" s="2486"/>
      <c r="F26" s="2486"/>
      <c r="G26" s="2486"/>
      <c r="H26" s="2486"/>
      <c r="I26" s="2486"/>
      <c r="J26" s="2486"/>
      <c r="K26" s="2486"/>
      <c r="L26" s="2486"/>
      <c r="M26" s="2486"/>
    </row>
  </sheetData>
  <mergeCells count="8">
    <mergeCell ref="A24:E24"/>
    <mergeCell ref="A26:M26"/>
    <mergeCell ref="A2:M2"/>
    <mergeCell ref="A4:A5"/>
    <mergeCell ref="B4:D4"/>
    <mergeCell ref="E4:G4"/>
    <mergeCell ref="H4:J4"/>
    <mergeCell ref="K4:M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3"/>
  <sheetViews>
    <sheetView workbookViewId="0">
      <selection activeCell="G11" sqref="G11"/>
    </sheetView>
  </sheetViews>
  <sheetFormatPr baseColWidth="10" defaultColWidth="9.140625" defaultRowHeight="10.5" x14ac:dyDescent="0.15"/>
  <cols>
    <col min="1" max="1" width="37" style="97" customWidth="1"/>
    <col min="2" max="2" width="20.85546875" style="97" customWidth="1"/>
    <col min="3" max="16384" width="9.140625" style="97"/>
  </cols>
  <sheetData>
    <row r="1" spans="1:2" ht="15" customHeight="1" x14ac:dyDescent="0.15"/>
    <row r="2" spans="1:2" ht="28.5" customHeight="1" x14ac:dyDescent="0.15">
      <c r="A2" s="2492" t="s">
        <v>457</v>
      </c>
      <c r="B2" s="2493"/>
    </row>
    <row r="3" spans="1:2" ht="8.25" customHeight="1" x14ac:dyDescent="0.15">
      <c r="A3" s="2347"/>
      <c r="B3" s="2348"/>
    </row>
    <row r="4" spans="1:2" ht="21" x14ac:dyDescent="0.15">
      <c r="A4" s="1615" t="s">
        <v>1</v>
      </c>
      <c r="B4" s="1615" t="s">
        <v>218</v>
      </c>
    </row>
    <row r="5" spans="1:2" x14ac:dyDescent="0.15">
      <c r="A5" s="146" t="s">
        <v>141</v>
      </c>
      <c r="B5" s="2036" t="s">
        <v>458</v>
      </c>
    </row>
    <row r="6" spans="1:2" x14ac:dyDescent="0.15">
      <c r="A6" s="2002" t="s">
        <v>5</v>
      </c>
      <c r="B6" s="171" t="s">
        <v>193</v>
      </c>
    </row>
    <row r="7" spans="1:2" x14ac:dyDescent="0.15">
      <c r="A7" s="2002" t="s">
        <v>6</v>
      </c>
      <c r="B7" s="171" t="s">
        <v>193</v>
      </c>
    </row>
    <row r="8" spans="1:2" x14ac:dyDescent="0.15">
      <c r="A8" s="2002" t="s">
        <v>7</v>
      </c>
      <c r="B8" s="171" t="s">
        <v>193</v>
      </c>
    </row>
    <row r="9" spans="1:2" x14ac:dyDescent="0.15">
      <c r="A9" s="2002" t="s">
        <v>8</v>
      </c>
      <c r="B9" s="171" t="s">
        <v>193</v>
      </c>
    </row>
    <row r="10" spans="1:2" x14ac:dyDescent="0.15">
      <c r="A10" s="2002" t="s">
        <v>9</v>
      </c>
      <c r="B10" s="171" t="s">
        <v>459</v>
      </c>
    </row>
    <row r="11" spans="1:2" x14ac:dyDescent="0.15">
      <c r="A11" s="2002" t="s">
        <v>10</v>
      </c>
      <c r="B11" s="171" t="s">
        <v>193</v>
      </c>
    </row>
    <row r="12" spans="1:2" x14ac:dyDescent="0.15">
      <c r="A12" s="2002" t="s">
        <v>11</v>
      </c>
      <c r="B12" s="171" t="s">
        <v>193</v>
      </c>
    </row>
    <row r="13" spans="1:2" x14ac:dyDescent="0.15">
      <c r="A13" s="2002" t="s">
        <v>12</v>
      </c>
      <c r="B13" s="171" t="s">
        <v>193</v>
      </c>
    </row>
    <row r="14" spans="1:2" x14ac:dyDescent="0.15">
      <c r="A14" s="2002" t="s">
        <v>13</v>
      </c>
      <c r="B14" s="171" t="s">
        <v>459</v>
      </c>
    </row>
    <row r="15" spans="1:2" x14ac:dyDescent="0.15">
      <c r="A15" s="2002" t="s">
        <v>14</v>
      </c>
      <c r="B15" s="171" t="s">
        <v>193</v>
      </c>
    </row>
    <row r="16" spans="1:2" x14ac:dyDescent="0.15">
      <c r="A16" s="2002" t="s">
        <v>15</v>
      </c>
      <c r="B16" s="171" t="s">
        <v>193</v>
      </c>
    </row>
    <row r="17" spans="1:2" x14ac:dyDescent="0.15">
      <c r="A17" s="2002" t="s">
        <v>16</v>
      </c>
      <c r="B17" s="171" t="s">
        <v>193</v>
      </c>
    </row>
    <row r="18" spans="1:2" x14ac:dyDescent="0.15">
      <c r="A18" s="2002" t="s">
        <v>17</v>
      </c>
      <c r="B18" s="171" t="s">
        <v>193</v>
      </c>
    </row>
    <row r="19" spans="1:2" x14ac:dyDescent="0.15">
      <c r="A19" s="2002" t="s">
        <v>18</v>
      </c>
      <c r="B19" s="171" t="s">
        <v>193</v>
      </c>
    </row>
    <row r="20" spans="1:2" x14ac:dyDescent="0.15">
      <c r="A20" s="2002" t="s">
        <v>19</v>
      </c>
      <c r="B20" s="171" t="s">
        <v>193</v>
      </c>
    </row>
    <row r="21" spans="1:2" ht="17.100000000000001" customHeight="1" x14ac:dyDescent="0.15">
      <c r="A21" s="2356"/>
      <c r="B21" s="2357"/>
    </row>
    <row r="22" spans="1:2" ht="17.100000000000001" customHeight="1" x14ac:dyDescent="0.15">
      <c r="A22" s="2356" t="s">
        <v>460</v>
      </c>
      <c r="B22" s="2373"/>
    </row>
    <row r="23" spans="1:2" ht="17.100000000000001" customHeight="1" x14ac:dyDescent="0.15">
      <c r="A23" s="2356" t="s">
        <v>199</v>
      </c>
      <c r="B23" s="2373"/>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F27"/>
  <sheetViews>
    <sheetView workbookViewId="0">
      <selection activeCell="A2" sqref="A2:F2"/>
    </sheetView>
  </sheetViews>
  <sheetFormatPr baseColWidth="10" defaultColWidth="11.42578125" defaultRowHeight="10.5" x14ac:dyDescent="0.15"/>
  <cols>
    <col min="1" max="1" width="35.42578125" style="1" customWidth="1"/>
    <col min="2" max="16384" width="11.42578125" style="1"/>
  </cols>
  <sheetData>
    <row r="2" spans="1:6" s="29" customFormat="1" ht="20.25" customHeight="1" x14ac:dyDescent="0.15">
      <c r="A2" s="2312" t="s">
        <v>38</v>
      </c>
      <c r="B2" s="2312"/>
      <c r="C2" s="2312"/>
      <c r="D2" s="2312"/>
      <c r="E2" s="2312"/>
      <c r="F2" s="2312"/>
    </row>
    <row r="3" spans="1:6" ht="10.5" customHeight="1" x14ac:dyDescent="0.15">
      <c r="A3" s="2305"/>
      <c r="B3" s="2305"/>
      <c r="C3" s="2305"/>
      <c r="D3" s="2305"/>
      <c r="E3" s="2305"/>
      <c r="F3" s="2305"/>
    </row>
    <row r="4" spans="1:6" ht="14.25" customHeight="1" x14ac:dyDescent="0.15">
      <c r="A4" s="2306" t="s">
        <v>1</v>
      </c>
      <c r="B4" s="2306" t="s">
        <v>39</v>
      </c>
      <c r="C4" s="2306"/>
      <c r="D4" s="2306"/>
      <c r="E4" s="2306"/>
      <c r="F4" s="2306"/>
    </row>
    <row r="5" spans="1:6" ht="14.25" customHeight="1" x14ac:dyDescent="0.15">
      <c r="A5" s="2306"/>
      <c r="B5" s="2">
        <v>2011</v>
      </c>
      <c r="C5" s="2">
        <v>2012</v>
      </c>
      <c r="D5" s="2">
        <v>2013</v>
      </c>
      <c r="E5" s="2">
        <v>2014</v>
      </c>
      <c r="F5" s="2">
        <v>2015</v>
      </c>
    </row>
    <row r="6" spans="1:6" s="30" customFormat="1" ht="12.75" customHeight="1" x14ac:dyDescent="0.15">
      <c r="A6" s="30" t="s">
        <v>4</v>
      </c>
      <c r="B6" s="30">
        <f t="shared" ref="B6:E6" si="0">SUM(B7:B22)</f>
        <v>4</v>
      </c>
      <c r="C6" s="30">
        <f t="shared" si="0"/>
        <v>4</v>
      </c>
      <c r="D6" s="30">
        <f t="shared" si="0"/>
        <v>4</v>
      </c>
      <c r="E6" s="30">
        <f t="shared" si="0"/>
        <v>4</v>
      </c>
      <c r="F6" s="31">
        <v>4</v>
      </c>
    </row>
    <row r="7" spans="1:6" ht="12.75" customHeight="1" x14ac:dyDescent="0.15">
      <c r="A7" s="1" t="s">
        <v>5</v>
      </c>
      <c r="B7" s="32">
        <v>0</v>
      </c>
      <c r="C7" s="32">
        <v>0</v>
      </c>
      <c r="D7" s="32">
        <v>0</v>
      </c>
      <c r="E7" s="33">
        <v>0</v>
      </c>
      <c r="F7" s="34">
        <v>0</v>
      </c>
    </row>
    <row r="8" spans="1:6" ht="12.75" customHeight="1" x14ac:dyDescent="0.15">
      <c r="A8" s="1" t="s">
        <v>6</v>
      </c>
      <c r="B8" s="32">
        <v>1</v>
      </c>
      <c r="C8" s="32">
        <v>1</v>
      </c>
      <c r="D8" s="32">
        <v>1</v>
      </c>
      <c r="E8" s="33">
        <v>1</v>
      </c>
      <c r="F8" s="34">
        <v>1</v>
      </c>
    </row>
    <row r="9" spans="1:6" ht="12.75" customHeight="1" x14ac:dyDescent="0.15">
      <c r="A9" s="1" t="s">
        <v>7</v>
      </c>
      <c r="B9" s="32">
        <v>0</v>
      </c>
      <c r="C9" s="32">
        <v>0</v>
      </c>
      <c r="D9" s="32">
        <v>0</v>
      </c>
      <c r="E9" s="33">
        <v>0</v>
      </c>
      <c r="F9" s="34">
        <v>0</v>
      </c>
    </row>
    <row r="10" spans="1:6" ht="12.75" customHeight="1" x14ac:dyDescent="0.15">
      <c r="A10" s="1" t="s">
        <v>8</v>
      </c>
      <c r="B10" s="32">
        <v>0</v>
      </c>
      <c r="C10" s="32">
        <v>0</v>
      </c>
      <c r="D10" s="32">
        <v>0</v>
      </c>
      <c r="E10" s="33">
        <v>0</v>
      </c>
      <c r="F10" s="34">
        <v>0</v>
      </c>
    </row>
    <row r="11" spans="1:6" ht="12.75" customHeight="1" x14ac:dyDescent="0.15">
      <c r="A11" s="1" t="s">
        <v>9</v>
      </c>
      <c r="B11" s="32">
        <v>0</v>
      </c>
      <c r="C11" s="32">
        <v>0</v>
      </c>
      <c r="D11" s="32">
        <v>0</v>
      </c>
      <c r="E11" s="33">
        <v>0</v>
      </c>
      <c r="F11" s="34">
        <v>0</v>
      </c>
    </row>
    <row r="12" spans="1:6" ht="12.75" customHeight="1" x14ac:dyDescent="0.15">
      <c r="A12" s="1" t="s">
        <v>10</v>
      </c>
      <c r="B12" s="32">
        <v>0</v>
      </c>
      <c r="C12" s="32">
        <v>0</v>
      </c>
      <c r="D12" s="32">
        <v>0</v>
      </c>
      <c r="E12" s="33">
        <v>0</v>
      </c>
      <c r="F12" s="34">
        <v>0</v>
      </c>
    </row>
    <row r="13" spans="1:6" ht="12.75" customHeight="1" x14ac:dyDescent="0.15">
      <c r="A13" s="1" t="s">
        <v>40</v>
      </c>
      <c r="B13" s="32">
        <v>1</v>
      </c>
      <c r="C13" s="32">
        <v>1</v>
      </c>
      <c r="D13" s="32">
        <v>1</v>
      </c>
      <c r="E13" s="33">
        <v>1</v>
      </c>
      <c r="F13" s="34">
        <v>1</v>
      </c>
    </row>
    <row r="14" spans="1:6" ht="12.75" customHeight="1" x14ac:dyDescent="0.15">
      <c r="A14" s="1" t="s">
        <v>41</v>
      </c>
      <c r="B14" s="32">
        <v>1</v>
      </c>
      <c r="C14" s="32">
        <v>1</v>
      </c>
      <c r="D14" s="32">
        <v>1</v>
      </c>
      <c r="E14" s="33">
        <v>1</v>
      </c>
      <c r="F14" s="34">
        <v>1</v>
      </c>
    </row>
    <row r="15" spans="1:6" ht="12.75" x14ac:dyDescent="0.15">
      <c r="A15" s="1" t="s">
        <v>12</v>
      </c>
      <c r="B15" s="32">
        <v>0</v>
      </c>
      <c r="C15" s="32">
        <v>0</v>
      </c>
      <c r="D15" s="32">
        <v>0</v>
      </c>
      <c r="E15" s="33">
        <v>0</v>
      </c>
      <c r="F15" s="34">
        <v>0</v>
      </c>
    </row>
    <row r="16" spans="1:6" ht="12.75" customHeight="1" x14ac:dyDescent="0.15">
      <c r="A16" s="1" t="s">
        <v>13</v>
      </c>
      <c r="B16" s="32">
        <v>0</v>
      </c>
      <c r="C16" s="32">
        <v>0</v>
      </c>
      <c r="D16" s="32">
        <v>0</v>
      </c>
      <c r="E16" s="33">
        <v>0</v>
      </c>
      <c r="F16" s="34">
        <v>0</v>
      </c>
    </row>
    <row r="17" spans="1:6" ht="12.75" customHeight="1" x14ac:dyDescent="0.15">
      <c r="A17" s="1" t="s">
        <v>14</v>
      </c>
      <c r="B17" s="32">
        <v>0</v>
      </c>
      <c r="C17" s="32">
        <v>0</v>
      </c>
      <c r="D17" s="32">
        <v>0</v>
      </c>
      <c r="E17" s="33">
        <v>0</v>
      </c>
      <c r="F17" s="34">
        <v>0</v>
      </c>
    </row>
    <row r="18" spans="1:6" ht="12.75" customHeight="1" x14ac:dyDescent="0.15">
      <c r="A18" s="1" t="s">
        <v>15</v>
      </c>
      <c r="B18" s="32">
        <v>1</v>
      </c>
      <c r="C18" s="32">
        <v>1</v>
      </c>
      <c r="D18" s="32">
        <v>1</v>
      </c>
      <c r="E18" s="33">
        <v>1</v>
      </c>
      <c r="F18" s="34">
        <v>1</v>
      </c>
    </row>
    <row r="19" spans="1:6" ht="12.75" customHeight="1" x14ac:dyDescent="0.15">
      <c r="A19" s="1" t="s">
        <v>16</v>
      </c>
      <c r="B19" s="32">
        <v>0</v>
      </c>
      <c r="C19" s="32">
        <v>0</v>
      </c>
      <c r="D19" s="32">
        <v>0</v>
      </c>
      <c r="E19" s="33">
        <v>0</v>
      </c>
      <c r="F19" s="34">
        <v>0</v>
      </c>
    </row>
    <row r="20" spans="1:6" ht="12.75" customHeight="1" x14ac:dyDescent="0.15">
      <c r="A20" s="1" t="s">
        <v>17</v>
      </c>
      <c r="B20" s="32">
        <v>0</v>
      </c>
      <c r="C20" s="32">
        <v>0</v>
      </c>
      <c r="D20" s="32">
        <v>0</v>
      </c>
      <c r="E20" s="33">
        <v>0</v>
      </c>
      <c r="F20" s="34">
        <v>0</v>
      </c>
    </row>
    <row r="21" spans="1:6" ht="12.75" customHeight="1" x14ac:dyDescent="0.15">
      <c r="A21" s="1" t="s">
        <v>18</v>
      </c>
      <c r="B21" s="32">
        <v>0</v>
      </c>
      <c r="C21" s="32">
        <v>0</v>
      </c>
      <c r="D21" s="32">
        <v>0</v>
      </c>
      <c r="E21" s="33">
        <v>0</v>
      </c>
      <c r="F21" s="34">
        <v>0</v>
      </c>
    </row>
    <row r="22" spans="1:6" ht="12.75" customHeight="1" x14ac:dyDescent="0.15">
      <c r="A22" s="1" t="s">
        <v>19</v>
      </c>
      <c r="B22" s="32">
        <v>0</v>
      </c>
      <c r="C22" s="32">
        <v>0</v>
      </c>
      <c r="D22" s="32">
        <v>0</v>
      </c>
      <c r="E22" s="33">
        <v>0</v>
      </c>
      <c r="F22" s="34">
        <v>0</v>
      </c>
    </row>
    <row r="23" spans="1:6" ht="9" customHeight="1" x14ac:dyDescent="0.15">
      <c r="A23" s="2307"/>
      <c r="B23" s="2307"/>
      <c r="C23" s="2307"/>
      <c r="D23" s="2307"/>
      <c r="E23" s="2307"/>
      <c r="F23" s="2307"/>
    </row>
    <row r="24" spans="1:6" ht="12.75" customHeight="1" x14ac:dyDescent="0.15">
      <c r="A24" s="2307" t="s">
        <v>42</v>
      </c>
      <c r="B24" s="2307"/>
      <c r="C24" s="2307"/>
      <c r="D24" s="2307"/>
      <c r="E24" s="2307"/>
      <c r="F24" s="2307"/>
    </row>
    <row r="25" spans="1:6" x14ac:dyDescent="0.15">
      <c r="A25" s="2307" t="s">
        <v>43</v>
      </c>
      <c r="B25" s="2307"/>
      <c r="C25" s="2307"/>
      <c r="D25" s="2307"/>
      <c r="E25" s="2307"/>
      <c r="F25" s="2307"/>
    </row>
    <row r="26" spans="1:6" x14ac:dyDescent="0.15">
      <c r="A26" s="2307" t="s">
        <v>44</v>
      </c>
      <c r="B26" s="2307"/>
      <c r="C26" s="2307"/>
      <c r="D26" s="2307"/>
      <c r="E26" s="2307"/>
      <c r="F26" s="2307"/>
    </row>
    <row r="27" spans="1:6" x14ac:dyDescent="0.15">
      <c r="A27" s="2307" t="s">
        <v>21</v>
      </c>
      <c r="B27" s="2307"/>
      <c r="C27" s="2307"/>
      <c r="D27" s="2307"/>
      <c r="E27" s="2307"/>
      <c r="F27" s="2307"/>
    </row>
  </sheetData>
  <mergeCells count="9">
    <mergeCell ref="A25:F25"/>
    <mergeCell ref="A26:F26"/>
    <mergeCell ref="A27:F27"/>
    <mergeCell ref="A2:F2"/>
    <mergeCell ref="A3:F3"/>
    <mergeCell ref="A4:A5"/>
    <mergeCell ref="B4:F4"/>
    <mergeCell ref="A23:F23"/>
    <mergeCell ref="A24:F2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B23"/>
  <sheetViews>
    <sheetView workbookViewId="0">
      <selection activeCell="F4" sqref="F4"/>
    </sheetView>
  </sheetViews>
  <sheetFormatPr baseColWidth="10" defaultColWidth="9.140625" defaultRowHeight="10.5" x14ac:dyDescent="0.15"/>
  <cols>
    <col min="1" max="1" width="26.5703125" style="97" customWidth="1"/>
    <col min="2" max="2" width="21.140625" style="97" customWidth="1"/>
    <col min="3" max="3" width="9.140625" style="97" customWidth="1"/>
    <col min="4" max="16384" width="9.140625" style="97"/>
  </cols>
  <sheetData>
    <row r="1" spans="1:2" ht="15" customHeight="1" x14ac:dyDescent="0.15"/>
    <row r="2" spans="1:2" ht="34.5" customHeight="1" x14ac:dyDescent="0.15">
      <c r="A2" s="2377" t="s">
        <v>461</v>
      </c>
      <c r="B2" s="2494"/>
    </row>
    <row r="3" spans="1:2" ht="15" customHeight="1" x14ac:dyDescent="0.15">
      <c r="A3" s="2347"/>
      <c r="B3" s="2348"/>
    </row>
    <row r="4" spans="1:2" ht="21" x14ac:dyDescent="0.15">
      <c r="A4" s="1617" t="s">
        <v>1</v>
      </c>
      <c r="B4" s="1615" t="s">
        <v>218</v>
      </c>
    </row>
    <row r="5" spans="1:2" x14ac:dyDescent="0.15">
      <c r="A5" s="146" t="s">
        <v>141</v>
      </c>
      <c r="B5" s="2043">
        <f>SUM(B6:B20)</f>
        <v>45</v>
      </c>
    </row>
    <row r="6" spans="1:2" x14ac:dyDescent="0.15">
      <c r="A6" s="2002" t="s">
        <v>5</v>
      </c>
      <c r="B6" s="804">
        <v>1</v>
      </c>
    </row>
    <row r="7" spans="1:2" x14ac:dyDescent="0.15">
      <c r="A7" s="2002" t="s">
        <v>6</v>
      </c>
      <c r="B7" s="804">
        <v>3</v>
      </c>
    </row>
    <row r="8" spans="1:2" x14ac:dyDescent="0.15">
      <c r="A8" s="2002" t="s">
        <v>7</v>
      </c>
      <c r="B8" s="804">
        <v>1</v>
      </c>
    </row>
    <row r="9" spans="1:2" x14ac:dyDescent="0.15">
      <c r="A9" s="2002" t="s">
        <v>8</v>
      </c>
      <c r="B9" s="804">
        <v>1</v>
      </c>
    </row>
    <row r="10" spans="1:2" x14ac:dyDescent="0.15">
      <c r="A10" s="2002" t="s">
        <v>9</v>
      </c>
      <c r="B10" s="804">
        <v>2</v>
      </c>
    </row>
    <row r="11" spans="1:2" x14ac:dyDescent="0.15">
      <c r="A11" s="2002" t="s">
        <v>10</v>
      </c>
      <c r="B11" s="804">
        <v>12</v>
      </c>
    </row>
    <row r="12" spans="1:2" x14ac:dyDescent="0.15">
      <c r="A12" s="2002" t="s">
        <v>11</v>
      </c>
      <c r="B12" s="804">
        <v>9</v>
      </c>
    </row>
    <row r="13" spans="1:2" x14ac:dyDescent="0.15">
      <c r="A13" s="2002" t="s">
        <v>12</v>
      </c>
      <c r="B13" s="804">
        <v>1</v>
      </c>
    </row>
    <row r="14" spans="1:2" x14ac:dyDescent="0.15">
      <c r="A14" s="2002" t="s">
        <v>13</v>
      </c>
      <c r="B14" s="804">
        <v>6</v>
      </c>
    </row>
    <row r="15" spans="1:2" x14ac:dyDescent="0.15">
      <c r="A15" s="2002" t="s">
        <v>14</v>
      </c>
      <c r="B15" s="804">
        <v>3</v>
      </c>
    </row>
    <row r="16" spans="1:2" x14ac:dyDescent="0.15">
      <c r="A16" s="2002" t="s">
        <v>15</v>
      </c>
      <c r="B16" s="171" t="s">
        <v>193</v>
      </c>
    </row>
    <row r="17" spans="1:2" x14ac:dyDescent="0.15">
      <c r="A17" s="2002" t="s">
        <v>16</v>
      </c>
      <c r="B17" s="804">
        <v>1</v>
      </c>
    </row>
    <row r="18" spans="1:2" x14ac:dyDescent="0.15">
      <c r="A18" s="2002" t="s">
        <v>17</v>
      </c>
      <c r="B18" s="804">
        <v>3</v>
      </c>
    </row>
    <row r="19" spans="1:2" x14ac:dyDescent="0.15">
      <c r="A19" s="2002" t="s">
        <v>18</v>
      </c>
      <c r="B19" s="804">
        <v>2</v>
      </c>
    </row>
    <row r="20" spans="1:2" x14ac:dyDescent="0.15">
      <c r="A20" s="2002" t="s">
        <v>19</v>
      </c>
      <c r="B20" s="171" t="s">
        <v>193</v>
      </c>
    </row>
    <row r="21" spans="1:2" ht="17.100000000000001" customHeight="1" x14ac:dyDescent="0.15">
      <c r="A21" s="2356"/>
      <c r="B21" s="2357"/>
    </row>
    <row r="22" spans="1:2" ht="17.100000000000001" customHeight="1" x14ac:dyDescent="0.15">
      <c r="A22" s="2353" t="s">
        <v>20</v>
      </c>
      <c r="B22" s="2353"/>
    </row>
    <row r="23" spans="1:2" ht="17.100000000000001" customHeight="1" x14ac:dyDescent="0.15">
      <c r="A23" s="2364" t="s">
        <v>199</v>
      </c>
      <c r="B23" s="2365"/>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E13"/>
  <sheetViews>
    <sheetView workbookViewId="0">
      <selection activeCell="D15" sqref="D15"/>
    </sheetView>
  </sheetViews>
  <sheetFormatPr baseColWidth="10" defaultColWidth="9.140625" defaultRowHeight="10.5" x14ac:dyDescent="0.15"/>
  <cols>
    <col min="1" max="1" width="33.85546875" style="97" customWidth="1"/>
    <col min="2" max="2" width="30.140625" style="97" customWidth="1"/>
    <col min="3" max="3" width="19" style="97" customWidth="1"/>
    <col min="4" max="4" width="16.85546875" style="97" customWidth="1"/>
    <col min="5" max="5" width="22.28515625" style="97" customWidth="1"/>
    <col min="6" max="16384" width="9.140625" style="97"/>
  </cols>
  <sheetData>
    <row r="1" spans="1:5" ht="15" customHeight="1" x14ac:dyDescent="0.15"/>
    <row r="2" spans="1:5" ht="11.25" customHeight="1" x14ac:dyDescent="0.15">
      <c r="A2" s="2358" t="s">
        <v>462</v>
      </c>
      <c r="B2" s="2348"/>
      <c r="C2" s="2348"/>
      <c r="D2" s="2348"/>
      <c r="E2" s="2348"/>
    </row>
    <row r="3" spans="1:5" ht="11.25" customHeight="1" x14ac:dyDescent="0.15">
      <c r="A3" s="2347"/>
      <c r="B3" s="2348"/>
      <c r="C3" s="2348"/>
      <c r="D3" s="2348"/>
      <c r="E3" s="2348"/>
    </row>
    <row r="4" spans="1:5" ht="11.25" x14ac:dyDescent="0.15">
      <c r="A4" s="1615" t="s">
        <v>1</v>
      </c>
      <c r="B4" s="1615" t="s">
        <v>463</v>
      </c>
      <c r="C4" s="1615" t="s">
        <v>464</v>
      </c>
      <c r="D4" s="1615" t="s">
        <v>465</v>
      </c>
      <c r="E4" s="1615" t="s">
        <v>466</v>
      </c>
    </row>
    <row r="5" spans="1:5" ht="11.25" customHeight="1" x14ac:dyDescent="0.15">
      <c r="A5" s="2008" t="s">
        <v>9</v>
      </c>
      <c r="B5" s="2008" t="s">
        <v>272</v>
      </c>
      <c r="C5" s="2008" t="s">
        <v>181</v>
      </c>
      <c r="D5" s="2008" t="s">
        <v>467</v>
      </c>
      <c r="E5" s="2008" t="s">
        <v>468</v>
      </c>
    </row>
    <row r="6" spans="1:5" ht="11.25" customHeight="1" x14ac:dyDescent="0.15">
      <c r="A6" s="2008" t="s">
        <v>13</v>
      </c>
      <c r="B6" s="2008" t="s">
        <v>293</v>
      </c>
      <c r="C6" s="2008" t="s">
        <v>181</v>
      </c>
      <c r="D6" s="2008" t="s">
        <v>467</v>
      </c>
      <c r="E6" s="2008" t="s">
        <v>468</v>
      </c>
    </row>
    <row r="7" spans="1:5" ht="12" customHeight="1" x14ac:dyDescent="0.15">
      <c r="A7" s="2356"/>
      <c r="B7" s="2373"/>
      <c r="C7" s="2373"/>
      <c r="D7" s="2373"/>
      <c r="E7" s="2373"/>
    </row>
    <row r="8" spans="1:5" ht="12" customHeight="1" x14ac:dyDescent="0.15">
      <c r="A8" s="2469" t="s">
        <v>469</v>
      </c>
      <c r="B8" s="2469"/>
      <c r="C8" s="2469"/>
      <c r="D8" s="2469"/>
      <c r="E8" s="2469"/>
    </row>
    <row r="9" spans="1:5" ht="12" customHeight="1" x14ac:dyDescent="0.15">
      <c r="A9" s="2371" t="s">
        <v>470</v>
      </c>
      <c r="B9" s="2371"/>
      <c r="C9" s="2371"/>
      <c r="D9" s="2371"/>
      <c r="E9" s="2371"/>
    </row>
    <row r="10" spans="1:5" ht="12" customHeight="1" x14ac:dyDescent="0.15">
      <c r="A10" s="2371" t="s">
        <v>471</v>
      </c>
      <c r="B10" s="2371"/>
      <c r="C10" s="2371"/>
      <c r="D10" s="2371"/>
      <c r="E10" s="2371"/>
    </row>
    <row r="11" spans="1:5" ht="12" customHeight="1" x14ac:dyDescent="0.15">
      <c r="A11" s="2371" t="s">
        <v>472</v>
      </c>
      <c r="B11" s="2372"/>
      <c r="C11" s="2372"/>
      <c r="D11" s="2372"/>
      <c r="E11" s="2372"/>
    </row>
    <row r="12" spans="1:5" ht="12" customHeight="1" x14ac:dyDescent="0.15">
      <c r="A12" s="2467" t="s">
        <v>473</v>
      </c>
      <c r="B12" s="2372"/>
      <c r="C12" s="2372"/>
      <c r="D12" s="2372"/>
      <c r="E12" s="2372"/>
    </row>
    <row r="13" spans="1:5" ht="12" customHeight="1" x14ac:dyDescent="0.15">
      <c r="A13" s="2356" t="s">
        <v>199</v>
      </c>
      <c r="B13" s="2373"/>
      <c r="C13" s="2373"/>
      <c r="D13" s="2373"/>
      <c r="E13" s="2373"/>
    </row>
  </sheetData>
  <mergeCells count="9">
    <mergeCell ref="A11:E11"/>
    <mergeCell ref="A12:E12"/>
    <mergeCell ref="A13:E13"/>
    <mergeCell ref="A2:E2"/>
    <mergeCell ref="A3:E3"/>
    <mergeCell ref="A7:E7"/>
    <mergeCell ref="A8:E8"/>
    <mergeCell ref="A9:E9"/>
    <mergeCell ref="A10:E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G11"/>
  <sheetViews>
    <sheetView zoomScaleNormal="100" workbookViewId="0"/>
  </sheetViews>
  <sheetFormatPr baseColWidth="10" defaultRowHeight="10.5" x14ac:dyDescent="0.15"/>
  <cols>
    <col min="1" max="1" width="25" style="180" customWidth="1"/>
    <col min="2" max="2" width="14.5703125" style="180" customWidth="1"/>
    <col min="3" max="3" width="16.7109375" style="180" bestFit="1" customWidth="1"/>
    <col min="4" max="4" width="19.140625" style="180" bestFit="1" customWidth="1"/>
    <col min="5" max="5" width="17" style="180" customWidth="1"/>
    <col min="6" max="16384" width="11.42578125" style="180"/>
  </cols>
  <sheetData>
    <row r="2" spans="1:7" s="190" customFormat="1" ht="33" customHeight="1" x14ac:dyDescent="0.15">
      <c r="A2" s="2495" t="s">
        <v>4185</v>
      </c>
      <c r="B2" s="2495"/>
      <c r="C2" s="2495"/>
    </row>
    <row r="4" spans="1:7" ht="15.75" customHeight="1" x14ac:dyDescent="0.15">
      <c r="A4" s="181" t="s">
        <v>474</v>
      </c>
      <c r="B4" s="181" t="s">
        <v>475</v>
      </c>
      <c r="C4" s="181" t="s">
        <v>476</v>
      </c>
    </row>
    <row r="5" spans="1:7" s="183" customFormat="1" ht="15" x14ac:dyDescent="0.25">
      <c r="A5" s="191" t="s">
        <v>141</v>
      </c>
      <c r="B5" s="192">
        <f>SUM(B6:B8)</f>
        <v>101</v>
      </c>
      <c r="C5" s="192">
        <f>SUM(C6:C8)</f>
        <v>14643364</v>
      </c>
      <c r="D5" s="193"/>
      <c r="E5" s="194"/>
      <c r="F5" s="195"/>
    </row>
    <row r="6" spans="1:7" ht="15" x14ac:dyDescent="0.25">
      <c r="A6" s="179" t="s">
        <v>477</v>
      </c>
      <c r="B6" s="186">
        <v>36</v>
      </c>
      <c r="C6" s="186">
        <v>9179955</v>
      </c>
      <c r="D6" s="193"/>
      <c r="E6" s="194"/>
      <c r="F6" s="195"/>
    </row>
    <row r="7" spans="1:7" ht="15" x14ac:dyDescent="0.25">
      <c r="A7" s="179" t="s">
        <v>478</v>
      </c>
      <c r="B7" s="186">
        <v>49</v>
      </c>
      <c r="C7" s="186">
        <v>5428980</v>
      </c>
      <c r="D7" s="193"/>
      <c r="E7" s="194"/>
      <c r="F7" s="195"/>
    </row>
    <row r="8" spans="1:7" ht="15" x14ac:dyDescent="0.25">
      <c r="A8" s="179" t="s">
        <v>479</v>
      </c>
      <c r="B8" s="186">
        <v>16</v>
      </c>
      <c r="C8" s="186">
        <v>34429</v>
      </c>
      <c r="D8" s="193"/>
      <c r="E8" s="194"/>
      <c r="F8" s="195"/>
    </row>
    <row r="9" spans="1:7" x14ac:dyDescent="0.15">
      <c r="A9" s="179"/>
      <c r="B9" s="179"/>
      <c r="C9" s="179"/>
      <c r="F9" s="196"/>
    </row>
    <row r="10" spans="1:7" ht="24" customHeight="1" x14ac:dyDescent="0.15">
      <c r="A10" s="2496" t="s">
        <v>480</v>
      </c>
      <c r="B10" s="2496"/>
      <c r="C10" s="2496"/>
    </row>
    <row r="11" spans="1:7" x14ac:dyDescent="0.15">
      <c r="A11" s="179"/>
      <c r="B11" s="179"/>
      <c r="C11" s="179"/>
      <c r="D11" s="179"/>
      <c r="E11" s="179"/>
      <c r="F11" s="179"/>
      <c r="G11" s="179"/>
    </row>
  </sheetData>
  <mergeCells count="2">
    <mergeCell ref="A2:C2"/>
    <mergeCell ref="A10:C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E55"/>
  <sheetViews>
    <sheetView zoomScaleNormal="100" workbookViewId="0"/>
  </sheetViews>
  <sheetFormatPr baseColWidth="10" defaultColWidth="11.5703125" defaultRowHeight="10.5" x14ac:dyDescent="0.15"/>
  <cols>
    <col min="1" max="1" width="16.85546875" style="179" customWidth="1"/>
    <col min="2" max="2" width="27.85546875" style="179" customWidth="1"/>
    <col min="3" max="3" width="19.7109375" style="179" customWidth="1"/>
    <col min="4" max="4" width="30.5703125" style="179" customWidth="1"/>
    <col min="5" max="5" width="11.85546875" style="179" bestFit="1" customWidth="1"/>
    <col min="6" max="16384" width="11.5703125" style="179"/>
  </cols>
  <sheetData>
    <row r="2" spans="1:5" s="191" customFormat="1" ht="20.25" customHeight="1" x14ac:dyDescent="0.15">
      <c r="A2" s="2497" t="s">
        <v>481</v>
      </c>
      <c r="B2" s="2497"/>
      <c r="C2" s="2497"/>
      <c r="D2" s="2497"/>
      <c r="E2" s="2497"/>
    </row>
    <row r="4" spans="1:5" ht="30.75" customHeight="1" x14ac:dyDescent="0.15">
      <c r="A4" s="198" t="s">
        <v>1</v>
      </c>
      <c r="B4" s="199" t="s">
        <v>482</v>
      </c>
      <c r="C4" s="199" t="s">
        <v>483</v>
      </c>
      <c r="D4" s="199" t="s">
        <v>484</v>
      </c>
      <c r="E4" s="199" t="s">
        <v>476</v>
      </c>
    </row>
    <row r="5" spans="1:5" x14ac:dyDescent="0.15">
      <c r="A5" s="191" t="s">
        <v>141</v>
      </c>
      <c r="B5" s="191"/>
      <c r="C5" s="191"/>
      <c r="D5" s="191"/>
      <c r="E5" s="200">
        <f>SUM(E6:E41)</f>
        <v>9179955</v>
      </c>
    </row>
    <row r="6" spans="1:5" x14ac:dyDescent="0.15">
      <c r="A6" s="201" t="s">
        <v>5</v>
      </c>
      <c r="B6" s="201" t="s">
        <v>485</v>
      </c>
      <c r="C6" s="201" t="s">
        <v>486</v>
      </c>
      <c r="D6" s="201" t="s">
        <v>487</v>
      </c>
      <c r="E6" s="17">
        <v>137883</v>
      </c>
    </row>
    <row r="7" spans="1:5" x14ac:dyDescent="0.15">
      <c r="A7" s="201" t="s">
        <v>6</v>
      </c>
      <c r="B7" s="201" t="s">
        <v>488</v>
      </c>
      <c r="C7" s="201" t="s">
        <v>489</v>
      </c>
      <c r="D7" s="201" t="s">
        <v>490</v>
      </c>
      <c r="E7" s="17">
        <v>174744</v>
      </c>
    </row>
    <row r="8" spans="1:5" x14ac:dyDescent="0.15">
      <c r="A8" s="201" t="s">
        <v>7</v>
      </c>
      <c r="B8" s="201" t="s">
        <v>491</v>
      </c>
      <c r="C8" s="201" t="s">
        <v>7</v>
      </c>
      <c r="D8" s="201" t="s">
        <v>7</v>
      </c>
      <c r="E8" s="17">
        <v>268671</v>
      </c>
    </row>
    <row r="9" spans="1:5" x14ac:dyDescent="0.15">
      <c r="A9" s="201" t="s">
        <v>7</v>
      </c>
      <c r="B9" s="201" t="s">
        <v>492</v>
      </c>
      <c r="C9" s="201" t="s">
        <v>7</v>
      </c>
      <c r="D9" s="201" t="s">
        <v>493</v>
      </c>
      <c r="E9" s="17">
        <v>7314</v>
      </c>
    </row>
    <row r="10" spans="1:5" ht="22.5" x14ac:dyDescent="0.15">
      <c r="A10" s="201" t="s">
        <v>8</v>
      </c>
      <c r="B10" s="201" t="s">
        <v>494</v>
      </c>
      <c r="C10" s="201" t="s">
        <v>495</v>
      </c>
      <c r="D10" s="201" t="s">
        <v>496</v>
      </c>
      <c r="E10" s="17">
        <v>43754</v>
      </c>
    </row>
    <row r="11" spans="1:5" ht="21" x14ac:dyDescent="0.15">
      <c r="A11" s="201" t="s">
        <v>8</v>
      </c>
      <c r="B11" s="201" t="s">
        <v>497</v>
      </c>
      <c r="C11" s="201" t="s">
        <v>498</v>
      </c>
      <c r="D11" s="201" t="s">
        <v>499</v>
      </c>
      <c r="E11" s="17">
        <v>59082</v>
      </c>
    </row>
    <row r="12" spans="1:5" ht="21" x14ac:dyDescent="0.15">
      <c r="A12" s="201" t="s">
        <v>8</v>
      </c>
      <c r="B12" s="201" t="s">
        <v>500</v>
      </c>
      <c r="C12" s="201" t="s">
        <v>501</v>
      </c>
      <c r="D12" s="201" t="s">
        <v>501</v>
      </c>
      <c r="E12" s="17">
        <v>45708</v>
      </c>
    </row>
    <row r="13" spans="1:5" ht="21" x14ac:dyDescent="0.15">
      <c r="A13" s="201" t="s">
        <v>9</v>
      </c>
      <c r="B13" s="201" t="s">
        <v>502</v>
      </c>
      <c r="C13" s="201" t="s">
        <v>503</v>
      </c>
      <c r="D13" s="201" t="s">
        <v>504</v>
      </c>
      <c r="E13" s="17">
        <v>9959</v>
      </c>
    </row>
    <row r="14" spans="1:5" ht="21" x14ac:dyDescent="0.15">
      <c r="A14" s="201" t="s">
        <v>10</v>
      </c>
      <c r="B14" s="201" t="s">
        <v>505</v>
      </c>
      <c r="C14" s="201" t="s">
        <v>10</v>
      </c>
      <c r="D14" s="201" t="s">
        <v>506</v>
      </c>
      <c r="E14" s="17">
        <v>9571</v>
      </c>
    </row>
    <row r="15" spans="1:5" x14ac:dyDescent="0.15">
      <c r="A15" s="201" t="s">
        <v>10</v>
      </c>
      <c r="B15" s="201" t="s">
        <v>507</v>
      </c>
      <c r="C15" s="201" t="s">
        <v>508</v>
      </c>
      <c r="D15" s="201" t="s">
        <v>509</v>
      </c>
      <c r="E15" s="17">
        <v>8000</v>
      </c>
    </row>
    <row r="16" spans="1:5" x14ac:dyDescent="0.15">
      <c r="A16" s="201" t="s">
        <v>10</v>
      </c>
      <c r="B16" s="201" t="s">
        <v>510</v>
      </c>
      <c r="C16" s="201" t="s">
        <v>511</v>
      </c>
      <c r="D16" s="201" t="s">
        <v>511</v>
      </c>
      <c r="E16" s="17">
        <v>7130</v>
      </c>
    </row>
    <row r="17" spans="1:5" ht="21.75" x14ac:dyDescent="0.15">
      <c r="A17" s="201" t="s">
        <v>512</v>
      </c>
      <c r="B17" s="201" t="s">
        <v>513</v>
      </c>
      <c r="C17" s="201" t="s">
        <v>514</v>
      </c>
      <c r="D17" s="201" t="s">
        <v>515</v>
      </c>
      <c r="E17" s="17">
        <v>3709</v>
      </c>
    </row>
    <row r="18" spans="1:5" ht="21" x14ac:dyDescent="0.15">
      <c r="A18" s="201" t="s">
        <v>13</v>
      </c>
      <c r="B18" s="201" t="s">
        <v>516</v>
      </c>
      <c r="C18" s="201" t="s">
        <v>517</v>
      </c>
      <c r="D18" s="201" t="s">
        <v>518</v>
      </c>
      <c r="E18" s="17">
        <v>4138</v>
      </c>
    </row>
    <row r="19" spans="1:5" ht="21" x14ac:dyDescent="0.15">
      <c r="A19" s="201" t="s">
        <v>14</v>
      </c>
      <c r="B19" s="201" t="s">
        <v>519</v>
      </c>
      <c r="C19" s="201" t="s">
        <v>14</v>
      </c>
      <c r="D19" s="201" t="s">
        <v>520</v>
      </c>
      <c r="E19" s="17">
        <v>11600</v>
      </c>
    </row>
    <row r="20" spans="1:5" ht="11.25" x14ac:dyDescent="0.15">
      <c r="A20" s="201" t="s">
        <v>15</v>
      </c>
      <c r="B20" s="201" t="s">
        <v>521</v>
      </c>
      <c r="C20" s="201" t="s">
        <v>522</v>
      </c>
      <c r="D20" s="201" t="s">
        <v>523</v>
      </c>
      <c r="E20" s="17">
        <v>6832</v>
      </c>
    </row>
    <row r="21" spans="1:5" x14ac:dyDescent="0.15">
      <c r="A21" s="201" t="s">
        <v>15</v>
      </c>
      <c r="B21" s="201" t="s">
        <v>524</v>
      </c>
      <c r="C21" s="201" t="s">
        <v>525</v>
      </c>
      <c r="D21" s="201" t="s">
        <v>526</v>
      </c>
      <c r="E21" s="17">
        <v>6374</v>
      </c>
    </row>
    <row r="22" spans="1:5" ht="21" x14ac:dyDescent="0.15">
      <c r="A22" s="201" t="s">
        <v>15</v>
      </c>
      <c r="B22" s="201" t="s">
        <v>527</v>
      </c>
      <c r="C22" s="201" t="s">
        <v>528</v>
      </c>
      <c r="D22" s="201" t="s">
        <v>529</v>
      </c>
      <c r="E22" s="17">
        <v>60832</v>
      </c>
    </row>
    <row r="23" spans="1:5" x14ac:dyDescent="0.15">
      <c r="A23" s="201" t="s">
        <v>15</v>
      </c>
      <c r="B23" s="201" t="s">
        <v>530</v>
      </c>
      <c r="C23" s="201" t="s">
        <v>531</v>
      </c>
      <c r="D23" s="201" t="s">
        <v>532</v>
      </c>
      <c r="E23" s="17">
        <v>12500</v>
      </c>
    </row>
    <row r="24" spans="1:5" ht="21" x14ac:dyDescent="0.15">
      <c r="A24" s="201" t="s">
        <v>15</v>
      </c>
      <c r="B24" s="201" t="s">
        <v>533</v>
      </c>
      <c r="C24" s="201" t="s">
        <v>534</v>
      </c>
      <c r="D24" s="201" t="s">
        <v>535</v>
      </c>
      <c r="E24" s="17">
        <v>53000</v>
      </c>
    </row>
    <row r="25" spans="1:5" x14ac:dyDescent="0.15">
      <c r="A25" s="201" t="s">
        <v>301</v>
      </c>
      <c r="B25" s="201" t="s">
        <v>536</v>
      </c>
      <c r="C25" s="201" t="s">
        <v>537</v>
      </c>
      <c r="D25" s="201" t="s">
        <v>538</v>
      </c>
      <c r="E25" s="17">
        <v>13975</v>
      </c>
    </row>
    <row r="26" spans="1:5" ht="21" x14ac:dyDescent="0.15">
      <c r="A26" s="201" t="s">
        <v>303</v>
      </c>
      <c r="B26" s="201" t="s">
        <v>539</v>
      </c>
      <c r="C26" s="201" t="s">
        <v>540</v>
      </c>
      <c r="D26" s="201" t="s">
        <v>541</v>
      </c>
      <c r="E26" s="17">
        <v>107000</v>
      </c>
    </row>
    <row r="27" spans="1:5" ht="22.5" customHeight="1" x14ac:dyDescent="0.15">
      <c r="A27" s="201" t="s">
        <v>303</v>
      </c>
      <c r="B27" s="201" t="s">
        <v>542</v>
      </c>
      <c r="C27" s="201" t="s">
        <v>543</v>
      </c>
      <c r="D27" s="201" t="s">
        <v>544</v>
      </c>
      <c r="E27" s="17">
        <v>253780</v>
      </c>
    </row>
    <row r="28" spans="1:5" x14ac:dyDescent="0.15">
      <c r="A28" s="201" t="s">
        <v>303</v>
      </c>
      <c r="B28" s="201" t="s">
        <v>545</v>
      </c>
      <c r="C28" s="201" t="s">
        <v>546</v>
      </c>
      <c r="D28" s="201" t="s">
        <v>547</v>
      </c>
      <c r="E28" s="17">
        <v>39255</v>
      </c>
    </row>
    <row r="29" spans="1:5" x14ac:dyDescent="0.15">
      <c r="A29" s="201" t="s">
        <v>303</v>
      </c>
      <c r="B29" s="201" t="s">
        <v>548</v>
      </c>
      <c r="C29" s="201" t="s">
        <v>549</v>
      </c>
      <c r="D29" s="201" t="s">
        <v>550</v>
      </c>
      <c r="E29" s="17">
        <v>48232</v>
      </c>
    </row>
    <row r="30" spans="1:5" x14ac:dyDescent="0.15">
      <c r="A30" s="201" t="s">
        <v>303</v>
      </c>
      <c r="B30" s="201" t="s">
        <v>551</v>
      </c>
      <c r="C30" s="201" t="s">
        <v>552</v>
      </c>
      <c r="D30" s="201" t="s">
        <v>553</v>
      </c>
      <c r="E30" s="17">
        <v>293986</v>
      </c>
    </row>
    <row r="31" spans="1:5" x14ac:dyDescent="0.15">
      <c r="A31" s="201" t="s">
        <v>303</v>
      </c>
      <c r="B31" s="201" t="s">
        <v>554</v>
      </c>
      <c r="C31" s="201" t="s">
        <v>555</v>
      </c>
      <c r="D31" s="201" t="s">
        <v>556</v>
      </c>
      <c r="E31" s="17">
        <v>42567</v>
      </c>
    </row>
    <row r="32" spans="1:5" x14ac:dyDescent="0.15">
      <c r="A32" s="201" t="s">
        <v>18</v>
      </c>
      <c r="B32" s="201" t="s">
        <v>557</v>
      </c>
      <c r="C32" s="201" t="s">
        <v>558</v>
      </c>
      <c r="D32" s="201" t="s">
        <v>559</v>
      </c>
      <c r="E32" s="17">
        <v>154093</v>
      </c>
    </row>
    <row r="33" spans="1:5" x14ac:dyDescent="0.15">
      <c r="A33" s="201" t="s">
        <v>18</v>
      </c>
      <c r="B33" s="201" t="s">
        <v>560</v>
      </c>
      <c r="C33" s="201" t="s">
        <v>18</v>
      </c>
      <c r="D33" s="201" t="s">
        <v>561</v>
      </c>
      <c r="E33" s="17">
        <v>10625</v>
      </c>
    </row>
    <row r="34" spans="1:5" x14ac:dyDescent="0.15">
      <c r="A34" s="201" t="s">
        <v>18</v>
      </c>
      <c r="B34" s="201" t="s">
        <v>562</v>
      </c>
      <c r="C34" s="201" t="s">
        <v>18</v>
      </c>
      <c r="D34" s="201" t="s">
        <v>561</v>
      </c>
      <c r="E34" s="17">
        <v>157616</v>
      </c>
    </row>
    <row r="35" spans="1:5" ht="31.5" x14ac:dyDescent="0.15">
      <c r="A35" s="201" t="s">
        <v>18</v>
      </c>
      <c r="B35" s="201" t="s">
        <v>563</v>
      </c>
      <c r="C35" s="201" t="s">
        <v>564</v>
      </c>
      <c r="D35" s="201" t="s">
        <v>565</v>
      </c>
      <c r="E35" s="17">
        <v>1742000</v>
      </c>
    </row>
    <row r="36" spans="1:5" ht="21.75" x14ac:dyDescent="0.15">
      <c r="A36" s="201" t="s">
        <v>19</v>
      </c>
      <c r="B36" s="201" t="s">
        <v>566</v>
      </c>
      <c r="C36" s="201" t="s">
        <v>567</v>
      </c>
      <c r="D36" s="201" t="s">
        <v>568</v>
      </c>
      <c r="E36" s="17">
        <v>3525901</v>
      </c>
    </row>
    <row r="37" spans="1:5" ht="21" x14ac:dyDescent="0.15">
      <c r="A37" s="201" t="s">
        <v>19</v>
      </c>
      <c r="B37" s="201" t="s">
        <v>569</v>
      </c>
      <c r="C37" s="201" t="s">
        <v>570</v>
      </c>
      <c r="D37" s="201" t="s">
        <v>571</v>
      </c>
      <c r="E37" s="17">
        <v>181414</v>
      </c>
    </row>
    <row r="38" spans="1:5" x14ac:dyDescent="0.15">
      <c r="A38" s="201" t="s">
        <v>19</v>
      </c>
      <c r="B38" s="201" t="s">
        <v>572</v>
      </c>
      <c r="C38" s="201" t="s">
        <v>19</v>
      </c>
      <c r="D38" s="201" t="s">
        <v>573</v>
      </c>
      <c r="E38" s="17">
        <v>5030</v>
      </c>
    </row>
    <row r="39" spans="1:5" ht="31.5" x14ac:dyDescent="0.15">
      <c r="A39" s="201" t="s">
        <v>19</v>
      </c>
      <c r="B39" s="201" t="s">
        <v>574</v>
      </c>
      <c r="C39" s="201" t="s">
        <v>575</v>
      </c>
      <c r="D39" s="201" t="s">
        <v>576</v>
      </c>
      <c r="E39" s="17">
        <v>1460000</v>
      </c>
    </row>
    <row r="40" spans="1:5" ht="21" x14ac:dyDescent="0.15">
      <c r="A40" s="201" t="s">
        <v>19</v>
      </c>
      <c r="B40" s="201" t="s">
        <v>577</v>
      </c>
      <c r="C40" s="201" t="s">
        <v>578</v>
      </c>
      <c r="D40" s="201" t="s">
        <v>579</v>
      </c>
      <c r="E40" s="17">
        <v>63093</v>
      </c>
    </row>
    <row r="41" spans="1:5" ht="21" x14ac:dyDescent="0.15">
      <c r="A41" s="201" t="s">
        <v>19</v>
      </c>
      <c r="B41" s="201" t="s">
        <v>580</v>
      </c>
      <c r="C41" s="201" t="s">
        <v>581</v>
      </c>
      <c r="D41" s="201" t="s">
        <v>582</v>
      </c>
      <c r="E41" s="17">
        <v>150587</v>
      </c>
    </row>
    <row r="44" spans="1:5" s="1983" customFormat="1" ht="10.5" customHeight="1" x14ac:dyDescent="0.15">
      <c r="A44" s="1983" t="s">
        <v>4186</v>
      </c>
    </row>
    <row r="45" spans="1:5" s="1983" customFormat="1" ht="10.5" customHeight="1" x14ac:dyDescent="0.15">
      <c r="A45" s="1983" t="s">
        <v>4187</v>
      </c>
    </row>
    <row r="46" spans="1:5" s="1983" customFormat="1" ht="10.5" customHeight="1" x14ac:dyDescent="0.15">
      <c r="A46" s="1983" t="s">
        <v>4188</v>
      </c>
    </row>
    <row r="47" spans="1:5" s="1983" customFormat="1" x14ac:dyDescent="0.15">
      <c r="A47" s="1983" t="s">
        <v>4189</v>
      </c>
    </row>
    <row r="48" spans="1:5" s="1983" customFormat="1" x14ac:dyDescent="0.15">
      <c r="A48" s="1983" t="s">
        <v>456</v>
      </c>
    </row>
    <row r="55" spans="2:2" x14ac:dyDescent="0.15">
      <c r="B55" s="202"/>
    </row>
  </sheetData>
  <mergeCells count="1">
    <mergeCell ref="A2:E2"/>
  </mergeCells>
  <pageMargins left="0.7" right="0.7" top="0.75" bottom="0.75" header="0.3" footer="0.3"/>
  <pageSetup paperSize="9" orientation="portrait" verticalDpi="599"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E57"/>
  <sheetViews>
    <sheetView zoomScaleNormal="100" workbookViewId="0">
      <selection activeCell="A2" sqref="A2:E2"/>
    </sheetView>
  </sheetViews>
  <sheetFormatPr baseColWidth="10" defaultRowHeight="10.5" x14ac:dyDescent="0.15"/>
  <cols>
    <col min="1" max="1" width="19.28515625" style="180" customWidth="1"/>
    <col min="2" max="2" width="26" style="180" customWidth="1"/>
    <col min="3" max="3" width="26.7109375" style="180" customWidth="1"/>
    <col min="4" max="4" width="35.28515625" style="180" customWidth="1"/>
    <col min="5" max="5" width="16.28515625" style="203" customWidth="1"/>
    <col min="6" max="16384" width="11.42578125" style="180"/>
  </cols>
  <sheetData>
    <row r="1" spans="1:5" x14ac:dyDescent="0.15">
      <c r="A1" s="179"/>
    </row>
    <row r="2" spans="1:5" s="204" customFormat="1" ht="15" customHeight="1" x14ac:dyDescent="0.15">
      <c r="A2" s="2498" t="s">
        <v>583</v>
      </c>
      <c r="B2" s="2498"/>
      <c r="C2" s="2498"/>
      <c r="D2" s="2498"/>
      <c r="E2" s="2498"/>
    </row>
    <row r="3" spans="1:5" s="204" customFormat="1" ht="15" customHeight="1" x14ac:dyDescent="0.15">
      <c r="E3" s="205"/>
    </row>
    <row r="4" spans="1:5" s="196" customFormat="1" ht="18.75" customHeight="1" x14ac:dyDescent="0.15">
      <c r="A4" s="206" t="s">
        <v>1</v>
      </c>
      <c r="B4" s="206" t="s">
        <v>482</v>
      </c>
      <c r="C4" s="206" t="s">
        <v>483</v>
      </c>
      <c r="D4" s="206" t="s">
        <v>484</v>
      </c>
      <c r="E4" s="198" t="s">
        <v>476</v>
      </c>
    </row>
    <row r="5" spans="1:5" s="196" customFormat="1" ht="15" customHeight="1" x14ac:dyDescent="0.15">
      <c r="A5" s="207" t="s">
        <v>141</v>
      </c>
      <c r="B5" s="207"/>
      <c r="C5" s="207"/>
      <c r="D5" s="207"/>
      <c r="E5" s="208">
        <f>SUM(E6:E54)</f>
        <v>5428980.2999999998</v>
      </c>
    </row>
    <row r="6" spans="1:5" s="211" customFormat="1" x14ac:dyDescent="0.15">
      <c r="A6" s="209" t="s">
        <v>5</v>
      </c>
      <c r="B6" s="209" t="s">
        <v>584</v>
      </c>
      <c r="C6" s="209" t="s">
        <v>486</v>
      </c>
      <c r="D6" s="209" t="s">
        <v>487</v>
      </c>
      <c r="E6" s="210">
        <v>209131</v>
      </c>
    </row>
    <row r="7" spans="1:5" s="211" customFormat="1" ht="21" x14ac:dyDescent="0.15">
      <c r="A7" s="209" t="s">
        <v>6</v>
      </c>
      <c r="B7" s="209" t="s">
        <v>585</v>
      </c>
      <c r="C7" s="209" t="s">
        <v>489</v>
      </c>
      <c r="D7" s="209" t="s">
        <v>586</v>
      </c>
      <c r="E7" s="210">
        <v>127149</v>
      </c>
    </row>
    <row r="8" spans="1:5" s="211" customFormat="1" x14ac:dyDescent="0.15">
      <c r="A8" s="209" t="s">
        <v>7</v>
      </c>
      <c r="B8" s="209" t="s">
        <v>587</v>
      </c>
      <c r="C8" s="209" t="s">
        <v>7</v>
      </c>
      <c r="D8" s="209" t="s">
        <v>7</v>
      </c>
      <c r="E8" s="210">
        <v>2583</v>
      </c>
    </row>
    <row r="9" spans="1:5" s="211" customFormat="1" ht="21" x14ac:dyDescent="0.15">
      <c r="A9" s="209" t="s">
        <v>7</v>
      </c>
      <c r="B9" s="209" t="s">
        <v>588</v>
      </c>
      <c r="C9" s="209" t="s">
        <v>589</v>
      </c>
      <c r="D9" s="209" t="s">
        <v>590</v>
      </c>
      <c r="E9" s="210">
        <v>73987</v>
      </c>
    </row>
    <row r="10" spans="1:5" s="211" customFormat="1" ht="21" x14ac:dyDescent="0.15">
      <c r="A10" s="209" t="s">
        <v>9</v>
      </c>
      <c r="B10" s="209" t="s">
        <v>591</v>
      </c>
      <c r="C10" s="209" t="s">
        <v>592</v>
      </c>
      <c r="D10" s="209" t="s">
        <v>593</v>
      </c>
      <c r="E10" s="210">
        <v>4229</v>
      </c>
    </row>
    <row r="11" spans="1:5" s="211" customFormat="1" ht="21.75" x14ac:dyDescent="0.15">
      <c r="A11" s="209" t="s">
        <v>9</v>
      </c>
      <c r="B11" s="209" t="s">
        <v>594</v>
      </c>
      <c r="C11" s="209" t="s">
        <v>595</v>
      </c>
      <c r="D11" s="209" t="s">
        <v>596</v>
      </c>
      <c r="E11" s="210">
        <v>859</v>
      </c>
    </row>
    <row r="12" spans="1:5" s="211" customFormat="1" x14ac:dyDescent="0.15">
      <c r="A12" s="209" t="s">
        <v>10</v>
      </c>
      <c r="B12" s="209" t="s">
        <v>597</v>
      </c>
      <c r="C12" s="209" t="s">
        <v>598</v>
      </c>
      <c r="D12" s="209" t="s">
        <v>598</v>
      </c>
      <c r="E12" s="210">
        <v>10175</v>
      </c>
    </row>
    <row r="13" spans="1:5" s="211" customFormat="1" ht="21" x14ac:dyDescent="0.15">
      <c r="A13" s="209" t="s">
        <v>10</v>
      </c>
      <c r="B13" s="209" t="s">
        <v>599</v>
      </c>
      <c r="C13" s="209" t="s">
        <v>10</v>
      </c>
      <c r="D13" s="209" t="s">
        <v>10</v>
      </c>
      <c r="E13" s="210">
        <v>9094</v>
      </c>
    </row>
    <row r="14" spans="1:5" s="211" customFormat="1" x14ac:dyDescent="0.15">
      <c r="A14" s="209" t="s">
        <v>10</v>
      </c>
      <c r="B14" s="209" t="s">
        <v>600</v>
      </c>
      <c r="C14" s="209" t="s">
        <v>601</v>
      </c>
      <c r="D14" s="209" t="s">
        <v>601</v>
      </c>
      <c r="E14" s="210">
        <v>520</v>
      </c>
    </row>
    <row r="15" spans="1:5" s="211" customFormat="1" x14ac:dyDescent="0.15">
      <c r="A15" s="209" t="s">
        <v>11</v>
      </c>
      <c r="B15" s="209" t="s">
        <v>602</v>
      </c>
      <c r="C15" s="209" t="s">
        <v>603</v>
      </c>
      <c r="D15" s="209" t="s">
        <v>604</v>
      </c>
      <c r="E15" s="210">
        <v>10185</v>
      </c>
    </row>
    <row r="16" spans="1:5" s="211" customFormat="1" ht="21" x14ac:dyDescent="0.15">
      <c r="A16" s="209" t="s">
        <v>12</v>
      </c>
      <c r="B16" s="209" t="s">
        <v>605</v>
      </c>
      <c r="C16" s="209" t="s">
        <v>606</v>
      </c>
      <c r="D16" s="209" t="s">
        <v>607</v>
      </c>
      <c r="E16" s="210">
        <v>5870</v>
      </c>
    </row>
    <row r="17" spans="1:5" s="211" customFormat="1" ht="21" x14ac:dyDescent="0.15">
      <c r="A17" s="209" t="s">
        <v>12</v>
      </c>
      <c r="B17" s="209" t="s">
        <v>608</v>
      </c>
      <c r="C17" s="209" t="s">
        <v>514</v>
      </c>
      <c r="D17" s="209" t="s">
        <v>609</v>
      </c>
      <c r="E17" s="210">
        <v>36882</v>
      </c>
    </row>
    <row r="18" spans="1:5" s="211" customFormat="1" ht="21" x14ac:dyDescent="0.15">
      <c r="A18" s="209" t="s">
        <v>13</v>
      </c>
      <c r="B18" s="209" t="s">
        <v>610</v>
      </c>
      <c r="C18" s="209" t="s">
        <v>517</v>
      </c>
      <c r="D18" s="209" t="s">
        <v>611</v>
      </c>
      <c r="E18" s="210">
        <v>604</v>
      </c>
    </row>
    <row r="19" spans="1:5" s="211" customFormat="1" ht="21" x14ac:dyDescent="0.15">
      <c r="A19" s="209" t="s">
        <v>13</v>
      </c>
      <c r="B19" s="209" t="s">
        <v>612</v>
      </c>
      <c r="C19" s="209" t="s">
        <v>517</v>
      </c>
      <c r="D19" s="209" t="s">
        <v>518</v>
      </c>
      <c r="E19" s="211">
        <v>1009.34</v>
      </c>
    </row>
    <row r="20" spans="1:5" s="211" customFormat="1" ht="21" x14ac:dyDescent="0.15">
      <c r="A20" s="209" t="s">
        <v>13</v>
      </c>
      <c r="B20" s="209" t="s">
        <v>613</v>
      </c>
      <c r="C20" s="209" t="s">
        <v>614</v>
      </c>
      <c r="D20" s="209" t="s">
        <v>615</v>
      </c>
      <c r="E20" s="210">
        <v>12163</v>
      </c>
    </row>
    <row r="21" spans="1:5" s="211" customFormat="1" x14ac:dyDescent="0.15">
      <c r="A21" s="209" t="s">
        <v>13</v>
      </c>
      <c r="B21" s="209" t="s">
        <v>616</v>
      </c>
      <c r="C21" s="209" t="s">
        <v>617</v>
      </c>
      <c r="D21" s="209" t="s">
        <v>618</v>
      </c>
      <c r="E21" s="210">
        <v>45</v>
      </c>
    </row>
    <row r="22" spans="1:5" s="211" customFormat="1" ht="21" x14ac:dyDescent="0.15">
      <c r="A22" s="209" t="s">
        <v>13</v>
      </c>
      <c r="B22" s="209" t="s">
        <v>619</v>
      </c>
      <c r="C22" s="209" t="s">
        <v>620</v>
      </c>
      <c r="D22" s="209" t="s">
        <v>621</v>
      </c>
      <c r="E22" s="210">
        <v>417</v>
      </c>
    </row>
    <row r="23" spans="1:5" s="211" customFormat="1" ht="21" x14ac:dyDescent="0.15">
      <c r="A23" s="209" t="s">
        <v>13</v>
      </c>
      <c r="B23" s="209" t="s">
        <v>622</v>
      </c>
      <c r="C23" s="209" t="s">
        <v>623</v>
      </c>
      <c r="D23" s="209" t="s">
        <v>624</v>
      </c>
      <c r="E23" s="210">
        <v>145</v>
      </c>
    </row>
    <row r="24" spans="1:5" s="211" customFormat="1" x14ac:dyDescent="0.15">
      <c r="A24" s="209" t="s">
        <v>13</v>
      </c>
      <c r="B24" s="209" t="s">
        <v>625</v>
      </c>
      <c r="C24" s="209" t="s">
        <v>623</v>
      </c>
      <c r="D24" s="209" t="s">
        <v>626</v>
      </c>
      <c r="E24" s="210">
        <v>147</v>
      </c>
    </row>
    <row r="25" spans="1:5" s="211" customFormat="1" x14ac:dyDescent="0.15">
      <c r="A25" s="201" t="s">
        <v>14</v>
      </c>
      <c r="B25" s="209" t="s">
        <v>627</v>
      </c>
      <c r="C25" s="209" t="s">
        <v>628</v>
      </c>
      <c r="D25" s="209" t="s">
        <v>629</v>
      </c>
      <c r="E25" s="211">
        <v>2181.66</v>
      </c>
    </row>
    <row r="26" spans="1:5" s="211" customFormat="1" ht="21" x14ac:dyDescent="0.15">
      <c r="A26" s="201" t="s">
        <v>14</v>
      </c>
      <c r="B26" s="209" t="s">
        <v>630</v>
      </c>
      <c r="C26" s="209" t="s">
        <v>631</v>
      </c>
      <c r="D26" s="209" t="s">
        <v>632</v>
      </c>
      <c r="E26" s="211">
        <v>2020.8</v>
      </c>
    </row>
    <row r="27" spans="1:5" s="211" customFormat="1" x14ac:dyDescent="0.15">
      <c r="A27" s="201" t="s">
        <v>14</v>
      </c>
      <c r="B27" s="209" t="s">
        <v>633</v>
      </c>
      <c r="C27" s="209" t="s">
        <v>634</v>
      </c>
      <c r="D27" s="209" t="s">
        <v>635</v>
      </c>
      <c r="E27" s="210">
        <v>55948</v>
      </c>
    </row>
    <row r="28" spans="1:5" s="211" customFormat="1" x14ac:dyDescent="0.15">
      <c r="A28" s="201" t="s">
        <v>14</v>
      </c>
      <c r="B28" s="209" t="s">
        <v>636</v>
      </c>
      <c r="C28" s="201" t="s">
        <v>14</v>
      </c>
      <c r="D28" s="209" t="s">
        <v>637</v>
      </c>
      <c r="E28" s="210">
        <v>12421</v>
      </c>
    </row>
    <row r="29" spans="1:5" s="211" customFormat="1" ht="21" x14ac:dyDescent="0.15">
      <c r="A29" s="201" t="s">
        <v>14</v>
      </c>
      <c r="B29" s="209" t="s">
        <v>638</v>
      </c>
      <c r="C29" s="201" t="s">
        <v>14</v>
      </c>
      <c r="D29" s="209" t="s">
        <v>639</v>
      </c>
      <c r="E29" s="210">
        <v>18856</v>
      </c>
    </row>
    <row r="30" spans="1:5" s="211" customFormat="1" x14ac:dyDescent="0.15">
      <c r="A30" s="201" t="s">
        <v>14</v>
      </c>
      <c r="B30" s="209" t="s">
        <v>640</v>
      </c>
      <c r="C30" s="209" t="s">
        <v>641</v>
      </c>
      <c r="D30" s="209" t="s">
        <v>642</v>
      </c>
      <c r="E30" s="210">
        <v>3037</v>
      </c>
    </row>
    <row r="31" spans="1:5" s="211" customFormat="1" x14ac:dyDescent="0.15">
      <c r="A31" s="209" t="s">
        <v>350</v>
      </c>
      <c r="B31" s="209" t="s">
        <v>643</v>
      </c>
      <c r="C31" s="209" t="s">
        <v>525</v>
      </c>
      <c r="D31" s="209" t="s">
        <v>644</v>
      </c>
      <c r="E31" s="210">
        <v>16625</v>
      </c>
    </row>
    <row r="32" spans="1:5" s="211" customFormat="1" x14ac:dyDescent="0.15">
      <c r="A32" s="209" t="s">
        <v>350</v>
      </c>
      <c r="B32" s="209" t="s">
        <v>645</v>
      </c>
      <c r="C32" s="209" t="s">
        <v>525</v>
      </c>
      <c r="D32" s="209" t="s">
        <v>646</v>
      </c>
      <c r="E32" s="210">
        <v>33050</v>
      </c>
    </row>
    <row r="33" spans="1:5" s="211" customFormat="1" x14ac:dyDescent="0.15">
      <c r="A33" s="209" t="s">
        <v>350</v>
      </c>
      <c r="B33" s="209" t="s">
        <v>647</v>
      </c>
      <c r="C33" s="209" t="s">
        <v>525</v>
      </c>
      <c r="D33" s="209" t="s">
        <v>646</v>
      </c>
      <c r="E33" s="210">
        <v>17530</v>
      </c>
    </row>
    <row r="34" spans="1:5" s="211" customFormat="1" ht="21" x14ac:dyDescent="0.15">
      <c r="A34" s="209" t="s">
        <v>350</v>
      </c>
      <c r="B34" s="209" t="s">
        <v>648</v>
      </c>
      <c r="C34" s="209" t="s">
        <v>525</v>
      </c>
      <c r="D34" s="209" t="s">
        <v>649</v>
      </c>
      <c r="E34" s="210">
        <v>12789</v>
      </c>
    </row>
    <row r="35" spans="1:5" s="211" customFormat="1" ht="21" x14ac:dyDescent="0.15">
      <c r="A35" s="209" t="s">
        <v>350</v>
      </c>
      <c r="B35" s="209" t="s">
        <v>650</v>
      </c>
      <c r="C35" s="209" t="s">
        <v>531</v>
      </c>
      <c r="D35" s="209" t="s">
        <v>651</v>
      </c>
      <c r="E35" s="210">
        <v>12825</v>
      </c>
    </row>
    <row r="36" spans="1:5" s="211" customFormat="1" x14ac:dyDescent="0.15">
      <c r="A36" s="209" t="s">
        <v>350</v>
      </c>
      <c r="B36" s="209" t="s">
        <v>652</v>
      </c>
      <c r="C36" s="209" t="s">
        <v>531</v>
      </c>
      <c r="D36" s="209" t="s">
        <v>653</v>
      </c>
      <c r="E36" s="210">
        <v>72462</v>
      </c>
    </row>
    <row r="37" spans="1:5" s="211" customFormat="1" ht="21" x14ac:dyDescent="0.15">
      <c r="A37" s="209" t="s">
        <v>301</v>
      </c>
      <c r="B37" s="209" t="s">
        <v>654</v>
      </c>
      <c r="C37" s="209" t="s">
        <v>655</v>
      </c>
      <c r="D37" s="209" t="s">
        <v>656</v>
      </c>
      <c r="E37" s="210">
        <v>7537</v>
      </c>
    </row>
    <row r="38" spans="1:5" s="211" customFormat="1" x14ac:dyDescent="0.15">
      <c r="A38" s="209" t="s">
        <v>303</v>
      </c>
      <c r="B38" s="209" t="s">
        <v>657</v>
      </c>
      <c r="C38" s="209" t="s">
        <v>546</v>
      </c>
      <c r="D38" s="209" t="s">
        <v>658</v>
      </c>
      <c r="E38" s="210">
        <v>33972</v>
      </c>
    </row>
    <row r="39" spans="1:5" s="211" customFormat="1" x14ac:dyDescent="0.15">
      <c r="A39" s="209" t="s">
        <v>303</v>
      </c>
      <c r="B39" s="209" t="s">
        <v>659</v>
      </c>
      <c r="C39" s="209" t="s">
        <v>552</v>
      </c>
      <c r="D39" s="209" t="s">
        <v>660</v>
      </c>
      <c r="E39" s="210">
        <v>12065</v>
      </c>
    </row>
    <row r="40" spans="1:5" s="211" customFormat="1" x14ac:dyDescent="0.15">
      <c r="A40" s="209" t="s">
        <v>303</v>
      </c>
      <c r="B40" s="209" t="s">
        <v>661</v>
      </c>
      <c r="C40" s="209" t="s">
        <v>662</v>
      </c>
      <c r="D40" s="209" t="s">
        <v>663</v>
      </c>
      <c r="E40" s="210">
        <v>49415</v>
      </c>
    </row>
    <row r="41" spans="1:5" s="211" customFormat="1" ht="21" x14ac:dyDescent="0.15">
      <c r="A41" s="209" t="s">
        <v>18</v>
      </c>
      <c r="B41" s="209" t="s">
        <v>664</v>
      </c>
      <c r="C41" s="209" t="s">
        <v>665</v>
      </c>
      <c r="D41" s="209" t="s">
        <v>666</v>
      </c>
      <c r="E41" s="210">
        <v>18060</v>
      </c>
    </row>
    <row r="42" spans="1:5" s="211" customFormat="1" ht="21" x14ac:dyDescent="0.15">
      <c r="A42" s="209" t="s">
        <v>18</v>
      </c>
      <c r="B42" s="209" t="s">
        <v>667</v>
      </c>
      <c r="C42" s="209" t="s">
        <v>665</v>
      </c>
      <c r="D42" s="209" t="s">
        <v>668</v>
      </c>
      <c r="E42" s="210">
        <v>16516</v>
      </c>
    </row>
    <row r="43" spans="1:5" s="211" customFormat="1" ht="21" x14ac:dyDescent="0.15">
      <c r="A43" s="209" t="s">
        <v>18</v>
      </c>
      <c r="B43" s="209" t="s">
        <v>669</v>
      </c>
      <c r="C43" s="209" t="s">
        <v>18</v>
      </c>
      <c r="D43" s="209" t="s">
        <v>561</v>
      </c>
      <c r="E43" s="210">
        <v>12725</v>
      </c>
    </row>
    <row r="44" spans="1:5" s="211" customFormat="1" ht="21" x14ac:dyDescent="0.15">
      <c r="A44" s="209" t="s">
        <v>18</v>
      </c>
      <c r="B44" s="209" t="s">
        <v>670</v>
      </c>
      <c r="C44" s="209" t="s">
        <v>18</v>
      </c>
      <c r="D44" s="209" t="s">
        <v>671</v>
      </c>
      <c r="E44" s="210">
        <v>1097975</v>
      </c>
    </row>
    <row r="45" spans="1:5" s="211" customFormat="1" ht="21" x14ac:dyDescent="0.15">
      <c r="A45" s="209" t="s">
        <v>18</v>
      </c>
      <c r="B45" s="209" t="s">
        <v>672</v>
      </c>
      <c r="C45" s="209" t="s">
        <v>673</v>
      </c>
      <c r="D45" s="209" t="s">
        <v>673</v>
      </c>
      <c r="E45" s="211">
        <v>41620.5</v>
      </c>
    </row>
    <row r="46" spans="1:5" s="211" customFormat="1" x14ac:dyDescent="0.15">
      <c r="A46" s="209" t="s">
        <v>18</v>
      </c>
      <c r="B46" s="209" t="s">
        <v>674</v>
      </c>
      <c r="C46" s="209" t="s">
        <v>665</v>
      </c>
      <c r="D46" s="209" t="s">
        <v>665</v>
      </c>
      <c r="E46" s="210">
        <v>2150</v>
      </c>
    </row>
    <row r="47" spans="1:5" s="211" customFormat="1" x14ac:dyDescent="0.15">
      <c r="A47" s="209" t="s">
        <v>18</v>
      </c>
      <c r="B47" s="209" t="s">
        <v>675</v>
      </c>
      <c r="C47" s="209" t="s">
        <v>665</v>
      </c>
      <c r="D47" s="209" t="s">
        <v>665</v>
      </c>
      <c r="E47" s="210">
        <v>2305</v>
      </c>
    </row>
    <row r="48" spans="1:5" s="211" customFormat="1" ht="21" x14ac:dyDescent="0.15">
      <c r="A48" s="209" t="s">
        <v>18</v>
      </c>
      <c r="B48" s="209" t="s">
        <v>676</v>
      </c>
      <c r="C48" s="209" t="s">
        <v>677</v>
      </c>
      <c r="D48" s="209" t="s">
        <v>678</v>
      </c>
      <c r="E48" s="210">
        <v>179550</v>
      </c>
    </row>
    <row r="49" spans="1:5" s="211" customFormat="1" ht="21" x14ac:dyDescent="0.15">
      <c r="A49" s="209" t="s">
        <v>18</v>
      </c>
      <c r="B49" s="209" t="s">
        <v>679</v>
      </c>
      <c r="C49" s="209" t="s">
        <v>680</v>
      </c>
      <c r="D49" s="209" t="s">
        <v>681</v>
      </c>
      <c r="E49" s="210">
        <v>161100</v>
      </c>
    </row>
    <row r="50" spans="1:5" s="211" customFormat="1" ht="21" x14ac:dyDescent="0.15">
      <c r="A50" s="209" t="s">
        <v>18</v>
      </c>
      <c r="B50" s="209" t="s">
        <v>682</v>
      </c>
      <c r="C50" s="209" t="s">
        <v>683</v>
      </c>
      <c r="D50" s="209" t="s">
        <v>684</v>
      </c>
      <c r="E50" s="210">
        <v>8361</v>
      </c>
    </row>
    <row r="51" spans="1:5" s="211" customFormat="1" x14ac:dyDescent="0.15">
      <c r="A51" s="209" t="s">
        <v>18</v>
      </c>
      <c r="B51" s="209" t="s">
        <v>685</v>
      </c>
      <c r="C51" s="209" t="s">
        <v>683</v>
      </c>
      <c r="D51" s="209" t="s">
        <v>686</v>
      </c>
      <c r="E51" s="210">
        <v>674500</v>
      </c>
    </row>
    <row r="52" spans="1:5" s="211" customFormat="1" ht="21" x14ac:dyDescent="0.15">
      <c r="A52" s="209" t="s">
        <v>19</v>
      </c>
      <c r="B52" s="209" t="s">
        <v>687</v>
      </c>
      <c r="C52" s="209" t="s">
        <v>688</v>
      </c>
      <c r="D52" s="209" t="s">
        <v>689</v>
      </c>
      <c r="E52" s="210">
        <v>2313875</v>
      </c>
    </row>
    <row r="53" spans="1:5" s="211" customFormat="1" ht="21" x14ac:dyDescent="0.15">
      <c r="A53" s="209" t="s">
        <v>19</v>
      </c>
      <c r="B53" s="209" t="s">
        <v>690</v>
      </c>
      <c r="C53" s="209" t="s">
        <v>19</v>
      </c>
      <c r="D53" s="209" t="s">
        <v>691</v>
      </c>
      <c r="E53" s="210">
        <v>18814</v>
      </c>
    </row>
    <row r="54" spans="1:5" s="211" customFormat="1" x14ac:dyDescent="0.15">
      <c r="A54" s="209" t="s">
        <v>19</v>
      </c>
      <c r="B54" s="209" t="s">
        <v>692</v>
      </c>
      <c r="C54" s="209" t="s">
        <v>19</v>
      </c>
      <c r="D54" s="209" t="s">
        <v>691</v>
      </c>
      <c r="E54" s="210">
        <v>13500</v>
      </c>
    </row>
    <row r="55" spans="1:5" s="211" customFormat="1" x14ac:dyDescent="0.15">
      <c r="A55" s="209"/>
      <c r="B55" s="209"/>
      <c r="C55" s="209"/>
      <c r="D55" s="209"/>
      <c r="E55" s="210"/>
    </row>
    <row r="56" spans="1:5" s="1983" customFormat="1" ht="15" customHeight="1" x14ac:dyDescent="0.15">
      <c r="A56" s="2499" t="s">
        <v>4190</v>
      </c>
      <c r="B56" s="2499"/>
      <c r="C56" s="2499"/>
      <c r="D56" s="2499"/>
      <c r="E56" s="2499"/>
    </row>
    <row r="57" spans="1:5" ht="15" customHeight="1" x14ac:dyDescent="0.15">
      <c r="A57" s="179" t="s">
        <v>456</v>
      </c>
    </row>
  </sheetData>
  <mergeCells count="2">
    <mergeCell ref="A2:E2"/>
    <mergeCell ref="A56:E56"/>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E26"/>
  <sheetViews>
    <sheetView zoomScaleNormal="100" workbookViewId="0">
      <selection activeCell="A2" sqref="A2:E2"/>
    </sheetView>
  </sheetViews>
  <sheetFormatPr baseColWidth="10" defaultRowHeight="10.5" x14ac:dyDescent="0.15"/>
  <cols>
    <col min="1" max="1" width="16.85546875" style="180" customWidth="1"/>
    <col min="2" max="2" width="27.85546875" style="180" customWidth="1"/>
    <col min="3" max="3" width="15.42578125" style="180" customWidth="1"/>
    <col min="4" max="4" width="18.28515625" style="180" customWidth="1"/>
    <col min="5" max="5" width="10.7109375" style="179" customWidth="1"/>
    <col min="6" max="16384" width="11.42578125" style="180"/>
  </cols>
  <sheetData>
    <row r="1" spans="1:5" x14ac:dyDescent="0.15">
      <c r="A1" s="179"/>
    </row>
    <row r="2" spans="1:5" s="183" customFormat="1" ht="24" customHeight="1" x14ac:dyDescent="0.15">
      <c r="A2" s="2500" t="s">
        <v>693</v>
      </c>
      <c r="B2" s="2500"/>
      <c r="C2" s="2500"/>
      <c r="D2" s="2500"/>
      <c r="E2" s="2500"/>
    </row>
    <row r="4" spans="1:5" ht="23.25" customHeight="1" x14ac:dyDescent="0.15">
      <c r="A4" s="206" t="s">
        <v>1</v>
      </c>
      <c r="B4" s="181" t="s">
        <v>482</v>
      </c>
      <c r="C4" s="181" t="s">
        <v>483</v>
      </c>
      <c r="D4" s="181" t="s">
        <v>484</v>
      </c>
      <c r="E4" s="199" t="s">
        <v>476</v>
      </c>
    </row>
    <row r="5" spans="1:5" ht="15" customHeight="1" x14ac:dyDescent="0.15">
      <c r="A5" s="183" t="s">
        <v>141</v>
      </c>
      <c r="E5" s="200">
        <f>SUM(E6:E21)</f>
        <v>34429.14</v>
      </c>
    </row>
    <row r="6" spans="1:5" ht="21" x14ac:dyDescent="0.15">
      <c r="A6" s="212" t="s">
        <v>5</v>
      </c>
      <c r="B6" s="212" t="s">
        <v>694</v>
      </c>
      <c r="C6" s="212" t="s">
        <v>486</v>
      </c>
      <c r="D6" s="212" t="s">
        <v>487</v>
      </c>
      <c r="E6" s="17">
        <v>11298</v>
      </c>
    </row>
    <row r="7" spans="1:5" ht="21" x14ac:dyDescent="0.15">
      <c r="A7" s="212" t="s">
        <v>5</v>
      </c>
      <c r="B7" s="212" t="s">
        <v>695</v>
      </c>
      <c r="C7" s="212" t="s">
        <v>696</v>
      </c>
      <c r="D7" s="212" t="s">
        <v>696</v>
      </c>
      <c r="E7" s="17">
        <v>11326</v>
      </c>
    </row>
    <row r="8" spans="1:5" x14ac:dyDescent="0.15">
      <c r="A8" s="212" t="s">
        <v>7</v>
      </c>
      <c r="B8" s="212" t="s">
        <v>697</v>
      </c>
      <c r="C8" s="212" t="s">
        <v>7</v>
      </c>
      <c r="D8" s="212" t="s">
        <v>7</v>
      </c>
      <c r="E8" s="17">
        <v>31</v>
      </c>
    </row>
    <row r="9" spans="1:5" ht="21" x14ac:dyDescent="0.15">
      <c r="A9" s="212" t="s">
        <v>7</v>
      </c>
      <c r="B9" s="212" t="s">
        <v>698</v>
      </c>
      <c r="C9" s="212" t="s">
        <v>7</v>
      </c>
      <c r="D9" s="212" t="s">
        <v>7</v>
      </c>
      <c r="E9" s="17">
        <v>7533</v>
      </c>
    </row>
    <row r="10" spans="1:5" x14ac:dyDescent="0.15">
      <c r="A10" s="212" t="s">
        <v>9</v>
      </c>
      <c r="B10" s="212" t="s">
        <v>699</v>
      </c>
      <c r="C10" s="212" t="s">
        <v>503</v>
      </c>
      <c r="D10" s="212" t="s">
        <v>700</v>
      </c>
      <c r="E10" s="17">
        <v>128</v>
      </c>
    </row>
    <row r="11" spans="1:5" ht="21" x14ac:dyDescent="0.15">
      <c r="A11" s="212" t="s">
        <v>10</v>
      </c>
      <c r="B11" s="212" t="s">
        <v>701</v>
      </c>
      <c r="C11" s="212" t="s">
        <v>702</v>
      </c>
      <c r="D11" s="212" t="s">
        <v>703</v>
      </c>
      <c r="E11" s="213">
        <v>4.5</v>
      </c>
    </row>
    <row r="12" spans="1:5" x14ac:dyDescent="0.15">
      <c r="A12" s="212" t="s">
        <v>11</v>
      </c>
      <c r="B12" s="212" t="s">
        <v>704</v>
      </c>
      <c r="C12" s="212" t="s">
        <v>603</v>
      </c>
      <c r="D12" s="212" t="s">
        <v>705</v>
      </c>
      <c r="E12" s="17">
        <v>3009</v>
      </c>
    </row>
    <row r="13" spans="1:5" x14ac:dyDescent="0.15">
      <c r="A13" s="212" t="s">
        <v>350</v>
      </c>
      <c r="B13" s="212" t="s">
        <v>706</v>
      </c>
      <c r="C13" s="212" t="s">
        <v>525</v>
      </c>
      <c r="D13" s="212" t="s">
        <v>707</v>
      </c>
      <c r="E13" s="17">
        <v>82</v>
      </c>
    </row>
    <row r="14" spans="1:5" x14ac:dyDescent="0.15">
      <c r="A14" s="212" t="s">
        <v>350</v>
      </c>
      <c r="B14" s="212" t="s">
        <v>708</v>
      </c>
      <c r="C14" s="212" t="s">
        <v>531</v>
      </c>
      <c r="D14" s="212" t="s">
        <v>709</v>
      </c>
      <c r="E14" s="17">
        <v>89</v>
      </c>
    </row>
    <row r="15" spans="1:5" x14ac:dyDescent="0.15">
      <c r="A15" s="212" t="s">
        <v>303</v>
      </c>
      <c r="B15" s="212" t="s">
        <v>710</v>
      </c>
      <c r="C15" s="212" t="s">
        <v>546</v>
      </c>
      <c r="D15" s="212" t="s">
        <v>711</v>
      </c>
      <c r="E15" s="17">
        <v>200</v>
      </c>
    </row>
    <row r="16" spans="1:5" ht="21" x14ac:dyDescent="0.15">
      <c r="A16" s="212" t="s">
        <v>303</v>
      </c>
      <c r="B16" s="212" t="s">
        <v>712</v>
      </c>
      <c r="C16" s="212" t="s">
        <v>555</v>
      </c>
      <c r="D16" s="212" t="s">
        <v>713</v>
      </c>
      <c r="E16" s="213">
        <v>8.64</v>
      </c>
    </row>
    <row r="17" spans="1:5" ht="21" x14ac:dyDescent="0.15">
      <c r="A17" s="212" t="s">
        <v>18</v>
      </c>
      <c r="B17" s="212" t="s">
        <v>714</v>
      </c>
      <c r="C17" s="212" t="s">
        <v>18</v>
      </c>
      <c r="D17" s="212" t="s">
        <v>18</v>
      </c>
      <c r="E17" s="17">
        <v>228</v>
      </c>
    </row>
    <row r="18" spans="1:5" ht="21" x14ac:dyDescent="0.15">
      <c r="A18" s="212" t="s">
        <v>18</v>
      </c>
      <c r="B18" s="212" t="s">
        <v>715</v>
      </c>
      <c r="C18" s="212" t="s">
        <v>665</v>
      </c>
      <c r="D18" s="212" t="s">
        <v>665</v>
      </c>
      <c r="E18" s="17">
        <v>181</v>
      </c>
    </row>
    <row r="19" spans="1:5" ht="21" x14ac:dyDescent="0.15">
      <c r="A19" s="212" t="s">
        <v>19</v>
      </c>
      <c r="B19" s="212" t="s">
        <v>716</v>
      </c>
      <c r="C19" s="212" t="s">
        <v>717</v>
      </c>
      <c r="D19" s="212" t="s">
        <v>718</v>
      </c>
      <c r="E19" s="17">
        <v>189</v>
      </c>
    </row>
    <row r="20" spans="1:5" ht="21" x14ac:dyDescent="0.15">
      <c r="A20" s="212" t="s">
        <v>19</v>
      </c>
      <c r="B20" s="212" t="s">
        <v>719</v>
      </c>
      <c r="C20" s="212" t="s">
        <v>19</v>
      </c>
      <c r="D20" s="212" t="s">
        <v>691</v>
      </c>
      <c r="E20" s="17">
        <v>97</v>
      </c>
    </row>
    <row r="21" spans="1:5" ht="21" x14ac:dyDescent="0.15">
      <c r="A21" s="212" t="s">
        <v>19</v>
      </c>
      <c r="B21" s="212" t="s">
        <v>720</v>
      </c>
      <c r="C21" s="212" t="s">
        <v>721</v>
      </c>
      <c r="D21" s="212" t="s">
        <v>722</v>
      </c>
      <c r="E21" s="17">
        <v>25</v>
      </c>
    </row>
    <row r="22" spans="1:5" ht="24" customHeight="1" x14ac:dyDescent="0.15"/>
    <row r="23" spans="1:5" s="179" customFormat="1" x14ac:dyDescent="0.15">
      <c r="A23" s="2501" t="s">
        <v>456</v>
      </c>
      <c r="B23" s="2501"/>
      <c r="C23" s="2501"/>
      <c r="D23" s="2501"/>
      <c r="E23" s="2501"/>
    </row>
    <row r="24" spans="1:5" s="179" customFormat="1" x14ac:dyDescent="0.15"/>
    <row r="25" spans="1:5" s="179" customFormat="1" x14ac:dyDescent="0.15"/>
    <row r="26" spans="1:5" s="179" customFormat="1" x14ac:dyDescent="0.15"/>
  </sheetData>
  <mergeCells count="2">
    <mergeCell ref="A2:E2"/>
    <mergeCell ref="A23:E2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G12"/>
  <sheetViews>
    <sheetView zoomScaleNormal="100" workbookViewId="0">
      <selection activeCell="E18" sqref="E18"/>
    </sheetView>
  </sheetViews>
  <sheetFormatPr baseColWidth="10" defaultRowHeight="10.5" x14ac:dyDescent="0.15"/>
  <cols>
    <col min="1" max="1" width="15.7109375" style="180" customWidth="1"/>
    <col min="2" max="2" width="13" style="180" bestFit="1" customWidth="1"/>
    <col min="3" max="3" width="11.42578125" style="180"/>
    <col min="4" max="4" width="21.28515625" style="180" customWidth="1"/>
    <col min="5" max="5" width="11.42578125" style="180"/>
    <col min="6" max="6" width="11.85546875" style="180" bestFit="1" customWidth="1"/>
    <col min="7" max="16384" width="11.42578125" style="180"/>
  </cols>
  <sheetData>
    <row r="1" spans="1:7" x14ac:dyDescent="0.15">
      <c r="A1" s="179"/>
    </row>
    <row r="2" spans="1:7" s="190" customFormat="1" ht="39.75" customHeight="1" x14ac:dyDescent="0.15">
      <c r="A2" s="2503" t="s">
        <v>4191</v>
      </c>
      <c r="B2" s="2503"/>
      <c r="C2" s="2503"/>
      <c r="D2" s="2503"/>
      <c r="E2" s="2503"/>
      <c r="F2" s="2503"/>
      <c r="G2" s="2503"/>
    </row>
    <row r="4" spans="1:7" ht="33.75" customHeight="1" x14ac:dyDescent="0.15">
      <c r="A4" s="2488" t="s">
        <v>723</v>
      </c>
      <c r="B4" s="2488" t="s">
        <v>69</v>
      </c>
      <c r="C4" s="2488"/>
      <c r="D4" s="2488" t="s">
        <v>724</v>
      </c>
      <c r="E4" s="2488"/>
      <c r="F4" s="2488" t="s">
        <v>725</v>
      </c>
      <c r="G4" s="2488"/>
    </row>
    <row r="5" spans="1:7" x14ac:dyDescent="0.15">
      <c r="A5" s="2488"/>
      <c r="B5" s="181" t="s">
        <v>726</v>
      </c>
      <c r="C5" s="181" t="s">
        <v>727</v>
      </c>
      <c r="D5" s="181" t="s">
        <v>726</v>
      </c>
      <c r="E5" s="181" t="s">
        <v>727</v>
      </c>
      <c r="F5" s="181" t="s">
        <v>726</v>
      </c>
      <c r="G5" s="181" t="s">
        <v>727</v>
      </c>
    </row>
    <row r="6" spans="1:7" s="183" customFormat="1" x14ac:dyDescent="0.15">
      <c r="A6" s="191" t="s">
        <v>141</v>
      </c>
      <c r="B6" s="215">
        <f t="shared" ref="B6:G6" si="0">SUM(B7:B8)</f>
        <v>11429106</v>
      </c>
      <c r="C6" s="216">
        <f>SUM(C7:C8)</f>
        <v>1</v>
      </c>
      <c r="D6" s="215">
        <f t="shared" si="0"/>
        <v>4548232</v>
      </c>
      <c r="E6" s="216">
        <f t="shared" si="0"/>
        <v>1</v>
      </c>
      <c r="F6" s="215">
        <f t="shared" si="0"/>
        <v>6880874</v>
      </c>
      <c r="G6" s="216">
        <f t="shared" si="0"/>
        <v>1</v>
      </c>
    </row>
    <row r="7" spans="1:7" x14ac:dyDescent="0.15">
      <c r="A7" s="179" t="s">
        <v>728</v>
      </c>
      <c r="B7" s="217">
        <v>8462070</v>
      </c>
      <c r="C7" s="218">
        <f>B7/B6</f>
        <v>0.74039649295404208</v>
      </c>
      <c r="D7" s="217">
        <v>4548232</v>
      </c>
      <c r="E7" s="218">
        <f>D7/D6</f>
        <v>1</v>
      </c>
      <c r="F7" s="217">
        <v>3913838</v>
      </c>
      <c r="G7" s="218">
        <f>F7/F6</f>
        <v>0.56879954494152918</v>
      </c>
    </row>
    <row r="8" spans="1:7" x14ac:dyDescent="0.15">
      <c r="A8" s="179" t="s">
        <v>729</v>
      </c>
      <c r="B8" s="217">
        <v>2967036</v>
      </c>
      <c r="C8" s="218">
        <f>B8/B6</f>
        <v>0.25960350704595792</v>
      </c>
      <c r="D8" s="219" t="s">
        <v>181</v>
      </c>
      <c r="E8" s="220" t="s">
        <v>181</v>
      </c>
      <c r="F8" s="217">
        <v>2967036</v>
      </c>
      <c r="G8" s="218">
        <f>F8/F6</f>
        <v>0.43120045505847077</v>
      </c>
    </row>
    <row r="10" spans="1:7" ht="31.5" customHeight="1" x14ac:dyDescent="0.15">
      <c r="A10" s="2504" t="s">
        <v>730</v>
      </c>
      <c r="B10" s="2504"/>
      <c r="C10" s="2504"/>
      <c r="D10" s="2504"/>
      <c r="E10" s="2504"/>
      <c r="F10" s="2504"/>
      <c r="G10" s="2504"/>
    </row>
    <row r="11" spans="1:7" x14ac:dyDescent="0.15">
      <c r="A11" s="2502" t="s">
        <v>731</v>
      </c>
      <c r="B11" s="2502"/>
      <c r="C11" s="2502"/>
      <c r="D11" s="2502"/>
      <c r="E11" s="2502"/>
      <c r="F11" s="2502"/>
      <c r="G11" s="2502"/>
    </row>
    <row r="12" spans="1:7" x14ac:dyDescent="0.15">
      <c r="A12" s="2496" t="s">
        <v>456</v>
      </c>
      <c r="B12" s="2496"/>
      <c r="C12" s="2496"/>
      <c r="D12" s="2496"/>
      <c r="E12" s="2496"/>
      <c r="F12" s="2496"/>
      <c r="G12" s="2496"/>
    </row>
  </sheetData>
  <mergeCells count="8">
    <mergeCell ref="A11:G11"/>
    <mergeCell ref="A12:G12"/>
    <mergeCell ref="A2:G2"/>
    <mergeCell ref="A4:A5"/>
    <mergeCell ref="B4:C4"/>
    <mergeCell ref="D4:E4"/>
    <mergeCell ref="F4:G4"/>
    <mergeCell ref="A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G18"/>
  <sheetViews>
    <sheetView zoomScaleNormal="100" workbookViewId="0">
      <selection activeCell="A2" sqref="A2:E2"/>
    </sheetView>
  </sheetViews>
  <sheetFormatPr baseColWidth="10" defaultRowHeight="10.5" x14ac:dyDescent="0.15"/>
  <cols>
    <col min="1" max="1" width="22" style="180" customWidth="1"/>
    <col min="2" max="2" width="45.85546875" style="180" customWidth="1"/>
    <col min="3" max="3" width="11.42578125" style="180"/>
    <col min="4" max="4" width="12.85546875" style="180" customWidth="1"/>
    <col min="5" max="5" width="14.140625" style="180" bestFit="1" customWidth="1"/>
    <col min="6" max="16384" width="11.42578125" style="180"/>
  </cols>
  <sheetData>
    <row r="1" spans="1:7" x14ac:dyDescent="0.15">
      <c r="A1" s="179"/>
    </row>
    <row r="2" spans="1:7" s="190" customFormat="1" ht="26.25" customHeight="1" x14ac:dyDescent="0.15">
      <c r="A2" s="2503" t="s">
        <v>4192</v>
      </c>
      <c r="B2" s="2503"/>
      <c r="C2" s="2503"/>
      <c r="D2" s="2503"/>
      <c r="E2" s="2503"/>
      <c r="F2" s="656"/>
    </row>
    <row r="4" spans="1:7" ht="28.5" customHeight="1" x14ac:dyDescent="0.15">
      <c r="A4" s="181" t="s">
        <v>1</v>
      </c>
      <c r="B4" s="181" t="s">
        <v>732</v>
      </c>
      <c r="C4" s="181" t="s">
        <v>733</v>
      </c>
      <c r="D4" s="181" t="s">
        <v>734</v>
      </c>
      <c r="E4" s="181" t="s">
        <v>735</v>
      </c>
    </row>
    <row r="5" spans="1:7" s="179" customFormat="1" x14ac:dyDescent="0.15">
      <c r="A5" s="191" t="s">
        <v>141</v>
      </c>
      <c r="E5" s="200">
        <f>SUM(E6:E15)</f>
        <v>11429106</v>
      </c>
    </row>
    <row r="6" spans="1:7" s="179" customFormat="1" x14ac:dyDescent="0.15">
      <c r="A6" s="179" t="s">
        <v>5</v>
      </c>
      <c r="B6" s="179" t="s">
        <v>736</v>
      </c>
      <c r="C6" s="179">
        <v>1981</v>
      </c>
      <c r="D6" s="203" t="s">
        <v>181</v>
      </c>
      <c r="E6" s="17">
        <v>358312</v>
      </c>
    </row>
    <row r="7" spans="1:7" s="179" customFormat="1" x14ac:dyDescent="0.15">
      <c r="A7" s="179" t="s">
        <v>9</v>
      </c>
      <c r="B7" s="179" t="s">
        <v>737</v>
      </c>
      <c r="C7" s="179">
        <v>1977</v>
      </c>
      <c r="D7" s="221">
        <v>2012</v>
      </c>
      <c r="E7" s="17">
        <v>134311</v>
      </c>
    </row>
    <row r="8" spans="1:7" s="179" customFormat="1" x14ac:dyDescent="0.15">
      <c r="A8" s="179" t="s">
        <v>10</v>
      </c>
      <c r="B8" s="179" t="s">
        <v>738</v>
      </c>
      <c r="C8" s="179">
        <v>1984</v>
      </c>
      <c r="D8" s="221">
        <v>2009</v>
      </c>
      <c r="E8" s="17">
        <v>238216</v>
      </c>
      <c r="G8" s="179" t="s">
        <v>739</v>
      </c>
    </row>
    <row r="9" spans="1:7" s="179" customFormat="1" x14ac:dyDescent="0.15">
      <c r="A9" s="179" t="s">
        <v>10</v>
      </c>
      <c r="B9" s="179" t="s">
        <v>740</v>
      </c>
      <c r="C9" s="179">
        <v>1977</v>
      </c>
      <c r="D9" s="203" t="s">
        <v>181</v>
      </c>
      <c r="E9" s="17">
        <v>9967</v>
      </c>
    </row>
    <row r="10" spans="1:7" s="179" customFormat="1" x14ac:dyDescent="0.15">
      <c r="A10" s="179" t="s">
        <v>14</v>
      </c>
      <c r="B10" s="179" t="s">
        <v>741</v>
      </c>
      <c r="C10" s="179">
        <v>2011</v>
      </c>
      <c r="D10" s="203" t="s">
        <v>181</v>
      </c>
      <c r="E10" s="17">
        <v>565807</v>
      </c>
    </row>
    <row r="11" spans="1:7" s="179" customFormat="1" x14ac:dyDescent="0.15">
      <c r="A11" s="179" t="s">
        <v>15</v>
      </c>
      <c r="B11" s="179" t="s">
        <v>742</v>
      </c>
      <c r="C11" s="179">
        <v>1983</v>
      </c>
      <c r="D11" s="221">
        <v>2010</v>
      </c>
      <c r="E11" s="17">
        <v>1142850</v>
      </c>
    </row>
    <row r="12" spans="1:7" s="179" customFormat="1" x14ac:dyDescent="0.15">
      <c r="A12" s="179" t="s">
        <v>303</v>
      </c>
      <c r="B12" s="179" t="s">
        <v>743</v>
      </c>
      <c r="C12" s="179">
        <v>2007</v>
      </c>
      <c r="D12" s="203" t="s">
        <v>181</v>
      </c>
      <c r="E12" s="17">
        <v>2168956</v>
      </c>
    </row>
    <row r="13" spans="1:7" s="179" customFormat="1" x14ac:dyDescent="0.15">
      <c r="A13" s="179" t="s">
        <v>18</v>
      </c>
      <c r="B13" s="179" t="s">
        <v>744</v>
      </c>
      <c r="C13" s="179">
        <v>1979</v>
      </c>
      <c r="D13" s="203" t="s">
        <v>181</v>
      </c>
      <c r="E13" s="17">
        <v>1742000</v>
      </c>
    </row>
    <row r="14" spans="1:7" s="179" customFormat="1" x14ac:dyDescent="0.15">
      <c r="A14" s="179" t="s">
        <v>19</v>
      </c>
      <c r="B14" s="179" t="s">
        <v>745</v>
      </c>
      <c r="C14" s="179">
        <v>1978</v>
      </c>
      <c r="D14" s="203" t="s">
        <v>181</v>
      </c>
      <c r="E14" s="17">
        <v>184414</v>
      </c>
    </row>
    <row r="15" spans="1:7" s="179" customFormat="1" x14ac:dyDescent="0.15">
      <c r="A15" s="179" t="s">
        <v>19</v>
      </c>
      <c r="B15" s="179" t="s">
        <v>746</v>
      </c>
      <c r="C15" s="179">
        <v>2005</v>
      </c>
      <c r="D15" s="203" t="s">
        <v>181</v>
      </c>
      <c r="E15" s="17">
        <v>4884273</v>
      </c>
    </row>
    <row r="16" spans="1:7" s="179" customFormat="1" x14ac:dyDescent="0.15">
      <c r="D16" s="203"/>
      <c r="E16" s="17"/>
    </row>
    <row r="17" spans="1:5" s="179" customFormat="1" ht="12.75" customHeight="1" x14ac:dyDescent="0.15">
      <c r="A17" s="179" t="s">
        <v>473</v>
      </c>
    </row>
    <row r="18" spans="1:5" x14ac:dyDescent="0.15">
      <c r="A18" s="2485" t="s">
        <v>456</v>
      </c>
      <c r="B18" s="2485"/>
      <c r="C18" s="2485"/>
      <c r="D18" s="2485"/>
      <c r="E18" s="2485"/>
    </row>
  </sheetData>
  <mergeCells count="2">
    <mergeCell ref="A2:E2"/>
    <mergeCell ref="A18:E1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G23"/>
  <sheetViews>
    <sheetView zoomScaleNormal="100" workbookViewId="0">
      <selection activeCell="H33" sqref="H33"/>
    </sheetView>
  </sheetViews>
  <sheetFormatPr baseColWidth="10" defaultRowHeight="10.5" x14ac:dyDescent="0.15"/>
  <cols>
    <col min="1" max="1" width="18" style="180" customWidth="1"/>
    <col min="2" max="2" width="29.7109375" style="180" customWidth="1"/>
    <col min="3" max="4" width="17.28515625" style="180" customWidth="1"/>
    <col min="5" max="5" width="26.42578125" style="180" bestFit="1" customWidth="1"/>
    <col min="6" max="6" width="19.85546875" style="180" customWidth="1"/>
    <col min="7" max="7" width="15.28515625" style="180" customWidth="1"/>
    <col min="8" max="16384" width="11.42578125" style="180"/>
  </cols>
  <sheetData>
    <row r="1" spans="1:7" x14ac:dyDescent="0.15">
      <c r="A1" s="179"/>
    </row>
    <row r="2" spans="1:7" s="190" customFormat="1" ht="30" customHeight="1" x14ac:dyDescent="0.15">
      <c r="A2" s="2503" t="s">
        <v>4193</v>
      </c>
      <c r="B2" s="2503"/>
      <c r="C2" s="2503"/>
      <c r="D2" s="2503"/>
      <c r="E2" s="2503"/>
      <c r="F2" s="2503"/>
      <c r="G2" s="2503"/>
    </row>
    <row r="4" spans="1:7" x14ac:dyDescent="0.15">
      <c r="A4" s="2505" t="s">
        <v>1</v>
      </c>
      <c r="B4" s="2505" t="s">
        <v>724</v>
      </c>
      <c r="C4" s="2505"/>
      <c r="D4" s="2505"/>
      <c r="E4" s="2505" t="s">
        <v>725</v>
      </c>
      <c r="F4" s="2505"/>
      <c r="G4" s="2505"/>
    </row>
    <row r="5" spans="1:7" ht="11.25" x14ac:dyDescent="0.15">
      <c r="A5" s="2505"/>
      <c r="B5" s="206" t="s">
        <v>747</v>
      </c>
      <c r="C5" s="206" t="s">
        <v>733</v>
      </c>
      <c r="D5" s="206" t="s">
        <v>748</v>
      </c>
      <c r="E5" s="206" t="s">
        <v>747</v>
      </c>
      <c r="F5" s="206" t="s">
        <v>733</v>
      </c>
      <c r="G5" s="206" t="s">
        <v>748</v>
      </c>
    </row>
    <row r="6" spans="1:7" x14ac:dyDescent="0.15">
      <c r="A6" s="180" t="s">
        <v>5</v>
      </c>
      <c r="B6" s="180" t="s">
        <v>749</v>
      </c>
      <c r="C6" s="180">
        <v>1996</v>
      </c>
      <c r="D6" s="20">
        <v>15858</v>
      </c>
      <c r="E6" s="212"/>
      <c r="G6" s="20"/>
    </row>
    <row r="7" spans="1:7" ht="11.25" x14ac:dyDescent="0.15">
      <c r="A7" s="180" t="s">
        <v>6</v>
      </c>
      <c r="D7" s="20"/>
      <c r="E7" s="212" t="s">
        <v>750</v>
      </c>
      <c r="F7" s="180">
        <v>1996</v>
      </c>
      <c r="G7" s="20">
        <v>6000</v>
      </c>
    </row>
    <row r="8" spans="1:7" x14ac:dyDescent="0.15">
      <c r="A8" s="180" t="s">
        <v>7</v>
      </c>
      <c r="B8" s="180" t="s">
        <v>751</v>
      </c>
      <c r="C8" s="180">
        <v>1996</v>
      </c>
      <c r="D8" s="20">
        <v>96439</v>
      </c>
      <c r="E8" s="212"/>
      <c r="G8" s="20"/>
    </row>
    <row r="9" spans="1:7" x14ac:dyDescent="0.15">
      <c r="A9" s="180" t="s">
        <v>7</v>
      </c>
      <c r="B9" s="180" t="s">
        <v>752</v>
      </c>
      <c r="C9" s="180">
        <v>2009</v>
      </c>
      <c r="D9" s="20">
        <v>17397</v>
      </c>
      <c r="E9" s="212"/>
      <c r="G9" s="20"/>
    </row>
    <row r="10" spans="1:7" x14ac:dyDescent="0.15">
      <c r="A10" s="180" t="s">
        <v>7</v>
      </c>
      <c r="B10" s="180" t="s">
        <v>753</v>
      </c>
      <c r="C10" s="180">
        <v>1996</v>
      </c>
      <c r="D10" s="20">
        <v>67133</v>
      </c>
      <c r="E10" s="212"/>
      <c r="G10" s="20"/>
    </row>
    <row r="11" spans="1:7" x14ac:dyDescent="0.15">
      <c r="A11" s="180" t="s">
        <v>7</v>
      </c>
      <c r="E11" s="179" t="s">
        <v>754</v>
      </c>
      <c r="F11" s="179">
        <v>2009</v>
      </c>
      <c r="G11" s="17">
        <v>15529</v>
      </c>
    </row>
    <row r="12" spans="1:7" x14ac:dyDescent="0.15">
      <c r="A12" s="180" t="s">
        <v>8</v>
      </c>
      <c r="B12" s="180" t="s">
        <v>755</v>
      </c>
      <c r="C12" s="180">
        <v>1996</v>
      </c>
      <c r="D12" s="20">
        <v>62460</v>
      </c>
      <c r="E12" s="212"/>
      <c r="G12" s="20"/>
    </row>
    <row r="13" spans="1:7" ht="21" x14ac:dyDescent="0.15">
      <c r="A13" s="180" t="s">
        <v>9</v>
      </c>
      <c r="D13" s="20"/>
      <c r="E13" s="212" t="s">
        <v>756</v>
      </c>
      <c r="F13" s="180">
        <v>2015</v>
      </c>
      <c r="G13" s="20">
        <v>2772</v>
      </c>
    </row>
    <row r="14" spans="1:7" ht="21" x14ac:dyDescent="0.15">
      <c r="A14" s="180" t="s">
        <v>9</v>
      </c>
      <c r="D14" s="20"/>
      <c r="E14" s="212" t="s">
        <v>757</v>
      </c>
      <c r="F14" s="180">
        <v>2004</v>
      </c>
      <c r="G14" s="20">
        <v>34</v>
      </c>
    </row>
    <row r="15" spans="1:7" x14ac:dyDescent="0.15">
      <c r="A15" s="180" t="s">
        <v>10</v>
      </c>
      <c r="B15" s="180" t="s">
        <v>758</v>
      </c>
      <c r="C15" s="180">
        <v>1996</v>
      </c>
      <c r="D15" s="20">
        <v>520</v>
      </c>
      <c r="E15" s="212"/>
      <c r="G15" s="20"/>
    </row>
    <row r="16" spans="1:7" x14ac:dyDescent="0.15">
      <c r="A16" s="180" t="s">
        <v>10</v>
      </c>
      <c r="D16" s="20"/>
      <c r="E16" s="212" t="s">
        <v>759</v>
      </c>
      <c r="F16" s="180">
        <v>2010</v>
      </c>
      <c r="G16" s="20">
        <v>13796</v>
      </c>
    </row>
    <row r="17" spans="1:7" ht="21" x14ac:dyDescent="0.15">
      <c r="A17" s="180" t="s">
        <v>301</v>
      </c>
      <c r="D17" s="20"/>
      <c r="E17" s="212" t="s">
        <v>760</v>
      </c>
      <c r="F17" s="180">
        <v>1981</v>
      </c>
      <c r="G17" s="20">
        <v>4877</v>
      </c>
    </row>
    <row r="18" spans="1:7" x14ac:dyDescent="0.15">
      <c r="A18" s="180" t="s">
        <v>19</v>
      </c>
      <c r="D18" s="20"/>
      <c r="E18" s="212" t="s">
        <v>761</v>
      </c>
      <c r="F18" s="180">
        <v>2004</v>
      </c>
      <c r="G18" s="20">
        <v>58946</v>
      </c>
    </row>
    <row r="19" spans="1:7" x14ac:dyDescent="0.15">
      <c r="G19" s="20"/>
    </row>
    <row r="20" spans="1:7" ht="33" customHeight="1" x14ac:dyDescent="0.15">
      <c r="A20" s="2506" t="s">
        <v>762</v>
      </c>
      <c r="B20" s="2506"/>
      <c r="C20" s="2506"/>
      <c r="D20" s="2506"/>
      <c r="E20" s="2506"/>
      <c r="F20" s="2506"/>
      <c r="G20" s="2506"/>
    </row>
    <row r="21" spans="1:7" ht="17.25" customHeight="1" x14ac:dyDescent="0.15">
      <c r="A21" s="2507" t="s">
        <v>763</v>
      </c>
      <c r="B21" s="2507"/>
      <c r="C21" s="2507"/>
      <c r="D21" s="2507"/>
      <c r="E21" s="2507"/>
      <c r="F21" s="2507"/>
      <c r="G21" s="2507"/>
    </row>
    <row r="22" spans="1:7" x14ac:dyDescent="0.15">
      <c r="A22" s="2485" t="s">
        <v>20</v>
      </c>
      <c r="B22" s="2485"/>
      <c r="C22" s="2485"/>
      <c r="D22" s="2485"/>
      <c r="E22" s="2485"/>
      <c r="F22" s="2485"/>
      <c r="G22" s="2485"/>
    </row>
    <row r="23" spans="1:7" x14ac:dyDescent="0.15">
      <c r="A23" s="2485" t="s">
        <v>764</v>
      </c>
      <c r="B23" s="2485"/>
      <c r="C23" s="2485"/>
      <c r="D23" s="2485"/>
      <c r="E23" s="2485"/>
      <c r="F23" s="2485"/>
      <c r="G23" s="2485"/>
    </row>
  </sheetData>
  <mergeCells count="8">
    <mergeCell ref="A22:G22"/>
    <mergeCell ref="A23:G23"/>
    <mergeCell ref="A2:G2"/>
    <mergeCell ref="A4:A5"/>
    <mergeCell ref="B4:D4"/>
    <mergeCell ref="E4:G4"/>
    <mergeCell ref="A20:G20"/>
    <mergeCell ref="A21:G2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D21"/>
  <sheetViews>
    <sheetView zoomScaleNormal="100" workbookViewId="0">
      <selection activeCell="D31" sqref="D31"/>
    </sheetView>
  </sheetViews>
  <sheetFormatPr baseColWidth="10" defaultRowHeight="10.5" x14ac:dyDescent="0.15"/>
  <cols>
    <col min="1" max="1" width="23.85546875" style="180" customWidth="1"/>
    <col min="2" max="2" width="20.140625" style="180" customWidth="1"/>
    <col min="3" max="3" width="23.85546875" style="180" customWidth="1"/>
    <col min="4" max="4" width="48.140625" style="180" customWidth="1"/>
    <col min="5" max="16384" width="11.42578125" style="180"/>
  </cols>
  <sheetData>
    <row r="1" spans="1:4" x14ac:dyDescent="0.15">
      <c r="A1" s="179"/>
    </row>
    <row r="2" spans="1:4" s="190" customFormat="1" ht="21" customHeight="1" x14ac:dyDescent="0.15">
      <c r="A2" s="2508" t="s">
        <v>765</v>
      </c>
      <c r="B2" s="2508"/>
      <c r="C2" s="2508"/>
      <c r="D2" s="2508"/>
    </row>
    <row r="4" spans="1:4" ht="21" x14ac:dyDescent="0.15">
      <c r="A4" s="181" t="s">
        <v>766</v>
      </c>
      <c r="B4" s="181" t="s">
        <v>767</v>
      </c>
      <c r="C4" s="181" t="s">
        <v>768</v>
      </c>
      <c r="D4" s="181" t="s">
        <v>769</v>
      </c>
    </row>
    <row r="5" spans="1:4" s="179" customFormat="1" x14ac:dyDescent="0.15">
      <c r="A5" s="179" t="s">
        <v>5</v>
      </c>
      <c r="B5" s="179" t="s">
        <v>770</v>
      </c>
      <c r="C5" s="179">
        <v>2007</v>
      </c>
      <c r="D5" s="179" t="s">
        <v>771</v>
      </c>
    </row>
    <row r="6" spans="1:4" s="179" customFormat="1" x14ac:dyDescent="0.15">
      <c r="A6" s="179" t="s">
        <v>6</v>
      </c>
      <c r="B6" s="179" t="s">
        <v>772</v>
      </c>
      <c r="C6" s="179">
        <v>2005</v>
      </c>
      <c r="D6" s="179" t="s">
        <v>773</v>
      </c>
    </row>
    <row r="7" spans="1:4" s="179" customFormat="1" x14ac:dyDescent="0.15">
      <c r="A7" s="179" t="s">
        <v>10</v>
      </c>
      <c r="B7" s="179" t="s">
        <v>774</v>
      </c>
      <c r="C7" s="179">
        <v>2005</v>
      </c>
      <c r="D7" s="179" t="s">
        <v>775</v>
      </c>
    </row>
    <row r="8" spans="1:4" s="179" customFormat="1" x14ac:dyDescent="0.15">
      <c r="A8" s="179" t="s">
        <v>10</v>
      </c>
      <c r="B8" s="179" t="s">
        <v>776</v>
      </c>
      <c r="C8" s="179">
        <v>2010</v>
      </c>
      <c r="D8" s="179" t="s">
        <v>777</v>
      </c>
    </row>
    <row r="9" spans="1:4" s="179" customFormat="1" x14ac:dyDescent="0.15">
      <c r="A9" s="179" t="s">
        <v>778</v>
      </c>
      <c r="B9" s="179" t="s">
        <v>779</v>
      </c>
      <c r="C9" s="179">
        <v>2011</v>
      </c>
      <c r="D9" s="179" t="s">
        <v>780</v>
      </c>
    </row>
    <row r="10" spans="1:4" s="179" customFormat="1" x14ac:dyDescent="0.15">
      <c r="A10" s="179" t="s">
        <v>781</v>
      </c>
      <c r="B10" s="179" t="s">
        <v>782</v>
      </c>
      <c r="C10" s="179">
        <v>2008</v>
      </c>
      <c r="D10" s="179" t="s">
        <v>783</v>
      </c>
    </row>
    <row r="11" spans="1:4" s="179" customFormat="1" x14ac:dyDescent="0.15">
      <c r="A11" s="179" t="s">
        <v>13</v>
      </c>
      <c r="B11" s="179" t="s">
        <v>784</v>
      </c>
      <c r="C11" s="179">
        <v>2003</v>
      </c>
      <c r="D11" s="179" t="s">
        <v>785</v>
      </c>
    </row>
    <row r="12" spans="1:4" s="179" customFormat="1" x14ac:dyDescent="0.15">
      <c r="A12" s="179" t="s">
        <v>13</v>
      </c>
      <c r="B12" s="179" t="s">
        <v>786</v>
      </c>
      <c r="C12" s="179">
        <v>2006</v>
      </c>
      <c r="D12" s="179" t="s">
        <v>787</v>
      </c>
    </row>
    <row r="13" spans="1:4" s="179" customFormat="1" x14ac:dyDescent="0.15">
      <c r="A13" s="179" t="s">
        <v>13</v>
      </c>
      <c r="B13" s="179" t="s">
        <v>788</v>
      </c>
      <c r="C13" s="179">
        <v>2011</v>
      </c>
      <c r="D13" s="179" t="s">
        <v>789</v>
      </c>
    </row>
    <row r="14" spans="1:4" s="179" customFormat="1" x14ac:dyDescent="0.15">
      <c r="A14" s="179" t="s">
        <v>14</v>
      </c>
      <c r="B14" s="179" t="s">
        <v>790</v>
      </c>
      <c r="C14" s="179">
        <v>2004</v>
      </c>
      <c r="D14" s="179" t="s">
        <v>785</v>
      </c>
    </row>
    <row r="15" spans="1:4" s="179" customFormat="1" x14ac:dyDescent="0.15">
      <c r="A15" s="179" t="s">
        <v>350</v>
      </c>
      <c r="B15" s="179" t="s">
        <v>791</v>
      </c>
      <c r="C15" s="179">
        <v>2006</v>
      </c>
      <c r="D15" s="179" t="s">
        <v>787</v>
      </c>
    </row>
    <row r="16" spans="1:4" s="179" customFormat="1" x14ac:dyDescent="0.15">
      <c r="A16" s="179" t="s">
        <v>350</v>
      </c>
      <c r="B16" s="179" t="s">
        <v>792</v>
      </c>
      <c r="C16" s="179">
        <v>2007</v>
      </c>
      <c r="D16" s="179" t="s">
        <v>793</v>
      </c>
    </row>
    <row r="17" spans="1:4" s="179" customFormat="1" x14ac:dyDescent="0.15">
      <c r="A17" s="179" t="s">
        <v>301</v>
      </c>
      <c r="B17" s="179" t="s">
        <v>794</v>
      </c>
      <c r="C17" s="179">
        <v>2009</v>
      </c>
      <c r="D17" s="179" t="s">
        <v>795</v>
      </c>
    </row>
    <row r="18" spans="1:4" s="179" customFormat="1" x14ac:dyDescent="0.15"/>
    <row r="19" spans="1:4" x14ac:dyDescent="0.15">
      <c r="A19" s="179" t="s">
        <v>796</v>
      </c>
      <c r="B19" s="222"/>
      <c r="C19" s="222"/>
      <c r="D19" s="222"/>
    </row>
    <row r="20" spans="1:4" ht="40.5" customHeight="1" x14ac:dyDescent="0.15">
      <c r="A20" s="2496" t="s">
        <v>797</v>
      </c>
      <c r="B20" s="2496"/>
      <c r="C20" s="2496"/>
      <c r="D20" s="2496"/>
    </row>
    <row r="21" spans="1:4" x14ac:dyDescent="0.15">
      <c r="A21" s="2485" t="s">
        <v>456</v>
      </c>
      <c r="B21" s="2485"/>
      <c r="C21" s="2485"/>
      <c r="D21" s="2485"/>
    </row>
  </sheetData>
  <mergeCells count="3">
    <mergeCell ref="A2:D2"/>
    <mergeCell ref="A20:D20"/>
    <mergeCell ref="A21:D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B26"/>
  <sheetViews>
    <sheetView zoomScaleNormal="100" workbookViewId="0">
      <selection activeCell="A2" sqref="A2:B2"/>
    </sheetView>
  </sheetViews>
  <sheetFormatPr baseColWidth="10" defaultRowHeight="12.75" x14ac:dyDescent="0.2"/>
  <cols>
    <col min="1" max="1" width="53.42578125" style="36" customWidth="1"/>
    <col min="2" max="2" width="23.85546875" style="36" customWidth="1"/>
    <col min="3" max="16384" width="11.42578125" style="36"/>
  </cols>
  <sheetData>
    <row r="2" spans="1:2" s="35" customFormat="1" ht="42.75" customHeight="1" x14ac:dyDescent="0.2">
      <c r="A2" s="2313" t="s">
        <v>45</v>
      </c>
      <c r="B2" s="2314"/>
    </row>
    <row r="3" spans="1:2" ht="10.5" customHeight="1" x14ac:dyDescent="0.2"/>
    <row r="4" spans="1:2" s="38" customFormat="1" ht="35.25" customHeight="1" x14ac:dyDescent="0.25">
      <c r="A4" s="2" t="s">
        <v>1</v>
      </c>
      <c r="B4" s="37" t="s">
        <v>46</v>
      </c>
    </row>
    <row r="5" spans="1:2" s="35" customFormat="1" ht="14.25" customHeight="1" x14ac:dyDescent="0.2">
      <c r="A5" s="30" t="s">
        <v>4</v>
      </c>
      <c r="B5" s="39">
        <v>556027</v>
      </c>
    </row>
    <row r="6" spans="1:2" x14ac:dyDescent="0.2">
      <c r="A6" s="1" t="s">
        <v>5</v>
      </c>
      <c r="B6" s="40">
        <v>0</v>
      </c>
    </row>
    <row r="7" spans="1:2" x14ac:dyDescent="0.2">
      <c r="A7" s="1" t="s">
        <v>6</v>
      </c>
      <c r="B7" s="41">
        <v>6124</v>
      </c>
    </row>
    <row r="8" spans="1:2" x14ac:dyDescent="0.2">
      <c r="A8" s="1" t="s">
        <v>7</v>
      </c>
      <c r="B8" s="40">
        <v>0</v>
      </c>
    </row>
    <row r="9" spans="1:2" x14ac:dyDescent="0.2">
      <c r="A9" s="1" t="s">
        <v>8</v>
      </c>
      <c r="B9" s="40">
        <v>0</v>
      </c>
    </row>
    <row r="10" spans="1:2" x14ac:dyDescent="0.2">
      <c r="A10" s="1" t="s">
        <v>9</v>
      </c>
      <c r="B10" s="40">
        <v>0</v>
      </c>
    </row>
    <row r="11" spans="1:2" x14ac:dyDescent="0.2">
      <c r="A11" s="1" t="s">
        <v>10</v>
      </c>
      <c r="B11" s="40">
        <v>0</v>
      </c>
    </row>
    <row r="12" spans="1:2" x14ac:dyDescent="0.2">
      <c r="A12" s="1" t="s">
        <v>40</v>
      </c>
      <c r="B12" s="41">
        <v>109591</v>
      </c>
    </row>
    <row r="13" spans="1:2" x14ac:dyDescent="0.2">
      <c r="A13" s="1" t="s">
        <v>41</v>
      </c>
      <c r="B13" s="41">
        <v>426725</v>
      </c>
    </row>
    <row r="14" spans="1:2" x14ac:dyDescent="0.2">
      <c r="A14" s="1" t="s">
        <v>12</v>
      </c>
      <c r="B14" s="40">
        <v>0</v>
      </c>
    </row>
    <row r="15" spans="1:2" x14ac:dyDescent="0.2">
      <c r="A15" s="1" t="s">
        <v>13</v>
      </c>
      <c r="B15" s="40">
        <v>0</v>
      </c>
    </row>
    <row r="16" spans="1:2" x14ac:dyDescent="0.2">
      <c r="A16" s="1" t="s">
        <v>14</v>
      </c>
      <c r="B16" s="40">
        <v>0</v>
      </c>
    </row>
    <row r="17" spans="1:2" x14ac:dyDescent="0.2">
      <c r="A17" s="1" t="s">
        <v>15</v>
      </c>
      <c r="B17" s="41">
        <v>13587</v>
      </c>
    </row>
    <row r="18" spans="1:2" x14ac:dyDescent="0.2">
      <c r="A18" s="1" t="s">
        <v>16</v>
      </c>
      <c r="B18" s="40">
        <v>0</v>
      </c>
    </row>
    <row r="19" spans="1:2" x14ac:dyDescent="0.2">
      <c r="A19" s="1" t="s">
        <v>17</v>
      </c>
      <c r="B19" s="40">
        <v>0</v>
      </c>
    </row>
    <row r="20" spans="1:2" x14ac:dyDescent="0.2">
      <c r="A20" s="1" t="s">
        <v>18</v>
      </c>
      <c r="B20" s="40">
        <v>0</v>
      </c>
    </row>
    <row r="21" spans="1:2" x14ac:dyDescent="0.2">
      <c r="A21" s="1" t="s">
        <v>19</v>
      </c>
      <c r="B21" s="40">
        <v>0</v>
      </c>
    </row>
    <row r="22" spans="1:2" ht="11.25" customHeight="1" x14ac:dyDescent="0.2">
      <c r="B22" s="42"/>
    </row>
    <row r="23" spans="1:2" ht="13.5" customHeight="1" x14ac:dyDescent="0.2">
      <c r="A23" s="1" t="s">
        <v>42</v>
      </c>
      <c r="B23" s="12"/>
    </row>
    <row r="24" spans="1:2" x14ac:dyDescent="0.2">
      <c r="A24" s="1" t="s">
        <v>47</v>
      </c>
      <c r="B24" s="1"/>
    </row>
    <row r="25" spans="1:2" x14ac:dyDescent="0.2">
      <c r="A25" s="1" t="s">
        <v>20</v>
      </c>
      <c r="B25" s="1"/>
    </row>
    <row r="26" spans="1:2" x14ac:dyDescent="0.2">
      <c r="A26" s="2315" t="s">
        <v>21</v>
      </c>
      <c r="B26" s="2315"/>
    </row>
  </sheetData>
  <mergeCells count="2">
    <mergeCell ref="A2:B2"/>
    <mergeCell ref="A26:B26"/>
  </mergeCells>
  <pageMargins left="0.7" right="0.7" top="0.75" bottom="0.75" header="0.3" footer="0.3"/>
  <pageSetup paperSize="9" orientation="portrait" verticalDpi="599"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E25"/>
  <sheetViews>
    <sheetView zoomScaleNormal="100" workbookViewId="0">
      <selection activeCell="A2" sqref="A2:D2"/>
    </sheetView>
  </sheetViews>
  <sheetFormatPr baseColWidth="10" defaultRowHeight="10.5" x14ac:dyDescent="0.15"/>
  <cols>
    <col min="1" max="1" width="33.42578125" style="180" customWidth="1"/>
    <col min="2" max="2" width="23" style="180" customWidth="1"/>
    <col min="3" max="3" width="14.85546875" style="180" customWidth="1"/>
    <col min="4" max="4" width="28.5703125" style="180" customWidth="1"/>
    <col min="5" max="16384" width="11.42578125" style="180"/>
  </cols>
  <sheetData>
    <row r="1" spans="1:5" x14ac:dyDescent="0.15">
      <c r="A1" s="179"/>
    </row>
    <row r="2" spans="1:5" s="190" customFormat="1" ht="34.5" customHeight="1" x14ac:dyDescent="0.15">
      <c r="A2" s="2508" t="s">
        <v>798</v>
      </c>
      <c r="B2" s="2508"/>
      <c r="C2" s="2508"/>
      <c r="D2" s="2508"/>
    </row>
    <row r="4" spans="1:5" ht="34.5" customHeight="1" x14ac:dyDescent="0.15">
      <c r="A4" s="181" t="s">
        <v>766</v>
      </c>
      <c r="B4" s="181" t="s">
        <v>767</v>
      </c>
      <c r="C4" s="181" t="s">
        <v>768</v>
      </c>
      <c r="D4" s="181" t="s">
        <v>769</v>
      </c>
    </row>
    <row r="5" spans="1:5" s="179" customFormat="1" ht="21" x14ac:dyDescent="0.15">
      <c r="A5" s="212" t="s">
        <v>5</v>
      </c>
      <c r="B5" s="212" t="s">
        <v>799</v>
      </c>
      <c r="C5" s="223">
        <v>2006</v>
      </c>
      <c r="D5" s="212" t="s">
        <v>800</v>
      </c>
      <c r="E5" s="212"/>
    </row>
    <row r="6" spans="1:5" s="179" customFormat="1" ht="31.5" x14ac:dyDescent="0.15">
      <c r="A6" s="212" t="s">
        <v>5</v>
      </c>
      <c r="B6" s="212" t="s">
        <v>801</v>
      </c>
      <c r="C6" s="223">
        <v>2003</v>
      </c>
      <c r="D6" s="212" t="s">
        <v>802</v>
      </c>
      <c r="E6" s="212"/>
    </row>
    <row r="7" spans="1:5" s="179" customFormat="1" x14ac:dyDescent="0.15">
      <c r="A7" s="212" t="s">
        <v>5</v>
      </c>
      <c r="B7" s="212" t="s">
        <v>803</v>
      </c>
      <c r="C7" s="223">
        <v>2006</v>
      </c>
      <c r="D7" s="212" t="s">
        <v>804</v>
      </c>
      <c r="E7" s="212"/>
    </row>
    <row r="8" spans="1:5" s="179" customFormat="1" ht="31.5" x14ac:dyDescent="0.15">
      <c r="A8" s="212" t="s">
        <v>7</v>
      </c>
      <c r="B8" s="212" t="s">
        <v>805</v>
      </c>
      <c r="C8" s="223">
        <v>2008</v>
      </c>
      <c r="D8" s="212" t="s">
        <v>802</v>
      </c>
      <c r="E8" s="212"/>
    </row>
    <row r="9" spans="1:5" s="179" customFormat="1" ht="31.5" x14ac:dyDescent="0.15">
      <c r="A9" s="212" t="s">
        <v>7</v>
      </c>
      <c r="B9" s="212" t="s">
        <v>806</v>
      </c>
      <c r="C9" s="223">
        <v>2004</v>
      </c>
      <c r="D9" s="212" t="s">
        <v>802</v>
      </c>
      <c r="E9" s="212"/>
    </row>
    <row r="10" spans="1:5" s="179" customFormat="1" ht="31.5" x14ac:dyDescent="0.15">
      <c r="A10" s="212" t="s">
        <v>8</v>
      </c>
      <c r="B10" s="212" t="s">
        <v>807</v>
      </c>
      <c r="C10" s="223">
        <v>2004</v>
      </c>
      <c r="D10" s="212" t="s">
        <v>802</v>
      </c>
      <c r="E10" s="212"/>
    </row>
    <row r="11" spans="1:5" s="179" customFormat="1" ht="54" customHeight="1" x14ac:dyDescent="0.15">
      <c r="A11" s="212" t="s">
        <v>8</v>
      </c>
      <c r="B11" s="212" t="s">
        <v>808</v>
      </c>
      <c r="C11" s="223">
        <v>2010</v>
      </c>
      <c r="D11" s="212" t="s">
        <v>809</v>
      </c>
      <c r="E11" s="212"/>
    </row>
    <row r="12" spans="1:5" s="179" customFormat="1" ht="31.5" x14ac:dyDescent="0.15">
      <c r="A12" s="212" t="s">
        <v>9</v>
      </c>
      <c r="B12" s="212" t="s">
        <v>810</v>
      </c>
      <c r="C12" s="223">
        <v>2002</v>
      </c>
      <c r="D12" s="212" t="s">
        <v>811</v>
      </c>
      <c r="E12" s="212"/>
    </row>
    <row r="13" spans="1:5" s="179" customFormat="1" ht="21" x14ac:dyDescent="0.15">
      <c r="A13" s="212" t="s">
        <v>10</v>
      </c>
      <c r="B13" s="212" t="s">
        <v>812</v>
      </c>
      <c r="C13" s="223">
        <v>2005</v>
      </c>
      <c r="D13" s="1984" t="s">
        <v>4194</v>
      </c>
      <c r="E13" s="212"/>
    </row>
    <row r="14" spans="1:5" s="179" customFormat="1" x14ac:dyDescent="0.15">
      <c r="A14" s="212" t="s">
        <v>14</v>
      </c>
      <c r="B14" s="212" t="s">
        <v>813</v>
      </c>
      <c r="C14" s="223">
        <v>2007</v>
      </c>
      <c r="D14" s="212" t="s">
        <v>814</v>
      </c>
      <c r="E14" s="212"/>
    </row>
    <row r="15" spans="1:5" s="179" customFormat="1" ht="31.5" x14ac:dyDescent="0.15">
      <c r="A15" s="212" t="s">
        <v>350</v>
      </c>
      <c r="B15" s="212" t="s">
        <v>815</v>
      </c>
      <c r="C15" s="223">
        <v>2004</v>
      </c>
      <c r="D15" s="212" t="s">
        <v>802</v>
      </c>
      <c r="E15" s="212"/>
    </row>
    <row r="16" spans="1:5" s="179" customFormat="1" ht="42" customHeight="1" x14ac:dyDescent="0.15">
      <c r="A16" s="212" t="s">
        <v>301</v>
      </c>
      <c r="B16" s="212" t="s">
        <v>816</v>
      </c>
      <c r="C16" s="223">
        <v>2005</v>
      </c>
      <c r="D16" s="212" t="s">
        <v>802</v>
      </c>
      <c r="E16" s="212"/>
    </row>
    <row r="17" spans="1:5" s="179" customFormat="1" ht="70.5" customHeight="1" x14ac:dyDescent="0.15">
      <c r="A17" s="212" t="s">
        <v>303</v>
      </c>
      <c r="B17" s="212" t="s">
        <v>817</v>
      </c>
      <c r="C17" s="223">
        <v>2009</v>
      </c>
      <c r="D17" s="212" t="s">
        <v>818</v>
      </c>
      <c r="E17" s="212"/>
    </row>
    <row r="18" spans="1:5" s="179" customFormat="1" x14ac:dyDescent="0.15">
      <c r="A18" s="212" t="s">
        <v>18</v>
      </c>
      <c r="B18" s="212" t="s">
        <v>819</v>
      </c>
      <c r="C18" s="224" t="s">
        <v>820</v>
      </c>
      <c r="D18" s="212" t="s">
        <v>804</v>
      </c>
      <c r="E18" s="212"/>
    </row>
    <row r="19" spans="1:5" s="179" customFormat="1" ht="42" x14ac:dyDescent="0.15">
      <c r="A19" s="212" t="s">
        <v>11</v>
      </c>
      <c r="B19" s="212" t="s">
        <v>821</v>
      </c>
      <c r="C19" s="223">
        <v>2001</v>
      </c>
      <c r="D19" s="212" t="s">
        <v>822</v>
      </c>
      <c r="E19" s="212"/>
    </row>
    <row r="20" spans="1:5" s="179" customFormat="1" x14ac:dyDescent="0.15">
      <c r="A20" s="212" t="s">
        <v>19</v>
      </c>
      <c r="B20" s="212" t="s">
        <v>823</v>
      </c>
      <c r="C20" s="223">
        <v>2015</v>
      </c>
      <c r="D20" s="212" t="s">
        <v>824</v>
      </c>
      <c r="E20" s="212"/>
    </row>
    <row r="21" spans="1:5" s="179" customFormat="1" x14ac:dyDescent="0.15">
      <c r="A21" s="212" t="s">
        <v>9</v>
      </c>
      <c r="B21" s="212" t="s">
        <v>825</v>
      </c>
      <c r="C21" s="223">
        <v>2015</v>
      </c>
      <c r="D21" s="212" t="s">
        <v>826</v>
      </c>
      <c r="E21" s="212"/>
    </row>
    <row r="22" spans="1:5" s="179" customFormat="1" x14ac:dyDescent="0.15">
      <c r="A22" s="212" t="s">
        <v>181</v>
      </c>
      <c r="B22" s="212" t="s">
        <v>827</v>
      </c>
      <c r="C22" s="224" t="s">
        <v>181</v>
      </c>
      <c r="D22" s="212" t="s">
        <v>804</v>
      </c>
      <c r="E22" s="212"/>
    </row>
    <row r="23" spans="1:5" s="179" customFormat="1" x14ac:dyDescent="0.15">
      <c r="A23" s="180"/>
      <c r="B23" s="180"/>
      <c r="C23" s="180"/>
      <c r="D23" s="180"/>
      <c r="E23" s="212"/>
    </row>
    <row r="24" spans="1:5" s="179" customFormat="1" ht="45" customHeight="1" x14ac:dyDescent="0.15">
      <c r="A24" s="2509" t="s">
        <v>828</v>
      </c>
      <c r="B24" s="2509"/>
      <c r="C24" s="2509"/>
      <c r="D24" s="2509"/>
      <c r="E24" s="212"/>
    </row>
    <row r="25" spans="1:5" ht="15" customHeight="1" x14ac:dyDescent="0.15">
      <c r="A25" s="2486" t="s">
        <v>456</v>
      </c>
      <c r="B25" s="2486"/>
      <c r="C25" s="2486"/>
      <c r="D25" s="2486"/>
    </row>
  </sheetData>
  <mergeCells count="3">
    <mergeCell ref="A2:D2"/>
    <mergeCell ref="A24:D24"/>
    <mergeCell ref="A25:D2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H26"/>
  <sheetViews>
    <sheetView zoomScaleNormal="100" workbookViewId="0">
      <selection activeCell="A2" sqref="A2:H2"/>
    </sheetView>
  </sheetViews>
  <sheetFormatPr baseColWidth="10" defaultRowHeight="10.5" x14ac:dyDescent="0.15"/>
  <cols>
    <col min="1" max="1" width="33.85546875" style="180" customWidth="1"/>
    <col min="2" max="2" width="21" style="180" customWidth="1"/>
    <col min="3" max="3" width="11.42578125" style="180"/>
    <col min="4" max="4" width="15.28515625" style="180" customWidth="1"/>
    <col min="5" max="6" width="11.42578125" style="180"/>
    <col min="7" max="7" width="15.140625" style="180" customWidth="1"/>
    <col min="8" max="16384" width="11.42578125" style="180"/>
  </cols>
  <sheetData>
    <row r="2" spans="1:8" s="183" customFormat="1" x14ac:dyDescent="0.15">
      <c r="A2" s="2498" t="s">
        <v>829</v>
      </c>
      <c r="B2" s="2498"/>
      <c r="C2" s="2498"/>
      <c r="D2" s="2498"/>
      <c r="E2" s="2498"/>
      <c r="F2" s="2498"/>
      <c r="G2" s="2498"/>
      <c r="H2" s="2498"/>
    </row>
    <row r="4" spans="1:8" ht="15.75" customHeight="1" x14ac:dyDescent="0.15">
      <c r="A4" s="2488" t="s">
        <v>830</v>
      </c>
      <c r="B4" s="2488" t="s">
        <v>831</v>
      </c>
      <c r="C4" s="2488" t="s">
        <v>69</v>
      </c>
      <c r="D4" s="2488" t="s">
        <v>832</v>
      </c>
      <c r="E4" s="2488"/>
      <c r="F4" s="2488"/>
      <c r="G4" s="2488"/>
      <c r="H4" s="2488"/>
    </row>
    <row r="5" spans="1:8" ht="29.25" customHeight="1" x14ac:dyDescent="0.15">
      <c r="A5" s="2488"/>
      <c r="B5" s="2488"/>
      <c r="C5" s="2488"/>
      <c r="D5" s="181" t="s">
        <v>103</v>
      </c>
      <c r="E5" s="181" t="s">
        <v>104</v>
      </c>
      <c r="F5" s="181" t="s">
        <v>833</v>
      </c>
      <c r="G5" s="181" t="s">
        <v>834</v>
      </c>
      <c r="H5" s="181" t="s">
        <v>835</v>
      </c>
    </row>
    <row r="6" spans="1:8" s="179" customFormat="1" x14ac:dyDescent="0.15">
      <c r="A6" s="212" t="s">
        <v>485</v>
      </c>
      <c r="B6" s="212" t="s">
        <v>836</v>
      </c>
      <c r="C6" s="225">
        <f>SUM(D6:H6)</f>
        <v>68</v>
      </c>
      <c r="D6" s="226">
        <v>40</v>
      </c>
      <c r="E6" s="226">
        <v>22</v>
      </c>
      <c r="F6" s="226">
        <v>6</v>
      </c>
      <c r="G6" s="227" t="s">
        <v>193</v>
      </c>
      <c r="H6" s="227" t="s">
        <v>193</v>
      </c>
    </row>
    <row r="7" spans="1:8" s="179" customFormat="1" x14ac:dyDescent="0.15">
      <c r="A7" s="212" t="s">
        <v>837</v>
      </c>
      <c r="B7" s="212" t="s">
        <v>836</v>
      </c>
      <c r="C7" s="225">
        <f t="shared" ref="C7:C20" si="0">SUM(D7:H7)</f>
        <v>99</v>
      </c>
      <c r="D7" s="226">
        <v>26</v>
      </c>
      <c r="E7" s="226">
        <v>59</v>
      </c>
      <c r="F7" s="226">
        <v>9</v>
      </c>
      <c r="G7" s="227" t="s">
        <v>193</v>
      </c>
      <c r="H7" s="228">
        <v>5</v>
      </c>
    </row>
    <row r="8" spans="1:8" s="179" customFormat="1" x14ac:dyDescent="0.15">
      <c r="A8" s="212" t="s">
        <v>694</v>
      </c>
      <c r="B8" s="212" t="s">
        <v>838</v>
      </c>
      <c r="C8" s="225">
        <f t="shared" si="0"/>
        <v>26</v>
      </c>
      <c r="D8" s="226">
        <v>15</v>
      </c>
      <c r="E8" s="226">
        <v>1</v>
      </c>
      <c r="F8" s="226">
        <v>8</v>
      </c>
      <c r="G8" s="227" t="s">
        <v>193</v>
      </c>
      <c r="H8" s="228">
        <v>2</v>
      </c>
    </row>
    <row r="9" spans="1:8" s="179" customFormat="1" ht="21" x14ac:dyDescent="0.15">
      <c r="A9" s="212" t="s">
        <v>585</v>
      </c>
      <c r="B9" s="212" t="s">
        <v>838</v>
      </c>
      <c r="C9" s="225">
        <f t="shared" si="0"/>
        <v>40</v>
      </c>
      <c r="D9" s="226">
        <v>2</v>
      </c>
      <c r="E9" s="226">
        <v>38</v>
      </c>
      <c r="F9" s="227" t="s">
        <v>193</v>
      </c>
      <c r="G9" s="227" t="s">
        <v>193</v>
      </c>
      <c r="H9" s="227" t="s">
        <v>193</v>
      </c>
    </row>
    <row r="10" spans="1:8" s="179" customFormat="1" x14ac:dyDescent="0.15">
      <c r="A10" s="212" t="s">
        <v>588</v>
      </c>
      <c r="B10" s="212" t="s">
        <v>838</v>
      </c>
      <c r="C10" s="225">
        <f t="shared" si="0"/>
        <v>1</v>
      </c>
      <c r="D10" s="227" t="s">
        <v>193</v>
      </c>
      <c r="E10" s="227" t="s">
        <v>193</v>
      </c>
      <c r="F10" s="226">
        <v>1</v>
      </c>
      <c r="G10" s="227" t="s">
        <v>193</v>
      </c>
      <c r="H10" s="227" t="s">
        <v>193</v>
      </c>
    </row>
    <row r="11" spans="1:8" s="179" customFormat="1" x14ac:dyDescent="0.15">
      <c r="A11" s="212" t="s">
        <v>839</v>
      </c>
      <c r="B11" s="212" t="s">
        <v>836</v>
      </c>
      <c r="C11" s="225">
        <f t="shared" si="0"/>
        <v>18</v>
      </c>
      <c r="D11" s="227" t="s">
        <v>193</v>
      </c>
      <c r="E11" s="226">
        <v>14</v>
      </c>
      <c r="F11" s="226">
        <v>4</v>
      </c>
      <c r="G11" s="227" t="s">
        <v>193</v>
      </c>
      <c r="H11" s="227" t="s">
        <v>193</v>
      </c>
    </row>
    <row r="12" spans="1:8" s="179" customFormat="1" x14ac:dyDescent="0.15">
      <c r="A12" s="212" t="s">
        <v>704</v>
      </c>
      <c r="B12" s="212" t="s">
        <v>838</v>
      </c>
      <c r="C12" s="225">
        <f t="shared" si="0"/>
        <v>13</v>
      </c>
      <c r="D12" s="226">
        <v>4</v>
      </c>
      <c r="E12" s="227" t="s">
        <v>193</v>
      </c>
      <c r="F12" s="226">
        <v>1</v>
      </c>
      <c r="G12" s="228">
        <v>8</v>
      </c>
      <c r="H12" s="227" t="s">
        <v>193</v>
      </c>
    </row>
    <row r="13" spans="1:8" s="179" customFormat="1" x14ac:dyDescent="0.15">
      <c r="A13" s="212" t="s">
        <v>610</v>
      </c>
      <c r="B13" s="212" t="s">
        <v>836</v>
      </c>
      <c r="C13" s="225">
        <f t="shared" si="0"/>
        <v>20</v>
      </c>
      <c r="D13" s="226">
        <v>10</v>
      </c>
      <c r="E13" s="226">
        <v>9</v>
      </c>
      <c r="F13" s="227" t="s">
        <v>193</v>
      </c>
      <c r="G13" s="227" t="s">
        <v>193</v>
      </c>
      <c r="H13" s="228">
        <v>1</v>
      </c>
    </row>
    <row r="14" spans="1:8" s="179" customFormat="1" x14ac:dyDescent="0.15">
      <c r="A14" s="212" t="s">
        <v>643</v>
      </c>
      <c r="B14" s="212" t="s">
        <v>836</v>
      </c>
      <c r="C14" s="225">
        <f t="shared" si="0"/>
        <v>8</v>
      </c>
      <c r="D14" s="226">
        <v>6</v>
      </c>
      <c r="E14" s="226">
        <v>1</v>
      </c>
      <c r="F14" s="226">
        <v>1</v>
      </c>
      <c r="G14" s="227" t="s">
        <v>193</v>
      </c>
      <c r="H14" s="227" t="s">
        <v>193</v>
      </c>
    </row>
    <row r="15" spans="1:8" s="179" customFormat="1" x14ac:dyDescent="0.15">
      <c r="A15" s="212" t="s">
        <v>524</v>
      </c>
      <c r="B15" s="212" t="s">
        <v>836</v>
      </c>
      <c r="C15" s="225">
        <f t="shared" si="0"/>
        <v>3</v>
      </c>
      <c r="D15" s="226">
        <v>1</v>
      </c>
      <c r="E15" s="226">
        <v>1</v>
      </c>
      <c r="F15" s="226">
        <v>1</v>
      </c>
      <c r="G15" s="227" t="s">
        <v>193</v>
      </c>
      <c r="H15" s="227" t="s">
        <v>193</v>
      </c>
    </row>
    <row r="16" spans="1:8" s="179" customFormat="1" x14ac:dyDescent="0.15">
      <c r="A16" s="212" t="s">
        <v>840</v>
      </c>
      <c r="B16" s="212" t="s">
        <v>836</v>
      </c>
      <c r="C16" s="225">
        <f t="shared" si="0"/>
        <v>23</v>
      </c>
      <c r="D16" s="226">
        <v>5</v>
      </c>
      <c r="E16" s="226">
        <v>17</v>
      </c>
      <c r="F16" s="226">
        <v>1</v>
      </c>
      <c r="G16" s="227" t="s">
        <v>193</v>
      </c>
      <c r="H16" s="227" t="s">
        <v>193</v>
      </c>
    </row>
    <row r="17" spans="1:8" s="179" customFormat="1" x14ac:dyDescent="0.15">
      <c r="A17" s="212" t="s">
        <v>841</v>
      </c>
      <c r="B17" s="212" t="s">
        <v>838</v>
      </c>
      <c r="C17" s="225">
        <f t="shared" si="0"/>
        <v>7</v>
      </c>
      <c r="D17" s="227" t="s">
        <v>193</v>
      </c>
      <c r="E17" s="226">
        <v>6</v>
      </c>
      <c r="F17" s="226">
        <v>1</v>
      </c>
      <c r="G17" s="227" t="s">
        <v>193</v>
      </c>
      <c r="H17" s="227" t="s">
        <v>193</v>
      </c>
    </row>
    <row r="18" spans="1:8" s="179" customFormat="1" x14ac:dyDescent="0.15">
      <c r="A18" s="212" t="s">
        <v>554</v>
      </c>
      <c r="B18" s="212" t="s">
        <v>836</v>
      </c>
      <c r="C18" s="225">
        <f t="shared" si="0"/>
        <v>20</v>
      </c>
      <c r="D18" s="226">
        <v>5</v>
      </c>
      <c r="E18" s="226">
        <v>9</v>
      </c>
      <c r="F18" s="226">
        <v>5</v>
      </c>
      <c r="G18" s="228">
        <v>1</v>
      </c>
      <c r="H18" s="227" t="s">
        <v>193</v>
      </c>
    </row>
    <row r="19" spans="1:8" s="179" customFormat="1" x14ac:dyDescent="0.15">
      <c r="A19" s="212" t="s">
        <v>657</v>
      </c>
      <c r="B19" s="212" t="s">
        <v>838</v>
      </c>
      <c r="C19" s="225">
        <f t="shared" si="0"/>
        <v>7</v>
      </c>
      <c r="D19" s="227" t="s">
        <v>193</v>
      </c>
      <c r="E19" s="227" t="s">
        <v>193</v>
      </c>
      <c r="F19" s="226">
        <v>6</v>
      </c>
      <c r="G19" s="227" t="s">
        <v>193</v>
      </c>
      <c r="H19" s="228">
        <v>1</v>
      </c>
    </row>
    <row r="20" spans="1:8" s="179" customFormat="1" x14ac:dyDescent="0.15">
      <c r="A20" s="212" t="s">
        <v>676</v>
      </c>
      <c r="B20" s="212" t="s">
        <v>838</v>
      </c>
      <c r="C20" s="225">
        <f t="shared" si="0"/>
        <v>4</v>
      </c>
      <c r="D20" s="226">
        <v>2</v>
      </c>
      <c r="E20" s="226">
        <v>1</v>
      </c>
      <c r="F20" s="226">
        <v>1</v>
      </c>
      <c r="G20" s="227" t="s">
        <v>193</v>
      </c>
      <c r="H20" s="227" t="s">
        <v>193</v>
      </c>
    </row>
    <row r="21" spans="1:8" s="179" customFormat="1" x14ac:dyDescent="0.15">
      <c r="A21" s="212"/>
      <c r="B21" s="212"/>
      <c r="C21" s="212"/>
      <c r="D21" s="212"/>
      <c r="E21" s="212"/>
      <c r="F21" s="212"/>
      <c r="G21" s="212"/>
      <c r="H21" s="212"/>
    </row>
    <row r="22" spans="1:8" s="179" customFormat="1" x14ac:dyDescent="0.15">
      <c r="A22" s="2510" t="s">
        <v>842</v>
      </c>
      <c r="B22" s="2510"/>
      <c r="C22" s="2510"/>
      <c r="D22" s="2510"/>
      <c r="E22" s="2510"/>
      <c r="F22" s="2510"/>
      <c r="G22" s="2510"/>
      <c r="H22" s="2510"/>
    </row>
    <row r="23" spans="1:8" x14ac:dyDescent="0.15">
      <c r="A23" s="2485" t="s">
        <v>456</v>
      </c>
      <c r="B23" s="2485"/>
      <c r="C23" s="2485"/>
      <c r="D23" s="2485"/>
    </row>
    <row r="25" spans="1:8" x14ac:dyDescent="0.15">
      <c r="G25" s="186"/>
    </row>
    <row r="26" spans="1:8" x14ac:dyDescent="0.15">
      <c r="D26" s="186"/>
      <c r="E26" s="186"/>
      <c r="F26" s="186"/>
      <c r="H26" s="186"/>
    </row>
  </sheetData>
  <mergeCells count="7">
    <mergeCell ref="A23:D23"/>
    <mergeCell ref="A2:H2"/>
    <mergeCell ref="A4:A5"/>
    <mergeCell ref="B4:B5"/>
    <mergeCell ref="C4:C5"/>
    <mergeCell ref="D4:H4"/>
    <mergeCell ref="A22:H2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F128"/>
  <sheetViews>
    <sheetView zoomScaleNormal="100" workbookViewId="0">
      <selection activeCell="A2" sqref="A2:F2"/>
    </sheetView>
  </sheetViews>
  <sheetFormatPr baseColWidth="10" defaultRowHeight="10.5" x14ac:dyDescent="0.15"/>
  <cols>
    <col min="1" max="1" width="48.42578125" style="180" customWidth="1"/>
    <col min="2" max="4" width="11.85546875" style="180" bestFit="1" customWidth="1"/>
    <col min="5" max="5" width="11.85546875" style="180" customWidth="1"/>
    <col min="6" max="6" width="14.7109375" style="180" bestFit="1" customWidth="1"/>
    <col min="7" max="16384" width="11.42578125" style="180"/>
  </cols>
  <sheetData>
    <row r="1" spans="1:6" x14ac:dyDescent="0.15">
      <c r="A1" s="179"/>
    </row>
    <row r="2" spans="1:6" s="183" customFormat="1" ht="27" customHeight="1" x14ac:dyDescent="0.15">
      <c r="A2" s="2500" t="s">
        <v>843</v>
      </c>
      <c r="B2" s="2500"/>
      <c r="C2" s="2500"/>
      <c r="D2" s="2500"/>
      <c r="E2" s="2500"/>
      <c r="F2" s="2500"/>
    </row>
    <row r="4" spans="1:6" ht="17.25" customHeight="1" x14ac:dyDescent="0.15">
      <c r="A4" s="206" t="s">
        <v>844</v>
      </c>
      <c r="B4" s="206">
        <v>2011</v>
      </c>
      <c r="C4" s="206">
        <v>2012</v>
      </c>
      <c r="D4" s="206">
        <v>2013</v>
      </c>
      <c r="E4" s="206">
        <v>2014</v>
      </c>
      <c r="F4" s="206">
        <v>2015</v>
      </c>
    </row>
    <row r="5" spans="1:6" s="183" customFormat="1" ht="14.25" customHeight="1" x14ac:dyDescent="0.15">
      <c r="A5" s="183" t="s">
        <v>141</v>
      </c>
      <c r="B5" s="184">
        <f t="shared" ref="B5:C5" si="0">SUM(B6+B11+B15+B21+B25+B30+B39+B42+B46+B55+B63+B77+B80+B92+B112)</f>
        <v>1794732</v>
      </c>
      <c r="C5" s="184">
        <f t="shared" si="0"/>
        <v>2061670</v>
      </c>
      <c r="D5" s="184">
        <f>SUM(D6+D11+D15+D21+D25+D30+D39+D42+D46+D55+D63+D77+D80+D92+D112)</f>
        <v>2408269</v>
      </c>
      <c r="E5" s="184">
        <f>SUM(E6+E11+E15+E21+E25+E30+E39+E42+E46+E55+E63+E77+E80+E92+E112)</f>
        <v>2510648</v>
      </c>
      <c r="F5" s="88">
        <f>SUM(F6+F11+F15+F21+F25+F30+F39+F42+F46+F55+F63+F77+F80+F92+F112)</f>
        <v>2689190</v>
      </c>
    </row>
    <row r="6" spans="1:6" s="183" customFormat="1" ht="14.25" customHeight="1" x14ac:dyDescent="0.15">
      <c r="A6" s="183" t="s">
        <v>5</v>
      </c>
      <c r="B6" s="184">
        <f t="shared" ref="B6:F6" si="1">SUM(B7:B10)</f>
        <v>13991</v>
      </c>
      <c r="C6" s="184">
        <f t="shared" si="1"/>
        <v>13002</v>
      </c>
      <c r="D6" s="184">
        <f t="shared" si="1"/>
        <v>18425</v>
      </c>
      <c r="E6" s="184">
        <f t="shared" si="1"/>
        <v>18207</v>
      </c>
      <c r="F6" s="88">
        <f t="shared" si="1"/>
        <v>15734</v>
      </c>
    </row>
    <row r="7" spans="1:6" ht="10.5" customHeight="1" x14ac:dyDescent="0.15">
      <c r="A7" s="180" t="s">
        <v>845</v>
      </c>
      <c r="B7" s="186">
        <v>12081</v>
      </c>
      <c r="C7" s="186">
        <v>12087</v>
      </c>
      <c r="D7" s="186">
        <v>17211</v>
      </c>
      <c r="E7" s="229">
        <v>16829</v>
      </c>
      <c r="F7" s="20">
        <v>14016</v>
      </c>
    </row>
    <row r="8" spans="1:6" ht="10.5" customHeight="1" x14ac:dyDescent="0.15">
      <c r="A8" s="180" t="s">
        <v>846</v>
      </c>
      <c r="B8" s="186">
        <v>777</v>
      </c>
      <c r="C8" s="186">
        <v>208</v>
      </c>
      <c r="D8" s="186">
        <v>450</v>
      </c>
      <c r="E8" s="229">
        <v>520</v>
      </c>
      <c r="F8" s="20">
        <v>516</v>
      </c>
    </row>
    <row r="9" spans="1:6" ht="10.5" customHeight="1" x14ac:dyDescent="0.15">
      <c r="A9" s="180" t="s">
        <v>847</v>
      </c>
      <c r="B9" s="186">
        <v>0</v>
      </c>
      <c r="C9" s="186">
        <v>0</v>
      </c>
      <c r="D9" s="186">
        <v>0</v>
      </c>
      <c r="E9" s="186">
        <v>0</v>
      </c>
      <c r="F9" s="20">
        <v>0</v>
      </c>
    </row>
    <row r="10" spans="1:6" ht="10.5" customHeight="1" x14ac:dyDescent="0.15">
      <c r="A10" s="180" t="s">
        <v>848</v>
      </c>
      <c r="B10" s="186">
        <v>1133</v>
      </c>
      <c r="C10" s="186">
        <v>707</v>
      </c>
      <c r="D10" s="186">
        <v>764</v>
      </c>
      <c r="E10" s="229">
        <v>858</v>
      </c>
      <c r="F10" s="20">
        <v>1202</v>
      </c>
    </row>
    <row r="11" spans="1:6" s="183" customFormat="1" x14ac:dyDescent="0.15">
      <c r="A11" s="183" t="s">
        <v>6</v>
      </c>
      <c r="B11" s="184">
        <f t="shared" ref="B11:F11" si="2">SUM(B12:B14)</f>
        <v>9875</v>
      </c>
      <c r="C11" s="184">
        <f t="shared" si="2"/>
        <v>2271</v>
      </c>
      <c r="D11" s="184">
        <f t="shared" si="2"/>
        <v>3228</v>
      </c>
      <c r="E11" s="184">
        <f t="shared" si="2"/>
        <v>4783</v>
      </c>
      <c r="F11" s="88">
        <f t="shared" si="2"/>
        <v>10638</v>
      </c>
    </row>
    <row r="12" spans="1:6" ht="10.5" customHeight="1" x14ac:dyDescent="0.15">
      <c r="A12" s="180" t="s">
        <v>849</v>
      </c>
      <c r="B12" s="186">
        <v>185</v>
      </c>
      <c r="C12" s="186">
        <v>187</v>
      </c>
      <c r="D12" s="186">
        <v>258</v>
      </c>
      <c r="E12" s="229">
        <v>224</v>
      </c>
      <c r="F12" s="20">
        <v>430</v>
      </c>
    </row>
    <row r="13" spans="1:6" ht="10.5" customHeight="1" x14ac:dyDescent="0.15">
      <c r="A13" s="180" t="s">
        <v>850</v>
      </c>
      <c r="B13" s="186">
        <v>0</v>
      </c>
      <c r="C13" s="186">
        <v>0</v>
      </c>
      <c r="D13" s="186">
        <v>0</v>
      </c>
      <c r="E13" s="186">
        <v>0</v>
      </c>
      <c r="F13" s="20">
        <v>0</v>
      </c>
    </row>
    <row r="14" spans="1:6" ht="10.5" customHeight="1" x14ac:dyDescent="0.15">
      <c r="A14" s="180" t="s">
        <v>851</v>
      </c>
      <c r="B14" s="186">
        <v>9690</v>
      </c>
      <c r="C14" s="186">
        <v>2084</v>
      </c>
      <c r="D14" s="186">
        <v>2970</v>
      </c>
      <c r="E14" s="229">
        <v>4559</v>
      </c>
      <c r="F14" s="20">
        <v>10208</v>
      </c>
    </row>
    <row r="15" spans="1:6" s="183" customFormat="1" x14ac:dyDescent="0.15">
      <c r="A15" s="183" t="s">
        <v>7</v>
      </c>
      <c r="B15" s="184">
        <f t="shared" ref="B15:F15" si="3">SUM(B16:B20)</f>
        <v>330317</v>
      </c>
      <c r="C15" s="184">
        <f t="shared" si="3"/>
        <v>338326</v>
      </c>
      <c r="D15" s="184">
        <f t="shared" si="3"/>
        <v>400503</v>
      </c>
      <c r="E15" s="184">
        <f t="shared" si="3"/>
        <v>391325</v>
      </c>
      <c r="F15" s="88">
        <f t="shared" si="3"/>
        <v>465052</v>
      </c>
    </row>
    <row r="16" spans="1:6" ht="10.5" customHeight="1" x14ac:dyDescent="0.15">
      <c r="A16" s="180" t="s">
        <v>852</v>
      </c>
      <c r="B16" s="186">
        <v>0</v>
      </c>
      <c r="C16" s="186">
        <v>0</v>
      </c>
      <c r="D16" s="186">
        <v>0</v>
      </c>
      <c r="E16" s="186">
        <v>0</v>
      </c>
      <c r="F16" s="20">
        <v>0</v>
      </c>
    </row>
    <row r="17" spans="1:6" ht="10.5" customHeight="1" x14ac:dyDescent="0.15">
      <c r="A17" s="180" t="s">
        <v>853</v>
      </c>
      <c r="B17" s="186">
        <v>0</v>
      </c>
      <c r="C17" s="186">
        <v>0</v>
      </c>
      <c r="D17" s="186">
        <v>0</v>
      </c>
      <c r="E17" s="186">
        <v>0</v>
      </c>
      <c r="F17" s="20">
        <v>0</v>
      </c>
    </row>
    <row r="18" spans="1:6" ht="10.5" customHeight="1" x14ac:dyDescent="0.15">
      <c r="A18" s="180" t="s">
        <v>854</v>
      </c>
      <c r="B18" s="186">
        <v>213230</v>
      </c>
      <c r="C18" s="186">
        <v>218741</v>
      </c>
      <c r="D18" s="186">
        <v>240118</v>
      </c>
      <c r="E18" s="229">
        <v>263142</v>
      </c>
      <c r="F18" s="20">
        <v>310698</v>
      </c>
    </row>
    <row r="19" spans="1:6" ht="10.5" customHeight="1" x14ac:dyDescent="0.15">
      <c r="A19" s="180" t="s">
        <v>855</v>
      </c>
      <c r="B19" s="186">
        <v>0</v>
      </c>
      <c r="C19" s="186">
        <v>0</v>
      </c>
      <c r="D19" s="186">
        <v>0</v>
      </c>
      <c r="E19" s="186">
        <v>0</v>
      </c>
      <c r="F19" s="20">
        <v>0</v>
      </c>
    </row>
    <row r="20" spans="1:6" ht="10.5" customHeight="1" x14ac:dyDescent="0.15">
      <c r="A20" s="180" t="s">
        <v>856</v>
      </c>
      <c r="B20" s="186">
        <v>117087</v>
      </c>
      <c r="C20" s="186">
        <v>119585</v>
      </c>
      <c r="D20" s="186">
        <v>160385</v>
      </c>
      <c r="E20" s="229">
        <v>128183</v>
      </c>
      <c r="F20" s="20">
        <v>154354</v>
      </c>
    </row>
    <row r="21" spans="1:6" s="183" customFormat="1" x14ac:dyDescent="0.15">
      <c r="A21" s="183" t="s">
        <v>8</v>
      </c>
      <c r="B21" s="184">
        <f t="shared" ref="B21:C21" si="4">SUM(B22:B24)</f>
        <v>16474</v>
      </c>
      <c r="C21" s="184">
        <f t="shared" si="4"/>
        <v>17725</v>
      </c>
      <c r="D21" s="184">
        <f>SUM(D22:D24)</f>
        <v>19045</v>
      </c>
      <c r="E21" s="184">
        <f>SUM(E22:E24)</f>
        <v>22181</v>
      </c>
      <c r="F21" s="88">
        <f>SUM(F22:F24)</f>
        <v>21349</v>
      </c>
    </row>
    <row r="22" spans="1:6" ht="10.5" customHeight="1" x14ac:dyDescent="0.15">
      <c r="A22" s="180" t="s">
        <v>857</v>
      </c>
      <c r="B22" s="186">
        <v>12788</v>
      </c>
      <c r="C22" s="186">
        <v>13458</v>
      </c>
      <c r="D22" s="186">
        <v>13987</v>
      </c>
      <c r="E22" s="229">
        <v>17631</v>
      </c>
      <c r="F22" s="20">
        <v>16041</v>
      </c>
    </row>
    <row r="23" spans="1:6" ht="10.5" customHeight="1" x14ac:dyDescent="0.15">
      <c r="A23" s="180" t="s">
        <v>858</v>
      </c>
      <c r="B23" s="186">
        <v>3283</v>
      </c>
      <c r="C23" s="186">
        <v>3761</v>
      </c>
      <c r="D23" s="186">
        <v>4471</v>
      </c>
      <c r="E23" s="229">
        <v>3864</v>
      </c>
      <c r="F23" s="20">
        <v>4792</v>
      </c>
    </row>
    <row r="24" spans="1:6" ht="10.5" customHeight="1" x14ac:dyDescent="0.15">
      <c r="A24" s="180" t="s">
        <v>859</v>
      </c>
      <c r="B24" s="186">
        <v>403</v>
      </c>
      <c r="C24" s="186">
        <v>506</v>
      </c>
      <c r="D24" s="186">
        <v>587</v>
      </c>
      <c r="E24" s="229">
        <v>686</v>
      </c>
      <c r="F24" s="20">
        <v>516</v>
      </c>
    </row>
    <row r="25" spans="1:6" s="183" customFormat="1" x14ac:dyDescent="0.15">
      <c r="A25" s="183" t="s">
        <v>9</v>
      </c>
      <c r="B25" s="184">
        <f t="shared" ref="B25:F25" si="5">SUM(B26:B29)</f>
        <v>47833</v>
      </c>
      <c r="C25" s="184">
        <f t="shared" si="5"/>
        <v>70493</v>
      </c>
      <c r="D25" s="184">
        <f t="shared" si="5"/>
        <v>68487</v>
      </c>
      <c r="E25" s="184">
        <f t="shared" si="5"/>
        <v>79303</v>
      </c>
      <c r="F25" s="88">
        <f t="shared" si="5"/>
        <v>79179</v>
      </c>
    </row>
    <row r="26" spans="1:6" ht="10.5" customHeight="1" x14ac:dyDescent="0.15">
      <c r="A26" s="180" t="s">
        <v>860</v>
      </c>
      <c r="B26" s="186">
        <v>16776</v>
      </c>
      <c r="C26" s="186">
        <v>17372</v>
      </c>
      <c r="D26" s="186">
        <v>15676</v>
      </c>
      <c r="E26" s="229">
        <v>20312</v>
      </c>
      <c r="F26" s="20">
        <v>18138</v>
      </c>
    </row>
    <row r="27" spans="1:6" ht="10.5" customHeight="1" x14ac:dyDescent="0.15">
      <c r="A27" s="180" t="s">
        <v>861</v>
      </c>
      <c r="B27" s="186">
        <v>22993</v>
      </c>
      <c r="C27" s="186">
        <v>44557</v>
      </c>
      <c r="D27" s="186">
        <v>45124</v>
      </c>
      <c r="E27" s="229">
        <v>51050</v>
      </c>
      <c r="F27" s="20">
        <v>53294</v>
      </c>
    </row>
    <row r="28" spans="1:6" ht="10.5" customHeight="1" x14ac:dyDescent="0.15">
      <c r="A28" s="180" t="s">
        <v>862</v>
      </c>
      <c r="B28" s="186">
        <v>3048</v>
      </c>
      <c r="C28" s="186">
        <v>3621</v>
      </c>
      <c r="D28" s="186">
        <v>2850</v>
      </c>
      <c r="E28" s="229">
        <v>2888</v>
      </c>
      <c r="F28" s="20">
        <v>2544</v>
      </c>
    </row>
    <row r="29" spans="1:6" ht="10.5" customHeight="1" x14ac:dyDescent="0.15">
      <c r="A29" s="180" t="s">
        <v>863</v>
      </c>
      <c r="B29" s="186">
        <v>5016</v>
      </c>
      <c r="C29" s="186">
        <v>4943</v>
      </c>
      <c r="D29" s="186">
        <v>4837</v>
      </c>
      <c r="E29" s="229">
        <v>5053</v>
      </c>
      <c r="F29" s="20">
        <v>5203</v>
      </c>
    </row>
    <row r="30" spans="1:6" s="183" customFormat="1" x14ac:dyDescent="0.15">
      <c r="A30" s="183" t="s">
        <v>10</v>
      </c>
      <c r="B30" s="184">
        <f t="shared" ref="B30:F30" si="6">SUM(B31:B38)</f>
        <v>134892</v>
      </c>
      <c r="C30" s="184">
        <f t="shared" si="6"/>
        <v>158605</v>
      </c>
      <c r="D30" s="184">
        <f t="shared" si="6"/>
        <v>193118</v>
      </c>
      <c r="E30" s="184">
        <f t="shared" si="6"/>
        <v>188405</v>
      </c>
      <c r="F30" s="88">
        <f t="shared" si="6"/>
        <v>139646</v>
      </c>
    </row>
    <row r="31" spans="1:6" ht="10.5" customHeight="1" x14ac:dyDescent="0.15">
      <c r="A31" s="180" t="s">
        <v>864</v>
      </c>
      <c r="B31" s="186">
        <v>44514</v>
      </c>
      <c r="C31" s="186">
        <v>52389</v>
      </c>
      <c r="D31" s="186">
        <v>58112</v>
      </c>
      <c r="E31" s="229">
        <v>54487</v>
      </c>
      <c r="F31" s="20">
        <v>59041</v>
      </c>
    </row>
    <row r="32" spans="1:6" ht="10.5" customHeight="1" x14ac:dyDescent="0.15">
      <c r="A32" s="179" t="s">
        <v>865</v>
      </c>
      <c r="B32" s="186">
        <v>1048</v>
      </c>
      <c r="C32" s="186">
        <v>1416</v>
      </c>
      <c r="D32" s="186">
        <v>1142</v>
      </c>
      <c r="E32" s="229">
        <v>2759</v>
      </c>
      <c r="F32" s="20">
        <v>2300</v>
      </c>
    </row>
    <row r="33" spans="1:6" ht="10.5" customHeight="1" x14ac:dyDescent="0.15">
      <c r="A33" s="180" t="s">
        <v>866</v>
      </c>
      <c r="B33" s="186">
        <v>0</v>
      </c>
      <c r="C33" s="186">
        <v>0</v>
      </c>
      <c r="D33" s="186">
        <v>0</v>
      </c>
      <c r="E33" s="186">
        <v>0</v>
      </c>
      <c r="F33" s="20">
        <v>0</v>
      </c>
    </row>
    <row r="34" spans="1:6" ht="10.5" customHeight="1" x14ac:dyDescent="0.15">
      <c r="A34" s="180" t="s">
        <v>867</v>
      </c>
      <c r="B34" s="186">
        <v>20638</v>
      </c>
      <c r="C34" s="186">
        <v>33212</v>
      </c>
      <c r="D34" s="186">
        <v>51208</v>
      </c>
      <c r="E34" s="229">
        <v>37021</v>
      </c>
      <c r="F34" s="20">
        <v>42298</v>
      </c>
    </row>
    <row r="35" spans="1:6" ht="10.5" customHeight="1" x14ac:dyDescent="0.15">
      <c r="A35" s="180" t="s">
        <v>868</v>
      </c>
      <c r="B35" s="186">
        <v>1569</v>
      </c>
      <c r="C35" s="186">
        <v>1845</v>
      </c>
      <c r="D35" s="186">
        <v>1964</v>
      </c>
      <c r="E35" s="229">
        <v>1534</v>
      </c>
      <c r="F35" s="20">
        <v>2415</v>
      </c>
    </row>
    <row r="36" spans="1:6" ht="10.5" customHeight="1" x14ac:dyDescent="0.15">
      <c r="A36" s="180" t="s">
        <v>869</v>
      </c>
      <c r="B36" s="186">
        <v>0</v>
      </c>
      <c r="C36" s="186">
        <v>0</v>
      </c>
      <c r="D36" s="186">
        <v>0</v>
      </c>
      <c r="E36" s="186">
        <v>0</v>
      </c>
      <c r="F36" s="20">
        <v>0</v>
      </c>
    </row>
    <row r="37" spans="1:6" ht="11.25" customHeight="1" x14ac:dyDescent="0.15">
      <c r="A37" s="180" t="s">
        <v>870</v>
      </c>
      <c r="B37" s="186">
        <v>17811</v>
      </c>
      <c r="C37" s="186">
        <v>17541</v>
      </c>
      <c r="D37" s="186">
        <v>22233</v>
      </c>
      <c r="E37" s="229">
        <v>27540</v>
      </c>
      <c r="F37" s="20">
        <v>22554</v>
      </c>
    </row>
    <row r="38" spans="1:6" ht="10.5" customHeight="1" x14ac:dyDescent="0.15">
      <c r="A38" s="180" t="s">
        <v>871</v>
      </c>
      <c r="B38" s="186">
        <v>49312</v>
      </c>
      <c r="C38" s="186">
        <v>52202</v>
      </c>
      <c r="D38" s="186">
        <v>58459</v>
      </c>
      <c r="E38" s="229">
        <v>65064</v>
      </c>
      <c r="F38" s="20">
        <v>11038</v>
      </c>
    </row>
    <row r="39" spans="1:6" s="183" customFormat="1" x14ac:dyDescent="0.15">
      <c r="A39" s="183" t="s">
        <v>11</v>
      </c>
      <c r="B39" s="184">
        <f t="shared" ref="B39:F39" si="7">SUM(B40:B41)</f>
        <v>93129</v>
      </c>
      <c r="C39" s="184">
        <f t="shared" si="7"/>
        <v>96485</v>
      </c>
      <c r="D39" s="184">
        <f t="shared" si="7"/>
        <v>98529</v>
      </c>
      <c r="E39" s="184">
        <f t="shared" si="7"/>
        <v>103770</v>
      </c>
      <c r="F39" s="88">
        <f t="shared" si="7"/>
        <v>114969</v>
      </c>
    </row>
    <row r="40" spans="1:6" ht="10.5" customHeight="1" x14ac:dyDescent="0.15">
      <c r="A40" s="180" t="s">
        <v>872</v>
      </c>
      <c r="B40" s="186">
        <v>80382</v>
      </c>
      <c r="C40" s="186">
        <v>84460</v>
      </c>
      <c r="D40" s="186">
        <v>85169</v>
      </c>
      <c r="E40" s="229">
        <v>89693</v>
      </c>
      <c r="F40" s="20">
        <v>94754</v>
      </c>
    </row>
    <row r="41" spans="1:6" ht="10.5" customHeight="1" x14ac:dyDescent="0.15">
      <c r="A41" s="180" t="s">
        <v>873</v>
      </c>
      <c r="B41" s="186">
        <v>12747</v>
      </c>
      <c r="C41" s="186">
        <v>12025</v>
      </c>
      <c r="D41" s="186">
        <v>13360</v>
      </c>
      <c r="E41" s="229">
        <v>14077</v>
      </c>
      <c r="F41" s="20">
        <v>20215</v>
      </c>
    </row>
    <row r="42" spans="1:6" s="183" customFormat="1" ht="12.75" customHeight="1" x14ac:dyDescent="0.15">
      <c r="A42" s="183" t="s">
        <v>12</v>
      </c>
      <c r="B42" s="184">
        <f t="shared" ref="B42:F42" si="8">SUM(B43:B45)</f>
        <v>12824</v>
      </c>
      <c r="C42" s="184">
        <f t="shared" si="8"/>
        <v>13403</v>
      </c>
      <c r="D42" s="184">
        <f t="shared" si="8"/>
        <v>20656</v>
      </c>
      <c r="E42" s="184">
        <f t="shared" si="8"/>
        <v>23187</v>
      </c>
      <c r="F42" s="88">
        <f t="shared" si="8"/>
        <v>27946</v>
      </c>
    </row>
    <row r="43" spans="1:6" ht="10.5" customHeight="1" x14ac:dyDescent="0.15">
      <c r="A43" s="180" t="s">
        <v>874</v>
      </c>
      <c r="B43" s="186">
        <v>0</v>
      </c>
      <c r="C43" s="186">
        <v>0</v>
      </c>
      <c r="D43" s="186">
        <v>0</v>
      </c>
      <c r="E43" s="186">
        <v>0</v>
      </c>
      <c r="F43" s="20">
        <v>0</v>
      </c>
    </row>
    <row r="44" spans="1:6" ht="10.5" customHeight="1" x14ac:dyDescent="0.15">
      <c r="A44" s="180" t="s">
        <v>875</v>
      </c>
      <c r="B44" s="186">
        <v>12378</v>
      </c>
      <c r="C44" s="186">
        <v>12889</v>
      </c>
      <c r="D44" s="186">
        <v>20088</v>
      </c>
      <c r="E44" s="229">
        <v>22557</v>
      </c>
      <c r="F44" s="20">
        <v>27633</v>
      </c>
    </row>
    <row r="45" spans="1:6" ht="10.5" customHeight="1" x14ac:dyDescent="0.15">
      <c r="A45" s="180" t="s">
        <v>876</v>
      </c>
      <c r="B45" s="186">
        <v>446</v>
      </c>
      <c r="C45" s="186">
        <v>514</v>
      </c>
      <c r="D45" s="186">
        <v>568</v>
      </c>
      <c r="E45" s="229">
        <v>630</v>
      </c>
      <c r="F45" s="20">
        <v>313</v>
      </c>
    </row>
    <row r="46" spans="1:6" s="183" customFormat="1" x14ac:dyDescent="0.15">
      <c r="A46" s="183" t="s">
        <v>13</v>
      </c>
      <c r="B46" s="184">
        <f t="shared" ref="B46:D46" si="9">SUM(B47:B54)</f>
        <v>61074</v>
      </c>
      <c r="C46" s="184">
        <f t="shared" si="9"/>
        <v>67325</v>
      </c>
      <c r="D46" s="184">
        <f t="shared" si="9"/>
        <v>78376</v>
      </c>
      <c r="E46" s="184">
        <f>SUM(E47:E54)</f>
        <v>81006</v>
      </c>
      <c r="F46" s="88">
        <f>SUM(F47:F54)</f>
        <v>97042</v>
      </c>
    </row>
    <row r="47" spans="1:6" ht="10.5" customHeight="1" x14ac:dyDescent="0.15">
      <c r="A47" s="180" t="s">
        <v>877</v>
      </c>
      <c r="B47" s="186">
        <v>5873</v>
      </c>
      <c r="C47" s="186">
        <v>5779</v>
      </c>
      <c r="D47" s="186">
        <v>7354</v>
      </c>
      <c r="E47" s="229">
        <v>8572</v>
      </c>
      <c r="F47" s="20">
        <v>9333</v>
      </c>
    </row>
    <row r="48" spans="1:6" ht="10.5" customHeight="1" x14ac:dyDescent="0.15">
      <c r="A48" s="180" t="s">
        <v>878</v>
      </c>
      <c r="B48" s="186">
        <v>7190</v>
      </c>
      <c r="C48" s="186">
        <v>10947</v>
      </c>
      <c r="D48" s="186">
        <v>13291</v>
      </c>
      <c r="E48" s="229">
        <v>11604</v>
      </c>
      <c r="F48" s="20">
        <v>10497</v>
      </c>
    </row>
    <row r="49" spans="1:6" ht="10.5" customHeight="1" x14ac:dyDescent="0.15">
      <c r="A49" s="180" t="s">
        <v>879</v>
      </c>
      <c r="B49" s="186">
        <v>2985</v>
      </c>
      <c r="C49" s="186">
        <v>2945</v>
      </c>
      <c r="D49" s="186">
        <v>3413</v>
      </c>
      <c r="E49" s="229">
        <v>3866</v>
      </c>
      <c r="F49" s="20">
        <v>5116</v>
      </c>
    </row>
    <row r="50" spans="1:6" ht="10.5" customHeight="1" x14ac:dyDescent="0.15">
      <c r="A50" s="180" t="s">
        <v>880</v>
      </c>
      <c r="B50" s="186">
        <v>285</v>
      </c>
      <c r="C50" s="186">
        <v>336</v>
      </c>
      <c r="D50" s="186">
        <v>360</v>
      </c>
      <c r="E50" s="229">
        <v>1061</v>
      </c>
      <c r="F50" s="20">
        <v>1148</v>
      </c>
    </row>
    <row r="51" spans="1:6" ht="10.5" customHeight="1" x14ac:dyDescent="0.15">
      <c r="A51" s="180" t="s">
        <v>881</v>
      </c>
      <c r="B51" s="186">
        <v>442</v>
      </c>
      <c r="C51" s="186">
        <v>310</v>
      </c>
      <c r="D51" s="186">
        <v>228</v>
      </c>
      <c r="E51" s="229">
        <v>241</v>
      </c>
      <c r="F51" s="20">
        <v>182</v>
      </c>
    </row>
    <row r="52" spans="1:6" ht="10.5" customHeight="1" x14ac:dyDescent="0.15">
      <c r="A52" s="180" t="s">
        <v>882</v>
      </c>
      <c r="B52" s="186">
        <v>9017</v>
      </c>
      <c r="C52" s="186">
        <v>10354</v>
      </c>
      <c r="D52" s="186">
        <v>10954</v>
      </c>
      <c r="E52" s="229">
        <v>10558</v>
      </c>
      <c r="F52" s="20">
        <v>16727</v>
      </c>
    </row>
    <row r="53" spans="1:6" ht="10.5" customHeight="1" x14ac:dyDescent="0.15">
      <c r="A53" s="180" t="s">
        <v>883</v>
      </c>
      <c r="B53" s="186">
        <v>0</v>
      </c>
      <c r="C53" s="186">
        <v>0</v>
      </c>
      <c r="D53" s="186">
        <v>0</v>
      </c>
      <c r="E53" s="186">
        <v>0</v>
      </c>
      <c r="F53" s="20">
        <v>0</v>
      </c>
    </row>
    <row r="54" spans="1:6" ht="10.5" customHeight="1" x14ac:dyDescent="0.15">
      <c r="A54" s="180" t="s">
        <v>884</v>
      </c>
      <c r="B54" s="186">
        <v>35282</v>
      </c>
      <c r="C54" s="186">
        <v>36654</v>
      </c>
      <c r="D54" s="186">
        <v>42776</v>
      </c>
      <c r="E54" s="217">
        <v>45104</v>
      </c>
      <c r="F54" s="20">
        <v>54039</v>
      </c>
    </row>
    <row r="55" spans="1:6" s="183" customFormat="1" x14ac:dyDescent="0.15">
      <c r="A55" s="183" t="s">
        <v>14</v>
      </c>
      <c r="B55" s="184">
        <f t="shared" ref="B55:F55" si="10">SUM(B56:B62)</f>
        <v>58769</v>
      </c>
      <c r="C55" s="184">
        <f t="shared" si="10"/>
        <v>61864</v>
      </c>
      <c r="D55" s="184">
        <f t="shared" si="10"/>
        <v>86274</v>
      </c>
      <c r="E55" s="184">
        <f t="shared" si="10"/>
        <v>89078</v>
      </c>
      <c r="F55" s="88">
        <f t="shared" si="10"/>
        <v>99713</v>
      </c>
    </row>
    <row r="56" spans="1:6" ht="10.5" customHeight="1" x14ac:dyDescent="0.15">
      <c r="A56" s="180" t="s">
        <v>885</v>
      </c>
      <c r="B56" s="186">
        <v>48271</v>
      </c>
      <c r="C56" s="186">
        <v>48837</v>
      </c>
      <c r="D56" s="186">
        <v>68480</v>
      </c>
      <c r="E56" s="229">
        <v>70887</v>
      </c>
      <c r="F56" s="20">
        <v>75465</v>
      </c>
    </row>
    <row r="57" spans="1:6" ht="10.5" customHeight="1" x14ac:dyDescent="0.15">
      <c r="A57" s="180" t="s">
        <v>886</v>
      </c>
      <c r="B57" s="186">
        <v>1377</v>
      </c>
      <c r="C57" s="186">
        <v>1722</v>
      </c>
      <c r="D57" s="186">
        <v>2074</v>
      </c>
      <c r="E57" s="229">
        <v>3415</v>
      </c>
      <c r="F57" s="20">
        <v>3671</v>
      </c>
    </row>
    <row r="58" spans="1:6" ht="10.5" customHeight="1" x14ac:dyDescent="0.15">
      <c r="A58" s="180" t="s">
        <v>887</v>
      </c>
      <c r="B58" s="186">
        <v>558</v>
      </c>
      <c r="C58" s="186">
        <v>716</v>
      </c>
      <c r="D58" s="186">
        <v>1364</v>
      </c>
      <c r="E58" s="229">
        <v>1083</v>
      </c>
      <c r="F58" s="20">
        <v>1630</v>
      </c>
    </row>
    <row r="59" spans="1:6" ht="10.5" customHeight="1" x14ac:dyDescent="0.15">
      <c r="A59" s="180" t="s">
        <v>888</v>
      </c>
      <c r="B59" s="186">
        <v>468</v>
      </c>
      <c r="C59" s="186">
        <v>427</v>
      </c>
      <c r="D59" s="186">
        <v>472</v>
      </c>
      <c r="E59" s="229">
        <v>656</v>
      </c>
      <c r="F59" s="20">
        <v>938</v>
      </c>
    </row>
    <row r="60" spans="1:6" ht="10.5" customHeight="1" x14ac:dyDescent="0.15">
      <c r="A60" s="180" t="s">
        <v>889</v>
      </c>
      <c r="B60" s="186">
        <v>643</v>
      </c>
      <c r="C60" s="186">
        <v>672</v>
      </c>
      <c r="D60" s="186">
        <v>871</v>
      </c>
      <c r="E60" s="229">
        <v>827</v>
      </c>
      <c r="F60" s="20">
        <v>1264</v>
      </c>
    </row>
    <row r="61" spans="1:6" ht="10.5" customHeight="1" x14ac:dyDescent="0.15">
      <c r="A61" s="180" t="s">
        <v>890</v>
      </c>
      <c r="B61" s="186">
        <v>7452</v>
      </c>
      <c r="C61" s="186">
        <v>9490</v>
      </c>
      <c r="D61" s="186">
        <v>12839</v>
      </c>
      <c r="E61" s="229">
        <v>11864</v>
      </c>
      <c r="F61" s="20">
        <v>16334</v>
      </c>
    </row>
    <row r="62" spans="1:6" ht="10.5" customHeight="1" x14ac:dyDescent="0.15">
      <c r="A62" s="180" t="s">
        <v>891</v>
      </c>
      <c r="B62" s="186">
        <v>0</v>
      </c>
      <c r="C62" s="186">
        <v>0</v>
      </c>
      <c r="D62" s="186">
        <v>174</v>
      </c>
      <c r="E62" s="229">
        <v>346</v>
      </c>
      <c r="F62" s="20">
        <v>411</v>
      </c>
    </row>
    <row r="63" spans="1:6" s="183" customFormat="1" x14ac:dyDescent="0.15">
      <c r="A63" s="183" t="s">
        <v>350</v>
      </c>
      <c r="B63" s="184">
        <f t="shared" ref="B63:F63" si="11">SUM(B64:B76)</f>
        <v>262021</v>
      </c>
      <c r="C63" s="184">
        <f t="shared" si="11"/>
        <v>371883</v>
      </c>
      <c r="D63" s="184">
        <f t="shared" si="11"/>
        <v>462349</v>
      </c>
      <c r="E63" s="184">
        <f t="shared" si="11"/>
        <v>437857</v>
      </c>
      <c r="F63" s="88">
        <f t="shared" si="11"/>
        <v>450797</v>
      </c>
    </row>
    <row r="64" spans="1:6" ht="10.5" customHeight="1" x14ac:dyDescent="0.15">
      <c r="A64" s="180" t="s">
        <v>892</v>
      </c>
      <c r="B64" s="186">
        <v>37593</v>
      </c>
      <c r="C64" s="186">
        <v>59823</v>
      </c>
      <c r="D64" s="186">
        <v>81739</v>
      </c>
      <c r="E64" s="229">
        <v>71010</v>
      </c>
      <c r="F64" s="20">
        <v>89621</v>
      </c>
    </row>
    <row r="65" spans="1:6" ht="10.5" customHeight="1" x14ac:dyDescent="0.15">
      <c r="A65" s="180" t="s">
        <v>893</v>
      </c>
      <c r="B65" s="186">
        <v>23614</v>
      </c>
      <c r="C65" s="186">
        <v>32103</v>
      </c>
      <c r="D65" s="186">
        <v>35026</v>
      </c>
      <c r="E65" s="229">
        <v>40829</v>
      </c>
      <c r="F65" s="20">
        <v>48476</v>
      </c>
    </row>
    <row r="66" spans="1:6" ht="10.5" customHeight="1" x14ac:dyDescent="0.15">
      <c r="A66" s="180" t="s">
        <v>894</v>
      </c>
      <c r="B66" s="186">
        <v>9061</v>
      </c>
      <c r="C66" s="186">
        <v>11832</v>
      </c>
      <c r="D66" s="186">
        <v>14669</v>
      </c>
      <c r="E66" s="229">
        <v>13645</v>
      </c>
      <c r="F66" s="20">
        <v>19895</v>
      </c>
    </row>
    <row r="67" spans="1:6" ht="10.5" customHeight="1" x14ac:dyDescent="0.15">
      <c r="A67" s="180" t="s">
        <v>895</v>
      </c>
      <c r="B67" s="186">
        <v>4799</v>
      </c>
      <c r="C67" s="186">
        <v>4594</v>
      </c>
      <c r="D67" s="186">
        <v>6956</v>
      </c>
      <c r="E67" s="229">
        <v>8687</v>
      </c>
      <c r="F67" s="20">
        <v>8136</v>
      </c>
    </row>
    <row r="68" spans="1:6" ht="10.5" customHeight="1" x14ac:dyDescent="0.15">
      <c r="A68" s="180" t="s">
        <v>896</v>
      </c>
      <c r="B68" s="186">
        <v>85602</v>
      </c>
      <c r="C68" s="186">
        <v>115761</v>
      </c>
      <c r="D68" s="186">
        <v>136014</v>
      </c>
      <c r="E68" s="229">
        <v>129373</v>
      </c>
      <c r="F68" s="20">
        <v>92631</v>
      </c>
    </row>
    <row r="69" spans="1:6" ht="10.5" customHeight="1" x14ac:dyDescent="0.15">
      <c r="A69" s="180" t="s">
        <v>897</v>
      </c>
      <c r="B69" s="186">
        <v>16</v>
      </c>
      <c r="C69" s="186">
        <v>50</v>
      </c>
      <c r="D69" s="186">
        <v>64</v>
      </c>
      <c r="E69" s="229">
        <v>102</v>
      </c>
      <c r="F69" s="20">
        <v>146</v>
      </c>
    </row>
    <row r="70" spans="1:6" ht="10.5" customHeight="1" x14ac:dyDescent="0.15">
      <c r="A70" s="180" t="s">
        <v>898</v>
      </c>
      <c r="B70" s="186">
        <v>0</v>
      </c>
      <c r="C70" s="186">
        <v>0</v>
      </c>
      <c r="D70" s="186">
        <v>0</v>
      </c>
      <c r="E70" s="186"/>
      <c r="F70" s="20">
        <v>0</v>
      </c>
    </row>
    <row r="71" spans="1:6" ht="10.5" customHeight="1" x14ac:dyDescent="0.15">
      <c r="A71" s="180" t="s">
        <v>899</v>
      </c>
      <c r="B71" s="186">
        <v>29447</v>
      </c>
      <c r="C71" s="186">
        <v>55641</v>
      </c>
      <c r="D71" s="186">
        <v>84539</v>
      </c>
      <c r="E71" s="229">
        <v>84924</v>
      </c>
      <c r="F71" s="20">
        <v>103425</v>
      </c>
    </row>
    <row r="72" spans="1:6" ht="10.5" customHeight="1" x14ac:dyDescent="0.15">
      <c r="A72" s="180" t="s">
        <v>900</v>
      </c>
      <c r="B72" s="186">
        <v>0</v>
      </c>
      <c r="C72" s="186">
        <v>341</v>
      </c>
      <c r="D72" s="186">
        <v>624</v>
      </c>
      <c r="E72" s="229">
        <v>820</v>
      </c>
      <c r="F72" s="20">
        <v>603</v>
      </c>
    </row>
    <row r="73" spans="1:6" ht="10.5" customHeight="1" x14ac:dyDescent="0.15">
      <c r="A73" s="180" t="s">
        <v>901</v>
      </c>
      <c r="B73" s="186">
        <v>60</v>
      </c>
      <c r="C73" s="186">
        <v>0</v>
      </c>
      <c r="D73" s="186">
        <v>0</v>
      </c>
      <c r="E73" s="186">
        <v>0</v>
      </c>
      <c r="F73" s="20">
        <v>0</v>
      </c>
    </row>
    <row r="74" spans="1:6" ht="10.5" customHeight="1" x14ac:dyDescent="0.15">
      <c r="A74" s="180" t="s">
        <v>902</v>
      </c>
      <c r="B74" s="186">
        <v>31</v>
      </c>
      <c r="C74" s="186">
        <v>3954</v>
      </c>
      <c r="D74" s="186">
        <v>11207</v>
      </c>
      <c r="E74" s="229">
        <v>8751</v>
      </c>
      <c r="F74" s="20">
        <v>6233</v>
      </c>
    </row>
    <row r="75" spans="1:6" ht="10.5" customHeight="1" x14ac:dyDescent="0.15">
      <c r="A75" s="180" t="s">
        <v>903</v>
      </c>
      <c r="B75" s="186">
        <v>2335</v>
      </c>
      <c r="C75" s="186">
        <v>2731</v>
      </c>
      <c r="D75" s="186">
        <v>5656</v>
      </c>
      <c r="E75" s="229">
        <v>6244</v>
      </c>
      <c r="F75" s="20">
        <v>6680</v>
      </c>
    </row>
    <row r="76" spans="1:6" ht="10.5" customHeight="1" x14ac:dyDescent="0.15">
      <c r="A76" s="180" t="s">
        <v>904</v>
      </c>
      <c r="B76" s="186">
        <v>69463</v>
      </c>
      <c r="C76" s="186">
        <v>85053</v>
      </c>
      <c r="D76" s="186">
        <v>85855</v>
      </c>
      <c r="E76" s="229">
        <v>73472</v>
      </c>
      <c r="F76" s="20">
        <v>74951</v>
      </c>
    </row>
    <row r="77" spans="1:6" s="183" customFormat="1" x14ac:dyDescent="0.15">
      <c r="A77" s="183" t="s">
        <v>16</v>
      </c>
      <c r="B77" s="184">
        <f t="shared" ref="B77:F77" si="12">SUM(B78:B79)</f>
        <v>1159</v>
      </c>
      <c r="C77" s="184">
        <f t="shared" si="12"/>
        <v>1221</v>
      </c>
      <c r="D77" s="184">
        <f t="shared" si="12"/>
        <v>2322</v>
      </c>
      <c r="E77" s="184">
        <f t="shared" si="12"/>
        <v>4521</v>
      </c>
      <c r="F77" s="88">
        <f t="shared" si="12"/>
        <v>7122</v>
      </c>
    </row>
    <row r="78" spans="1:6" ht="10.5" customHeight="1" x14ac:dyDescent="0.15">
      <c r="A78" s="180" t="s">
        <v>905</v>
      </c>
      <c r="B78" s="186">
        <v>869</v>
      </c>
      <c r="C78" s="186">
        <v>528</v>
      </c>
      <c r="D78" s="186">
        <v>1198</v>
      </c>
      <c r="E78" s="229">
        <v>1125</v>
      </c>
      <c r="F78" s="20">
        <v>2230</v>
      </c>
    </row>
    <row r="79" spans="1:6" ht="10.5" customHeight="1" x14ac:dyDescent="0.15">
      <c r="A79" s="180" t="s">
        <v>906</v>
      </c>
      <c r="B79" s="186">
        <v>290</v>
      </c>
      <c r="C79" s="186">
        <v>693</v>
      </c>
      <c r="D79" s="186">
        <v>1124</v>
      </c>
      <c r="E79" s="229">
        <v>3396</v>
      </c>
      <c r="F79" s="20">
        <v>4892</v>
      </c>
    </row>
    <row r="80" spans="1:6" s="183" customFormat="1" x14ac:dyDescent="0.15">
      <c r="A80" s="183" t="s">
        <v>17</v>
      </c>
      <c r="B80" s="184">
        <f t="shared" ref="B80:F80" si="13">SUM(B81:B91)</f>
        <v>430663</v>
      </c>
      <c r="C80" s="184">
        <f t="shared" si="13"/>
        <v>514248</v>
      </c>
      <c r="D80" s="184">
        <f t="shared" si="13"/>
        <v>568391</v>
      </c>
      <c r="E80" s="184">
        <f t="shared" si="13"/>
        <v>631151</v>
      </c>
      <c r="F80" s="88">
        <f t="shared" si="13"/>
        <v>677011</v>
      </c>
    </row>
    <row r="81" spans="1:6" ht="10.5" customHeight="1" x14ac:dyDescent="0.15">
      <c r="A81" s="180" t="s">
        <v>907</v>
      </c>
      <c r="B81" s="186">
        <v>20950</v>
      </c>
      <c r="C81" s="186">
        <v>27049</v>
      </c>
      <c r="D81" s="186">
        <v>31142</v>
      </c>
      <c r="E81" s="229">
        <v>39666</v>
      </c>
      <c r="F81" s="20">
        <v>48624</v>
      </c>
    </row>
    <row r="82" spans="1:6" ht="10.5" customHeight="1" x14ac:dyDescent="0.15">
      <c r="A82" s="180" t="s">
        <v>908</v>
      </c>
      <c r="B82" s="186">
        <v>95062</v>
      </c>
      <c r="C82" s="186">
        <v>133037</v>
      </c>
      <c r="D82" s="186">
        <v>124272</v>
      </c>
      <c r="E82" s="229">
        <v>137778</v>
      </c>
      <c r="F82" s="20">
        <v>126613</v>
      </c>
    </row>
    <row r="83" spans="1:6" ht="10.5" customHeight="1" x14ac:dyDescent="0.15">
      <c r="A83" s="180" t="s">
        <v>909</v>
      </c>
      <c r="B83" s="186">
        <v>293266</v>
      </c>
      <c r="C83" s="186">
        <v>332334</v>
      </c>
      <c r="D83" s="186">
        <v>386287</v>
      </c>
      <c r="E83" s="229">
        <v>415625</v>
      </c>
      <c r="F83" s="20">
        <v>468523</v>
      </c>
    </row>
    <row r="84" spans="1:6" ht="10.5" customHeight="1" x14ac:dyDescent="0.15">
      <c r="A84" s="180" t="s">
        <v>910</v>
      </c>
      <c r="B84" s="186">
        <v>11721</v>
      </c>
      <c r="C84" s="186">
        <v>12189</v>
      </c>
      <c r="D84" s="186">
        <v>15728</v>
      </c>
      <c r="E84" s="229">
        <v>16583</v>
      </c>
      <c r="F84" s="20">
        <v>20265</v>
      </c>
    </row>
    <row r="85" spans="1:6" ht="10.5" customHeight="1" x14ac:dyDescent="0.15">
      <c r="A85" s="180" t="s">
        <v>911</v>
      </c>
      <c r="B85" s="186">
        <v>351</v>
      </c>
      <c r="C85" s="186">
        <v>0</v>
      </c>
      <c r="D85" s="186">
        <v>621</v>
      </c>
      <c r="E85" s="229">
        <v>1928</v>
      </c>
      <c r="F85" s="20">
        <v>1916</v>
      </c>
    </row>
    <row r="86" spans="1:6" ht="10.5" customHeight="1" x14ac:dyDescent="0.15">
      <c r="A86" s="180" t="s">
        <v>912</v>
      </c>
      <c r="B86" s="186">
        <v>0</v>
      </c>
      <c r="C86" s="186">
        <v>0</v>
      </c>
      <c r="D86" s="186">
        <v>0</v>
      </c>
      <c r="E86" s="186">
        <v>0</v>
      </c>
      <c r="F86" s="20">
        <v>0</v>
      </c>
    </row>
    <row r="87" spans="1:6" ht="10.5" customHeight="1" x14ac:dyDescent="0.15">
      <c r="A87" s="180" t="s">
        <v>913</v>
      </c>
      <c r="B87" s="186">
        <v>0</v>
      </c>
      <c r="C87" s="186">
        <v>0</v>
      </c>
      <c r="D87" s="186">
        <v>0</v>
      </c>
      <c r="E87" s="186">
        <v>0</v>
      </c>
      <c r="F87" s="20">
        <v>0</v>
      </c>
    </row>
    <row r="88" spans="1:6" ht="10.5" customHeight="1" x14ac:dyDescent="0.15">
      <c r="A88" s="180" t="s">
        <v>914</v>
      </c>
      <c r="B88" s="186">
        <v>2185</v>
      </c>
      <c r="C88" s="186">
        <v>2988</v>
      </c>
      <c r="D88" s="186">
        <v>3241</v>
      </c>
      <c r="E88" s="229">
        <v>4245</v>
      </c>
      <c r="F88" s="20">
        <v>3401</v>
      </c>
    </row>
    <row r="89" spans="1:6" ht="10.5" customHeight="1" x14ac:dyDescent="0.15">
      <c r="A89" s="180" t="s">
        <v>915</v>
      </c>
      <c r="B89" s="186">
        <v>305</v>
      </c>
      <c r="C89" s="186">
        <v>471</v>
      </c>
      <c r="D89" s="186">
        <v>560</v>
      </c>
      <c r="E89" s="229">
        <v>769</v>
      </c>
      <c r="F89" s="20">
        <v>1246</v>
      </c>
    </row>
    <row r="90" spans="1:6" ht="10.5" customHeight="1" x14ac:dyDescent="0.15">
      <c r="A90" s="180" t="s">
        <v>916</v>
      </c>
      <c r="B90" s="186">
        <v>2829</v>
      </c>
      <c r="C90" s="186">
        <v>1907</v>
      </c>
      <c r="D90" s="186">
        <v>1855</v>
      </c>
      <c r="E90" s="229">
        <v>7928</v>
      </c>
      <c r="F90" s="20">
        <v>1316</v>
      </c>
    </row>
    <row r="91" spans="1:6" ht="10.5" customHeight="1" x14ac:dyDescent="0.15">
      <c r="A91" s="180" t="s">
        <v>917</v>
      </c>
      <c r="B91" s="186">
        <v>3994</v>
      </c>
      <c r="C91" s="186">
        <v>4273</v>
      </c>
      <c r="D91" s="186">
        <v>4685</v>
      </c>
      <c r="E91" s="229">
        <v>6629</v>
      </c>
      <c r="F91" s="20">
        <v>5107</v>
      </c>
    </row>
    <row r="92" spans="1:6" s="183" customFormat="1" x14ac:dyDescent="0.15">
      <c r="A92" s="183" t="s">
        <v>18</v>
      </c>
      <c r="B92" s="184">
        <f t="shared" ref="B92:F92" si="14">SUM(B93:B111)</f>
        <v>32341</v>
      </c>
      <c r="C92" s="184">
        <f t="shared" si="14"/>
        <v>32544</v>
      </c>
      <c r="D92" s="184">
        <f t="shared" si="14"/>
        <v>50008</v>
      </c>
      <c r="E92" s="184">
        <f t="shared" si="14"/>
        <v>52931</v>
      </c>
      <c r="F92" s="88">
        <f t="shared" si="14"/>
        <v>73451</v>
      </c>
    </row>
    <row r="93" spans="1:6" ht="10.5" customHeight="1" x14ac:dyDescent="0.15">
      <c r="A93" s="180" t="s">
        <v>918</v>
      </c>
      <c r="B93" s="186">
        <v>0</v>
      </c>
      <c r="C93" s="186">
        <v>0</v>
      </c>
      <c r="D93" s="186">
        <v>0</v>
      </c>
      <c r="E93" s="186">
        <v>0</v>
      </c>
      <c r="F93" s="20">
        <v>0</v>
      </c>
    </row>
    <row r="94" spans="1:6" ht="10.5" customHeight="1" x14ac:dyDescent="0.15">
      <c r="A94" s="180" t="s">
        <v>919</v>
      </c>
      <c r="B94" s="186">
        <v>0</v>
      </c>
      <c r="C94" s="186">
        <v>0</v>
      </c>
      <c r="D94" s="186">
        <v>0</v>
      </c>
      <c r="E94" s="186">
        <v>0</v>
      </c>
      <c r="F94" s="20">
        <v>0</v>
      </c>
    </row>
    <row r="95" spans="1:6" ht="10.5" customHeight="1" x14ac:dyDescent="0.15">
      <c r="A95" s="180" t="s">
        <v>920</v>
      </c>
      <c r="B95" s="186">
        <v>328</v>
      </c>
      <c r="C95" s="186">
        <v>386</v>
      </c>
      <c r="D95" s="186">
        <v>1022</v>
      </c>
      <c r="E95" s="229">
        <v>1944</v>
      </c>
      <c r="F95" s="20">
        <v>4728</v>
      </c>
    </row>
    <row r="96" spans="1:6" ht="10.5" customHeight="1" x14ac:dyDescent="0.15">
      <c r="A96" s="180" t="s">
        <v>921</v>
      </c>
      <c r="B96" s="186">
        <v>12595</v>
      </c>
      <c r="C96" s="186">
        <v>11405</v>
      </c>
      <c r="D96" s="186">
        <v>16231</v>
      </c>
      <c r="E96" s="229">
        <v>18012</v>
      </c>
      <c r="F96" s="20">
        <v>23999</v>
      </c>
    </row>
    <row r="97" spans="1:6" ht="10.5" customHeight="1" x14ac:dyDescent="0.15">
      <c r="A97" s="180" t="s">
        <v>922</v>
      </c>
      <c r="B97" s="186">
        <v>1923</v>
      </c>
      <c r="C97" s="186">
        <v>1575</v>
      </c>
      <c r="D97" s="186">
        <v>2893</v>
      </c>
      <c r="E97" s="229">
        <v>2123</v>
      </c>
      <c r="F97" s="20">
        <v>2737</v>
      </c>
    </row>
    <row r="98" spans="1:6" ht="10.5" customHeight="1" x14ac:dyDescent="0.15">
      <c r="A98" s="180" t="s">
        <v>923</v>
      </c>
      <c r="B98" s="186">
        <v>8382</v>
      </c>
      <c r="C98" s="186">
        <v>8071</v>
      </c>
      <c r="D98" s="186">
        <v>13966</v>
      </c>
      <c r="E98" s="229">
        <v>16230</v>
      </c>
      <c r="F98" s="20">
        <v>26227</v>
      </c>
    </row>
    <row r="99" spans="1:6" ht="10.5" customHeight="1" x14ac:dyDescent="0.15">
      <c r="A99" s="180" t="s">
        <v>924</v>
      </c>
      <c r="B99" s="186">
        <v>0</v>
      </c>
      <c r="C99" s="186">
        <v>0</v>
      </c>
      <c r="D99" s="186">
        <v>0</v>
      </c>
      <c r="E99" s="186">
        <v>0</v>
      </c>
      <c r="F99" s="20">
        <v>0</v>
      </c>
    </row>
    <row r="100" spans="1:6" ht="10.5" customHeight="1" x14ac:dyDescent="0.15">
      <c r="A100" s="180" t="s">
        <v>925</v>
      </c>
      <c r="B100" s="186">
        <v>0</v>
      </c>
      <c r="C100" s="186">
        <v>0</v>
      </c>
      <c r="D100" s="186">
        <v>0</v>
      </c>
      <c r="E100" s="186">
        <v>0</v>
      </c>
      <c r="F100" s="20">
        <v>0</v>
      </c>
    </row>
    <row r="101" spans="1:6" ht="10.5" customHeight="1" x14ac:dyDescent="0.15">
      <c r="A101" s="180" t="s">
        <v>926</v>
      </c>
      <c r="B101" s="186">
        <v>1964</v>
      </c>
      <c r="C101" s="186">
        <v>1788</v>
      </c>
      <c r="D101" s="186">
        <v>1251</v>
      </c>
      <c r="E101" s="229">
        <v>2314</v>
      </c>
      <c r="F101" s="20">
        <v>3053</v>
      </c>
    </row>
    <row r="102" spans="1:6" ht="10.5" customHeight="1" x14ac:dyDescent="0.15">
      <c r="A102" s="180" t="s">
        <v>927</v>
      </c>
      <c r="B102" s="186">
        <v>515</v>
      </c>
      <c r="C102" s="186">
        <v>680</v>
      </c>
      <c r="D102" s="186">
        <v>1500</v>
      </c>
      <c r="E102" s="229">
        <v>2430</v>
      </c>
      <c r="F102" s="20">
        <v>2098</v>
      </c>
    </row>
    <row r="103" spans="1:6" ht="10.5" customHeight="1" x14ac:dyDescent="0.15">
      <c r="A103" s="180" t="s">
        <v>928</v>
      </c>
      <c r="B103" s="186">
        <v>0</v>
      </c>
      <c r="C103" s="186">
        <v>0</v>
      </c>
      <c r="D103" s="186">
        <v>0</v>
      </c>
      <c r="E103" s="186">
        <v>0</v>
      </c>
      <c r="F103" s="20">
        <v>0</v>
      </c>
    </row>
    <row r="104" spans="1:6" ht="10.5" customHeight="1" x14ac:dyDescent="0.15">
      <c r="A104" s="180" t="s">
        <v>929</v>
      </c>
      <c r="B104" s="186">
        <v>0</v>
      </c>
      <c r="C104" s="186">
        <v>0</v>
      </c>
      <c r="D104" s="186">
        <v>0</v>
      </c>
      <c r="E104" s="186">
        <v>0</v>
      </c>
      <c r="F104" s="20">
        <v>0</v>
      </c>
    </row>
    <row r="105" spans="1:6" ht="10.5" customHeight="1" x14ac:dyDescent="0.15">
      <c r="A105" s="180" t="s">
        <v>930</v>
      </c>
      <c r="B105" s="186">
        <v>0</v>
      </c>
      <c r="C105" s="186">
        <v>0</v>
      </c>
      <c r="D105" s="186">
        <v>0</v>
      </c>
      <c r="E105" s="186">
        <v>0</v>
      </c>
      <c r="F105" s="20">
        <v>0</v>
      </c>
    </row>
    <row r="106" spans="1:6" ht="10.5" customHeight="1" x14ac:dyDescent="0.15">
      <c r="A106" s="180" t="s">
        <v>931</v>
      </c>
      <c r="B106" s="186">
        <v>0</v>
      </c>
      <c r="C106" s="186">
        <v>0</v>
      </c>
      <c r="D106" s="186">
        <v>0</v>
      </c>
      <c r="E106" s="186">
        <v>0</v>
      </c>
      <c r="F106" s="20">
        <v>0</v>
      </c>
    </row>
    <row r="107" spans="1:6" ht="10.5" customHeight="1" x14ac:dyDescent="0.15">
      <c r="A107" s="180" t="s">
        <v>932</v>
      </c>
      <c r="B107" s="186">
        <v>4281</v>
      </c>
      <c r="C107" s="186">
        <v>6706</v>
      </c>
      <c r="D107" s="186">
        <v>11463</v>
      </c>
      <c r="E107" s="229">
        <v>8213</v>
      </c>
      <c r="F107" s="20">
        <v>7716</v>
      </c>
    </row>
    <row r="108" spans="1:6" ht="11.25" customHeight="1" x14ac:dyDescent="0.15">
      <c r="A108" s="180" t="s">
        <v>933</v>
      </c>
      <c r="B108" s="186">
        <v>1043</v>
      </c>
      <c r="C108" s="186">
        <v>711</v>
      </c>
      <c r="D108" s="186">
        <v>0</v>
      </c>
      <c r="E108" s="186">
        <v>0</v>
      </c>
      <c r="F108" s="20">
        <v>0</v>
      </c>
    </row>
    <row r="109" spans="1:6" ht="10.5" customHeight="1" x14ac:dyDescent="0.15">
      <c r="A109" s="180" t="s">
        <v>934</v>
      </c>
      <c r="B109" s="186">
        <v>1147</v>
      </c>
      <c r="C109" s="186">
        <v>1079</v>
      </c>
      <c r="D109" s="186">
        <v>1403</v>
      </c>
      <c r="E109" s="229">
        <v>1552</v>
      </c>
      <c r="F109" s="20">
        <v>2519</v>
      </c>
    </row>
    <row r="110" spans="1:6" ht="10.5" customHeight="1" x14ac:dyDescent="0.15">
      <c r="A110" s="180" t="s">
        <v>935</v>
      </c>
      <c r="B110" s="186">
        <v>0</v>
      </c>
      <c r="C110" s="186">
        <v>0</v>
      </c>
      <c r="D110" s="186">
        <v>0</v>
      </c>
      <c r="E110" s="186">
        <v>0</v>
      </c>
      <c r="F110" s="20">
        <v>0</v>
      </c>
    </row>
    <row r="111" spans="1:6" ht="11.25" customHeight="1" x14ac:dyDescent="0.15">
      <c r="A111" s="180" t="s">
        <v>936</v>
      </c>
      <c r="B111" s="186">
        <v>163</v>
      </c>
      <c r="C111" s="186">
        <v>143</v>
      </c>
      <c r="D111" s="186">
        <v>279</v>
      </c>
      <c r="E111" s="229">
        <v>113</v>
      </c>
      <c r="F111" s="20">
        <v>374</v>
      </c>
    </row>
    <row r="112" spans="1:6" s="183" customFormat="1" x14ac:dyDescent="0.15">
      <c r="A112" s="183" t="s">
        <v>19</v>
      </c>
      <c r="B112" s="184">
        <f t="shared" ref="B112:C112" si="15">SUM(B113:B123)</f>
        <v>289370</v>
      </c>
      <c r="C112" s="184">
        <f t="shared" si="15"/>
        <v>302275</v>
      </c>
      <c r="D112" s="184">
        <f>SUM(D113:D123)</f>
        <v>338558</v>
      </c>
      <c r="E112" s="184">
        <f>SUM(E113:E123)</f>
        <v>382943</v>
      </c>
      <c r="F112" s="88">
        <f>SUM(F113:F123)</f>
        <v>409541</v>
      </c>
    </row>
    <row r="113" spans="1:6" ht="10.5" customHeight="1" x14ac:dyDescent="0.15">
      <c r="A113" s="230" t="s">
        <v>937</v>
      </c>
      <c r="B113" s="186">
        <v>15666</v>
      </c>
      <c r="C113" s="186">
        <v>22264</v>
      </c>
      <c r="D113" s="186">
        <v>22732</v>
      </c>
      <c r="E113" s="229">
        <v>28316</v>
      </c>
      <c r="F113" s="20">
        <v>29577</v>
      </c>
    </row>
    <row r="114" spans="1:6" ht="10.5" customHeight="1" x14ac:dyDescent="0.15">
      <c r="A114" s="180" t="s">
        <v>938</v>
      </c>
      <c r="B114" s="186">
        <v>0</v>
      </c>
      <c r="C114" s="186">
        <v>0</v>
      </c>
      <c r="D114" s="186">
        <v>0</v>
      </c>
      <c r="E114" s="186">
        <v>0</v>
      </c>
      <c r="F114" s="20">
        <v>0</v>
      </c>
    </row>
    <row r="115" spans="1:6" ht="10.5" customHeight="1" x14ac:dyDescent="0.15">
      <c r="A115" s="180" t="s">
        <v>939</v>
      </c>
      <c r="B115" s="186">
        <v>5728</v>
      </c>
      <c r="C115" s="186">
        <v>6605</v>
      </c>
      <c r="D115" s="186">
        <v>10159</v>
      </c>
      <c r="E115" s="229">
        <v>7543</v>
      </c>
      <c r="F115" s="20">
        <v>8333</v>
      </c>
    </row>
    <row r="116" spans="1:6" ht="10.5" customHeight="1" x14ac:dyDescent="0.15">
      <c r="A116" s="180" t="s">
        <v>940</v>
      </c>
      <c r="B116" s="186">
        <v>1604</v>
      </c>
      <c r="C116" s="186">
        <v>1495</v>
      </c>
      <c r="D116" s="186">
        <v>1827</v>
      </c>
      <c r="E116" s="229">
        <v>1936</v>
      </c>
      <c r="F116" s="20">
        <v>2269</v>
      </c>
    </row>
    <row r="117" spans="1:6" ht="10.5" customHeight="1" x14ac:dyDescent="0.15">
      <c r="A117" s="180" t="s">
        <v>941</v>
      </c>
      <c r="B117" s="186">
        <v>145148</v>
      </c>
      <c r="C117" s="186">
        <v>143253</v>
      </c>
      <c r="D117" s="186">
        <v>170032</v>
      </c>
      <c r="E117" s="229">
        <v>197503</v>
      </c>
      <c r="F117" s="20">
        <v>211886</v>
      </c>
    </row>
    <row r="118" spans="1:6" ht="10.5" customHeight="1" x14ac:dyDescent="0.15">
      <c r="A118" s="180" t="s">
        <v>942</v>
      </c>
      <c r="B118" s="186">
        <v>636</v>
      </c>
      <c r="C118" s="186">
        <v>780</v>
      </c>
      <c r="D118" s="186">
        <v>959</v>
      </c>
      <c r="E118" s="229">
        <v>1013</v>
      </c>
      <c r="F118" s="20">
        <v>1270</v>
      </c>
    </row>
    <row r="119" spans="1:6" ht="10.5" customHeight="1" x14ac:dyDescent="0.15">
      <c r="A119" s="180" t="s">
        <v>943</v>
      </c>
      <c r="B119" s="186">
        <v>7841</v>
      </c>
      <c r="C119" s="186">
        <v>7509</v>
      </c>
      <c r="D119" s="186">
        <v>7484</v>
      </c>
      <c r="E119" s="229">
        <v>7540</v>
      </c>
      <c r="F119" s="20">
        <v>3481</v>
      </c>
    </row>
    <row r="120" spans="1:6" ht="10.5" customHeight="1" x14ac:dyDescent="0.15">
      <c r="A120" s="180" t="s">
        <v>944</v>
      </c>
      <c r="B120" s="186">
        <v>14281</v>
      </c>
      <c r="C120" s="186">
        <v>13285</v>
      </c>
      <c r="D120" s="186">
        <v>11065</v>
      </c>
      <c r="E120" s="229">
        <v>8358</v>
      </c>
      <c r="F120" s="20">
        <v>10601</v>
      </c>
    </row>
    <row r="121" spans="1:6" ht="10.5" customHeight="1" x14ac:dyDescent="0.15">
      <c r="A121" s="180" t="s">
        <v>945</v>
      </c>
      <c r="B121" s="186">
        <v>20013</v>
      </c>
      <c r="C121" s="186">
        <v>22203</v>
      </c>
      <c r="D121" s="186">
        <v>24225</v>
      </c>
      <c r="E121" s="229">
        <v>28917</v>
      </c>
      <c r="F121" s="20">
        <v>31291</v>
      </c>
    </row>
    <row r="122" spans="1:6" ht="10.5" customHeight="1" x14ac:dyDescent="0.15">
      <c r="A122" s="180" t="s">
        <v>946</v>
      </c>
      <c r="B122" s="186">
        <v>0</v>
      </c>
      <c r="C122" s="186">
        <v>0</v>
      </c>
      <c r="D122" s="186">
        <v>0</v>
      </c>
      <c r="E122" s="186">
        <v>0</v>
      </c>
      <c r="F122" s="20">
        <v>0</v>
      </c>
    </row>
    <row r="123" spans="1:6" ht="10.5" customHeight="1" x14ac:dyDescent="0.15">
      <c r="A123" s="180" t="s">
        <v>947</v>
      </c>
      <c r="B123" s="186">
        <v>78453</v>
      </c>
      <c r="C123" s="186">
        <v>84881</v>
      </c>
      <c r="D123" s="186">
        <v>90075</v>
      </c>
      <c r="E123" s="229">
        <v>101817</v>
      </c>
      <c r="F123" s="20">
        <v>110833</v>
      </c>
    </row>
    <row r="124" spans="1:6" x14ac:dyDescent="0.15">
      <c r="F124" s="179"/>
    </row>
    <row r="125" spans="1:6" ht="10.5" customHeight="1" x14ac:dyDescent="0.15">
      <c r="A125" s="2486" t="s">
        <v>948</v>
      </c>
      <c r="B125" s="2486"/>
      <c r="C125" s="2486"/>
      <c r="D125" s="2486"/>
      <c r="E125" s="2486"/>
      <c r="F125" s="2486"/>
    </row>
    <row r="126" spans="1:6" ht="10.5" customHeight="1" x14ac:dyDescent="0.15">
      <c r="A126" s="2486" t="s">
        <v>949</v>
      </c>
      <c r="B126" s="2486"/>
      <c r="C126" s="2486"/>
      <c r="D126" s="2486"/>
      <c r="E126" s="2486"/>
      <c r="F126" s="2486"/>
    </row>
    <row r="127" spans="1:6" ht="10.5" customHeight="1" x14ac:dyDescent="0.15">
      <c r="A127" s="2511" t="s">
        <v>20</v>
      </c>
      <c r="B127" s="2511"/>
      <c r="C127" s="2511"/>
      <c r="D127" s="2511"/>
      <c r="E127" s="2511"/>
      <c r="F127" s="2511"/>
    </row>
    <row r="128" spans="1:6" ht="10.5" customHeight="1" x14ac:dyDescent="0.15">
      <c r="A128" s="2486" t="s">
        <v>456</v>
      </c>
      <c r="B128" s="2486"/>
      <c r="C128" s="2486"/>
      <c r="D128" s="2486"/>
      <c r="E128" s="2486"/>
      <c r="F128" s="2486"/>
    </row>
  </sheetData>
  <mergeCells count="5">
    <mergeCell ref="A2:F2"/>
    <mergeCell ref="A125:F125"/>
    <mergeCell ref="A126:F126"/>
    <mergeCell ref="A127:F127"/>
    <mergeCell ref="A128:F128"/>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P129"/>
  <sheetViews>
    <sheetView zoomScaleNormal="100" workbookViewId="0">
      <selection activeCell="A2" sqref="A2:P2"/>
    </sheetView>
  </sheetViews>
  <sheetFormatPr baseColWidth="10" defaultRowHeight="10.5" x14ac:dyDescent="0.15"/>
  <cols>
    <col min="1" max="1" width="30.28515625" style="179" customWidth="1"/>
    <col min="2" max="13" width="12" style="180" bestFit="1" customWidth="1"/>
    <col min="14" max="15" width="12.85546875" style="180" bestFit="1" customWidth="1"/>
    <col min="16" max="16" width="11.5703125" style="180" bestFit="1" customWidth="1"/>
    <col min="17" max="16384" width="11.42578125" style="180"/>
  </cols>
  <sheetData>
    <row r="2" spans="1:16" s="204" customFormat="1" ht="24.75" customHeight="1" x14ac:dyDescent="0.15">
      <c r="A2" s="2500" t="s">
        <v>950</v>
      </c>
      <c r="B2" s="2500"/>
      <c r="C2" s="2500"/>
      <c r="D2" s="2500"/>
      <c r="E2" s="2500"/>
      <c r="F2" s="2500"/>
      <c r="G2" s="2500"/>
      <c r="H2" s="2500"/>
      <c r="I2" s="2500"/>
      <c r="J2" s="2500"/>
      <c r="K2" s="2500"/>
      <c r="L2" s="2500"/>
      <c r="M2" s="2500"/>
      <c r="N2" s="2500"/>
      <c r="O2" s="2500"/>
      <c r="P2" s="2500"/>
    </row>
    <row r="4" spans="1:16" ht="16.5" customHeight="1" x14ac:dyDescent="0.15">
      <c r="A4" s="2512" t="s">
        <v>951</v>
      </c>
      <c r="B4" s="2505">
        <v>2011</v>
      </c>
      <c r="C4" s="2505"/>
      <c r="D4" s="2505"/>
      <c r="E4" s="2505">
        <v>2012</v>
      </c>
      <c r="F4" s="2505"/>
      <c r="G4" s="2505"/>
      <c r="H4" s="2505">
        <v>2013</v>
      </c>
      <c r="I4" s="2505"/>
      <c r="J4" s="2505"/>
      <c r="K4" s="2513">
        <v>2014</v>
      </c>
      <c r="L4" s="2514"/>
      <c r="M4" s="2515"/>
      <c r="N4" s="2513">
        <v>2015</v>
      </c>
      <c r="O4" s="2514"/>
      <c r="P4" s="2515"/>
    </row>
    <row r="5" spans="1:16" ht="19.5" customHeight="1" x14ac:dyDescent="0.15">
      <c r="A5" s="2512"/>
      <c r="B5" s="206" t="s">
        <v>69</v>
      </c>
      <c r="C5" s="206" t="s">
        <v>952</v>
      </c>
      <c r="D5" s="206" t="s">
        <v>953</v>
      </c>
      <c r="E5" s="206" t="s">
        <v>69</v>
      </c>
      <c r="F5" s="206" t="s">
        <v>952</v>
      </c>
      <c r="G5" s="206" t="s">
        <v>953</v>
      </c>
      <c r="H5" s="206" t="s">
        <v>69</v>
      </c>
      <c r="I5" s="206" t="s">
        <v>952</v>
      </c>
      <c r="J5" s="206" t="s">
        <v>953</v>
      </c>
      <c r="K5" s="206" t="s">
        <v>69</v>
      </c>
      <c r="L5" s="206" t="s">
        <v>952</v>
      </c>
      <c r="M5" s="206" t="s">
        <v>953</v>
      </c>
      <c r="N5" s="206" t="s">
        <v>69</v>
      </c>
      <c r="O5" s="206" t="s">
        <v>952</v>
      </c>
      <c r="P5" s="206" t="s">
        <v>953</v>
      </c>
    </row>
    <row r="6" spans="1:16" s="183" customFormat="1" ht="14.25" customHeight="1" x14ac:dyDescent="0.15">
      <c r="A6" s="191" t="s">
        <v>141</v>
      </c>
      <c r="B6" s="184">
        <f>SUM(C6:D6)</f>
        <v>1791930</v>
      </c>
      <c r="C6" s="184">
        <f>SUM(C7+C12+C16+C22+C26+C31+C40+C43+C47+C56+C64+C78+C81+C93+C113)</f>
        <v>1315924</v>
      </c>
      <c r="D6" s="184">
        <f>SUM(D7+D12+D16+D22+D26+D31+D40+D43+D47+D56+D64+D78+D81+D93+D113)</f>
        <v>476006</v>
      </c>
      <c r="E6" s="184">
        <f>SUM(F6:G6)</f>
        <v>2061670</v>
      </c>
      <c r="F6" s="184">
        <f>SUM(F7+F12+F16+F22+F26+F31+F40+F43+F47+F56+F64+F78+F81+F93+F113)</f>
        <v>1547482</v>
      </c>
      <c r="G6" s="184">
        <f>SUM(G7+G12+G16+G22+G26+G31+G40+G43+G47+G56+G64+G78+G81+G93+G113)</f>
        <v>514188</v>
      </c>
      <c r="H6" s="184">
        <f>SUM(I6:J6)</f>
        <v>2408269</v>
      </c>
      <c r="I6" s="184">
        <f>SUM(I7+I12+I16+I22+I26+I31+I40+I43+I47+I56+I64+I78+I81+I93+I113)</f>
        <v>1868972</v>
      </c>
      <c r="J6" s="184">
        <f>SUM(J7+J12+J16+J22+J26+J31+J40+J43+J47+J56+J64+J78+J81+J93+J113)</f>
        <v>539297</v>
      </c>
      <c r="K6" s="232">
        <f>SUM(L6:M6)</f>
        <v>2510648</v>
      </c>
      <c r="L6" s="232">
        <f>SUM(L7+L12+L16+L22+L26+L31+L40+L43+L47+L56+L64+L78+L81+L93+L113)</f>
        <v>1908867</v>
      </c>
      <c r="M6" s="232">
        <f>SUM(M7+M12+M16+M22+M26+M31+M40+M43+M47+M56+M64+M78+M81+M93+M113)</f>
        <v>601781</v>
      </c>
      <c r="N6" s="232">
        <f>SUM(O6:P6)</f>
        <v>2689190</v>
      </c>
      <c r="O6" s="232">
        <v>2044097</v>
      </c>
      <c r="P6" s="232">
        <v>645093</v>
      </c>
    </row>
    <row r="7" spans="1:16" s="183" customFormat="1" ht="14.25" customHeight="1" x14ac:dyDescent="0.15">
      <c r="A7" s="191" t="s">
        <v>5</v>
      </c>
      <c r="B7" s="184">
        <f t="shared" ref="B7:B70" si="0">SUM(C7:D7)</f>
        <v>13991</v>
      </c>
      <c r="C7" s="184">
        <f>SUM(C8:C11)</f>
        <v>9524</v>
      </c>
      <c r="D7" s="184">
        <f>SUM(D8:D11)</f>
        <v>4467</v>
      </c>
      <c r="E7" s="184">
        <f t="shared" ref="E7:E70" si="1">SUM(F7:G7)</f>
        <v>13002</v>
      </c>
      <c r="F7" s="184">
        <f>SUM(F8:F11)</f>
        <v>9685</v>
      </c>
      <c r="G7" s="184">
        <f>SUM(G8:G11)</f>
        <v>3317</v>
      </c>
      <c r="H7" s="184">
        <f t="shared" ref="H7:H70" si="2">SUM(I7:J7)</f>
        <v>18425</v>
      </c>
      <c r="I7" s="184">
        <f>SUM(I8:I11)</f>
        <v>13452</v>
      </c>
      <c r="J7" s="184">
        <f>SUM(J8:J11)</f>
        <v>4973</v>
      </c>
      <c r="K7" s="232">
        <f t="shared" ref="K7:K25" si="3">SUM(L7:M7)</f>
        <v>18207</v>
      </c>
      <c r="L7" s="232">
        <f>SUM(L8:L11)</f>
        <v>12744</v>
      </c>
      <c r="M7" s="232">
        <f>SUM(M8:M11)</f>
        <v>5463</v>
      </c>
      <c r="N7" s="232">
        <f t="shared" ref="N7:N25" si="4">SUM(O7:P7)</f>
        <v>15734</v>
      </c>
      <c r="O7" s="232">
        <f>SUM(O8:O11)</f>
        <v>10930</v>
      </c>
      <c r="P7" s="232">
        <f>SUM(P8:P11)</f>
        <v>4804</v>
      </c>
    </row>
    <row r="8" spans="1:16" ht="10.5" customHeight="1" x14ac:dyDescent="0.15">
      <c r="A8" s="179" t="s">
        <v>845</v>
      </c>
      <c r="B8" s="186">
        <f t="shared" si="0"/>
        <v>12081</v>
      </c>
      <c r="C8" s="186">
        <v>9001</v>
      </c>
      <c r="D8" s="186">
        <v>3080</v>
      </c>
      <c r="E8" s="186">
        <f t="shared" si="1"/>
        <v>12087</v>
      </c>
      <c r="F8" s="186">
        <v>9449</v>
      </c>
      <c r="G8" s="186">
        <v>2638</v>
      </c>
      <c r="H8" s="186">
        <f t="shared" si="2"/>
        <v>17211</v>
      </c>
      <c r="I8" s="186">
        <v>13110</v>
      </c>
      <c r="J8" s="186">
        <v>4101</v>
      </c>
      <c r="K8" s="229">
        <f t="shared" si="3"/>
        <v>16829</v>
      </c>
      <c r="L8" s="229">
        <v>12382</v>
      </c>
      <c r="M8" s="229">
        <v>4447</v>
      </c>
      <c r="N8" s="229">
        <f t="shared" si="4"/>
        <v>14016</v>
      </c>
      <c r="O8" s="229">
        <v>10525</v>
      </c>
      <c r="P8" s="229">
        <v>3491</v>
      </c>
    </row>
    <row r="9" spans="1:16" x14ac:dyDescent="0.15">
      <c r="A9" s="179" t="s">
        <v>846</v>
      </c>
      <c r="B9" s="186">
        <f t="shared" si="0"/>
        <v>777</v>
      </c>
      <c r="C9" s="186">
        <v>291</v>
      </c>
      <c r="D9" s="186">
        <v>486</v>
      </c>
      <c r="E9" s="186">
        <f t="shared" si="1"/>
        <v>208</v>
      </c>
      <c r="F9" s="186">
        <v>50</v>
      </c>
      <c r="G9" s="186">
        <v>158</v>
      </c>
      <c r="H9" s="186">
        <f t="shared" si="2"/>
        <v>450</v>
      </c>
      <c r="I9" s="186">
        <v>93</v>
      </c>
      <c r="J9" s="186">
        <v>357</v>
      </c>
      <c r="K9" s="229">
        <f t="shared" si="3"/>
        <v>520</v>
      </c>
      <c r="L9" s="229">
        <v>123</v>
      </c>
      <c r="M9" s="229">
        <v>397</v>
      </c>
      <c r="N9" s="229">
        <f t="shared" si="4"/>
        <v>516</v>
      </c>
      <c r="O9" s="229">
        <v>94</v>
      </c>
      <c r="P9" s="229">
        <v>422</v>
      </c>
    </row>
    <row r="10" spans="1:16" x14ac:dyDescent="0.15">
      <c r="A10" s="179" t="s">
        <v>847</v>
      </c>
      <c r="B10" s="186">
        <f t="shared" si="0"/>
        <v>0</v>
      </c>
      <c r="C10" s="186">
        <v>0</v>
      </c>
      <c r="D10" s="186">
        <v>0</v>
      </c>
      <c r="E10" s="186">
        <f t="shared" si="1"/>
        <v>0</v>
      </c>
      <c r="F10" s="186">
        <v>0</v>
      </c>
      <c r="G10" s="186">
        <v>0</v>
      </c>
      <c r="H10" s="186">
        <f t="shared" si="2"/>
        <v>0</v>
      </c>
      <c r="I10" s="186">
        <v>0</v>
      </c>
      <c r="J10" s="186">
        <v>0</v>
      </c>
      <c r="K10" s="229">
        <f t="shared" si="3"/>
        <v>0</v>
      </c>
      <c r="L10" s="229">
        <v>0</v>
      </c>
      <c r="M10" s="229">
        <v>0</v>
      </c>
      <c r="N10" s="229">
        <f t="shared" si="4"/>
        <v>0</v>
      </c>
      <c r="O10" s="229">
        <v>0</v>
      </c>
      <c r="P10" s="229">
        <v>0</v>
      </c>
    </row>
    <row r="11" spans="1:16" x14ac:dyDescent="0.15">
      <c r="A11" s="179" t="s">
        <v>848</v>
      </c>
      <c r="B11" s="186">
        <f t="shared" si="0"/>
        <v>1133</v>
      </c>
      <c r="C11" s="186">
        <v>232</v>
      </c>
      <c r="D11" s="186">
        <v>901</v>
      </c>
      <c r="E11" s="186">
        <f t="shared" si="1"/>
        <v>707</v>
      </c>
      <c r="F11" s="186">
        <v>186</v>
      </c>
      <c r="G11" s="186">
        <v>521</v>
      </c>
      <c r="H11" s="186">
        <f t="shared" si="2"/>
        <v>764</v>
      </c>
      <c r="I11" s="186">
        <v>249</v>
      </c>
      <c r="J11" s="186">
        <v>515</v>
      </c>
      <c r="K11" s="229">
        <f t="shared" si="3"/>
        <v>858</v>
      </c>
      <c r="L11" s="229">
        <v>239</v>
      </c>
      <c r="M11" s="229">
        <v>619</v>
      </c>
      <c r="N11" s="229">
        <f t="shared" si="4"/>
        <v>1202</v>
      </c>
      <c r="O11" s="229">
        <v>311</v>
      </c>
      <c r="P11" s="229">
        <v>891</v>
      </c>
    </row>
    <row r="12" spans="1:16" s="183" customFormat="1" ht="12.75" customHeight="1" x14ac:dyDescent="0.15">
      <c r="A12" s="191" t="s">
        <v>6</v>
      </c>
      <c r="B12" s="184">
        <f t="shared" si="0"/>
        <v>9875</v>
      </c>
      <c r="C12" s="184">
        <f>SUM(C13:C15)</f>
        <v>8281</v>
      </c>
      <c r="D12" s="184">
        <f>SUM(D13:D15)</f>
        <v>1594</v>
      </c>
      <c r="E12" s="184">
        <f t="shared" si="1"/>
        <v>2271</v>
      </c>
      <c r="F12" s="184">
        <f>SUM(F13:F15)</f>
        <v>1648</v>
      </c>
      <c r="G12" s="184">
        <f>SUM(G13:G15)</f>
        <v>623</v>
      </c>
      <c r="H12" s="184">
        <f t="shared" si="2"/>
        <v>3228</v>
      </c>
      <c r="I12" s="184">
        <f>SUM(I13:I15)</f>
        <v>2679</v>
      </c>
      <c r="J12" s="184">
        <f>SUM(J13:J15)</f>
        <v>549</v>
      </c>
      <c r="K12" s="232">
        <f t="shared" si="3"/>
        <v>4783</v>
      </c>
      <c r="L12" s="232">
        <f>SUM(L13:L15)</f>
        <v>3860</v>
      </c>
      <c r="M12" s="232">
        <f>SUM(M13:M15)</f>
        <v>923</v>
      </c>
      <c r="N12" s="232">
        <f t="shared" si="4"/>
        <v>10638</v>
      </c>
      <c r="O12" s="232">
        <f>SUM(O13:O15)</f>
        <v>9275</v>
      </c>
      <c r="P12" s="232">
        <f>SUM(P13:P15)</f>
        <v>1363</v>
      </c>
    </row>
    <row r="13" spans="1:16" x14ac:dyDescent="0.15">
      <c r="A13" s="179" t="s">
        <v>849</v>
      </c>
      <c r="B13" s="186">
        <f t="shared" si="0"/>
        <v>185</v>
      </c>
      <c r="C13" s="186">
        <v>89</v>
      </c>
      <c r="D13" s="186">
        <v>96</v>
      </c>
      <c r="E13" s="186">
        <f t="shared" si="1"/>
        <v>187</v>
      </c>
      <c r="F13" s="186">
        <v>113</v>
      </c>
      <c r="G13" s="186">
        <v>74</v>
      </c>
      <c r="H13" s="186">
        <f t="shared" si="2"/>
        <v>258</v>
      </c>
      <c r="I13" s="186">
        <v>137</v>
      </c>
      <c r="J13" s="186">
        <v>121</v>
      </c>
      <c r="K13" s="229">
        <f t="shared" si="3"/>
        <v>224</v>
      </c>
      <c r="L13" s="229">
        <v>139</v>
      </c>
      <c r="M13" s="229">
        <v>85</v>
      </c>
      <c r="N13" s="229">
        <f t="shared" si="4"/>
        <v>430</v>
      </c>
      <c r="O13" s="229">
        <v>375</v>
      </c>
      <c r="P13" s="229">
        <v>55</v>
      </c>
    </row>
    <row r="14" spans="1:16" x14ac:dyDescent="0.15">
      <c r="A14" s="179" t="s">
        <v>850</v>
      </c>
      <c r="B14" s="186">
        <f t="shared" si="0"/>
        <v>0</v>
      </c>
      <c r="C14" s="186">
        <v>0</v>
      </c>
      <c r="D14" s="186">
        <v>0</v>
      </c>
      <c r="E14" s="186">
        <f t="shared" si="1"/>
        <v>0</v>
      </c>
      <c r="F14" s="186">
        <v>0</v>
      </c>
      <c r="G14" s="186">
        <v>0</v>
      </c>
      <c r="H14" s="186">
        <f t="shared" si="2"/>
        <v>0</v>
      </c>
      <c r="I14" s="186">
        <v>0</v>
      </c>
      <c r="J14" s="186">
        <v>0</v>
      </c>
      <c r="K14" s="229">
        <f t="shared" si="3"/>
        <v>0</v>
      </c>
      <c r="L14" s="229">
        <v>0</v>
      </c>
      <c r="M14" s="229">
        <v>0</v>
      </c>
      <c r="N14" s="229">
        <f t="shared" si="4"/>
        <v>0</v>
      </c>
      <c r="O14" s="229">
        <v>0</v>
      </c>
      <c r="P14" s="229">
        <v>0</v>
      </c>
    </row>
    <row r="15" spans="1:16" x14ac:dyDescent="0.15">
      <c r="A15" s="179" t="s">
        <v>851</v>
      </c>
      <c r="B15" s="186">
        <f t="shared" si="0"/>
        <v>9690</v>
      </c>
      <c r="C15" s="186">
        <v>8192</v>
      </c>
      <c r="D15" s="186">
        <v>1498</v>
      </c>
      <c r="E15" s="186">
        <f t="shared" si="1"/>
        <v>2084</v>
      </c>
      <c r="F15" s="186">
        <v>1535</v>
      </c>
      <c r="G15" s="186">
        <v>549</v>
      </c>
      <c r="H15" s="186">
        <f t="shared" si="2"/>
        <v>2970</v>
      </c>
      <c r="I15" s="186">
        <v>2542</v>
      </c>
      <c r="J15" s="186">
        <v>428</v>
      </c>
      <c r="K15" s="229">
        <f t="shared" si="3"/>
        <v>4559</v>
      </c>
      <c r="L15" s="229">
        <v>3721</v>
      </c>
      <c r="M15" s="229">
        <v>838</v>
      </c>
      <c r="N15" s="229">
        <f t="shared" si="4"/>
        <v>10208</v>
      </c>
      <c r="O15" s="229">
        <v>8900</v>
      </c>
      <c r="P15" s="229">
        <v>1308</v>
      </c>
    </row>
    <row r="16" spans="1:16" s="183" customFormat="1" ht="12.75" customHeight="1" x14ac:dyDescent="0.15">
      <c r="A16" s="191" t="s">
        <v>7</v>
      </c>
      <c r="B16" s="184">
        <f t="shared" si="0"/>
        <v>330317</v>
      </c>
      <c r="C16" s="184">
        <f>SUM(C17:C21)</f>
        <v>192958</v>
      </c>
      <c r="D16" s="184">
        <f>SUM(D17:D21)</f>
        <v>137359</v>
      </c>
      <c r="E16" s="184">
        <f t="shared" si="1"/>
        <v>338326</v>
      </c>
      <c r="F16" s="184">
        <f>SUM(F17:F21)</f>
        <v>194106</v>
      </c>
      <c r="G16" s="184">
        <f>SUM(G17:G21)</f>
        <v>144220</v>
      </c>
      <c r="H16" s="184">
        <f t="shared" si="2"/>
        <v>400503</v>
      </c>
      <c r="I16" s="184">
        <f>SUM(I17:I21)</f>
        <v>255128</v>
      </c>
      <c r="J16" s="184">
        <f>SUM(J17:J21)</f>
        <v>145375</v>
      </c>
      <c r="K16" s="232">
        <f t="shared" si="3"/>
        <v>391325</v>
      </c>
      <c r="L16" s="232">
        <f>SUM(L17:L21)</f>
        <v>233015</v>
      </c>
      <c r="M16" s="232">
        <f>SUM(M17:M21)</f>
        <v>158310</v>
      </c>
      <c r="N16" s="232">
        <f t="shared" si="4"/>
        <v>465052</v>
      </c>
      <c r="O16" s="232">
        <f>SUM(O17:O21)</f>
        <v>272356</v>
      </c>
      <c r="P16" s="232">
        <f>SUM(P17:P21)</f>
        <v>192696</v>
      </c>
    </row>
    <row r="17" spans="1:16" x14ac:dyDescent="0.15">
      <c r="A17" s="179" t="s">
        <v>852</v>
      </c>
      <c r="B17" s="186">
        <f t="shared" si="0"/>
        <v>0</v>
      </c>
      <c r="C17" s="186">
        <v>0</v>
      </c>
      <c r="D17" s="186">
        <v>0</v>
      </c>
      <c r="E17" s="186">
        <f t="shared" si="1"/>
        <v>0</v>
      </c>
      <c r="F17" s="186">
        <v>0</v>
      </c>
      <c r="G17" s="186">
        <v>0</v>
      </c>
      <c r="H17" s="186">
        <f t="shared" si="2"/>
        <v>0</v>
      </c>
      <c r="I17" s="186">
        <v>0</v>
      </c>
      <c r="J17" s="186">
        <v>0</v>
      </c>
      <c r="K17" s="229">
        <f t="shared" si="3"/>
        <v>0</v>
      </c>
      <c r="L17" s="229">
        <v>0</v>
      </c>
      <c r="M17" s="229">
        <v>0</v>
      </c>
      <c r="N17" s="229">
        <f t="shared" si="4"/>
        <v>0</v>
      </c>
      <c r="O17" s="229">
        <v>0</v>
      </c>
      <c r="P17" s="229">
        <v>0</v>
      </c>
    </row>
    <row r="18" spans="1:16" x14ac:dyDescent="0.15">
      <c r="A18" s="179" t="s">
        <v>853</v>
      </c>
      <c r="B18" s="186">
        <f t="shared" si="0"/>
        <v>0</v>
      </c>
      <c r="C18" s="186">
        <v>0</v>
      </c>
      <c r="D18" s="186">
        <v>0</v>
      </c>
      <c r="E18" s="186">
        <f t="shared" si="1"/>
        <v>0</v>
      </c>
      <c r="F18" s="186">
        <v>0</v>
      </c>
      <c r="G18" s="186">
        <v>0</v>
      </c>
      <c r="H18" s="186">
        <f t="shared" si="2"/>
        <v>0</v>
      </c>
      <c r="I18" s="186">
        <v>0</v>
      </c>
      <c r="J18" s="186">
        <v>0</v>
      </c>
      <c r="K18" s="229">
        <f t="shared" si="3"/>
        <v>0</v>
      </c>
      <c r="L18" s="229">
        <v>0</v>
      </c>
      <c r="M18" s="229">
        <v>0</v>
      </c>
      <c r="N18" s="229">
        <f t="shared" si="4"/>
        <v>0</v>
      </c>
      <c r="O18" s="229">
        <v>0</v>
      </c>
      <c r="P18" s="229">
        <v>0</v>
      </c>
    </row>
    <row r="19" spans="1:16" x14ac:dyDescent="0.15">
      <c r="A19" s="179" t="s">
        <v>854</v>
      </c>
      <c r="B19" s="186">
        <f t="shared" si="0"/>
        <v>213230</v>
      </c>
      <c r="C19" s="186">
        <v>78270</v>
      </c>
      <c r="D19" s="186">
        <v>134960</v>
      </c>
      <c r="E19" s="186">
        <f t="shared" si="1"/>
        <v>218741</v>
      </c>
      <c r="F19" s="186">
        <v>78340</v>
      </c>
      <c r="G19" s="186">
        <v>140401</v>
      </c>
      <c r="H19" s="186">
        <f t="shared" si="2"/>
        <v>240118</v>
      </c>
      <c r="I19" s="186">
        <v>98145</v>
      </c>
      <c r="J19" s="186">
        <v>141973</v>
      </c>
      <c r="K19" s="229">
        <f t="shared" si="3"/>
        <v>263142</v>
      </c>
      <c r="L19" s="229">
        <v>107983</v>
      </c>
      <c r="M19" s="229">
        <v>155159</v>
      </c>
      <c r="N19" s="229">
        <f t="shared" si="4"/>
        <v>310698</v>
      </c>
      <c r="O19" s="229">
        <v>120968</v>
      </c>
      <c r="P19" s="229">
        <v>189730</v>
      </c>
    </row>
    <row r="20" spans="1:16" x14ac:dyDescent="0.15">
      <c r="A20" s="179" t="s">
        <v>954</v>
      </c>
      <c r="B20" s="186">
        <f t="shared" si="0"/>
        <v>0</v>
      </c>
      <c r="C20" s="186">
        <v>0</v>
      </c>
      <c r="D20" s="186">
        <v>0</v>
      </c>
      <c r="E20" s="186">
        <f t="shared" si="1"/>
        <v>0</v>
      </c>
      <c r="F20" s="186">
        <v>0</v>
      </c>
      <c r="G20" s="186">
        <v>0</v>
      </c>
      <c r="H20" s="186">
        <f t="shared" si="2"/>
        <v>0</v>
      </c>
      <c r="I20" s="186">
        <v>0</v>
      </c>
      <c r="J20" s="186">
        <v>0</v>
      </c>
      <c r="K20" s="229">
        <f t="shared" si="3"/>
        <v>0</v>
      </c>
      <c r="L20" s="229">
        <v>0</v>
      </c>
      <c r="M20" s="229">
        <v>0</v>
      </c>
      <c r="N20" s="229">
        <f t="shared" si="4"/>
        <v>0</v>
      </c>
      <c r="O20" s="229">
        <v>0</v>
      </c>
      <c r="P20" s="229">
        <v>0</v>
      </c>
    </row>
    <row r="21" spans="1:16" x14ac:dyDescent="0.15">
      <c r="A21" s="179" t="s">
        <v>856</v>
      </c>
      <c r="B21" s="186">
        <f t="shared" si="0"/>
        <v>117087</v>
      </c>
      <c r="C21" s="186">
        <v>114688</v>
      </c>
      <c r="D21" s="186">
        <v>2399</v>
      </c>
      <c r="E21" s="186">
        <f t="shared" si="1"/>
        <v>119585</v>
      </c>
      <c r="F21" s="186">
        <v>115766</v>
      </c>
      <c r="G21" s="186">
        <v>3819</v>
      </c>
      <c r="H21" s="186">
        <f t="shared" si="2"/>
        <v>160385</v>
      </c>
      <c r="I21" s="186">
        <v>156983</v>
      </c>
      <c r="J21" s="186">
        <v>3402</v>
      </c>
      <c r="K21" s="229">
        <f t="shared" si="3"/>
        <v>128183</v>
      </c>
      <c r="L21" s="229">
        <v>125032</v>
      </c>
      <c r="M21" s="229">
        <v>3151</v>
      </c>
      <c r="N21" s="229">
        <f t="shared" si="4"/>
        <v>154354</v>
      </c>
      <c r="O21" s="229">
        <v>151388</v>
      </c>
      <c r="P21" s="229">
        <v>2966</v>
      </c>
    </row>
    <row r="22" spans="1:16" s="183" customFormat="1" ht="12.75" customHeight="1" x14ac:dyDescent="0.15">
      <c r="A22" s="191" t="s">
        <v>8</v>
      </c>
      <c r="B22" s="184">
        <f t="shared" si="0"/>
        <v>16474</v>
      </c>
      <c r="C22" s="184">
        <f>SUM(C23:C25)</f>
        <v>15429</v>
      </c>
      <c r="D22" s="184">
        <f>SUM(D23:D25)</f>
        <v>1045</v>
      </c>
      <c r="E22" s="184">
        <f t="shared" si="1"/>
        <v>17725</v>
      </c>
      <c r="F22" s="184">
        <f>SUM(F23:F25)</f>
        <v>16307</v>
      </c>
      <c r="G22" s="184">
        <f>SUM(G23:G25)</f>
        <v>1418</v>
      </c>
      <c r="H22" s="184">
        <f t="shared" si="2"/>
        <v>19045</v>
      </c>
      <c r="I22" s="184">
        <f>SUM(I23:I25)</f>
        <v>17883</v>
      </c>
      <c r="J22" s="184">
        <f>SUM(J23:J25)</f>
        <v>1162</v>
      </c>
      <c r="K22" s="232">
        <f t="shared" si="3"/>
        <v>22181</v>
      </c>
      <c r="L22" s="232">
        <f>SUM(L23:L25)</f>
        <v>20604</v>
      </c>
      <c r="M22" s="232">
        <f>SUM(M23:M25)</f>
        <v>1577</v>
      </c>
      <c r="N22" s="232">
        <f t="shared" si="4"/>
        <v>21349</v>
      </c>
      <c r="O22" s="232">
        <f>SUM(O23:O25)</f>
        <v>19786</v>
      </c>
      <c r="P22" s="232">
        <f>SUM(P23:P25)</f>
        <v>1563</v>
      </c>
    </row>
    <row r="23" spans="1:16" x14ac:dyDescent="0.15">
      <c r="A23" s="179" t="s">
        <v>857</v>
      </c>
      <c r="B23" s="186">
        <f t="shared" si="0"/>
        <v>12788</v>
      </c>
      <c r="C23" s="186">
        <v>11971</v>
      </c>
      <c r="D23" s="186">
        <v>817</v>
      </c>
      <c r="E23" s="186">
        <f t="shared" si="1"/>
        <v>13458</v>
      </c>
      <c r="F23" s="186">
        <v>12361</v>
      </c>
      <c r="G23" s="186">
        <v>1097</v>
      </c>
      <c r="H23" s="186">
        <f t="shared" si="2"/>
        <v>13987</v>
      </c>
      <c r="I23" s="186">
        <v>13162</v>
      </c>
      <c r="J23" s="186">
        <v>825</v>
      </c>
      <c r="K23" s="229">
        <f t="shared" si="3"/>
        <v>17631</v>
      </c>
      <c r="L23" s="229">
        <v>16377</v>
      </c>
      <c r="M23" s="229">
        <v>1254</v>
      </c>
      <c r="N23" s="229">
        <f t="shared" si="4"/>
        <v>16041</v>
      </c>
      <c r="O23" s="229">
        <v>14862</v>
      </c>
      <c r="P23" s="229">
        <v>1179</v>
      </c>
    </row>
    <row r="24" spans="1:16" x14ac:dyDescent="0.15">
      <c r="A24" s="179" t="s">
        <v>858</v>
      </c>
      <c r="B24" s="186">
        <f t="shared" si="0"/>
        <v>3283</v>
      </c>
      <c r="C24" s="186">
        <v>3201</v>
      </c>
      <c r="D24" s="186">
        <v>82</v>
      </c>
      <c r="E24" s="186">
        <f t="shared" si="1"/>
        <v>3761</v>
      </c>
      <c r="F24" s="186">
        <v>3666</v>
      </c>
      <c r="G24" s="186">
        <v>95</v>
      </c>
      <c r="H24" s="186">
        <f t="shared" si="2"/>
        <v>4471</v>
      </c>
      <c r="I24" s="186">
        <v>4389</v>
      </c>
      <c r="J24" s="186">
        <v>82</v>
      </c>
      <c r="K24" s="229">
        <f t="shared" si="3"/>
        <v>3864</v>
      </c>
      <c r="L24" s="229">
        <v>3795</v>
      </c>
      <c r="M24" s="229">
        <v>69</v>
      </c>
      <c r="N24" s="229">
        <f t="shared" si="4"/>
        <v>4792</v>
      </c>
      <c r="O24" s="229">
        <v>4640</v>
      </c>
      <c r="P24" s="229">
        <v>152</v>
      </c>
    </row>
    <row r="25" spans="1:16" x14ac:dyDescent="0.15">
      <c r="A25" s="179" t="s">
        <v>859</v>
      </c>
      <c r="B25" s="186">
        <f t="shared" si="0"/>
        <v>403</v>
      </c>
      <c r="C25" s="186">
        <v>257</v>
      </c>
      <c r="D25" s="186">
        <v>146</v>
      </c>
      <c r="E25" s="186">
        <f t="shared" si="1"/>
        <v>506</v>
      </c>
      <c r="F25" s="186">
        <v>280</v>
      </c>
      <c r="G25" s="186">
        <v>226</v>
      </c>
      <c r="H25" s="186">
        <f t="shared" si="2"/>
        <v>587</v>
      </c>
      <c r="I25" s="186">
        <v>332</v>
      </c>
      <c r="J25" s="186">
        <v>255</v>
      </c>
      <c r="K25" s="229">
        <f t="shared" si="3"/>
        <v>686</v>
      </c>
      <c r="L25" s="229">
        <v>432</v>
      </c>
      <c r="M25" s="229">
        <v>254</v>
      </c>
      <c r="N25" s="229">
        <f t="shared" si="4"/>
        <v>516</v>
      </c>
      <c r="O25" s="229">
        <v>284</v>
      </c>
      <c r="P25" s="229">
        <v>232</v>
      </c>
    </row>
    <row r="26" spans="1:16" s="183" customFormat="1" ht="12.75" customHeight="1" x14ac:dyDescent="0.15">
      <c r="A26" s="191" t="s">
        <v>9</v>
      </c>
      <c r="B26" s="184">
        <f t="shared" ref="B26:K26" si="5">SUM(B27:B30)</f>
        <v>47833</v>
      </c>
      <c r="C26" s="184">
        <f t="shared" si="5"/>
        <v>41874</v>
      </c>
      <c r="D26" s="184">
        <f t="shared" si="5"/>
        <v>5959</v>
      </c>
      <c r="E26" s="184">
        <f t="shared" si="5"/>
        <v>70493</v>
      </c>
      <c r="F26" s="184">
        <f t="shared" si="5"/>
        <v>63900</v>
      </c>
      <c r="G26" s="184">
        <f t="shared" si="5"/>
        <v>6593</v>
      </c>
      <c r="H26" s="184">
        <f t="shared" si="5"/>
        <v>68487</v>
      </c>
      <c r="I26" s="184">
        <f>SUM(I27:I30)</f>
        <v>61591</v>
      </c>
      <c r="J26" s="184">
        <f t="shared" si="5"/>
        <v>6896</v>
      </c>
      <c r="K26" s="232">
        <f t="shared" si="5"/>
        <v>79303</v>
      </c>
      <c r="L26" s="232">
        <f>SUM(L27:L30)</f>
        <v>71749</v>
      </c>
      <c r="M26" s="232">
        <f t="shared" ref="M26:N26" si="6">SUM(M27:M30)</f>
        <v>7554</v>
      </c>
      <c r="N26" s="232">
        <f t="shared" si="6"/>
        <v>79179</v>
      </c>
      <c r="O26" s="232">
        <f>SUM(O27:O30)</f>
        <v>71260</v>
      </c>
      <c r="P26" s="232">
        <f>SUM(P27:P30)</f>
        <v>7919</v>
      </c>
    </row>
    <row r="27" spans="1:16" x14ac:dyDescent="0.15">
      <c r="A27" s="179" t="s">
        <v>860</v>
      </c>
      <c r="B27" s="186">
        <f t="shared" si="0"/>
        <v>16776</v>
      </c>
      <c r="C27" s="186">
        <v>15293</v>
      </c>
      <c r="D27" s="186">
        <v>1483</v>
      </c>
      <c r="E27" s="186">
        <f t="shared" si="1"/>
        <v>17372</v>
      </c>
      <c r="F27" s="186">
        <v>16145</v>
      </c>
      <c r="G27" s="186">
        <v>1227</v>
      </c>
      <c r="H27" s="186">
        <f t="shared" si="2"/>
        <v>15676</v>
      </c>
      <c r="I27" s="186">
        <v>14756</v>
      </c>
      <c r="J27" s="186">
        <v>920</v>
      </c>
      <c r="K27" s="229">
        <f t="shared" ref="K27:K90" si="7">SUM(L27:M27)</f>
        <v>20312</v>
      </c>
      <c r="L27" s="229">
        <v>19124</v>
      </c>
      <c r="M27" s="229">
        <v>1188</v>
      </c>
      <c r="N27" s="229">
        <f t="shared" ref="N27:N90" si="8">SUM(O27:P27)</f>
        <v>18138</v>
      </c>
      <c r="O27" s="229">
        <v>17206</v>
      </c>
      <c r="P27" s="229">
        <v>932</v>
      </c>
    </row>
    <row r="28" spans="1:16" x14ac:dyDescent="0.15">
      <c r="A28" s="179" t="s">
        <v>861</v>
      </c>
      <c r="B28" s="186">
        <f t="shared" si="0"/>
        <v>22993</v>
      </c>
      <c r="C28" s="186">
        <v>19023</v>
      </c>
      <c r="D28" s="186">
        <v>3970</v>
      </c>
      <c r="E28" s="186">
        <f t="shared" si="1"/>
        <v>44557</v>
      </c>
      <c r="F28" s="186">
        <v>39781</v>
      </c>
      <c r="G28" s="186">
        <v>4776</v>
      </c>
      <c r="H28" s="186">
        <f t="shared" si="2"/>
        <v>45124</v>
      </c>
      <c r="I28" s="186">
        <v>39683</v>
      </c>
      <c r="J28" s="186">
        <v>5441</v>
      </c>
      <c r="K28" s="229">
        <f t="shared" si="7"/>
        <v>51050</v>
      </c>
      <c r="L28" s="229">
        <v>45285</v>
      </c>
      <c r="M28" s="229">
        <v>5765</v>
      </c>
      <c r="N28" s="229">
        <f t="shared" si="8"/>
        <v>53294</v>
      </c>
      <c r="O28" s="229">
        <v>46791</v>
      </c>
      <c r="P28" s="229">
        <v>6503</v>
      </c>
    </row>
    <row r="29" spans="1:16" x14ac:dyDescent="0.15">
      <c r="A29" s="179" t="s">
        <v>862</v>
      </c>
      <c r="B29" s="186">
        <f t="shared" si="0"/>
        <v>3048</v>
      </c>
      <c r="C29" s="186">
        <v>2831</v>
      </c>
      <c r="D29" s="186">
        <v>217</v>
      </c>
      <c r="E29" s="186">
        <f t="shared" si="1"/>
        <v>3621</v>
      </c>
      <c r="F29" s="186">
        <v>3310</v>
      </c>
      <c r="G29" s="186">
        <v>311</v>
      </c>
      <c r="H29" s="186">
        <f t="shared" si="2"/>
        <v>2850</v>
      </c>
      <c r="I29" s="186">
        <v>2632</v>
      </c>
      <c r="J29" s="186">
        <v>218</v>
      </c>
      <c r="K29" s="229">
        <f t="shared" si="7"/>
        <v>2888</v>
      </c>
      <c r="L29" s="229">
        <v>2618</v>
      </c>
      <c r="M29" s="229">
        <v>270</v>
      </c>
      <c r="N29" s="229">
        <f t="shared" si="8"/>
        <v>2544</v>
      </c>
      <c r="O29" s="229">
        <v>2261</v>
      </c>
      <c r="P29" s="229">
        <v>283</v>
      </c>
    </row>
    <row r="30" spans="1:16" x14ac:dyDescent="0.15">
      <c r="A30" s="179" t="s">
        <v>863</v>
      </c>
      <c r="B30" s="186">
        <f t="shared" si="0"/>
        <v>5016</v>
      </c>
      <c r="C30" s="186">
        <v>4727</v>
      </c>
      <c r="D30" s="186">
        <v>289</v>
      </c>
      <c r="E30" s="186">
        <f t="shared" si="1"/>
        <v>4943</v>
      </c>
      <c r="F30" s="186">
        <v>4664</v>
      </c>
      <c r="G30" s="186">
        <v>279</v>
      </c>
      <c r="H30" s="186">
        <f t="shared" si="2"/>
        <v>4837</v>
      </c>
      <c r="I30" s="186">
        <v>4520</v>
      </c>
      <c r="J30" s="186">
        <v>317</v>
      </c>
      <c r="K30" s="229">
        <f t="shared" si="7"/>
        <v>5053</v>
      </c>
      <c r="L30" s="229">
        <v>4722</v>
      </c>
      <c r="M30" s="229">
        <v>331</v>
      </c>
      <c r="N30" s="229">
        <f t="shared" si="8"/>
        <v>5203</v>
      </c>
      <c r="O30" s="229">
        <v>5002</v>
      </c>
      <c r="P30" s="229">
        <v>201</v>
      </c>
    </row>
    <row r="31" spans="1:16" s="183" customFormat="1" ht="12.75" customHeight="1" x14ac:dyDescent="0.15">
      <c r="A31" s="191" t="s">
        <v>10</v>
      </c>
      <c r="B31" s="184">
        <f t="shared" si="0"/>
        <v>132090</v>
      </c>
      <c r="C31" s="184">
        <f>SUM(C32:C39)</f>
        <v>105970</v>
      </c>
      <c r="D31" s="184">
        <f>SUM(D32:D39)</f>
        <v>26120</v>
      </c>
      <c r="E31" s="184">
        <f t="shared" si="1"/>
        <v>158605</v>
      </c>
      <c r="F31" s="184">
        <f>SUM(F32:F39)</f>
        <v>128596</v>
      </c>
      <c r="G31" s="184">
        <f>SUM(G32:G39)</f>
        <v>30009</v>
      </c>
      <c r="H31" s="184">
        <f t="shared" si="2"/>
        <v>193118</v>
      </c>
      <c r="I31" s="184">
        <f>SUM(I32:I39)</f>
        <v>160695</v>
      </c>
      <c r="J31" s="184">
        <f>SUM(J32:J39)</f>
        <v>32423</v>
      </c>
      <c r="K31" s="232">
        <f t="shared" si="7"/>
        <v>188405</v>
      </c>
      <c r="L31" s="232">
        <f>SUM(L32:L39)</f>
        <v>149383</v>
      </c>
      <c r="M31" s="232">
        <f>SUM(M32:M39)</f>
        <v>39022</v>
      </c>
      <c r="N31" s="232">
        <f t="shared" si="8"/>
        <v>139646</v>
      </c>
      <c r="O31" s="232">
        <f>SUM(O32:O39)</f>
        <v>130533</v>
      </c>
      <c r="P31" s="232">
        <f>SUM(P32:P39)</f>
        <v>9113</v>
      </c>
    </row>
    <row r="32" spans="1:16" x14ac:dyDescent="0.15">
      <c r="A32" s="179" t="s">
        <v>864</v>
      </c>
      <c r="B32" s="186">
        <f t="shared" si="0"/>
        <v>41712</v>
      </c>
      <c r="C32" s="186">
        <v>41712</v>
      </c>
      <c r="D32" s="186"/>
      <c r="E32" s="186">
        <f t="shared" si="1"/>
        <v>52389</v>
      </c>
      <c r="F32" s="186">
        <v>49703</v>
      </c>
      <c r="G32" s="186">
        <v>2686</v>
      </c>
      <c r="H32" s="186">
        <f t="shared" si="2"/>
        <v>58112</v>
      </c>
      <c r="I32" s="186">
        <v>55559</v>
      </c>
      <c r="J32" s="186">
        <v>2553</v>
      </c>
      <c r="K32" s="229">
        <f t="shared" si="7"/>
        <v>54487</v>
      </c>
      <c r="L32" s="229">
        <v>51867</v>
      </c>
      <c r="M32" s="229">
        <v>2620</v>
      </c>
      <c r="N32" s="229">
        <f t="shared" si="8"/>
        <v>59041</v>
      </c>
      <c r="O32" s="229">
        <v>56727</v>
      </c>
      <c r="P32" s="229">
        <v>2314</v>
      </c>
    </row>
    <row r="33" spans="1:16" x14ac:dyDescent="0.15">
      <c r="A33" s="179" t="s">
        <v>865</v>
      </c>
      <c r="B33" s="186">
        <f t="shared" si="0"/>
        <v>1048</v>
      </c>
      <c r="C33" s="186">
        <v>990</v>
      </c>
      <c r="D33" s="186">
        <v>58</v>
      </c>
      <c r="E33" s="186">
        <f t="shared" si="1"/>
        <v>1416</v>
      </c>
      <c r="F33" s="186">
        <v>1259</v>
      </c>
      <c r="G33" s="186">
        <v>157</v>
      </c>
      <c r="H33" s="186">
        <f t="shared" si="2"/>
        <v>1142</v>
      </c>
      <c r="I33" s="186">
        <v>980</v>
      </c>
      <c r="J33" s="186">
        <v>162</v>
      </c>
      <c r="K33" s="229">
        <f t="shared" si="7"/>
        <v>2759</v>
      </c>
      <c r="L33" s="229">
        <v>2504</v>
      </c>
      <c r="M33" s="229">
        <v>255</v>
      </c>
      <c r="N33" s="229">
        <f t="shared" si="8"/>
        <v>2300</v>
      </c>
      <c r="O33" s="229">
        <v>2065</v>
      </c>
      <c r="P33" s="229">
        <v>235</v>
      </c>
    </row>
    <row r="34" spans="1:16" x14ac:dyDescent="0.15">
      <c r="A34" s="179" t="s">
        <v>866</v>
      </c>
      <c r="B34" s="186">
        <f t="shared" si="0"/>
        <v>0</v>
      </c>
      <c r="C34" s="186">
        <v>0</v>
      </c>
      <c r="D34" s="186">
        <v>0</v>
      </c>
      <c r="E34" s="186">
        <f t="shared" si="1"/>
        <v>0</v>
      </c>
      <c r="F34" s="186">
        <v>0</v>
      </c>
      <c r="G34" s="186">
        <v>0</v>
      </c>
      <c r="H34" s="186">
        <f t="shared" si="2"/>
        <v>0</v>
      </c>
      <c r="I34" s="186">
        <v>0</v>
      </c>
      <c r="J34" s="186">
        <v>0</v>
      </c>
      <c r="K34" s="229">
        <f t="shared" si="7"/>
        <v>0</v>
      </c>
      <c r="L34" s="229">
        <v>0</v>
      </c>
      <c r="M34" s="229">
        <v>0</v>
      </c>
      <c r="N34" s="229">
        <f t="shared" si="8"/>
        <v>0</v>
      </c>
      <c r="O34" s="229">
        <v>0</v>
      </c>
      <c r="P34" s="229">
        <v>0</v>
      </c>
    </row>
    <row r="35" spans="1:16" x14ac:dyDescent="0.15">
      <c r="A35" s="179" t="s">
        <v>867</v>
      </c>
      <c r="B35" s="186">
        <f t="shared" si="0"/>
        <v>20638</v>
      </c>
      <c r="C35" s="186">
        <v>19870</v>
      </c>
      <c r="D35" s="186">
        <v>768</v>
      </c>
      <c r="E35" s="186">
        <f t="shared" si="1"/>
        <v>33212</v>
      </c>
      <c r="F35" s="186">
        <v>31828</v>
      </c>
      <c r="G35" s="186">
        <v>1384</v>
      </c>
      <c r="H35" s="186">
        <f t="shared" si="2"/>
        <v>51208</v>
      </c>
      <c r="I35" s="186">
        <v>49861</v>
      </c>
      <c r="J35" s="186">
        <v>1347</v>
      </c>
      <c r="K35" s="229">
        <f t="shared" si="7"/>
        <v>37021</v>
      </c>
      <c r="L35" s="229">
        <v>36433</v>
      </c>
      <c r="M35" s="229">
        <v>588</v>
      </c>
      <c r="N35" s="229">
        <f t="shared" si="8"/>
        <v>42298</v>
      </c>
      <c r="O35" s="229">
        <v>41357</v>
      </c>
      <c r="P35" s="229">
        <v>941</v>
      </c>
    </row>
    <row r="36" spans="1:16" x14ac:dyDescent="0.15">
      <c r="A36" s="179" t="s">
        <v>868</v>
      </c>
      <c r="B36" s="186">
        <f t="shared" si="0"/>
        <v>1569</v>
      </c>
      <c r="C36" s="186">
        <v>1550</v>
      </c>
      <c r="D36" s="186">
        <v>19</v>
      </c>
      <c r="E36" s="186">
        <f t="shared" si="1"/>
        <v>1845</v>
      </c>
      <c r="F36" s="186">
        <v>1805</v>
      </c>
      <c r="G36" s="186">
        <v>40</v>
      </c>
      <c r="H36" s="186">
        <f t="shared" si="2"/>
        <v>1964</v>
      </c>
      <c r="I36" s="186">
        <v>1933</v>
      </c>
      <c r="J36" s="186">
        <v>31</v>
      </c>
      <c r="K36" s="229">
        <f t="shared" si="7"/>
        <v>1534</v>
      </c>
      <c r="L36" s="229">
        <v>1508</v>
      </c>
      <c r="M36" s="229">
        <v>26</v>
      </c>
      <c r="N36" s="229">
        <f t="shared" si="8"/>
        <v>2415</v>
      </c>
      <c r="O36" s="229">
        <v>2394</v>
      </c>
      <c r="P36" s="229">
        <v>21</v>
      </c>
    </row>
    <row r="37" spans="1:16" x14ac:dyDescent="0.15">
      <c r="A37" s="179" t="s">
        <v>869</v>
      </c>
      <c r="B37" s="186">
        <f t="shared" si="0"/>
        <v>0</v>
      </c>
      <c r="C37" s="186">
        <v>0</v>
      </c>
      <c r="D37" s="186">
        <v>0</v>
      </c>
      <c r="E37" s="186">
        <f t="shared" si="1"/>
        <v>0</v>
      </c>
      <c r="F37" s="186">
        <v>0</v>
      </c>
      <c r="G37" s="186">
        <v>0</v>
      </c>
      <c r="H37" s="186">
        <f t="shared" si="2"/>
        <v>0</v>
      </c>
      <c r="I37" s="186">
        <v>0</v>
      </c>
      <c r="J37" s="186">
        <v>0</v>
      </c>
      <c r="K37" s="229">
        <f t="shared" si="7"/>
        <v>0</v>
      </c>
      <c r="L37" s="229">
        <v>0</v>
      </c>
      <c r="M37" s="229">
        <v>0</v>
      </c>
      <c r="N37" s="229">
        <f t="shared" si="8"/>
        <v>0</v>
      </c>
      <c r="O37" s="229">
        <v>0</v>
      </c>
      <c r="P37" s="229">
        <v>0</v>
      </c>
    </row>
    <row r="38" spans="1:16" ht="11.25" x14ac:dyDescent="0.15">
      <c r="A38" s="179" t="s">
        <v>955</v>
      </c>
      <c r="B38" s="186">
        <f t="shared" si="0"/>
        <v>17811</v>
      </c>
      <c r="C38" s="186">
        <v>17538</v>
      </c>
      <c r="D38" s="186">
        <v>273</v>
      </c>
      <c r="E38" s="186">
        <f t="shared" si="1"/>
        <v>17541</v>
      </c>
      <c r="F38" s="186">
        <v>17157</v>
      </c>
      <c r="G38" s="186">
        <v>384</v>
      </c>
      <c r="H38" s="186">
        <f t="shared" si="2"/>
        <v>22233</v>
      </c>
      <c r="I38" s="186">
        <v>21997</v>
      </c>
      <c r="J38" s="186">
        <v>236</v>
      </c>
      <c r="K38" s="229">
        <f t="shared" si="7"/>
        <v>27540</v>
      </c>
      <c r="L38" s="229">
        <v>27337</v>
      </c>
      <c r="M38" s="229">
        <v>203</v>
      </c>
      <c r="N38" s="229">
        <f t="shared" si="8"/>
        <v>22554</v>
      </c>
      <c r="O38" s="229">
        <v>22470</v>
      </c>
      <c r="P38" s="229">
        <v>84</v>
      </c>
    </row>
    <row r="39" spans="1:16" x14ac:dyDescent="0.15">
      <c r="A39" s="179" t="s">
        <v>956</v>
      </c>
      <c r="B39" s="186">
        <f t="shared" si="0"/>
        <v>49312</v>
      </c>
      <c r="C39" s="186">
        <v>24310</v>
      </c>
      <c r="D39" s="186">
        <v>25002</v>
      </c>
      <c r="E39" s="186">
        <f t="shared" si="1"/>
        <v>52202</v>
      </c>
      <c r="F39" s="186">
        <v>26844</v>
      </c>
      <c r="G39" s="186">
        <v>25358</v>
      </c>
      <c r="H39" s="186">
        <f t="shared" si="2"/>
        <v>58459</v>
      </c>
      <c r="I39" s="186">
        <v>30365</v>
      </c>
      <c r="J39" s="186">
        <v>28094</v>
      </c>
      <c r="K39" s="229">
        <f t="shared" si="7"/>
        <v>65064</v>
      </c>
      <c r="L39" s="229">
        <v>29734</v>
      </c>
      <c r="M39" s="229">
        <v>35330</v>
      </c>
      <c r="N39" s="229">
        <f t="shared" si="8"/>
        <v>11038</v>
      </c>
      <c r="O39" s="229">
        <v>5520</v>
      </c>
      <c r="P39" s="229">
        <v>5518</v>
      </c>
    </row>
    <row r="40" spans="1:16" s="183" customFormat="1" ht="12.75" customHeight="1" x14ac:dyDescent="0.15">
      <c r="A40" s="191" t="s">
        <v>11</v>
      </c>
      <c r="B40" s="184">
        <f t="shared" si="0"/>
        <v>93129</v>
      </c>
      <c r="C40" s="184">
        <f>SUM(C41:C42)</f>
        <v>89897</v>
      </c>
      <c r="D40" s="184">
        <f>SUM(D41:D42)</f>
        <v>3232</v>
      </c>
      <c r="E40" s="184">
        <f t="shared" si="1"/>
        <v>96485</v>
      </c>
      <c r="F40" s="184">
        <f>SUM(F41:F42)</f>
        <v>93300</v>
      </c>
      <c r="G40" s="184">
        <f>SUM(G41:G42)</f>
        <v>3185</v>
      </c>
      <c r="H40" s="184">
        <f t="shared" si="2"/>
        <v>98529</v>
      </c>
      <c r="I40" s="184">
        <f>SUM(I41:I42)</f>
        <v>94985</v>
      </c>
      <c r="J40" s="184">
        <f>SUM(J41:J42)</f>
        <v>3544</v>
      </c>
      <c r="K40" s="232">
        <f t="shared" si="7"/>
        <v>103770</v>
      </c>
      <c r="L40" s="232">
        <f>SUM(L41:L42)</f>
        <v>99499</v>
      </c>
      <c r="M40" s="232">
        <f>SUM(M41:M42)</f>
        <v>4271</v>
      </c>
      <c r="N40" s="232">
        <f t="shared" si="8"/>
        <v>114969</v>
      </c>
      <c r="O40" s="232">
        <f>SUM(O41:O42)</f>
        <v>110134</v>
      </c>
      <c r="P40" s="232">
        <f>SUM(P41:P42)</f>
        <v>4835</v>
      </c>
    </row>
    <row r="41" spans="1:16" ht="10.5" customHeight="1" x14ac:dyDescent="0.15">
      <c r="A41" s="179" t="s">
        <v>872</v>
      </c>
      <c r="B41" s="186">
        <f t="shared" si="0"/>
        <v>80382</v>
      </c>
      <c r="C41" s="186">
        <v>79665</v>
      </c>
      <c r="D41" s="186">
        <v>717</v>
      </c>
      <c r="E41" s="186">
        <f t="shared" si="1"/>
        <v>84460</v>
      </c>
      <c r="F41" s="186">
        <v>83947</v>
      </c>
      <c r="G41" s="186">
        <v>513</v>
      </c>
      <c r="H41" s="186">
        <f t="shared" si="2"/>
        <v>85169</v>
      </c>
      <c r="I41" s="186">
        <v>84767</v>
      </c>
      <c r="J41" s="186">
        <v>402</v>
      </c>
      <c r="K41" s="229">
        <f t="shared" si="7"/>
        <v>89693</v>
      </c>
      <c r="L41" s="229">
        <v>89152</v>
      </c>
      <c r="M41" s="229">
        <v>541</v>
      </c>
      <c r="N41" s="229">
        <f t="shared" si="8"/>
        <v>94754</v>
      </c>
      <c r="O41" s="229">
        <v>94422</v>
      </c>
      <c r="P41" s="229">
        <v>332</v>
      </c>
    </row>
    <row r="42" spans="1:16" x14ac:dyDescent="0.15">
      <c r="A42" s="179" t="s">
        <v>873</v>
      </c>
      <c r="B42" s="186">
        <f t="shared" si="0"/>
        <v>12747</v>
      </c>
      <c r="C42" s="186">
        <v>10232</v>
      </c>
      <c r="D42" s="186">
        <v>2515</v>
      </c>
      <c r="E42" s="186">
        <f t="shared" si="1"/>
        <v>12025</v>
      </c>
      <c r="F42" s="186">
        <v>9353</v>
      </c>
      <c r="G42" s="186">
        <v>2672</v>
      </c>
      <c r="H42" s="186">
        <f t="shared" si="2"/>
        <v>13360</v>
      </c>
      <c r="I42" s="186">
        <v>10218</v>
      </c>
      <c r="J42" s="186">
        <v>3142</v>
      </c>
      <c r="K42" s="229">
        <f t="shared" si="7"/>
        <v>14077</v>
      </c>
      <c r="L42" s="229">
        <v>10347</v>
      </c>
      <c r="M42" s="229">
        <v>3730</v>
      </c>
      <c r="N42" s="229">
        <f t="shared" si="8"/>
        <v>20215</v>
      </c>
      <c r="O42" s="229">
        <v>15712</v>
      </c>
      <c r="P42" s="229">
        <v>4503</v>
      </c>
    </row>
    <row r="43" spans="1:16" s="183" customFormat="1" ht="12.75" customHeight="1" x14ac:dyDescent="0.15">
      <c r="A43" s="191" t="s">
        <v>12</v>
      </c>
      <c r="B43" s="184">
        <f t="shared" si="0"/>
        <v>12824</v>
      </c>
      <c r="C43" s="184">
        <f>SUM(C44:C46)</f>
        <v>12463</v>
      </c>
      <c r="D43" s="184">
        <f>SUM(D44:D46)</f>
        <v>361</v>
      </c>
      <c r="E43" s="184">
        <f t="shared" si="1"/>
        <v>13403</v>
      </c>
      <c r="F43" s="184">
        <f>SUM(F44:F46)</f>
        <v>13054</v>
      </c>
      <c r="G43" s="184">
        <f>SUM(G44:G46)</f>
        <v>349</v>
      </c>
      <c r="H43" s="184">
        <f t="shared" si="2"/>
        <v>20656</v>
      </c>
      <c r="I43" s="184">
        <f>SUM(I44:I46)</f>
        <v>20186</v>
      </c>
      <c r="J43" s="184">
        <f>SUM(J44:J46)</f>
        <v>470</v>
      </c>
      <c r="K43" s="232">
        <f t="shared" si="7"/>
        <v>23187</v>
      </c>
      <c r="L43" s="232">
        <f>SUM(L44:L46)</f>
        <v>22792</v>
      </c>
      <c r="M43" s="232">
        <f>SUM(M44:M46)</f>
        <v>395</v>
      </c>
      <c r="N43" s="232">
        <f t="shared" si="8"/>
        <v>27946</v>
      </c>
      <c r="O43" s="232">
        <f>SUM(O44:O46)</f>
        <v>27484</v>
      </c>
      <c r="P43" s="232">
        <f>SUM(P44:P46)</f>
        <v>462</v>
      </c>
    </row>
    <row r="44" spans="1:16" x14ac:dyDescent="0.15">
      <c r="A44" s="179" t="s">
        <v>874</v>
      </c>
      <c r="B44" s="186">
        <f t="shared" si="0"/>
        <v>0</v>
      </c>
      <c r="C44" s="186">
        <v>0</v>
      </c>
      <c r="D44" s="186">
        <v>0</v>
      </c>
      <c r="E44" s="186">
        <f t="shared" si="1"/>
        <v>0</v>
      </c>
      <c r="F44" s="186">
        <v>0</v>
      </c>
      <c r="G44" s="186">
        <v>0</v>
      </c>
      <c r="H44" s="186">
        <f t="shared" si="2"/>
        <v>0</v>
      </c>
      <c r="I44" s="186">
        <v>0</v>
      </c>
      <c r="J44" s="186">
        <v>0</v>
      </c>
      <c r="K44" s="229">
        <f t="shared" si="7"/>
        <v>0</v>
      </c>
      <c r="L44" s="229">
        <v>0</v>
      </c>
      <c r="M44" s="229">
        <v>0</v>
      </c>
      <c r="N44" s="229">
        <f t="shared" si="8"/>
        <v>0</v>
      </c>
      <c r="O44" s="229">
        <v>0</v>
      </c>
      <c r="P44" s="229">
        <v>0</v>
      </c>
    </row>
    <row r="45" spans="1:16" x14ac:dyDescent="0.15">
      <c r="A45" s="179" t="s">
        <v>957</v>
      </c>
      <c r="B45" s="186">
        <f t="shared" si="0"/>
        <v>12378</v>
      </c>
      <c r="C45" s="186">
        <v>12017</v>
      </c>
      <c r="D45" s="186">
        <v>361</v>
      </c>
      <c r="E45" s="186">
        <f t="shared" si="1"/>
        <v>12889</v>
      </c>
      <c r="F45" s="186">
        <v>12540</v>
      </c>
      <c r="G45" s="186">
        <v>349</v>
      </c>
      <c r="H45" s="186">
        <f t="shared" si="2"/>
        <v>20088</v>
      </c>
      <c r="I45" s="186">
        <v>19618</v>
      </c>
      <c r="J45" s="186">
        <v>470</v>
      </c>
      <c r="K45" s="229">
        <f t="shared" si="7"/>
        <v>22557</v>
      </c>
      <c r="L45" s="229">
        <v>22162</v>
      </c>
      <c r="M45" s="229">
        <v>395</v>
      </c>
      <c r="N45" s="229">
        <f t="shared" si="8"/>
        <v>27633</v>
      </c>
      <c r="O45" s="229">
        <v>27171</v>
      </c>
      <c r="P45" s="229">
        <v>462</v>
      </c>
    </row>
    <row r="46" spans="1:16" x14ac:dyDescent="0.15">
      <c r="A46" s="179" t="s">
        <v>876</v>
      </c>
      <c r="B46" s="186">
        <f t="shared" si="0"/>
        <v>446</v>
      </c>
      <c r="C46" s="186">
        <v>446</v>
      </c>
      <c r="D46" s="186">
        <v>0</v>
      </c>
      <c r="E46" s="186">
        <f t="shared" si="1"/>
        <v>514</v>
      </c>
      <c r="F46" s="186">
        <v>514</v>
      </c>
      <c r="G46" s="186">
        <v>0</v>
      </c>
      <c r="H46" s="186">
        <f t="shared" si="2"/>
        <v>568</v>
      </c>
      <c r="I46" s="186">
        <v>568</v>
      </c>
      <c r="J46" s="186">
        <v>0</v>
      </c>
      <c r="K46" s="229">
        <f t="shared" si="7"/>
        <v>630</v>
      </c>
      <c r="L46" s="229">
        <v>630</v>
      </c>
      <c r="M46" s="229">
        <v>0</v>
      </c>
      <c r="N46" s="229">
        <f t="shared" si="8"/>
        <v>313</v>
      </c>
      <c r="O46" s="229">
        <v>313</v>
      </c>
      <c r="P46" s="229" t="s">
        <v>193</v>
      </c>
    </row>
    <row r="47" spans="1:16" s="183" customFormat="1" ht="12.75" customHeight="1" x14ac:dyDescent="0.15">
      <c r="A47" s="191" t="s">
        <v>13</v>
      </c>
      <c r="B47" s="184">
        <f t="shared" si="0"/>
        <v>61074</v>
      </c>
      <c r="C47" s="184">
        <f>SUM(C48:C55)</f>
        <v>58900</v>
      </c>
      <c r="D47" s="184">
        <f>SUM(D48:D55)</f>
        <v>2174</v>
      </c>
      <c r="E47" s="184">
        <f t="shared" si="1"/>
        <v>67325</v>
      </c>
      <c r="F47" s="184">
        <f>SUM(F48:F55)</f>
        <v>64930</v>
      </c>
      <c r="G47" s="184">
        <f>SUM(G48:G55)</f>
        <v>2395</v>
      </c>
      <c r="H47" s="184">
        <f t="shared" si="2"/>
        <v>78376</v>
      </c>
      <c r="I47" s="184">
        <f>SUM(I48:I55)</f>
        <v>76454</v>
      </c>
      <c r="J47" s="184">
        <f>SUM(J48:J55)</f>
        <v>1922</v>
      </c>
      <c r="K47" s="232">
        <f t="shared" si="7"/>
        <v>81006</v>
      </c>
      <c r="L47" s="232">
        <f>SUM(L48:L55)</f>
        <v>78946</v>
      </c>
      <c r="M47" s="232">
        <f>SUM(M48:M55)</f>
        <v>2060</v>
      </c>
      <c r="N47" s="232">
        <f t="shared" si="8"/>
        <v>97042</v>
      </c>
      <c r="O47" s="232">
        <f>SUM(O48:O55)</f>
        <v>94460</v>
      </c>
      <c r="P47" s="232">
        <f>SUM(P48:P55)</f>
        <v>2582</v>
      </c>
    </row>
    <row r="48" spans="1:16" x14ac:dyDescent="0.15">
      <c r="A48" s="179" t="s">
        <v>877</v>
      </c>
      <c r="B48" s="186">
        <f t="shared" si="0"/>
        <v>5873</v>
      </c>
      <c r="C48" s="186">
        <v>5851</v>
      </c>
      <c r="D48" s="186">
        <v>22</v>
      </c>
      <c r="E48" s="186">
        <f t="shared" si="1"/>
        <v>5779</v>
      </c>
      <c r="F48" s="186">
        <v>5762</v>
      </c>
      <c r="G48" s="186">
        <v>17</v>
      </c>
      <c r="H48" s="186">
        <f t="shared" si="2"/>
        <v>7354</v>
      </c>
      <c r="I48" s="186">
        <v>7296</v>
      </c>
      <c r="J48" s="186">
        <v>58</v>
      </c>
      <c r="K48" s="229">
        <f t="shared" si="7"/>
        <v>8572</v>
      </c>
      <c r="L48" s="229">
        <v>8547</v>
      </c>
      <c r="M48" s="229">
        <v>25</v>
      </c>
      <c r="N48" s="229">
        <f t="shared" si="8"/>
        <v>9333</v>
      </c>
      <c r="O48" s="229">
        <v>9180</v>
      </c>
      <c r="P48" s="229">
        <v>153</v>
      </c>
    </row>
    <row r="49" spans="1:16" x14ac:dyDescent="0.15">
      <c r="A49" s="179" t="s">
        <v>878</v>
      </c>
      <c r="B49" s="186">
        <f t="shared" si="0"/>
        <v>7190</v>
      </c>
      <c r="C49" s="186">
        <v>7088</v>
      </c>
      <c r="D49" s="186">
        <v>102</v>
      </c>
      <c r="E49" s="186">
        <f t="shared" si="1"/>
        <v>10947</v>
      </c>
      <c r="F49" s="186">
        <v>10847</v>
      </c>
      <c r="G49" s="186">
        <v>100</v>
      </c>
      <c r="H49" s="186">
        <f t="shared" si="2"/>
        <v>13291</v>
      </c>
      <c r="I49" s="186">
        <v>13213</v>
      </c>
      <c r="J49" s="186">
        <v>78</v>
      </c>
      <c r="K49" s="229">
        <f t="shared" si="7"/>
        <v>11604</v>
      </c>
      <c r="L49" s="229">
        <v>11418</v>
      </c>
      <c r="M49" s="229">
        <v>186</v>
      </c>
      <c r="N49" s="229">
        <f t="shared" si="8"/>
        <v>10497</v>
      </c>
      <c r="O49" s="229">
        <v>10337</v>
      </c>
      <c r="P49" s="229">
        <v>160</v>
      </c>
    </row>
    <row r="50" spans="1:16" x14ac:dyDescent="0.15">
      <c r="A50" s="179" t="s">
        <v>879</v>
      </c>
      <c r="B50" s="186">
        <f t="shared" si="0"/>
        <v>2985</v>
      </c>
      <c r="C50" s="186">
        <v>2915</v>
      </c>
      <c r="D50" s="186">
        <v>70</v>
      </c>
      <c r="E50" s="186">
        <f t="shared" si="1"/>
        <v>2945</v>
      </c>
      <c r="F50" s="186">
        <v>2923</v>
      </c>
      <c r="G50" s="186">
        <v>22</v>
      </c>
      <c r="H50" s="186">
        <f t="shared" si="2"/>
        <v>3413</v>
      </c>
      <c r="I50" s="186">
        <v>3408</v>
      </c>
      <c r="J50" s="186">
        <v>5</v>
      </c>
      <c r="K50" s="229">
        <f t="shared" si="7"/>
        <v>3866</v>
      </c>
      <c r="L50" s="229">
        <v>3852</v>
      </c>
      <c r="M50" s="229">
        <v>14</v>
      </c>
      <c r="N50" s="229">
        <f t="shared" si="8"/>
        <v>5116</v>
      </c>
      <c r="O50" s="229">
        <v>5116</v>
      </c>
      <c r="P50" s="229" t="s">
        <v>193</v>
      </c>
    </row>
    <row r="51" spans="1:16" x14ac:dyDescent="0.15">
      <c r="A51" s="179" t="s">
        <v>880</v>
      </c>
      <c r="B51" s="186">
        <f t="shared" si="0"/>
        <v>285</v>
      </c>
      <c r="C51" s="186">
        <v>285</v>
      </c>
      <c r="D51" s="186">
        <v>0</v>
      </c>
      <c r="E51" s="186">
        <f t="shared" si="1"/>
        <v>336</v>
      </c>
      <c r="F51" s="186">
        <v>336</v>
      </c>
      <c r="G51" s="186">
        <v>0</v>
      </c>
      <c r="H51" s="186">
        <f t="shared" si="2"/>
        <v>360</v>
      </c>
      <c r="I51" s="186">
        <v>360</v>
      </c>
      <c r="J51" s="186">
        <v>0</v>
      </c>
      <c r="K51" s="229">
        <f t="shared" si="7"/>
        <v>1061</v>
      </c>
      <c r="L51" s="229">
        <v>1053</v>
      </c>
      <c r="M51" s="229">
        <v>8</v>
      </c>
      <c r="N51" s="229">
        <f t="shared" si="8"/>
        <v>1148</v>
      </c>
      <c r="O51" s="229">
        <v>1148</v>
      </c>
      <c r="P51" s="229" t="s">
        <v>193</v>
      </c>
    </row>
    <row r="52" spans="1:16" x14ac:dyDescent="0.15">
      <c r="A52" s="179" t="s">
        <v>881</v>
      </c>
      <c r="B52" s="186">
        <f t="shared" si="0"/>
        <v>442</v>
      </c>
      <c r="C52" s="186">
        <v>430</v>
      </c>
      <c r="D52" s="186">
        <v>12</v>
      </c>
      <c r="E52" s="186">
        <f t="shared" si="1"/>
        <v>310</v>
      </c>
      <c r="F52" s="186">
        <v>304</v>
      </c>
      <c r="G52" s="186">
        <v>6</v>
      </c>
      <c r="H52" s="186">
        <f t="shared" si="2"/>
        <v>228</v>
      </c>
      <c r="I52" s="186">
        <v>213</v>
      </c>
      <c r="J52" s="186">
        <v>15</v>
      </c>
      <c r="K52" s="229">
        <f t="shared" si="7"/>
        <v>241</v>
      </c>
      <c r="L52" s="229">
        <v>239</v>
      </c>
      <c r="M52" s="229">
        <v>2</v>
      </c>
      <c r="N52" s="229">
        <f t="shared" si="8"/>
        <v>182</v>
      </c>
      <c r="O52" s="229">
        <v>181</v>
      </c>
      <c r="P52" s="229">
        <v>1</v>
      </c>
    </row>
    <row r="53" spans="1:16" x14ac:dyDescent="0.15">
      <c r="A53" s="179" t="s">
        <v>882</v>
      </c>
      <c r="B53" s="186">
        <f t="shared" si="0"/>
        <v>9017</v>
      </c>
      <c r="C53" s="186">
        <v>7940</v>
      </c>
      <c r="D53" s="186">
        <v>1077</v>
      </c>
      <c r="E53" s="186">
        <f t="shared" si="1"/>
        <v>10354</v>
      </c>
      <c r="F53" s="186">
        <v>9008</v>
      </c>
      <c r="G53" s="186">
        <v>1346</v>
      </c>
      <c r="H53" s="186">
        <f t="shared" si="2"/>
        <v>10954</v>
      </c>
      <c r="I53" s="186">
        <v>10005</v>
      </c>
      <c r="J53" s="186">
        <v>949</v>
      </c>
      <c r="K53" s="229">
        <f t="shared" si="7"/>
        <v>10558</v>
      </c>
      <c r="L53" s="229">
        <v>9588</v>
      </c>
      <c r="M53" s="229">
        <v>970</v>
      </c>
      <c r="N53" s="229">
        <f t="shared" si="8"/>
        <v>16727</v>
      </c>
      <c r="O53" s="229">
        <v>15334</v>
      </c>
      <c r="P53" s="229">
        <v>1393</v>
      </c>
    </row>
    <row r="54" spans="1:16" x14ac:dyDescent="0.15">
      <c r="A54" s="179" t="s">
        <v>883</v>
      </c>
      <c r="B54" s="186">
        <f t="shared" si="0"/>
        <v>0</v>
      </c>
      <c r="C54" s="186">
        <v>0</v>
      </c>
      <c r="D54" s="186">
        <v>0</v>
      </c>
      <c r="E54" s="186">
        <f t="shared" si="1"/>
        <v>0</v>
      </c>
      <c r="F54" s="186">
        <v>0</v>
      </c>
      <c r="G54" s="186">
        <v>0</v>
      </c>
      <c r="H54" s="186">
        <f t="shared" si="2"/>
        <v>0</v>
      </c>
      <c r="I54" s="186">
        <v>0</v>
      </c>
      <c r="J54" s="186">
        <v>0</v>
      </c>
      <c r="K54" s="229">
        <f t="shared" si="7"/>
        <v>0</v>
      </c>
      <c r="L54" s="229">
        <v>0</v>
      </c>
      <c r="M54" s="229">
        <v>0</v>
      </c>
      <c r="N54" s="229">
        <f t="shared" si="8"/>
        <v>0</v>
      </c>
      <c r="O54" s="229">
        <v>0</v>
      </c>
      <c r="P54" s="229">
        <v>0</v>
      </c>
    </row>
    <row r="55" spans="1:16" x14ac:dyDescent="0.15">
      <c r="A55" s="179" t="s">
        <v>958</v>
      </c>
      <c r="B55" s="186">
        <f t="shared" si="0"/>
        <v>35282</v>
      </c>
      <c r="C55" s="186">
        <v>34391</v>
      </c>
      <c r="D55" s="186">
        <v>891</v>
      </c>
      <c r="E55" s="186">
        <f t="shared" si="1"/>
        <v>36654</v>
      </c>
      <c r="F55" s="186">
        <v>35750</v>
      </c>
      <c r="G55" s="186">
        <v>904</v>
      </c>
      <c r="H55" s="186">
        <f t="shared" si="2"/>
        <v>42776</v>
      </c>
      <c r="I55" s="186">
        <v>41959</v>
      </c>
      <c r="J55" s="186">
        <v>817</v>
      </c>
      <c r="K55" s="229">
        <f t="shared" si="7"/>
        <v>45104</v>
      </c>
      <c r="L55" s="229">
        <v>44249</v>
      </c>
      <c r="M55" s="229">
        <v>855</v>
      </c>
      <c r="N55" s="229">
        <f t="shared" si="8"/>
        <v>54039</v>
      </c>
      <c r="O55" s="229">
        <v>53164</v>
      </c>
      <c r="P55" s="229">
        <v>875</v>
      </c>
    </row>
    <row r="56" spans="1:16" s="183" customFormat="1" ht="12.75" customHeight="1" x14ac:dyDescent="0.15">
      <c r="A56" s="191" t="s">
        <v>14</v>
      </c>
      <c r="B56" s="184">
        <f t="shared" si="0"/>
        <v>58769</v>
      </c>
      <c r="C56" s="184">
        <f>SUM(C57:C63)</f>
        <v>57859</v>
      </c>
      <c r="D56" s="184">
        <f>SUM(D57:D63)</f>
        <v>910</v>
      </c>
      <c r="E56" s="184">
        <f t="shared" si="1"/>
        <v>61864</v>
      </c>
      <c r="F56" s="184">
        <f>SUM(F57:F63)</f>
        <v>61076</v>
      </c>
      <c r="G56" s="184">
        <f>SUM(G57:G63)</f>
        <v>788</v>
      </c>
      <c r="H56" s="184">
        <f t="shared" si="2"/>
        <v>86274</v>
      </c>
      <c r="I56" s="184">
        <f>SUM(I57:I63)</f>
        <v>85404</v>
      </c>
      <c r="J56" s="184">
        <f>SUM(J57:J63)</f>
        <v>870</v>
      </c>
      <c r="K56" s="232">
        <f t="shared" si="7"/>
        <v>89078</v>
      </c>
      <c r="L56" s="232">
        <f>SUM(L57:L63)</f>
        <v>88129</v>
      </c>
      <c r="M56" s="232">
        <f>SUM(M57:M63)</f>
        <v>949</v>
      </c>
      <c r="N56" s="232">
        <f t="shared" si="8"/>
        <v>99713</v>
      </c>
      <c r="O56" s="232">
        <f>SUM(O57:O63)</f>
        <v>98834</v>
      </c>
      <c r="P56" s="232">
        <f>SUM(P57:P63)</f>
        <v>879</v>
      </c>
    </row>
    <row r="57" spans="1:16" x14ac:dyDescent="0.15">
      <c r="A57" s="179" t="s">
        <v>885</v>
      </c>
      <c r="B57" s="186">
        <f t="shared" si="0"/>
        <v>48271</v>
      </c>
      <c r="C57" s="186">
        <v>47497</v>
      </c>
      <c r="D57" s="186">
        <v>774</v>
      </c>
      <c r="E57" s="186">
        <f t="shared" si="1"/>
        <v>48837</v>
      </c>
      <c r="F57" s="186">
        <v>48229</v>
      </c>
      <c r="G57" s="186">
        <v>608</v>
      </c>
      <c r="H57" s="186">
        <f t="shared" si="2"/>
        <v>68480</v>
      </c>
      <c r="I57" s="186">
        <v>67776</v>
      </c>
      <c r="J57" s="186">
        <v>704</v>
      </c>
      <c r="K57" s="229">
        <f t="shared" si="7"/>
        <v>70887</v>
      </c>
      <c r="L57" s="229">
        <v>70100</v>
      </c>
      <c r="M57" s="229">
        <v>787</v>
      </c>
      <c r="N57" s="229">
        <f t="shared" si="8"/>
        <v>75465</v>
      </c>
      <c r="O57" s="229">
        <v>74807</v>
      </c>
      <c r="P57" s="229">
        <v>658</v>
      </c>
    </row>
    <row r="58" spans="1:16" x14ac:dyDescent="0.15">
      <c r="A58" s="179" t="s">
        <v>886</v>
      </c>
      <c r="B58" s="186">
        <f t="shared" si="0"/>
        <v>1377</v>
      </c>
      <c r="C58" s="186">
        <v>1339</v>
      </c>
      <c r="D58" s="186">
        <v>38</v>
      </c>
      <c r="E58" s="186">
        <f t="shared" si="1"/>
        <v>1722</v>
      </c>
      <c r="F58" s="186">
        <v>1686</v>
      </c>
      <c r="G58" s="186">
        <v>36</v>
      </c>
      <c r="H58" s="186">
        <f t="shared" si="2"/>
        <v>2074</v>
      </c>
      <c r="I58" s="186">
        <v>2052</v>
      </c>
      <c r="J58" s="186">
        <v>22</v>
      </c>
      <c r="K58" s="229">
        <f t="shared" si="7"/>
        <v>3415</v>
      </c>
      <c r="L58" s="229">
        <v>3377</v>
      </c>
      <c r="M58" s="229">
        <v>38</v>
      </c>
      <c r="N58" s="229">
        <f t="shared" si="8"/>
        <v>3671</v>
      </c>
      <c r="O58" s="229">
        <v>3616</v>
      </c>
      <c r="P58" s="229">
        <v>55</v>
      </c>
    </row>
    <row r="59" spans="1:16" x14ac:dyDescent="0.15">
      <c r="A59" s="179" t="s">
        <v>959</v>
      </c>
      <c r="B59" s="186">
        <f t="shared" si="0"/>
        <v>558</v>
      </c>
      <c r="C59" s="186">
        <v>534</v>
      </c>
      <c r="D59" s="186">
        <v>24</v>
      </c>
      <c r="E59" s="186">
        <f t="shared" si="1"/>
        <v>716</v>
      </c>
      <c r="F59" s="186">
        <v>622</v>
      </c>
      <c r="G59" s="186">
        <v>94</v>
      </c>
      <c r="H59" s="186">
        <f t="shared" si="2"/>
        <v>1364</v>
      </c>
      <c r="I59" s="186">
        <v>1288</v>
      </c>
      <c r="J59" s="186">
        <v>76</v>
      </c>
      <c r="K59" s="229">
        <f t="shared" si="7"/>
        <v>1083</v>
      </c>
      <c r="L59" s="229">
        <v>1031</v>
      </c>
      <c r="M59" s="229">
        <v>52</v>
      </c>
      <c r="N59" s="229">
        <f t="shared" si="8"/>
        <v>1630</v>
      </c>
      <c r="O59" s="229">
        <v>1555</v>
      </c>
      <c r="P59" s="229">
        <v>75</v>
      </c>
    </row>
    <row r="60" spans="1:16" x14ac:dyDescent="0.15">
      <c r="A60" s="179" t="s">
        <v>888</v>
      </c>
      <c r="B60" s="186">
        <f t="shared" si="0"/>
        <v>468</v>
      </c>
      <c r="C60" s="186">
        <v>465</v>
      </c>
      <c r="D60" s="186">
        <v>3</v>
      </c>
      <c r="E60" s="186">
        <f t="shared" si="1"/>
        <v>427</v>
      </c>
      <c r="F60" s="186">
        <v>425</v>
      </c>
      <c r="G60" s="186">
        <v>2</v>
      </c>
      <c r="H60" s="186">
        <f t="shared" si="2"/>
        <v>472</v>
      </c>
      <c r="I60" s="186">
        <v>470</v>
      </c>
      <c r="J60" s="186">
        <v>2</v>
      </c>
      <c r="K60" s="229">
        <f t="shared" si="7"/>
        <v>656</v>
      </c>
      <c r="L60" s="229">
        <v>651</v>
      </c>
      <c r="M60" s="229">
        <v>5</v>
      </c>
      <c r="N60" s="229">
        <f t="shared" si="8"/>
        <v>938</v>
      </c>
      <c r="O60" s="229">
        <v>930</v>
      </c>
      <c r="P60" s="229">
        <v>8</v>
      </c>
    </row>
    <row r="61" spans="1:16" x14ac:dyDescent="0.15">
      <c r="A61" s="179" t="s">
        <v>889</v>
      </c>
      <c r="B61" s="186">
        <f t="shared" si="0"/>
        <v>643</v>
      </c>
      <c r="C61" s="186">
        <v>630</v>
      </c>
      <c r="D61" s="186">
        <v>13</v>
      </c>
      <c r="E61" s="186">
        <f t="shared" si="1"/>
        <v>672</v>
      </c>
      <c r="F61" s="186">
        <v>658</v>
      </c>
      <c r="G61" s="186">
        <v>14</v>
      </c>
      <c r="H61" s="186">
        <f t="shared" si="2"/>
        <v>871</v>
      </c>
      <c r="I61" s="186">
        <v>870</v>
      </c>
      <c r="J61" s="186">
        <v>1</v>
      </c>
      <c r="K61" s="229">
        <f t="shared" si="7"/>
        <v>827</v>
      </c>
      <c r="L61" s="229">
        <v>815</v>
      </c>
      <c r="M61" s="229">
        <v>12</v>
      </c>
      <c r="N61" s="229">
        <f t="shared" si="8"/>
        <v>1264</v>
      </c>
      <c r="O61" s="229">
        <v>1261</v>
      </c>
      <c r="P61" s="229">
        <v>3</v>
      </c>
    </row>
    <row r="62" spans="1:16" x14ac:dyDescent="0.15">
      <c r="A62" s="179" t="s">
        <v>890</v>
      </c>
      <c r="B62" s="186">
        <f t="shared" si="0"/>
        <v>7452</v>
      </c>
      <c r="C62" s="186">
        <v>7394</v>
      </c>
      <c r="D62" s="186">
        <v>58</v>
      </c>
      <c r="E62" s="186">
        <f t="shared" si="1"/>
        <v>9490</v>
      </c>
      <c r="F62" s="186">
        <v>9456</v>
      </c>
      <c r="G62" s="186">
        <v>34</v>
      </c>
      <c r="H62" s="186">
        <f t="shared" si="2"/>
        <v>12839</v>
      </c>
      <c r="I62" s="186">
        <v>12774</v>
      </c>
      <c r="J62" s="186">
        <v>65</v>
      </c>
      <c r="K62" s="229">
        <f t="shared" si="7"/>
        <v>11864</v>
      </c>
      <c r="L62" s="229">
        <v>11815</v>
      </c>
      <c r="M62" s="229">
        <v>49</v>
      </c>
      <c r="N62" s="229">
        <f t="shared" si="8"/>
        <v>16334</v>
      </c>
      <c r="O62" s="229">
        <v>16262</v>
      </c>
      <c r="P62" s="229">
        <v>72</v>
      </c>
    </row>
    <row r="63" spans="1:16" x14ac:dyDescent="0.15">
      <c r="A63" s="179" t="s">
        <v>891</v>
      </c>
      <c r="B63" s="186">
        <f t="shared" si="0"/>
        <v>0</v>
      </c>
      <c r="C63" s="186">
        <v>0</v>
      </c>
      <c r="D63" s="186">
        <v>0</v>
      </c>
      <c r="E63" s="186">
        <f t="shared" si="1"/>
        <v>0</v>
      </c>
      <c r="F63" s="186">
        <v>0</v>
      </c>
      <c r="G63" s="186">
        <v>0</v>
      </c>
      <c r="H63" s="186">
        <f t="shared" si="2"/>
        <v>174</v>
      </c>
      <c r="I63" s="186">
        <v>174</v>
      </c>
      <c r="J63" s="186">
        <v>0</v>
      </c>
      <c r="K63" s="229">
        <f t="shared" si="7"/>
        <v>346</v>
      </c>
      <c r="L63" s="229">
        <v>340</v>
      </c>
      <c r="M63" s="229">
        <v>6</v>
      </c>
      <c r="N63" s="229">
        <f t="shared" si="8"/>
        <v>411</v>
      </c>
      <c r="O63" s="229">
        <v>403</v>
      </c>
      <c r="P63" s="229">
        <v>8</v>
      </c>
    </row>
    <row r="64" spans="1:16" s="183" customFormat="1" ht="12.75" customHeight="1" x14ac:dyDescent="0.15">
      <c r="A64" s="191" t="s">
        <v>350</v>
      </c>
      <c r="B64" s="184">
        <f t="shared" si="0"/>
        <v>262021</v>
      </c>
      <c r="C64" s="184">
        <f>SUM(C65:C77)</f>
        <v>222795</v>
      </c>
      <c r="D64" s="184">
        <f>SUM(D65:D77)</f>
        <v>39226</v>
      </c>
      <c r="E64" s="184">
        <f t="shared" si="1"/>
        <v>371883</v>
      </c>
      <c r="F64" s="184">
        <f>SUM(F65:F77)</f>
        <v>322661</v>
      </c>
      <c r="G64" s="184">
        <f>SUM(G65:G77)</f>
        <v>49222</v>
      </c>
      <c r="H64" s="184">
        <f t="shared" si="2"/>
        <v>462349</v>
      </c>
      <c r="I64" s="184">
        <f>SUM(I65:I77)</f>
        <v>414277</v>
      </c>
      <c r="J64" s="184">
        <f>SUM(J65:J77)</f>
        <v>48072</v>
      </c>
      <c r="K64" s="232">
        <f t="shared" si="7"/>
        <v>437857</v>
      </c>
      <c r="L64" s="232">
        <f>SUM(L65:L77)</f>
        <v>386474</v>
      </c>
      <c r="M64" s="232">
        <f>SUM(M65:M77)</f>
        <v>51383</v>
      </c>
      <c r="N64" s="232">
        <f t="shared" si="8"/>
        <v>450797</v>
      </c>
      <c r="O64" s="232">
        <f>SUM(O65:O77)</f>
        <v>400542</v>
      </c>
      <c r="P64" s="232">
        <f>SUM(P65:P77)</f>
        <v>50255</v>
      </c>
    </row>
    <row r="65" spans="1:16" x14ac:dyDescent="0.15">
      <c r="A65" s="179" t="s">
        <v>892</v>
      </c>
      <c r="B65" s="186">
        <f t="shared" si="0"/>
        <v>37593</v>
      </c>
      <c r="C65" s="186">
        <v>34742</v>
      </c>
      <c r="D65" s="186">
        <v>2851</v>
      </c>
      <c r="E65" s="186">
        <f t="shared" si="1"/>
        <v>59823</v>
      </c>
      <c r="F65" s="186">
        <v>55318</v>
      </c>
      <c r="G65" s="186">
        <v>4505</v>
      </c>
      <c r="H65" s="186">
        <f t="shared" si="2"/>
        <v>81739</v>
      </c>
      <c r="I65" s="186">
        <v>78150</v>
      </c>
      <c r="J65" s="186">
        <v>3589</v>
      </c>
      <c r="K65" s="229">
        <f t="shared" si="7"/>
        <v>71010</v>
      </c>
      <c r="L65" s="229">
        <v>67674</v>
      </c>
      <c r="M65" s="229">
        <v>3336</v>
      </c>
      <c r="N65" s="229">
        <f t="shared" si="8"/>
        <v>89621</v>
      </c>
      <c r="O65" s="229">
        <v>85211</v>
      </c>
      <c r="P65" s="229">
        <v>4410</v>
      </c>
    </row>
    <row r="66" spans="1:16" x14ac:dyDescent="0.15">
      <c r="A66" s="179" t="s">
        <v>893</v>
      </c>
      <c r="B66" s="186">
        <f t="shared" si="0"/>
        <v>23614</v>
      </c>
      <c r="C66" s="186">
        <v>15360</v>
      </c>
      <c r="D66" s="186">
        <v>8254</v>
      </c>
      <c r="E66" s="186">
        <f t="shared" si="1"/>
        <v>32103</v>
      </c>
      <c r="F66" s="186">
        <v>21606</v>
      </c>
      <c r="G66" s="186">
        <v>10497</v>
      </c>
      <c r="H66" s="186">
        <f t="shared" si="2"/>
        <v>35026</v>
      </c>
      <c r="I66" s="186">
        <v>25156</v>
      </c>
      <c r="J66" s="186">
        <v>9870</v>
      </c>
      <c r="K66" s="229">
        <f t="shared" si="7"/>
        <v>40829</v>
      </c>
      <c r="L66" s="229">
        <v>29927</v>
      </c>
      <c r="M66" s="229">
        <v>10902</v>
      </c>
      <c r="N66" s="229">
        <f t="shared" si="8"/>
        <v>48476</v>
      </c>
      <c r="O66" s="229">
        <v>35973</v>
      </c>
      <c r="P66" s="229">
        <v>12503</v>
      </c>
    </row>
    <row r="67" spans="1:16" x14ac:dyDescent="0.15">
      <c r="A67" s="179" t="s">
        <v>894</v>
      </c>
      <c r="B67" s="186">
        <f t="shared" si="0"/>
        <v>9061</v>
      </c>
      <c r="C67" s="186">
        <v>8887</v>
      </c>
      <c r="D67" s="186">
        <v>174</v>
      </c>
      <c r="E67" s="186">
        <f t="shared" si="1"/>
        <v>11832</v>
      </c>
      <c r="F67" s="186">
        <v>11613</v>
      </c>
      <c r="G67" s="186">
        <v>219</v>
      </c>
      <c r="H67" s="186">
        <f t="shared" si="2"/>
        <v>14669</v>
      </c>
      <c r="I67" s="186">
        <v>14336</v>
      </c>
      <c r="J67" s="186">
        <v>333</v>
      </c>
      <c r="K67" s="229">
        <f t="shared" si="7"/>
        <v>13645</v>
      </c>
      <c r="L67" s="229">
        <v>13457</v>
      </c>
      <c r="M67" s="229">
        <v>188</v>
      </c>
      <c r="N67" s="229">
        <f t="shared" si="8"/>
        <v>19895</v>
      </c>
      <c r="O67" s="229">
        <v>19656</v>
      </c>
      <c r="P67" s="229">
        <v>239</v>
      </c>
    </row>
    <row r="68" spans="1:16" x14ac:dyDescent="0.15">
      <c r="A68" s="179" t="s">
        <v>895</v>
      </c>
      <c r="B68" s="186">
        <f t="shared" si="0"/>
        <v>4799</v>
      </c>
      <c r="C68" s="186">
        <v>4672</v>
      </c>
      <c r="D68" s="186">
        <v>127</v>
      </c>
      <c r="E68" s="186">
        <f t="shared" si="1"/>
        <v>4594</v>
      </c>
      <c r="F68" s="186">
        <v>4349</v>
      </c>
      <c r="G68" s="186">
        <v>245</v>
      </c>
      <c r="H68" s="186">
        <f t="shared" si="2"/>
        <v>6956</v>
      </c>
      <c r="I68" s="186">
        <v>6583</v>
      </c>
      <c r="J68" s="186">
        <v>373</v>
      </c>
      <c r="K68" s="229">
        <f t="shared" si="7"/>
        <v>8687</v>
      </c>
      <c r="L68" s="229">
        <v>8381</v>
      </c>
      <c r="M68" s="229">
        <v>306</v>
      </c>
      <c r="N68" s="229">
        <f t="shared" si="8"/>
        <v>8136</v>
      </c>
      <c r="O68" s="229">
        <v>7831</v>
      </c>
      <c r="P68" s="229">
        <v>305</v>
      </c>
    </row>
    <row r="69" spans="1:16" x14ac:dyDescent="0.15">
      <c r="A69" s="179" t="s">
        <v>896</v>
      </c>
      <c r="B69" s="186">
        <f t="shared" si="0"/>
        <v>85602</v>
      </c>
      <c r="C69" s="186">
        <v>61965</v>
      </c>
      <c r="D69" s="186">
        <v>23637</v>
      </c>
      <c r="E69" s="186">
        <f t="shared" si="1"/>
        <v>115761</v>
      </c>
      <c r="F69" s="186">
        <v>86183</v>
      </c>
      <c r="G69" s="186">
        <v>29578</v>
      </c>
      <c r="H69" s="186">
        <f t="shared" si="2"/>
        <v>136014</v>
      </c>
      <c r="I69" s="186">
        <v>108888</v>
      </c>
      <c r="J69" s="186">
        <v>27126</v>
      </c>
      <c r="K69" s="229">
        <f t="shared" si="7"/>
        <v>129373</v>
      </c>
      <c r="L69" s="229">
        <v>99231</v>
      </c>
      <c r="M69" s="229">
        <v>30142</v>
      </c>
      <c r="N69" s="229">
        <f t="shared" si="8"/>
        <v>92631</v>
      </c>
      <c r="O69" s="229">
        <v>67252</v>
      </c>
      <c r="P69" s="229">
        <v>25379</v>
      </c>
    </row>
    <row r="70" spans="1:16" x14ac:dyDescent="0.15">
      <c r="A70" s="179" t="s">
        <v>897</v>
      </c>
      <c r="B70" s="186">
        <f t="shared" si="0"/>
        <v>16</v>
      </c>
      <c r="C70" s="186">
        <v>16</v>
      </c>
      <c r="D70" s="186">
        <v>0</v>
      </c>
      <c r="E70" s="186">
        <f t="shared" si="1"/>
        <v>50</v>
      </c>
      <c r="F70" s="186">
        <v>50</v>
      </c>
      <c r="G70" s="186">
        <v>0</v>
      </c>
      <c r="H70" s="186">
        <f t="shared" si="2"/>
        <v>64</v>
      </c>
      <c r="I70" s="186">
        <v>64</v>
      </c>
      <c r="J70" s="186">
        <v>0</v>
      </c>
      <c r="K70" s="229">
        <f t="shared" si="7"/>
        <v>102</v>
      </c>
      <c r="L70" s="229">
        <v>102</v>
      </c>
      <c r="M70" s="229">
        <v>0</v>
      </c>
      <c r="N70" s="229">
        <f t="shared" si="8"/>
        <v>146</v>
      </c>
      <c r="O70" s="229">
        <v>134</v>
      </c>
      <c r="P70" s="229">
        <v>12</v>
      </c>
    </row>
    <row r="71" spans="1:16" x14ac:dyDescent="0.15">
      <c r="A71" s="179" t="s">
        <v>898</v>
      </c>
      <c r="B71" s="186">
        <f t="shared" ref="B71:B124" si="9">SUM(C71:D71)</f>
        <v>0</v>
      </c>
      <c r="C71" s="186">
        <v>0</v>
      </c>
      <c r="D71" s="186">
        <v>0</v>
      </c>
      <c r="E71" s="186">
        <f t="shared" ref="E71:E124" si="10">SUM(F71:G71)</f>
        <v>0</v>
      </c>
      <c r="F71" s="186">
        <v>0</v>
      </c>
      <c r="G71" s="186">
        <v>0</v>
      </c>
      <c r="H71" s="186">
        <f t="shared" ref="H71:H123" si="11">SUM(I71:J71)</f>
        <v>0</v>
      </c>
      <c r="I71" s="186">
        <v>0</v>
      </c>
      <c r="J71" s="186">
        <v>0</v>
      </c>
      <c r="K71" s="229">
        <f t="shared" si="7"/>
        <v>0</v>
      </c>
      <c r="L71" s="229">
        <v>0</v>
      </c>
      <c r="M71" s="229">
        <v>0</v>
      </c>
      <c r="N71" s="229">
        <f t="shared" si="8"/>
        <v>0</v>
      </c>
      <c r="O71" s="229" t="s">
        <v>193</v>
      </c>
      <c r="P71" s="229" t="s">
        <v>193</v>
      </c>
    </row>
    <row r="72" spans="1:16" x14ac:dyDescent="0.15">
      <c r="A72" s="179" t="s">
        <v>899</v>
      </c>
      <c r="B72" s="186">
        <f t="shared" si="9"/>
        <v>29447</v>
      </c>
      <c r="C72" s="186">
        <v>28111</v>
      </c>
      <c r="D72" s="186">
        <v>1336</v>
      </c>
      <c r="E72" s="186">
        <f t="shared" si="10"/>
        <v>55641</v>
      </c>
      <c r="F72" s="186">
        <v>54124</v>
      </c>
      <c r="G72" s="186">
        <v>1517</v>
      </c>
      <c r="H72" s="186">
        <f t="shared" si="11"/>
        <v>84539</v>
      </c>
      <c r="I72" s="186">
        <v>82576</v>
      </c>
      <c r="J72" s="186">
        <v>1963</v>
      </c>
      <c r="K72" s="229">
        <f t="shared" si="7"/>
        <v>84924</v>
      </c>
      <c r="L72" s="229">
        <v>82164</v>
      </c>
      <c r="M72" s="229">
        <v>2760</v>
      </c>
      <c r="N72" s="229">
        <f t="shared" si="8"/>
        <v>103425</v>
      </c>
      <c r="O72" s="229">
        <v>98628</v>
      </c>
      <c r="P72" s="229">
        <v>4797</v>
      </c>
    </row>
    <row r="73" spans="1:16" x14ac:dyDescent="0.15">
      <c r="A73" s="179" t="s">
        <v>900</v>
      </c>
      <c r="B73" s="186">
        <f t="shared" si="9"/>
        <v>0</v>
      </c>
      <c r="C73" s="186">
        <v>0</v>
      </c>
      <c r="D73" s="186">
        <v>0</v>
      </c>
      <c r="E73" s="186">
        <f t="shared" si="10"/>
        <v>341</v>
      </c>
      <c r="F73" s="186">
        <v>340</v>
      </c>
      <c r="G73" s="186">
        <v>1</v>
      </c>
      <c r="H73" s="186">
        <f t="shared" si="11"/>
        <v>624</v>
      </c>
      <c r="I73" s="186">
        <v>624</v>
      </c>
      <c r="J73" s="186">
        <v>0</v>
      </c>
      <c r="K73" s="229">
        <f t="shared" si="7"/>
        <v>820</v>
      </c>
      <c r="L73" s="229">
        <v>820</v>
      </c>
      <c r="M73" s="233">
        <v>0</v>
      </c>
      <c r="N73" s="229">
        <f t="shared" si="8"/>
        <v>603</v>
      </c>
      <c r="O73" s="229">
        <v>603</v>
      </c>
      <c r="P73" s="229" t="s">
        <v>193</v>
      </c>
    </row>
    <row r="74" spans="1:16" x14ac:dyDescent="0.15">
      <c r="A74" s="179" t="s">
        <v>901</v>
      </c>
      <c r="B74" s="186">
        <f t="shared" si="9"/>
        <v>60</v>
      </c>
      <c r="C74" s="186">
        <v>56</v>
      </c>
      <c r="D74" s="186">
        <v>4</v>
      </c>
      <c r="E74" s="186">
        <f t="shared" si="10"/>
        <v>0</v>
      </c>
      <c r="F74" s="186">
        <v>0</v>
      </c>
      <c r="G74" s="186">
        <v>0</v>
      </c>
      <c r="H74" s="186">
        <f t="shared" si="11"/>
        <v>0</v>
      </c>
      <c r="I74" s="186">
        <v>0</v>
      </c>
      <c r="J74" s="186">
        <v>0</v>
      </c>
      <c r="K74" s="229">
        <f t="shared" si="7"/>
        <v>0</v>
      </c>
      <c r="L74" s="229">
        <v>0</v>
      </c>
      <c r="M74" s="229">
        <v>0</v>
      </c>
      <c r="N74" s="229">
        <f t="shared" si="8"/>
        <v>0</v>
      </c>
      <c r="O74" s="229" t="s">
        <v>193</v>
      </c>
      <c r="P74" s="229" t="s">
        <v>193</v>
      </c>
    </row>
    <row r="75" spans="1:16" x14ac:dyDescent="0.15">
      <c r="A75" s="179" t="s">
        <v>902</v>
      </c>
      <c r="B75" s="186">
        <f t="shared" si="9"/>
        <v>31</v>
      </c>
      <c r="C75" s="186">
        <v>31</v>
      </c>
      <c r="D75" s="186">
        <v>0</v>
      </c>
      <c r="E75" s="186">
        <f t="shared" si="10"/>
        <v>3954</v>
      </c>
      <c r="F75" s="186">
        <v>3145</v>
      </c>
      <c r="G75" s="186">
        <v>809</v>
      </c>
      <c r="H75" s="186">
        <f t="shared" si="11"/>
        <v>11207</v>
      </c>
      <c r="I75" s="186">
        <v>8315</v>
      </c>
      <c r="J75" s="186">
        <v>2892</v>
      </c>
      <c r="K75" s="229">
        <f t="shared" si="7"/>
        <v>8751</v>
      </c>
      <c r="L75" s="229">
        <v>6744</v>
      </c>
      <c r="M75" s="229">
        <v>2007</v>
      </c>
      <c r="N75" s="229">
        <f t="shared" si="8"/>
        <v>6233</v>
      </c>
      <c r="O75" s="229">
        <v>5527</v>
      </c>
      <c r="P75" s="229">
        <v>706</v>
      </c>
    </row>
    <row r="76" spans="1:16" x14ac:dyDescent="0.15">
      <c r="A76" s="179" t="s">
        <v>903</v>
      </c>
      <c r="B76" s="186">
        <f t="shared" si="9"/>
        <v>2335</v>
      </c>
      <c r="C76" s="186">
        <v>2297</v>
      </c>
      <c r="D76" s="186">
        <v>38</v>
      </c>
      <c r="E76" s="186">
        <f t="shared" si="10"/>
        <v>2731</v>
      </c>
      <c r="F76" s="186">
        <v>2656</v>
      </c>
      <c r="G76" s="186">
        <v>75</v>
      </c>
      <c r="H76" s="186">
        <f t="shared" si="11"/>
        <v>5656</v>
      </c>
      <c r="I76" s="186">
        <v>5505</v>
      </c>
      <c r="J76" s="186">
        <v>151</v>
      </c>
      <c r="K76" s="229">
        <f t="shared" si="7"/>
        <v>6244</v>
      </c>
      <c r="L76" s="229">
        <v>6094</v>
      </c>
      <c r="M76" s="229">
        <v>150</v>
      </c>
      <c r="N76" s="229">
        <f t="shared" si="8"/>
        <v>6680</v>
      </c>
      <c r="O76" s="229">
        <v>6568</v>
      </c>
      <c r="P76" s="229">
        <v>112</v>
      </c>
    </row>
    <row r="77" spans="1:16" x14ac:dyDescent="0.15">
      <c r="A77" s="179" t="s">
        <v>904</v>
      </c>
      <c r="B77" s="186">
        <f t="shared" si="9"/>
        <v>69463</v>
      </c>
      <c r="C77" s="186">
        <v>66658</v>
      </c>
      <c r="D77" s="186">
        <v>2805</v>
      </c>
      <c r="E77" s="186">
        <f t="shared" si="10"/>
        <v>85053</v>
      </c>
      <c r="F77" s="186">
        <v>83277</v>
      </c>
      <c r="G77" s="186">
        <v>1776</v>
      </c>
      <c r="H77" s="186">
        <f t="shared" si="11"/>
        <v>85855</v>
      </c>
      <c r="I77" s="186">
        <v>84080</v>
      </c>
      <c r="J77" s="186">
        <v>1775</v>
      </c>
      <c r="K77" s="229">
        <f t="shared" si="7"/>
        <v>73472</v>
      </c>
      <c r="L77" s="229">
        <v>71880</v>
      </c>
      <c r="M77" s="229">
        <v>1592</v>
      </c>
      <c r="N77" s="229">
        <f t="shared" si="8"/>
        <v>74951</v>
      </c>
      <c r="O77" s="229">
        <v>73159</v>
      </c>
      <c r="P77" s="229">
        <v>1792</v>
      </c>
    </row>
    <row r="78" spans="1:16" s="183" customFormat="1" ht="12.75" customHeight="1" x14ac:dyDescent="0.15">
      <c r="A78" s="191" t="s">
        <v>16</v>
      </c>
      <c r="B78" s="184">
        <f t="shared" si="9"/>
        <v>1159</v>
      </c>
      <c r="C78" s="184">
        <f>SUM(C79:C80)</f>
        <v>1095</v>
      </c>
      <c r="D78" s="184">
        <f>SUM(D79:D80)</f>
        <v>64</v>
      </c>
      <c r="E78" s="184">
        <f t="shared" si="10"/>
        <v>1221</v>
      </c>
      <c r="F78" s="184">
        <f>SUM(F79:F80)</f>
        <v>1183</v>
      </c>
      <c r="G78" s="184">
        <f>SUM(G79:G80)</f>
        <v>38</v>
      </c>
      <c r="H78" s="184">
        <f t="shared" si="11"/>
        <v>2322</v>
      </c>
      <c r="I78" s="184">
        <f>SUM(I79:I80)</f>
        <v>2198</v>
      </c>
      <c r="J78" s="184">
        <f>SUM(J79:J80)</f>
        <v>124</v>
      </c>
      <c r="K78" s="232">
        <f t="shared" si="7"/>
        <v>4521</v>
      </c>
      <c r="L78" s="232">
        <f>SUM(L79:L80)</f>
        <v>4394</v>
      </c>
      <c r="M78" s="232">
        <f>SUM(M79:M80)</f>
        <v>127</v>
      </c>
      <c r="N78" s="232">
        <f t="shared" si="8"/>
        <v>7122</v>
      </c>
      <c r="O78" s="232">
        <f>SUM(O79:O80)</f>
        <v>6899</v>
      </c>
      <c r="P78" s="232">
        <f>SUM(P79:P80)</f>
        <v>223</v>
      </c>
    </row>
    <row r="79" spans="1:16" x14ac:dyDescent="0.15">
      <c r="A79" s="179" t="s">
        <v>905</v>
      </c>
      <c r="B79" s="186">
        <f t="shared" si="9"/>
        <v>869</v>
      </c>
      <c r="C79" s="186">
        <v>813</v>
      </c>
      <c r="D79" s="186">
        <v>56</v>
      </c>
      <c r="E79" s="186">
        <f t="shared" si="10"/>
        <v>528</v>
      </c>
      <c r="F79" s="186">
        <v>509</v>
      </c>
      <c r="G79" s="186">
        <v>19</v>
      </c>
      <c r="H79" s="186">
        <f t="shared" si="11"/>
        <v>1198</v>
      </c>
      <c r="I79" s="186">
        <v>1125</v>
      </c>
      <c r="J79" s="186">
        <v>73</v>
      </c>
      <c r="K79" s="229">
        <f t="shared" si="7"/>
        <v>1125</v>
      </c>
      <c r="L79" s="229">
        <v>1088</v>
      </c>
      <c r="M79" s="229">
        <v>37</v>
      </c>
      <c r="N79" s="229">
        <f t="shared" si="8"/>
        <v>2230</v>
      </c>
      <c r="O79" s="229">
        <v>2167</v>
      </c>
      <c r="P79" s="229">
        <v>63</v>
      </c>
    </row>
    <row r="80" spans="1:16" x14ac:dyDescent="0.15">
      <c r="A80" s="179" t="s">
        <v>906</v>
      </c>
      <c r="B80" s="186">
        <f t="shared" si="9"/>
        <v>290</v>
      </c>
      <c r="C80" s="186">
        <v>282</v>
      </c>
      <c r="D80" s="186">
        <v>8</v>
      </c>
      <c r="E80" s="186">
        <f t="shared" si="10"/>
        <v>693</v>
      </c>
      <c r="F80" s="186">
        <v>674</v>
      </c>
      <c r="G80" s="186">
        <v>19</v>
      </c>
      <c r="H80" s="186">
        <f t="shared" si="11"/>
        <v>1124</v>
      </c>
      <c r="I80" s="186">
        <v>1073</v>
      </c>
      <c r="J80" s="186">
        <v>51</v>
      </c>
      <c r="K80" s="229">
        <f t="shared" si="7"/>
        <v>3396</v>
      </c>
      <c r="L80" s="229">
        <v>3306</v>
      </c>
      <c r="M80" s="229">
        <v>90</v>
      </c>
      <c r="N80" s="229">
        <f t="shared" si="8"/>
        <v>4892</v>
      </c>
      <c r="O80" s="229">
        <v>4732</v>
      </c>
      <c r="P80" s="229">
        <v>160</v>
      </c>
    </row>
    <row r="81" spans="1:16" s="183" customFormat="1" ht="12.75" customHeight="1" x14ac:dyDescent="0.15">
      <c r="A81" s="191" t="s">
        <v>17</v>
      </c>
      <c r="B81" s="184">
        <f t="shared" si="9"/>
        <v>430663</v>
      </c>
      <c r="C81" s="184">
        <f>SUM(C82:C92)</f>
        <v>337700</v>
      </c>
      <c r="D81" s="184">
        <f>SUM(D82:D92)</f>
        <v>92963</v>
      </c>
      <c r="E81" s="184">
        <f t="shared" si="10"/>
        <v>514248</v>
      </c>
      <c r="F81" s="184">
        <f>SUM(F82:F92)</f>
        <v>408930</v>
      </c>
      <c r="G81" s="184">
        <f>SUM(G82:G92)</f>
        <v>105318</v>
      </c>
      <c r="H81" s="184">
        <f t="shared" si="11"/>
        <v>568391</v>
      </c>
      <c r="I81" s="184">
        <f>SUM(I82:I92)</f>
        <v>454425</v>
      </c>
      <c r="J81" s="184">
        <f>SUM(J82:J92)</f>
        <v>113966</v>
      </c>
      <c r="K81" s="232">
        <f t="shared" si="7"/>
        <v>631151</v>
      </c>
      <c r="L81" s="232">
        <f>SUM(L82:L92)</f>
        <v>498693</v>
      </c>
      <c r="M81" s="232">
        <f>SUM(M82:M92)</f>
        <v>132458</v>
      </c>
      <c r="N81" s="232">
        <f t="shared" si="8"/>
        <v>677011</v>
      </c>
      <c r="O81" s="232">
        <f>SUM(O82:O92)</f>
        <v>526230</v>
      </c>
      <c r="P81" s="232">
        <f>SUM(P82:P92)</f>
        <v>150781</v>
      </c>
    </row>
    <row r="82" spans="1:16" x14ac:dyDescent="0.15">
      <c r="A82" s="179" t="s">
        <v>907</v>
      </c>
      <c r="B82" s="186">
        <f t="shared" si="9"/>
        <v>20950</v>
      </c>
      <c r="C82" s="186">
        <v>15876</v>
      </c>
      <c r="D82" s="186">
        <v>5074</v>
      </c>
      <c r="E82" s="186">
        <f t="shared" si="10"/>
        <v>27049</v>
      </c>
      <c r="F82" s="186">
        <v>21580</v>
      </c>
      <c r="G82" s="186">
        <v>5469</v>
      </c>
      <c r="H82" s="186">
        <f t="shared" si="11"/>
        <v>31142</v>
      </c>
      <c r="I82" s="186">
        <v>25057</v>
      </c>
      <c r="J82" s="186">
        <v>6085</v>
      </c>
      <c r="K82" s="229">
        <f t="shared" si="7"/>
        <v>39666</v>
      </c>
      <c r="L82" s="229">
        <v>31864</v>
      </c>
      <c r="M82" s="229">
        <v>7802</v>
      </c>
      <c r="N82" s="229">
        <f t="shared" si="8"/>
        <v>48624</v>
      </c>
      <c r="O82" s="229">
        <v>40561</v>
      </c>
      <c r="P82" s="229">
        <v>8063</v>
      </c>
    </row>
    <row r="83" spans="1:16" x14ac:dyDescent="0.15">
      <c r="A83" s="179" t="s">
        <v>908</v>
      </c>
      <c r="B83" s="186">
        <f t="shared" si="9"/>
        <v>95062</v>
      </c>
      <c r="C83" s="186">
        <v>82870</v>
      </c>
      <c r="D83" s="186">
        <v>12192</v>
      </c>
      <c r="E83" s="186">
        <f t="shared" si="10"/>
        <v>133037</v>
      </c>
      <c r="F83" s="186">
        <v>116590</v>
      </c>
      <c r="G83" s="186">
        <v>16447</v>
      </c>
      <c r="H83" s="186">
        <f t="shared" si="11"/>
        <v>124272</v>
      </c>
      <c r="I83" s="186">
        <v>108885</v>
      </c>
      <c r="J83" s="186">
        <v>15387</v>
      </c>
      <c r="K83" s="229">
        <f t="shared" si="7"/>
        <v>137778</v>
      </c>
      <c r="L83" s="229">
        <v>120227</v>
      </c>
      <c r="M83" s="229">
        <v>17551</v>
      </c>
      <c r="N83" s="229">
        <f t="shared" si="8"/>
        <v>126613</v>
      </c>
      <c r="O83" s="229">
        <v>109327</v>
      </c>
      <c r="P83" s="229">
        <v>17286</v>
      </c>
    </row>
    <row r="84" spans="1:16" x14ac:dyDescent="0.15">
      <c r="A84" s="179" t="s">
        <v>909</v>
      </c>
      <c r="B84" s="186">
        <f t="shared" si="9"/>
        <v>293266</v>
      </c>
      <c r="C84" s="186">
        <v>220767</v>
      </c>
      <c r="D84" s="186">
        <v>72499</v>
      </c>
      <c r="E84" s="186">
        <f t="shared" si="10"/>
        <v>332334</v>
      </c>
      <c r="F84" s="186">
        <v>252983</v>
      </c>
      <c r="G84" s="186">
        <v>79351</v>
      </c>
      <c r="H84" s="186">
        <f t="shared" si="11"/>
        <v>386287</v>
      </c>
      <c r="I84" s="186">
        <v>298254</v>
      </c>
      <c r="J84" s="186">
        <v>88033</v>
      </c>
      <c r="K84" s="229">
        <f t="shared" si="7"/>
        <v>415625</v>
      </c>
      <c r="L84" s="229">
        <v>314420</v>
      </c>
      <c r="M84" s="229">
        <v>101205</v>
      </c>
      <c r="N84" s="229">
        <f t="shared" si="8"/>
        <v>468523</v>
      </c>
      <c r="O84" s="229">
        <v>348228</v>
      </c>
      <c r="P84" s="229">
        <v>120295</v>
      </c>
    </row>
    <row r="85" spans="1:16" x14ac:dyDescent="0.15">
      <c r="A85" s="179" t="s">
        <v>910</v>
      </c>
      <c r="B85" s="186">
        <f t="shared" si="9"/>
        <v>11721</v>
      </c>
      <c r="C85" s="186">
        <v>10179</v>
      </c>
      <c r="D85" s="186">
        <v>1542</v>
      </c>
      <c r="E85" s="186">
        <f t="shared" si="10"/>
        <v>12189</v>
      </c>
      <c r="F85" s="186">
        <v>10369</v>
      </c>
      <c r="G85" s="186">
        <v>1820</v>
      </c>
      <c r="H85" s="186">
        <f t="shared" si="11"/>
        <v>15728</v>
      </c>
      <c r="I85" s="186">
        <v>13436</v>
      </c>
      <c r="J85" s="186">
        <v>2292</v>
      </c>
      <c r="K85" s="229">
        <f t="shared" si="7"/>
        <v>16583</v>
      </c>
      <c r="L85" s="229">
        <v>14208</v>
      </c>
      <c r="M85" s="229">
        <v>2375</v>
      </c>
      <c r="N85" s="229">
        <f t="shared" si="8"/>
        <v>20265</v>
      </c>
      <c r="O85" s="229">
        <v>17345</v>
      </c>
      <c r="P85" s="229">
        <v>2920</v>
      </c>
    </row>
    <row r="86" spans="1:16" x14ac:dyDescent="0.15">
      <c r="A86" s="179" t="s">
        <v>911</v>
      </c>
      <c r="B86" s="186">
        <f t="shared" si="9"/>
        <v>351</v>
      </c>
      <c r="C86" s="186">
        <v>316</v>
      </c>
      <c r="D86" s="186">
        <v>35</v>
      </c>
      <c r="E86" s="186">
        <f t="shared" si="10"/>
        <v>0</v>
      </c>
      <c r="F86" s="186">
        <v>0</v>
      </c>
      <c r="G86" s="186">
        <v>0</v>
      </c>
      <c r="H86" s="186">
        <f t="shared" si="11"/>
        <v>621</v>
      </c>
      <c r="I86" s="186">
        <v>589</v>
      </c>
      <c r="J86" s="186">
        <v>32</v>
      </c>
      <c r="K86" s="229">
        <f t="shared" si="7"/>
        <v>1928</v>
      </c>
      <c r="L86" s="229">
        <v>1812</v>
      </c>
      <c r="M86" s="229">
        <v>116</v>
      </c>
      <c r="N86" s="229">
        <f t="shared" si="8"/>
        <v>1916</v>
      </c>
      <c r="O86" s="229">
        <v>1780</v>
      </c>
      <c r="P86" s="229">
        <v>136</v>
      </c>
    </row>
    <row r="87" spans="1:16" x14ac:dyDescent="0.15">
      <c r="A87" s="179" t="s">
        <v>912</v>
      </c>
      <c r="B87" s="186">
        <f t="shared" si="9"/>
        <v>0</v>
      </c>
      <c r="C87" s="186">
        <v>0</v>
      </c>
      <c r="D87" s="186">
        <v>0</v>
      </c>
      <c r="E87" s="186">
        <f t="shared" si="10"/>
        <v>0</v>
      </c>
      <c r="F87" s="186">
        <v>0</v>
      </c>
      <c r="G87" s="186">
        <v>0</v>
      </c>
      <c r="H87" s="186">
        <f t="shared" si="11"/>
        <v>0</v>
      </c>
      <c r="I87" s="186">
        <v>0</v>
      </c>
      <c r="J87" s="186">
        <v>0</v>
      </c>
      <c r="K87" s="229">
        <f t="shared" si="7"/>
        <v>0</v>
      </c>
      <c r="L87" s="229">
        <v>0</v>
      </c>
      <c r="M87" s="229">
        <v>0</v>
      </c>
      <c r="N87" s="229">
        <f t="shared" si="8"/>
        <v>0</v>
      </c>
      <c r="O87" s="229">
        <v>0</v>
      </c>
      <c r="P87" s="229">
        <v>0</v>
      </c>
    </row>
    <row r="88" spans="1:16" x14ac:dyDescent="0.15">
      <c r="A88" s="179" t="s">
        <v>913</v>
      </c>
      <c r="B88" s="186">
        <f t="shared" si="9"/>
        <v>0</v>
      </c>
      <c r="C88" s="186">
        <v>0</v>
      </c>
      <c r="D88" s="186">
        <v>0</v>
      </c>
      <c r="E88" s="186">
        <f t="shared" si="10"/>
        <v>0</v>
      </c>
      <c r="F88" s="186">
        <v>0</v>
      </c>
      <c r="G88" s="186">
        <v>0</v>
      </c>
      <c r="H88" s="186">
        <f t="shared" si="11"/>
        <v>0</v>
      </c>
      <c r="I88" s="186">
        <v>0</v>
      </c>
      <c r="J88" s="186">
        <v>0</v>
      </c>
      <c r="K88" s="229">
        <f t="shared" si="7"/>
        <v>0</v>
      </c>
      <c r="L88" s="229">
        <v>0</v>
      </c>
      <c r="M88" s="229">
        <v>0</v>
      </c>
      <c r="N88" s="229">
        <f t="shared" si="8"/>
        <v>0</v>
      </c>
      <c r="O88" s="229">
        <v>0</v>
      </c>
      <c r="P88" s="229">
        <v>0</v>
      </c>
    </row>
    <row r="89" spans="1:16" x14ac:dyDescent="0.15">
      <c r="A89" s="179" t="s">
        <v>914</v>
      </c>
      <c r="B89" s="186">
        <f t="shared" si="9"/>
        <v>2185</v>
      </c>
      <c r="C89" s="186">
        <v>1705</v>
      </c>
      <c r="D89" s="186">
        <v>480</v>
      </c>
      <c r="E89" s="186">
        <f t="shared" si="10"/>
        <v>2988</v>
      </c>
      <c r="F89" s="186">
        <v>2504</v>
      </c>
      <c r="G89" s="186">
        <v>484</v>
      </c>
      <c r="H89" s="186">
        <f t="shared" si="11"/>
        <v>3241</v>
      </c>
      <c r="I89" s="186">
        <v>2647</v>
      </c>
      <c r="J89" s="186">
        <v>594</v>
      </c>
      <c r="K89" s="229">
        <f t="shared" si="7"/>
        <v>4245</v>
      </c>
      <c r="L89" s="229">
        <v>3517</v>
      </c>
      <c r="M89" s="229">
        <v>728</v>
      </c>
      <c r="N89" s="229">
        <f t="shared" si="8"/>
        <v>3401</v>
      </c>
      <c r="O89" s="229">
        <v>2690</v>
      </c>
      <c r="P89" s="229">
        <v>711</v>
      </c>
    </row>
    <row r="90" spans="1:16" x14ac:dyDescent="0.15">
      <c r="A90" s="179" t="s">
        <v>915</v>
      </c>
      <c r="B90" s="186">
        <f t="shared" si="9"/>
        <v>305</v>
      </c>
      <c r="C90" s="186">
        <v>270</v>
      </c>
      <c r="D90" s="186">
        <v>35</v>
      </c>
      <c r="E90" s="186">
        <f t="shared" si="10"/>
        <v>471</v>
      </c>
      <c r="F90" s="186">
        <v>394</v>
      </c>
      <c r="G90" s="186">
        <v>77</v>
      </c>
      <c r="H90" s="186">
        <f t="shared" si="11"/>
        <v>560</v>
      </c>
      <c r="I90" s="186">
        <v>461</v>
      </c>
      <c r="J90" s="186">
        <v>99</v>
      </c>
      <c r="K90" s="229">
        <f t="shared" si="7"/>
        <v>769</v>
      </c>
      <c r="L90" s="229">
        <v>572</v>
      </c>
      <c r="M90" s="229">
        <v>197</v>
      </c>
      <c r="N90" s="229">
        <f t="shared" si="8"/>
        <v>1246</v>
      </c>
      <c r="O90" s="229">
        <v>1001</v>
      </c>
      <c r="P90" s="229">
        <v>245</v>
      </c>
    </row>
    <row r="91" spans="1:16" x14ac:dyDescent="0.15">
      <c r="A91" s="179" t="s">
        <v>916</v>
      </c>
      <c r="B91" s="186">
        <f t="shared" si="9"/>
        <v>2829</v>
      </c>
      <c r="C91" s="186">
        <v>2172</v>
      </c>
      <c r="D91" s="186">
        <v>657</v>
      </c>
      <c r="E91" s="186">
        <f t="shared" si="10"/>
        <v>1907</v>
      </c>
      <c r="F91" s="186">
        <v>1456</v>
      </c>
      <c r="G91" s="186">
        <v>451</v>
      </c>
      <c r="H91" s="186">
        <f t="shared" si="11"/>
        <v>1855</v>
      </c>
      <c r="I91" s="186">
        <v>1416</v>
      </c>
      <c r="J91" s="186">
        <v>439</v>
      </c>
      <c r="K91" s="229">
        <f t="shared" ref="K91:K123" si="12">SUM(L91:M91)</f>
        <v>7928</v>
      </c>
      <c r="L91" s="229">
        <v>6515</v>
      </c>
      <c r="M91" s="229">
        <v>1413</v>
      </c>
      <c r="N91" s="229">
        <f t="shared" ref="N91:N123" si="13">SUM(O91:P91)</f>
        <v>1316</v>
      </c>
      <c r="O91" s="229">
        <v>1033</v>
      </c>
      <c r="P91" s="229">
        <v>283</v>
      </c>
    </row>
    <row r="92" spans="1:16" x14ac:dyDescent="0.15">
      <c r="A92" s="179" t="s">
        <v>917</v>
      </c>
      <c r="B92" s="186">
        <f t="shared" si="9"/>
        <v>3994</v>
      </c>
      <c r="C92" s="186">
        <v>3545</v>
      </c>
      <c r="D92" s="186">
        <v>449</v>
      </c>
      <c r="E92" s="186">
        <f t="shared" si="10"/>
        <v>4273</v>
      </c>
      <c r="F92" s="186">
        <v>3054</v>
      </c>
      <c r="G92" s="186">
        <v>1219</v>
      </c>
      <c r="H92" s="186">
        <f t="shared" si="11"/>
        <v>4685</v>
      </c>
      <c r="I92" s="186">
        <v>3680</v>
      </c>
      <c r="J92" s="186">
        <v>1005</v>
      </c>
      <c r="K92" s="229">
        <f t="shared" si="12"/>
        <v>6629</v>
      </c>
      <c r="L92" s="229">
        <v>5558</v>
      </c>
      <c r="M92" s="229">
        <v>1071</v>
      </c>
      <c r="N92" s="229">
        <f t="shared" si="13"/>
        <v>5107</v>
      </c>
      <c r="O92" s="229">
        <v>4265</v>
      </c>
      <c r="P92" s="229">
        <v>842</v>
      </c>
    </row>
    <row r="93" spans="1:16" s="183" customFormat="1" ht="12.75" customHeight="1" x14ac:dyDescent="0.15">
      <c r="A93" s="191" t="s">
        <v>18</v>
      </c>
      <c r="B93" s="184">
        <f t="shared" si="9"/>
        <v>32341</v>
      </c>
      <c r="C93" s="184">
        <f>SUM(C94:C112)</f>
        <v>22091</v>
      </c>
      <c r="D93" s="184">
        <f>SUM(D94:D112)</f>
        <v>10250</v>
      </c>
      <c r="E93" s="184">
        <f t="shared" si="10"/>
        <v>32544</v>
      </c>
      <c r="F93" s="184">
        <f>SUM(F94:F112)</f>
        <v>21762</v>
      </c>
      <c r="G93" s="184">
        <f>SUM(G94:G112)</f>
        <v>10782</v>
      </c>
      <c r="H93" s="184">
        <f t="shared" si="11"/>
        <v>50008</v>
      </c>
      <c r="I93" s="184">
        <f>SUM(I94:I112)</f>
        <v>35508</v>
      </c>
      <c r="J93" s="184">
        <f>SUM(J94:J112)</f>
        <v>14500</v>
      </c>
      <c r="K93" s="232">
        <f t="shared" si="12"/>
        <v>52931</v>
      </c>
      <c r="L93" s="232">
        <f>SUM(L94:L112)</f>
        <v>39154</v>
      </c>
      <c r="M93" s="232">
        <f>SUM(M94:M112)</f>
        <v>13777</v>
      </c>
      <c r="N93" s="232">
        <f t="shared" si="13"/>
        <v>73451</v>
      </c>
      <c r="O93" s="232">
        <f>SUM(O94:O112)</f>
        <v>56857</v>
      </c>
      <c r="P93" s="232">
        <f>SUM(P94:P112)</f>
        <v>16594</v>
      </c>
    </row>
    <row r="94" spans="1:16" x14ac:dyDescent="0.15">
      <c r="A94" s="179" t="s">
        <v>960</v>
      </c>
      <c r="B94" s="186">
        <f t="shared" si="9"/>
        <v>0</v>
      </c>
      <c r="C94" s="186">
        <v>0</v>
      </c>
      <c r="D94" s="186">
        <v>0</v>
      </c>
      <c r="E94" s="186">
        <f t="shared" si="10"/>
        <v>0</v>
      </c>
      <c r="F94" s="186">
        <v>0</v>
      </c>
      <c r="G94" s="186">
        <v>0</v>
      </c>
      <c r="H94" s="186">
        <f t="shared" si="11"/>
        <v>0</v>
      </c>
      <c r="I94" s="186">
        <v>0</v>
      </c>
      <c r="J94" s="186">
        <v>0</v>
      </c>
      <c r="K94" s="229">
        <f t="shared" si="12"/>
        <v>0</v>
      </c>
      <c r="L94" s="229">
        <v>0</v>
      </c>
      <c r="M94" s="229">
        <v>0</v>
      </c>
      <c r="N94" s="229">
        <f t="shared" si="13"/>
        <v>0</v>
      </c>
      <c r="O94" s="229">
        <v>0</v>
      </c>
      <c r="P94" s="229">
        <v>0</v>
      </c>
    </row>
    <row r="95" spans="1:16" x14ac:dyDescent="0.15">
      <c r="A95" s="179" t="s">
        <v>961</v>
      </c>
      <c r="B95" s="186">
        <f t="shared" si="9"/>
        <v>0</v>
      </c>
      <c r="C95" s="186">
        <v>0</v>
      </c>
      <c r="D95" s="186">
        <v>0</v>
      </c>
      <c r="E95" s="186">
        <f t="shared" si="10"/>
        <v>0</v>
      </c>
      <c r="F95" s="186">
        <v>0</v>
      </c>
      <c r="G95" s="186">
        <v>0</v>
      </c>
      <c r="H95" s="186">
        <f t="shared" si="11"/>
        <v>0</v>
      </c>
      <c r="I95" s="186">
        <v>0</v>
      </c>
      <c r="J95" s="186">
        <v>0</v>
      </c>
      <c r="K95" s="229">
        <f t="shared" si="12"/>
        <v>0</v>
      </c>
      <c r="L95" s="229">
        <v>0</v>
      </c>
      <c r="M95" s="229">
        <v>0</v>
      </c>
      <c r="N95" s="229">
        <f t="shared" si="13"/>
        <v>0</v>
      </c>
      <c r="O95" s="229">
        <v>0</v>
      </c>
      <c r="P95" s="229">
        <v>0</v>
      </c>
    </row>
    <row r="96" spans="1:16" x14ac:dyDescent="0.15">
      <c r="A96" s="179" t="s">
        <v>920</v>
      </c>
      <c r="B96" s="186">
        <f t="shared" si="9"/>
        <v>328</v>
      </c>
      <c r="C96" s="186">
        <v>182</v>
      </c>
      <c r="D96" s="186">
        <v>146</v>
      </c>
      <c r="E96" s="186">
        <f t="shared" si="10"/>
        <v>386</v>
      </c>
      <c r="F96" s="186">
        <v>252</v>
      </c>
      <c r="G96" s="186">
        <v>134</v>
      </c>
      <c r="H96" s="186">
        <f t="shared" si="11"/>
        <v>1022</v>
      </c>
      <c r="I96" s="186">
        <v>686</v>
      </c>
      <c r="J96" s="186">
        <v>336</v>
      </c>
      <c r="K96" s="229">
        <f t="shared" si="12"/>
        <v>1944</v>
      </c>
      <c r="L96" s="229">
        <v>1285</v>
      </c>
      <c r="M96" s="229">
        <v>659</v>
      </c>
      <c r="N96" s="229">
        <f t="shared" si="13"/>
        <v>4728</v>
      </c>
      <c r="O96" s="229">
        <v>3341</v>
      </c>
      <c r="P96" s="229">
        <v>1387</v>
      </c>
    </row>
    <row r="97" spans="1:16" x14ac:dyDescent="0.15">
      <c r="A97" s="179" t="s">
        <v>921</v>
      </c>
      <c r="B97" s="186">
        <f t="shared" si="9"/>
        <v>12595</v>
      </c>
      <c r="C97" s="186">
        <v>7576</v>
      </c>
      <c r="D97" s="186">
        <v>5019</v>
      </c>
      <c r="E97" s="186">
        <f t="shared" si="10"/>
        <v>11405</v>
      </c>
      <c r="F97" s="186">
        <v>7565</v>
      </c>
      <c r="G97" s="186">
        <v>3840</v>
      </c>
      <c r="H97" s="186">
        <f t="shared" si="11"/>
        <v>16231</v>
      </c>
      <c r="I97" s="186">
        <v>11393</v>
      </c>
      <c r="J97" s="186">
        <v>4838</v>
      </c>
      <c r="K97" s="229">
        <f t="shared" si="12"/>
        <v>18012</v>
      </c>
      <c r="L97" s="229">
        <v>12534</v>
      </c>
      <c r="M97" s="229">
        <v>5478</v>
      </c>
      <c r="N97" s="229">
        <f t="shared" si="13"/>
        <v>23999</v>
      </c>
      <c r="O97" s="229">
        <v>17972</v>
      </c>
      <c r="P97" s="229">
        <v>6027</v>
      </c>
    </row>
    <row r="98" spans="1:16" x14ac:dyDescent="0.15">
      <c r="A98" s="179" t="s">
        <v>922</v>
      </c>
      <c r="B98" s="186">
        <f t="shared" si="9"/>
        <v>1923</v>
      </c>
      <c r="C98" s="186">
        <v>1487</v>
      </c>
      <c r="D98" s="186">
        <v>436</v>
      </c>
      <c r="E98" s="186">
        <f t="shared" si="10"/>
        <v>1575</v>
      </c>
      <c r="F98" s="186">
        <v>1017</v>
      </c>
      <c r="G98" s="186">
        <v>558</v>
      </c>
      <c r="H98" s="186">
        <f t="shared" si="11"/>
        <v>2893</v>
      </c>
      <c r="I98" s="186">
        <v>2358</v>
      </c>
      <c r="J98" s="186">
        <v>535</v>
      </c>
      <c r="K98" s="229">
        <f t="shared" si="12"/>
        <v>2123</v>
      </c>
      <c r="L98" s="229">
        <v>1644</v>
      </c>
      <c r="M98" s="229">
        <v>479</v>
      </c>
      <c r="N98" s="229">
        <f t="shared" si="13"/>
        <v>2737</v>
      </c>
      <c r="O98" s="229">
        <v>1869</v>
      </c>
      <c r="P98" s="229">
        <v>868</v>
      </c>
    </row>
    <row r="99" spans="1:16" x14ac:dyDescent="0.15">
      <c r="A99" s="179" t="s">
        <v>923</v>
      </c>
      <c r="B99" s="186">
        <f t="shared" si="9"/>
        <v>8382</v>
      </c>
      <c r="C99" s="186">
        <v>7588</v>
      </c>
      <c r="D99" s="186">
        <v>794</v>
      </c>
      <c r="E99" s="186">
        <f t="shared" si="10"/>
        <v>8071</v>
      </c>
      <c r="F99" s="186">
        <v>7235</v>
      </c>
      <c r="G99" s="186">
        <v>836</v>
      </c>
      <c r="H99" s="186">
        <f t="shared" si="11"/>
        <v>13966</v>
      </c>
      <c r="I99" s="186">
        <v>12792</v>
      </c>
      <c r="J99" s="186">
        <v>1174</v>
      </c>
      <c r="K99" s="229">
        <f t="shared" si="12"/>
        <v>16230</v>
      </c>
      <c r="L99" s="229">
        <v>15234</v>
      </c>
      <c r="M99" s="229">
        <v>996</v>
      </c>
      <c r="N99" s="229">
        <f t="shared" si="13"/>
        <v>26227</v>
      </c>
      <c r="O99" s="229">
        <v>24377</v>
      </c>
      <c r="P99" s="229">
        <v>1850</v>
      </c>
    </row>
    <row r="100" spans="1:16" x14ac:dyDescent="0.15">
      <c r="A100" s="179" t="s">
        <v>924</v>
      </c>
      <c r="B100" s="186">
        <f t="shared" si="9"/>
        <v>0</v>
      </c>
      <c r="C100" s="186">
        <v>0</v>
      </c>
      <c r="D100" s="186">
        <v>0</v>
      </c>
      <c r="E100" s="186">
        <f t="shared" si="10"/>
        <v>0</v>
      </c>
      <c r="F100" s="186">
        <v>0</v>
      </c>
      <c r="G100" s="186">
        <v>0</v>
      </c>
      <c r="H100" s="186">
        <f t="shared" si="11"/>
        <v>0</v>
      </c>
      <c r="I100" s="186">
        <v>0</v>
      </c>
      <c r="J100" s="186">
        <v>0</v>
      </c>
      <c r="K100" s="229">
        <f t="shared" si="12"/>
        <v>0</v>
      </c>
      <c r="L100" s="229"/>
      <c r="M100" s="229"/>
      <c r="N100" s="229">
        <f t="shared" si="13"/>
        <v>0</v>
      </c>
      <c r="O100" s="229">
        <v>0</v>
      </c>
      <c r="P100" s="229">
        <v>0</v>
      </c>
    </row>
    <row r="101" spans="1:16" x14ac:dyDescent="0.15">
      <c r="A101" s="179" t="s">
        <v>925</v>
      </c>
      <c r="B101" s="186">
        <f t="shared" si="9"/>
        <v>0</v>
      </c>
      <c r="C101" s="186">
        <v>0</v>
      </c>
      <c r="D101" s="186">
        <v>0</v>
      </c>
      <c r="E101" s="186">
        <f t="shared" si="10"/>
        <v>0</v>
      </c>
      <c r="F101" s="186">
        <v>0</v>
      </c>
      <c r="G101" s="186">
        <v>0</v>
      </c>
      <c r="H101" s="186">
        <f t="shared" si="11"/>
        <v>0</v>
      </c>
      <c r="I101" s="186">
        <v>0</v>
      </c>
      <c r="J101" s="186">
        <v>0</v>
      </c>
      <c r="K101" s="229">
        <f t="shared" si="12"/>
        <v>0</v>
      </c>
      <c r="L101" s="229"/>
      <c r="M101" s="229"/>
      <c r="N101" s="229">
        <f t="shared" si="13"/>
        <v>0</v>
      </c>
      <c r="O101" s="229">
        <v>0</v>
      </c>
      <c r="P101" s="229">
        <v>0</v>
      </c>
    </row>
    <row r="102" spans="1:16" x14ac:dyDescent="0.15">
      <c r="A102" s="179" t="s">
        <v>926</v>
      </c>
      <c r="B102" s="186">
        <f t="shared" si="9"/>
        <v>1964</v>
      </c>
      <c r="C102" s="186">
        <v>1623</v>
      </c>
      <c r="D102" s="186">
        <v>341</v>
      </c>
      <c r="E102" s="186">
        <f t="shared" si="10"/>
        <v>1788</v>
      </c>
      <c r="F102" s="186">
        <v>1382</v>
      </c>
      <c r="G102" s="186">
        <v>406</v>
      </c>
      <c r="H102" s="186">
        <f t="shared" si="11"/>
        <v>1251</v>
      </c>
      <c r="I102" s="186">
        <v>1037</v>
      </c>
      <c r="J102" s="186">
        <v>214</v>
      </c>
      <c r="K102" s="229">
        <f t="shared" si="12"/>
        <v>2314</v>
      </c>
      <c r="L102" s="229">
        <v>1915</v>
      </c>
      <c r="M102" s="229">
        <v>399</v>
      </c>
      <c r="N102" s="229">
        <f t="shared" si="13"/>
        <v>3053</v>
      </c>
      <c r="O102" s="229">
        <v>2475</v>
      </c>
      <c r="P102" s="229">
        <v>578</v>
      </c>
    </row>
    <row r="103" spans="1:16" x14ac:dyDescent="0.15">
      <c r="A103" s="179" t="s">
        <v>927</v>
      </c>
      <c r="B103" s="186">
        <f t="shared" si="9"/>
        <v>515</v>
      </c>
      <c r="C103" s="186">
        <v>343</v>
      </c>
      <c r="D103" s="186">
        <v>172</v>
      </c>
      <c r="E103" s="186">
        <f t="shared" si="10"/>
        <v>680</v>
      </c>
      <c r="F103" s="186">
        <v>514</v>
      </c>
      <c r="G103" s="186">
        <v>166</v>
      </c>
      <c r="H103" s="186">
        <f t="shared" si="11"/>
        <v>1500</v>
      </c>
      <c r="I103" s="186">
        <v>1280</v>
      </c>
      <c r="J103" s="186">
        <v>220</v>
      </c>
      <c r="K103" s="229">
        <f t="shared" si="12"/>
        <v>2430</v>
      </c>
      <c r="L103" s="229">
        <v>2075</v>
      </c>
      <c r="M103" s="229">
        <v>355</v>
      </c>
      <c r="N103" s="229">
        <f t="shared" si="13"/>
        <v>2098</v>
      </c>
      <c r="O103" s="229">
        <v>1650</v>
      </c>
      <c r="P103" s="229">
        <v>448</v>
      </c>
    </row>
    <row r="104" spans="1:16" x14ac:dyDescent="0.15">
      <c r="A104" s="179" t="s">
        <v>928</v>
      </c>
      <c r="B104" s="186">
        <f t="shared" si="9"/>
        <v>0</v>
      </c>
      <c r="C104" s="186">
        <v>0</v>
      </c>
      <c r="D104" s="186">
        <v>0</v>
      </c>
      <c r="E104" s="186">
        <f t="shared" si="10"/>
        <v>0</v>
      </c>
      <c r="F104" s="186">
        <v>0</v>
      </c>
      <c r="G104" s="186">
        <v>0</v>
      </c>
      <c r="H104" s="186">
        <f t="shared" si="11"/>
        <v>0</v>
      </c>
      <c r="I104" s="186">
        <v>0</v>
      </c>
      <c r="J104" s="186">
        <v>0</v>
      </c>
      <c r="K104" s="229">
        <f t="shared" si="12"/>
        <v>0</v>
      </c>
      <c r="L104" s="229">
        <v>0</v>
      </c>
      <c r="M104" s="229">
        <v>0</v>
      </c>
      <c r="N104" s="229">
        <f t="shared" si="13"/>
        <v>0</v>
      </c>
      <c r="O104" s="229">
        <v>0</v>
      </c>
      <c r="P104" s="229">
        <v>0</v>
      </c>
    </row>
    <row r="105" spans="1:16" x14ac:dyDescent="0.15">
      <c r="A105" s="179" t="s">
        <v>929</v>
      </c>
      <c r="B105" s="186">
        <f t="shared" si="9"/>
        <v>0</v>
      </c>
      <c r="C105" s="186">
        <v>0</v>
      </c>
      <c r="D105" s="186">
        <v>0</v>
      </c>
      <c r="E105" s="186">
        <f t="shared" si="10"/>
        <v>0</v>
      </c>
      <c r="F105" s="186">
        <v>0</v>
      </c>
      <c r="G105" s="186">
        <v>0</v>
      </c>
      <c r="H105" s="186">
        <f t="shared" si="11"/>
        <v>0</v>
      </c>
      <c r="I105" s="186">
        <v>0</v>
      </c>
      <c r="J105" s="186">
        <v>0</v>
      </c>
      <c r="K105" s="229">
        <f t="shared" si="12"/>
        <v>0</v>
      </c>
      <c r="L105" s="229">
        <v>0</v>
      </c>
      <c r="M105" s="229">
        <v>0</v>
      </c>
      <c r="N105" s="229">
        <f t="shared" si="13"/>
        <v>0</v>
      </c>
      <c r="O105" s="229">
        <v>0</v>
      </c>
      <c r="P105" s="229">
        <v>0</v>
      </c>
    </row>
    <row r="106" spans="1:16" x14ac:dyDescent="0.15">
      <c r="A106" s="179" t="s">
        <v>930</v>
      </c>
      <c r="B106" s="186">
        <f t="shared" si="9"/>
        <v>0</v>
      </c>
      <c r="C106" s="186">
        <v>0</v>
      </c>
      <c r="D106" s="186">
        <v>0</v>
      </c>
      <c r="E106" s="186">
        <f t="shared" si="10"/>
        <v>0</v>
      </c>
      <c r="F106" s="186">
        <v>0</v>
      </c>
      <c r="G106" s="186">
        <v>0</v>
      </c>
      <c r="H106" s="186">
        <f t="shared" si="11"/>
        <v>0</v>
      </c>
      <c r="I106" s="186">
        <v>0</v>
      </c>
      <c r="J106" s="186">
        <v>0</v>
      </c>
      <c r="K106" s="229">
        <f t="shared" si="12"/>
        <v>0</v>
      </c>
      <c r="L106" s="229">
        <v>0</v>
      </c>
      <c r="M106" s="229">
        <v>0</v>
      </c>
      <c r="N106" s="229">
        <f t="shared" si="13"/>
        <v>0</v>
      </c>
      <c r="O106" s="229">
        <v>0</v>
      </c>
      <c r="P106" s="229">
        <v>0</v>
      </c>
    </row>
    <row r="107" spans="1:16" x14ac:dyDescent="0.15">
      <c r="A107" s="179" t="s">
        <v>931</v>
      </c>
      <c r="B107" s="186">
        <f t="shared" si="9"/>
        <v>0</v>
      </c>
      <c r="C107" s="186">
        <v>0</v>
      </c>
      <c r="D107" s="186">
        <v>0</v>
      </c>
      <c r="E107" s="186">
        <f t="shared" si="10"/>
        <v>0</v>
      </c>
      <c r="F107" s="186">
        <v>0</v>
      </c>
      <c r="G107" s="186">
        <v>0</v>
      </c>
      <c r="H107" s="186">
        <f t="shared" si="11"/>
        <v>0</v>
      </c>
      <c r="I107" s="186">
        <v>0</v>
      </c>
      <c r="J107" s="186">
        <v>0</v>
      </c>
      <c r="K107" s="229">
        <f t="shared" si="12"/>
        <v>0</v>
      </c>
      <c r="L107" s="229">
        <v>0</v>
      </c>
      <c r="M107" s="229">
        <v>0</v>
      </c>
      <c r="N107" s="229">
        <f t="shared" si="13"/>
        <v>0</v>
      </c>
      <c r="O107" s="229">
        <v>0</v>
      </c>
      <c r="P107" s="229">
        <v>0</v>
      </c>
    </row>
    <row r="108" spans="1:16" x14ac:dyDescent="0.15">
      <c r="A108" s="179" t="s">
        <v>932</v>
      </c>
      <c r="B108" s="186">
        <f t="shared" si="9"/>
        <v>4281</v>
      </c>
      <c r="C108" s="186">
        <v>986</v>
      </c>
      <c r="D108" s="186">
        <v>3295</v>
      </c>
      <c r="E108" s="186">
        <f t="shared" si="10"/>
        <v>6706</v>
      </c>
      <c r="F108" s="186">
        <v>1922</v>
      </c>
      <c r="G108" s="186">
        <v>4784</v>
      </c>
      <c r="H108" s="186">
        <f t="shared" si="11"/>
        <v>11463</v>
      </c>
      <c r="I108" s="186">
        <v>4352</v>
      </c>
      <c r="J108" s="186">
        <v>7111</v>
      </c>
      <c r="K108" s="229">
        <f t="shared" si="12"/>
        <v>8213</v>
      </c>
      <c r="L108" s="229">
        <v>2848</v>
      </c>
      <c r="M108" s="229">
        <v>5365</v>
      </c>
      <c r="N108" s="229">
        <f t="shared" si="13"/>
        <v>7716</v>
      </c>
      <c r="O108" s="229">
        <v>2360</v>
      </c>
      <c r="P108" s="229">
        <v>5356</v>
      </c>
    </row>
    <row r="109" spans="1:16" ht="11.25" x14ac:dyDescent="0.15">
      <c r="A109" s="179" t="s">
        <v>933</v>
      </c>
      <c r="B109" s="186">
        <f t="shared" si="9"/>
        <v>1043</v>
      </c>
      <c r="C109" s="186">
        <v>1007</v>
      </c>
      <c r="D109" s="186">
        <v>36</v>
      </c>
      <c r="E109" s="186">
        <f t="shared" si="10"/>
        <v>711</v>
      </c>
      <c r="F109" s="186">
        <v>677</v>
      </c>
      <c r="G109" s="186">
        <v>34</v>
      </c>
      <c r="H109" s="186">
        <f t="shared" si="11"/>
        <v>0</v>
      </c>
      <c r="I109" s="186">
        <v>0</v>
      </c>
      <c r="J109" s="186">
        <v>0</v>
      </c>
      <c r="K109" s="229">
        <f t="shared" si="12"/>
        <v>0</v>
      </c>
      <c r="L109" s="229">
        <v>0</v>
      </c>
      <c r="M109" s="229">
        <v>0</v>
      </c>
      <c r="N109" s="229">
        <f t="shared" si="13"/>
        <v>0</v>
      </c>
      <c r="O109" s="229">
        <v>0</v>
      </c>
      <c r="P109" s="229">
        <v>0</v>
      </c>
    </row>
    <row r="110" spans="1:16" x14ac:dyDescent="0.15">
      <c r="A110" s="179" t="s">
        <v>934</v>
      </c>
      <c r="B110" s="186">
        <f t="shared" si="9"/>
        <v>1147</v>
      </c>
      <c r="C110" s="186">
        <v>1143</v>
      </c>
      <c r="D110" s="186">
        <v>4</v>
      </c>
      <c r="E110" s="186">
        <f t="shared" si="10"/>
        <v>1079</v>
      </c>
      <c r="F110" s="186">
        <v>1072</v>
      </c>
      <c r="G110" s="186">
        <v>7</v>
      </c>
      <c r="H110" s="186">
        <f t="shared" si="11"/>
        <v>1403</v>
      </c>
      <c r="I110" s="186">
        <v>1367</v>
      </c>
      <c r="J110" s="186">
        <v>36</v>
      </c>
      <c r="K110" s="229">
        <f t="shared" si="12"/>
        <v>1552</v>
      </c>
      <c r="L110" s="229">
        <v>1515</v>
      </c>
      <c r="M110" s="229">
        <v>37</v>
      </c>
      <c r="N110" s="229">
        <f t="shared" si="13"/>
        <v>2519</v>
      </c>
      <c r="O110" s="229">
        <v>2465</v>
      </c>
      <c r="P110" s="229">
        <v>54</v>
      </c>
    </row>
    <row r="111" spans="1:16" x14ac:dyDescent="0.15">
      <c r="A111" s="179" t="s">
        <v>935</v>
      </c>
      <c r="B111" s="186">
        <f t="shared" si="9"/>
        <v>0</v>
      </c>
      <c r="C111" s="186">
        <v>0</v>
      </c>
      <c r="D111" s="186">
        <v>0</v>
      </c>
      <c r="E111" s="186">
        <f t="shared" si="10"/>
        <v>0</v>
      </c>
      <c r="F111" s="186">
        <v>0</v>
      </c>
      <c r="G111" s="186">
        <v>0</v>
      </c>
      <c r="H111" s="186">
        <f t="shared" si="11"/>
        <v>0</v>
      </c>
      <c r="I111" s="186">
        <v>0</v>
      </c>
      <c r="J111" s="186">
        <v>0</v>
      </c>
      <c r="K111" s="229">
        <f t="shared" si="12"/>
        <v>0</v>
      </c>
      <c r="L111" s="229">
        <v>0</v>
      </c>
      <c r="M111" s="229">
        <v>0</v>
      </c>
      <c r="N111" s="229">
        <f t="shared" si="13"/>
        <v>0</v>
      </c>
      <c r="O111" s="229">
        <v>0</v>
      </c>
      <c r="P111" s="229">
        <v>0</v>
      </c>
    </row>
    <row r="112" spans="1:16" ht="11.25" x14ac:dyDescent="0.15">
      <c r="A112" s="179" t="s">
        <v>936</v>
      </c>
      <c r="B112" s="186">
        <f t="shared" si="9"/>
        <v>163</v>
      </c>
      <c r="C112" s="186">
        <v>156</v>
      </c>
      <c r="D112" s="186">
        <v>7</v>
      </c>
      <c r="E112" s="186">
        <f t="shared" si="10"/>
        <v>143</v>
      </c>
      <c r="F112" s="186">
        <v>126</v>
      </c>
      <c r="G112" s="186">
        <v>17</v>
      </c>
      <c r="H112" s="186">
        <f t="shared" si="11"/>
        <v>279</v>
      </c>
      <c r="I112" s="186">
        <v>243</v>
      </c>
      <c r="J112" s="186">
        <v>36</v>
      </c>
      <c r="K112" s="229">
        <f t="shared" si="12"/>
        <v>113</v>
      </c>
      <c r="L112" s="229">
        <v>104</v>
      </c>
      <c r="M112" s="229">
        <v>9</v>
      </c>
      <c r="N112" s="229">
        <f t="shared" si="13"/>
        <v>374</v>
      </c>
      <c r="O112" s="229">
        <v>348</v>
      </c>
      <c r="P112" s="229">
        <v>26</v>
      </c>
    </row>
    <row r="113" spans="1:16" s="183" customFormat="1" ht="12.75" customHeight="1" x14ac:dyDescent="0.15">
      <c r="A113" s="191" t="s">
        <v>19</v>
      </c>
      <c r="B113" s="184">
        <f t="shared" si="9"/>
        <v>289370</v>
      </c>
      <c r="C113" s="184">
        <f>SUM(C114:C124)</f>
        <v>139088</v>
      </c>
      <c r="D113" s="184">
        <f>SUM(D114:D124)</f>
        <v>150282</v>
      </c>
      <c r="E113" s="184">
        <f t="shared" si="10"/>
        <v>302275</v>
      </c>
      <c r="F113" s="184">
        <f>SUM(F114:F124)</f>
        <v>146344</v>
      </c>
      <c r="G113" s="184">
        <f>SUM(G114:G124)</f>
        <v>155931</v>
      </c>
      <c r="H113" s="184">
        <f t="shared" si="11"/>
        <v>338558</v>
      </c>
      <c r="I113" s="184">
        <f>SUM(I114:I124)</f>
        <v>174107</v>
      </c>
      <c r="J113" s="184">
        <f>SUM(J114:J124)</f>
        <v>164451</v>
      </c>
      <c r="K113" s="232">
        <f t="shared" si="12"/>
        <v>382943</v>
      </c>
      <c r="L113" s="232">
        <f>SUM(L114:L124)</f>
        <v>199431</v>
      </c>
      <c r="M113" s="232">
        <f>SUM(M114:M124)</f>
        <v>183512</v>
      </c>
      <c r="N113" s="232">
        <f t="shared" si="13"/>
        <v>409541</v>
      </c>
      <c r="O113" s="232">
        <f>SUM(O114:O124)</f>
        <v>208517</v>
      </c>
      <c r="P113" s="232">
        <f>SUM(P114:P124)</f>
        <v>201024</v>
      </c>
    </row>
    <row r="114" spans="1:16" x14ac:dyDescent="0.15">
      <c r="A114" s="179" t="s">
        <v>962</v>
      </c>
      <c r="B114" s="186">
        <f t="shared" si="9"/>
        <v>15666</v>
      </c>
      <c r="C114" s="186">
        <v>5339</v>
      </c>
      <c r="D114" s="186">
        <v>10327</v>
      </c>
      <c r="E114" s="186">
        <f t="shared" si="10"/>
        <v>22264</v>
      </c>
      <c r="F114" s="186">
        <v>9601</v>
      </c>
      <c r="G114" s="186">
        <v>12663</v>
      </c>
      <c r="H114" s="186">
        <f t="shared" si="11"/>
        <v>22732</v>
      </c>
      <c r="I114" s="186">
        <v>12238</v>
      </c>
      <c r="J114" s="186">
        <v>10494</v>
      </c>
      <c r="K114" s="229">
        <f t="shared" si="12"/>
        <v>28316</v>
      </c>
      <c r="L114" s="229">
        <v>15704</v>
      </c>
      <c r="M114" s="229">
        <v>12612</v>
      </c>
      <c r="N114" s="229">
        <f t="shared" si="13"/>
        <v>29577</v>
      </c>
      <c r="O114" s="229">
        <v>16631</v>
      </c>
      <c r="P114" s="229">
        <v>12946</v>
      </c>
    </row>
    <row r="115" spans="1:16" x14ac:dyDescent="0.15">
      <c r="A115" s="179" t="s">
        <v>938</v>
      </c>
      <c r="B115" s="186">
        <f t="shared" si="9"/>
        <v>0</v>
      </c>
      <c r="C115" s="186">
        <v>0</v>
      </c>
      <c r="D115" s="186">
        <v>0</v>
      </c>
      <c r="E115" s="186">
        <f t="shared" si="10"/>
        <v>0</v>
      </c>
      <c r="F115" s="186">
        <v>0</v>
      </c>
      <c r="G115" s="186">
        <v>0</v>
      </c>
      <c r="H115" s="186">
        <f t="shared" si="11"/>
        <v>0</v>
      </c>
      <c r="I115" s="186">
        <v>0</v>
      </c>
      <c r="J115" s="186">
        <v>0</v>
      </c>
      <c r="K115" s="229">
        <f t="shared" si="12"/>
        <v>0</v>
      </c>
      <c r="L115" s="229">
        <v>0</v>
      </c>
      <c r="M115" s="229">
        <v>0</v>
      </c>
      <c r="N115" s="229">
        <f t="shared" si="13"/>
        <v>0</v>
      </c>
      <c r="O115" s="229">
        <v>0</v>
      </c>
      <c r="P115" s="229">
        <v>0</v>
      </c>
    </row>
    <row r="116" spans="1:16" x14ac:dyDescent="0.15">
      <c r="A116" s="179" t="s">
        <v>939</v>
      </c>
      <c r="B116" s="186">
        <f t="shared" si="9"/>
        <v>5728</v>
      </c>
      <c r="C116" s="186">
        <v>466</v>
      </c>
      <c r="D116" s="186">
        <v>5262</v>
      </c>
      <c r="E116" s="186">
        <f t="shared" si="10"/>
        <v>6605</v>
      </c>
      <c r="F116" s="186">
        <v>548</v>
      </c>
      <c r="G116" s="186">
        <v>6057</v>
      </c>
      <c r="H116" s="186">
        <f t="shared" si="11"/>
        <v>10159</v>
      </c>
      <c r="I116" s="186">
        <v>939</v>
      </c>
      <c r="J116" s="186">
        <v>9220</v>
      </c>
      <c r="K116" s="229">
        <f t="shared" si="12"/>
        <v>7543</v>
      </c>
      <c r="L116" s="229">
        <v>1011</v>
      </c>
      <c r="M116" s="229">
        <v>6532</v>
      </c>
      <c r="N116" s="229">
        <f t="shared" si="13"/>
        <v>8333</v>
      </c>
      <c r="O116" s="229">
        <v>1778</v>
      </c>
      <c r="P116" s="229">
        <v>6555</v>
      </c>
    </row>
    <row r="117" spans="1:16" x14ac:dyDescent="0.15">
      <c r="A117" s="179" t="s">
        <v>940</v>
      </c>
      <c r="B117" s="186">
        <f t="shared" si="9"/>
        <v>1604</v>
      </c>
      <c r="C117" s="186">
        <v>1023</v>
      </c>
      <c r="D117" s="186">
        <v>581</v>
      </c>
      <c r="E117" s="186">
        <f t="shared" si="10"/>
        <v>1495</v>
      </c>
      <c r="F117" s="186">
        <v>934</v>
      </c>
      <c r="G117" s="186">
        <v>561</v>
      </c>
      <c r="H117" s="186">
        <f t="shared" si="11"/>
        <v>1827</v>
      </c>
      <c r="I117" s="186">
        <v>1168</v>
      </c>
      <c r="J117" s="186">
        <v>659</v>
      </c>
      <c r="K117" s="229">
        <f t="shared" si="12"/>
        <v>1936</v>
      </c>
      <c r="L117" s="229">
        <v>1154</v>
      </c>
      <c r="M117" s="229">
        <v>782</v>
      </c>
      <c r="N117" s="229">
        <f t="shared" si="13"/>
        <v>2269</v>
      </c>
      <c r="O117" s="229">
        <v>1333</v>
      </c>
      <c r="P117" s="229">
        <v>936</v>
      </c>
    </row>
    <row r="118" spans="1:16" x14ac:dyDescent="0.15">
      <c r="A118" s="179" t="s">
        <v>941</v>
      </c>
      <c r="B118" s="186">
        <f t="shared" si="9"/>
        <v>145148</v>
      </c>
      <c r="C118" s="186">
        <v>56314</v>
      </c>
      <c r="D118" s="186">
        <v>88834</v>
      </c>
      <c r="E118" s="186">
        <f t="shared" si="10"/>
        <v>143253</v>
      </c>
      <c r="F118" s="186">
        <v>56134</v>
      </c>
      <c r="G118" s="186">
        <v>87119</v>
      </c>
      <c r="H118" s="186">
        <f t="shared" si="11"/>
        <v>170032</v>
      </c>
      <c r="I118" s="186">
        <v>73680</v>
      </c>
      <c r="J118" s="186">
        <v>96352</v>
      </c>
      <c r="K118" s="229">
        <f t="shared" si="12"/>
        <v>197503</v>
      </c>
      <c r="L118" s="229">
        <v>87328</v>
      </c>
      <c r="M118" s="229">
        <v>110175</v>
      </c>
      <c r="N118" s="229">
        <f t="shared" si="13"/>
        <v>211886</v>
      </c>
      <c r="O118" s="229">
        <v>89013</v>
      </c>
      <c r="P118" s="229">
        <v>122873</v>
      </c>
    </row>
    <row r="119" spans="1:16" x14ac:dyDescent="0.15">
      <c r="A119" s="179" t="s">
        <v>942</v>
      </c>
      <c r="B119" s="186">
        <f t="shared" si="9"/>
        <v>636</v>
      </c>
      <c r="C119" s="186">
        <v>214</v>
      </c>
      <c r="D119" s="186">
        <v>422</v>
      </c>
      <c r="E119" s="186">
        <f t="shared" si="10"/>
        <v>780</v>
      </c>
      <c r="F119" s="186">
        <v>338</v>
      </c>
      <c r="G119" s="186">
        <v>442</v>
      </c>
      <c r="H119" s="186">
        <f t="shared" si="11"/>
        <v>959</v>
      </c>
      <c r="I119" s="186">
        <v>322</v>
      </c>
      <c r="J119" s="186">
        <v>637</v>
      </c>
      <c r="K119" s="229">
        <f t="shared" si="12"/>
        <v>1013</v>
      </c>
      <c r="L119" s="229">
        <v>324</v>
      </c>
      <c r="M119" s="229">
        <v>689</v>
      </c>
      <c r="N119" s="229">
        <f t="shared" si="13"/>
        <v>1270</v>
      </c>
      <c r="O119" s="229">
        <v>469</v>
      </c>
      <c r="P119" s="229">
        <v>801</v>
      </c>
    </row>
    <row r="120" spans="1:16" x14ac:dyDescent="0.15">
      <c r="A120" s="179" t="s">
        <v>943</v>
      </c>
      <c r="B120" s="186">
        <f t="shared" si="9"/>
        <v>7841</v>
      </c>
      <c r="C120" s="186">
        <v>7603</v>
      </c>
      <c r="D120" s="186">
        <v>238</v>
      </c>
      <c r="E120" s="186">
        <f t="shared" si="10"/>
        <v>7509</v>
      </c>
      <c r="F120" s="186">
        <v>7130</v>
      </c>
      <c r="G120" s="186">
        <v>379</v>
      </c>
      <c r="H120" s="186">
        <f t="shared" si="11"/>
        <v>7484</v>
      </c>
      <c r="I120" s="186">
        <v>7139</v>
      </c>
      <c r="J120" s="186">
        <v>345</v>
      </c>
      <c r="K120" s="229">
        <f t="shared" si="12"/>
        <v>7540</v>
      </c>
      <c r="L120" s="229">
        <v>7227</v>
      </c>
      <c r="M120" s="229">
        <v>313</v>
      </c>
      <c r="N120" s="229">
        <f t="shared" si="13"/>
        <v>3481</v>
      </c>
      <c r="O120" s="229">
        <v>3304</v>
      </c>
      <c r="P120" s="229">
        <v>177</v>
      </c>
    </row>
    <row r="121" spans="1:16" x14ac:dyDescent="0.15">
      <c r="A121" s="179" t="s">
        <v>944</v>
      </c>
      <c r="B121" s="186">
        <f t="shared" si="9"/>
        <v>14281</v>
      </c>
      <c r="C121" s="186">
        <v>12632</v>
      </c>
      <c r="D121" s="186">
        <v>1649</v>
      </c>
      <c r="E121" s="186">
        <f t="shared" si="10"/>
        <v>13285</v>
      </c>
      <c r="F121" s="186">
        <v>11319</v>
      </c>
      <c r="G121" s="186">
        <v>1966</v>
      </c>
      <c r="H121" s="186">
        <f t="shared" si="11"/>
        <v>11065</v>
      </c>
      <c r="I121" s="186">
        <v>9329</v>
      </c>
      <c r="J121" s="186">
        <v>1736</v>
      </c>
      <c r="K121" s="229">
        <f t="shared" si="12"/>
        <v>8358</v>
      </c>
      <c r="L121" s="229">
        <v>7328</v>
      </c>
      <c r="M121" s="229">
        <v>1030</v>
      </c>
      <c r="N121" s="229">
        <f t="shared" si="13"/>
        <v>10601</v>
      </c>
      <c r="O121" s="229">
        <v>8899</v>
      </c>
      <c r="P121" s="229">
        <v>1702</v>
      </c>
    </row>
    <row r="122" spans="1:16" x14ac:dyDescent="0.15">
      <c r="A122" s="179" t="s">
        <v>945</v>
      </c>
      <c r="B122" s="186">
        <f t="shared" si="9"/>
        <v>20013</v>
      </c>
      <c r="C122" s="186">
        <v>3254</v>
      </c>
      <c r="D122" s="186">
        <v>16759</v>
      </c>
      <c r="E122" s="186">
        <f t="shared" si="10"/>
        <v>22203</v>
      </c>
      <c r="F122" s="186">
        <v>4356</v>
      </c>
      <c r="G122" s="186">
        <v>17847</v>
      </c>
      <c r="H122" s="186">
        <f t="shared" si="11"/>
        <v>24225</v>
      </c>
      <c r="I122" s="186">
        <v>5761</v>
      </c>
      <c r="J122" s="186">
        <v>18464</v>
      </c>
      <c r="K122" s="229">
        <f t="shared" si="12"/>
        <v>28917</v>
      </c>
      <c r="L122" s="229">
        <v>6947</v>
      </c>
      <c r="M122" s="229">
        <v>21970</v>
      </c>
      <c r="N122" s="229">
        <f t="shared" si="13"/>
        <v>31291</v>
      </c>
      <c r="O122" s="229">
        <v>9505</v>
      </c>
      <c r="P122" s="229">
        <v>21786</v>
      </c>
    </row>
    <row r="123" spans="1:16" x14ac:dyDescent="0.15">
      <c r="A123" s="179" t="s">
        <v>946</v>
      </c>
      <c r="B123" s="186">
        <f t="shared" si="9"/>
        <v>0</v>
      </c>
      <c r="C123" s="186">
        <v>0</v>
      </c>
      <c r="D123" s="186">
        <v>0</v>
      </c>
      <c r="E123" s="186">
        <f t="shared" si="10"/>
        <v>0</v>
      </c>
      <c r="F123" s="186">
        <v>0</v>
      </c>
      <c r="G123" s="186">
        <v>0</v>
      </c>
      <c r="H123" s="186">
        <f t="shared" si="11"/>
        <v>0</v>
      </c>
      <c r="I123" s="186">
        <v>0</v>
      </c>
      <c r="J123" s="186">
        <v>0</v>
      </c>
      <c r="K123" s="229">
        <f t="shared" si="12"/>
        <v>0</v>
      </c>
      <c r="L123" s="229">
        <v>0</v>
      </c>
      <c r="M123" s="229">
        <v>0</v>
      </c>
      <c r="N123" s="229">
        <f t="shared" si="13"/>
        <v>0</v>
      </c>
      <c r="O123" s="229">
        <v>0</v>
      </c>
      <c r="P123" s="229">
        <v>0</v>
      </c>
    </row>
    <row r="124" spans="1:16" x14ac:dyDescent="0.15">
      <c r="A124" s="179" t="s">
        <v>963</v>
      </c>
      <c r="B124" s="186">
        <f t="shared" si="9"/>
        <v>78453</v>
      </c>
      <c r="C124" s="186">
        <v>52243</v>
      </c>
      <c r="D124" s="186">
        <v>26210</v>
      </c>
      <c r="E124" s="186">
        <f t="shared" si="10"/>
        <v>84881</v>
      </c>
      <c r="F124" s="186">
        <v>55984</v>
      </c>
      <c r="G124" s="186">
        <v>28897</v>
      </c>
      <c r="H124" s="186">
        <f>SUM(I124:J124)</f>
        <v>90075</v>
      </c>
      <c r="I124" s="186">
        <v>63531</v>
      </c>
      <c r="J124" s="186">
        <v>26544</v>
      </c>
      <c r="K124" s="229">
        <f>SUM(L124:M124)</f>
        <v>101817</v>
      </c>
      <c r="L124" s="229">
        <v>72408</v>
      </c>
      <c r="M124" s="229">
        <v>29409</v>
      </c>
      <c r="N124" s="229">
        <f>SUM(O124:P124)</f>
        <v>110833</v>
      </c>
      <c r="O124" s="229">
        <v>77585</v>
      </c>
      <c r="P124" s="229">
        <v>33248</v>
      </c>
    </row>
    <row r="126" spans="1:16" x14ac:dyDescent="0.15">
      <c r="A126" s="179" t="s">
        <v>948</v>
      </c>
    </row>
    <row r="127" spans="1:16" ht="15" customHeight="1" x14ac:dyDescent="0.15">
      <c r="A127" s="179" t="s">
        <v>964</v>
      </c>
    </row>
    <row r="128" spans="1:16" x14ac:dyDescent="0.15">
      <c r="A128" s="179" t="s">
        <v>460</v>
      </c>
    </row>
    <row r="129" spans="1:1" x14ac:dyDescent="0.15">
      <c r="A129" s="179" t="s">
        <v>456</v>
      </c>
    </row>
  </sheetData>
  <mergeCells count="7">
    <mergeCell ref="A2:P2"/>
    <mergeCell ref="A4:A5"/>
    <mergeCell ref="B4:D4"/>
    <mergeCell ref="E4:G4"/>
    <mergeCell ref="H4:J4"/>
    <mergeCell ref="K4:M4"/>
    <mergeCell ref="N4:P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P129"/>
  <sheetViews>
    <sheetView zoomScaleNormal="100" workbookViewId="0">
      <selection activeCell="A2" sqref="A2:P2"/>
    </sheetView>
  </sheetViews>
  <sheetFormatPr baseColWidth="10" defaultRowHeight="10.5" x14ac:dyDescent="0.15"/>
  <cols>
    <col min="1" max="1" width="32.140625" style="180" customWidth="1"/>
    <col min="2" max="13" width="12.140625" style="180" customWidth="1"/>
    <col min="14" max="16" width="13.140625" style="180" bestFit="1" customWidth="1"/>
    <col min="17" max="16384" width="11.42578125" style="180"/>
  </cols>
  <sheetData>
    <row r="1" spans="1:16" x14ac:dyDescent="0.15">
      <c r="A1" s="179"/>
      <c r="N1" s="183"/>
      <c r="O1" s="183"/>
      <c r="P1" s="183"/>
    </row>
    <row r="2" spans="1:16" s="183" customFormat="1" x14ac:dyDescent="0.15">
      <c r="A2" s="2500" t="s">
        <v>965</v>
      </c>
      <c r="B2" s="2500"/>
      <c r="C2" s="2500"/>
      <c r="D2" s="2500"/>
      <c r="E2" s="2500"/>
      <c r="F2" s="2500"/>
      <c r="G2" s="2500"/>
      <c r="H2" s="2500"/>
      <c r="I2" s="2500"/>
      <c r="J2" s="2500"/>
      <c r="K2" s="2500"/>
      <c r="L2" s="2500"/>
      <c r="M2" s="2500"/>
      <c r="N2" s="2500"/>
      <c r="O2" s="2500"/>
      <c r="P2" s="2500"/>
    </row>
    <row r="3" spans="1:16" ht="7.5" customHeight="1" x14ac:dyDescent="0.15">
      <c r="N3" s="234"/>
      <c r="O3" s="234"/>
      <c r="P3" s="234"/>
    </row>
    <row r="4" spans="1:16" ht="15.75" customHeight="1" x14ac:dyDescent="0.15">
      <c r="A4" s="2516" t="s">
        <v>844</v>
      </c>
      <c r="B4" s="2505">
        <v>2011</v>
      </c>
      <c r="C4" s="2505"/>
      <c r="D4" s="2505"/>
      <c r="E4" s="2505">
        <v>2012</v>
      </c>
      <c r="F4" s="2505"/>
      <c r="G4" s="2505"/>
      <c r="H4" s="2505">
        <v>2013</v>
      </c>
      <c r="I4" s="2505"/>
      <c r="J4" s="2505"/>
      <c r="K4" s="2505">
        <v>2014</v>
      </c>
      <c r="L4" s="2505"/>
      <c r="M4" s="2505"/>
      <c r="N4" s="2489">
        <v>2015</v>
      </c>
      <c r="O4" s="2490"/>
      <c r="P4" s="2491"/>
    </row>
    <row r="5" spans="1:16" ht="15.75" customHeight="1" x14ac:dyDescent="0.15">
      <c r="A5" s="2517"/>
      <c r="B5" s="206" t="s">
        <v>69</v>
      </c>
      <c r="C5" s="206" t="s">
        <v>966</v>
      </c>
      <c r="D5" s="206" t="s">
        <v>967</v>
      </c>
      <c r="E5" s="206" t="s">
        <v>69</v>
      </c>
      <c r="F5" s="206" t="s">
        <v>966</v>
      </c>
      <c r="G5" s="206" t="s">
        <v>967</v>
      </c>
      <c r="H5" s="206" t="s">
        <v>69</v>
      </c>
      <c r="I5" s="206" t="s">
        <v>966</v>
      </c>
      <c r="J5" s="206" t="s">
        <v>967</v>
      </c>
      <c r="K5" s="206" t="s">
        <v>69</v>
      </c>
      <c r="L5" s="206" t="s">
        <v>966</v>
      </c>
      <c r="M5" s="206" t="s">
        <v>967</v>
      </c>
      <c r="N5" s="182" t="s">
        <v>69</v>
      </c>
      <c r="O5" s="182" t="s">
        <v>966</v>
      </c>
      <c r="P5" s="182" t="s">
        <v>967</v>
      </c>
    </row>
    <row r="6" spans="1:16" s="183" customFormat="1" x14ac:dyDescent="0.15">
      <c r="A6" s="183" t="s">
        <v>141</v>
      </c>
      <c r="B6" s="184">
        <f>SUM(C6:D6)</f>
        <v>1774764</v>
      </c>
      <c r="C6" s="184">
        <f>SUM(C7+C12+C16+C22+C26+C31+C40+C43+C47+C56+C64+C78+C81+C93+C113)</f>
        <v>920723</v>
      </c>
      <c r="D6" s="184">
        <f>SUM(D7+D12+D16+D22+D26+D31+D40+D43+D47+D56+D64+D78+D81+D93+D113)</f>
        <v>854041</v>
      </c>
      <c r="E6" s="184">
        <f>SUM(F6:G6)</f>
        <v>2061670</v>
      </c>
      <c r="F6" s="184">
        <f>SUM(F7+F12+F16+F22+F26+F31+F40+F43+F47+F56+F64+F78+F81+F93+F113)</f>
        <v>1053291</v>
      </c>
      <c r="G6" s="184">
        <f>SUM(G7+G12+G16+G22+G26+G31+G40+G43+G47+G56+G64+G78+G81+G93+G113)</f>
        <v>1008379</v>
      </c>
      <c r="H6" s="184">
        <f>SUM(I6:J6)</f>
        <v>2408269</v>
      </c>
      <c r="I6" s="184">
        <f>SUM(I7+I12+I16+I22+I26+I31+I40+I43+I47+I56+I64+I78+I81+I93+I113)</f>
        <v>1227212</v>
      </c>
      <c r="J6" s="184">
        <f>SUM(J7+J12+J16+J22+J26+J31+J40+J43+J47+J56+J64+J78+J81+J93+J113)</f>
        <v>1181057</v>
      </c>
      <c r="K6" s="232">
        <f>SUM(L6:M6)</f>
        <v>2510648</v>
      </c>
      <c r="L6" s="232">
        <f>SUM(L7+L12+L16+L22+L26+L31+L40+L43+L47+L56+L64+L78+L81+L93+L113)</f>
        <v>1269064</v>
      </c>
      <c r="M6" s="232">
        <f>SUM(M7+M12+M16+M22+M26+M31+M40+M43+M47+M56+M64+M78+M81+M93+M113)</f>
        <v>1241584</v>
      </c>
      <c r="N6" s="232">
        <f t="shared" ref="N6:P6" si="0">SUM(N7+N12+N16+N22+N26+N31+N40+N43+N47+N56+N64+N78+N81+N93+N113)</f>
        <v>2689190</v>
      </c>
      <c r="O6" s="232">
        <f t="shared" si="0"/>
        <v>1363921</v>
      </c>
      <c r="P6" s="232">
        <f t="shared" si="0"/>
        <v>1325269</v>
      </c>
    </row>
    <row r="7" spans="1:16" s="183" customFormat="1" x14ac:dyDescent="0.15">
      <c r="A7" s="183" t="s">
        <v>5</v>
      </c>
      <c r="B7" s="184">
        <f>SUM(C7:D7)</f>
        <v>13991</v>
      </c>
      <c r="C7" s="184">
        <f>SUM(C8:C11)</f>
        <v>7344</v>
      </c>
      <c r="D7" s="184">
        <f>SUM(D8:D11)</f>
        <v>6647</v>
      </c>
      <c r="E7" s="184">
        <f>SUM(F7:G7)</f>
        <v>13002</v>
      </c>
      <c r="F7" s="184">
        <f>SUM(F8:F11)</f>
        <v>6683</v>
      </c>
      <c r="G7" s="184">
        <f>SUM(G8:G11)</f>
        <v>6319</v>
      </c>
      <c r="H7" s="184">
        <f>SUM(I7:J7)</f>
        <v>18425</v>
      </c>
      <c r="I7" s="184">
        <f>SUM(I8:I11)</f>
        <v>9046</v>
      </c>
      <c r="J7" s="184">
        <f>SUM(J8:J11)</f>
        <v>9379</v>
      </c>
      <c r="K7" s="232">
        <f>SUM(L7:M7)</f>
        <v>18207</v>
      </c>
      <c r="L7" s="232">
        <f>SUM(L8:L11)</f>
        <v>9260</v>
      </c>
      <c r="M7" s="232">
        <f>SUM(M8:M11)</f>
        <v>8947</v>
      </c>
      <c r="N7" s="232">
        <f t="shared" ref="N7:P7" si="1">SUM(N8:N11)</f>
        <v>15734</v>
      </c>
      <c r="O7" s="232">
        <f t="shared" si="1"/>
        <v>7742</v>
      </c>
      <c r="P7" s="232">
        <f t="shared" si="1"/>
        <v>7992</v>
      </c>
    </row>
    <row r="8" spans="1:16" x14ac:dyDescent="0.15">
      <c r="A8" s="180" t="s">
        <v>845</v>
      </c>
      <c r="B8" s="186">
        <f>SUM(C8:D8)</f>
        <v>12081</v>
      </c>
      <c r="C8" s="186">
        <v>6330</v>
      </c>
      <c r="D8" s="186">
        <v>5751</v>
      </c>
      <c r="E8" s="186">
        <f>SUM(F8:G8)</f>
        <v>12087</v>
      </c>
      <c r="F8" s="186">
        <v>6178</v>
      </c>
      <c r="G8" s="186">
        <v>5909</v>
      </c>
      <c r="H8" s="186">
        <f>SUM(I8:J8)</f>
        <v>17211</v>
      </c>
      <c r="I8" s="186">
        <v>8396</v>
      </c>
      <c r="J8" s="186">
        <v>8815</v>
      </c>
      <c r="K8" s="229">
        <f>SUM(L8:M8)</f>
        <v>16829</v>
      </c>
      <c r="L8" s="229">
        <v>8500</v>
      </c>
      <c r="M8" s="229">
        <v>8329</v>
      </c>
      <c r="N8" s="20">
        <v>14016</v>
      </c>
      <c r="O8" s="20">
        <v>6782</v>
      </c>
      <c r="P8" s="20">
        <v>7234</v>
      </c>
    </row>
    <row r="9" spans="1:16" x14ac:dyDescent="0.15">
      <c r="A9" s="180" t="s">
        <v>846</v>
      </c>
      <c r="B9" s="186">
        <f>SUM(C9:D9)</f>
        <v>777</v>
      </c>
      <c r="C9" s="186">
        <v>405</v>
      </c>
      <c r="D9" s="186">
        <v>372</v>
      </c>
      <c r="E9" s="186">
        <f t="shared" ref="E9:E75" si="2">SUM(F9:G9)</f>
        <v>208</v>
      </c>
      <c r="F9" s="186">
        <v>111</v>
      </c>
      <c r="G9" s="186">
        <v>97</v>
      </c>
      <c r="H9" s="186">
        <f t="shared" ref="H9:H75" si="3">SUM(I9:J9)</f>
        <v>450</v>
      </c>
      <c r="I9" s="186">
        <v>245</v>
      </c>
      <c r="J9" s="186">
        <v>205</v>
      </c>
      <c r="K9" s="229">
        <f t="shared" ref="K9:K11" si="4">SUM(L9:M9)</f>
        <v>520</v>
      </c>
      <c r="L9" s="229">
        <v>267</v>
      </c>
      <c r="M9" s="229">
        <v>253</v>
      </c>
      <c r="N9" s="20">
        <v>516</v>
      </c>
      <c r="O9" s="20">
        <v>271</v>
      </c>
      <c r="P9" s="20">
        <v>245</v>
      </c>
    </row>
    <row r="10" spans="1:16" x14ac:dyDescent="0.15">
      <c r="A10" s="180" t="s">
        <v>847</v>
      </c>
      <c r="B10" s="186">
        <f t="shared" ref="B10:B76" si="5">SUM(C10:D10)</f>
        <v>0</v>
      </c>
      <c r="C10" s="186">
        <v>0</v>
      </c>
      <c r="D10" s="186">
        <v>0</v>
      </c>
      <c r="E10" s="186">
        <f t="shared" si="2"/>
        <v>0</v>
      </c>
      <c r="F10" s="186">
        <v>0</v>
      </c>
      <c r="G10" s="186">
        <v>0</v>
      </c>
      <c r="H10" s="186">
        <f t="shared" si="3"/>
        <v>0</v>
      </c>
      <c r="I10" s="186">
        <v>0</v>
      </c>
      <c r="J10" s="186">
        <v>0</v>
      </c>
      <c r="K10" s="229">
        <f t="shared" si="4"/>
        <v>0</v>
      </c>
      <c r="L10" s="229">
        <v>0</v>
      </c>
      <c r="M10" s="229">
        <v>0</v>
      </c>
      <c r="N10" s="229">
        <f t="shared" ref="N10" si="6">SUM(O10:P10)</f>
        <v>0</v>
      </c>
      <c r="O10" s="229">
        <v>0</v>
      </c>
      <c r="P10" s="229">
        <v>0</v>
      </c>
    </row>
    <row r="11" spans="1:16" x14ac:dyDescent="0.15">
      <c r="A11" s="180" t="s">
        <v>848</v>
      </c>
      <c r="B11" s="186">
        <f t="shared" si="5"/>
        <v>1133</v>
      </c>
      <c r="C11" s="186">
        <v>609</v>
      </c>
      <c r="D11" s="186">
        <v>524</v>
      </c>
      <c r="E11" s="186">
        <f t="shared" si="2"/>
        <v>707</v>
      </c>
      <c r="F11" s="186">
        <v>394</v>
      </c>
      <c r="G11" s="186">
        <v>313</v>
      </c>
      <c r="H11" s="186">
        <f t="shared" si="3"/>
        <v>764</v>
      </c>
      <c r="I11" s="186">
        <v>405</v>
      </c>
      <c r="J11" s="186">
        <v>359</v>
      </c>
      <c r="K11" s="229">
        <f t="shared" si="4"/>
        <v>858</v>
      </c>
      <c r="L11" s="229">
        <v>493</v>
      </c>
      <c r="M11" s="229">
        <v>365</v>
      </c>
      <c r="N11" s="20">
        <v>1202</v>
      </c>
      <c r="O11" s="20">
        <v>689</v>
      </c>
      <c r="P11" s="20">
        <v>513</v>
      </c>
    </row>
    <row r="12" spans="1:16" s="183" customFormat="1" x14ac:dyDescent="0.15">
      <c r="A12" s="183" t="s">
        <v>6</v>
      </c>
      <c r="B12" s="184">
        <f>SUM(C12:D12)</f>
        <v>9875</v>
      </c>
      <c r="C12" s="184">
        <f>SUM(C13:C15)</f>
        <v>5130</v>
      </c>
      <c r="D12" s="184">
        <f>SUM(D13:D15)</f>
        <v>4745</v>
      </c>
      <c r="E12" s="184">
        <f>SUM(F12:G12)</f>
        <v>2271</v>
      </c>
      <c r="F12" s="184">
        <f>SUM(F13:F15)</f>
        <v>1171</v>
      </c>
      <c r="G12" s="184">
        <f>SUM(G13:G15)</f>
        <v>1100</v>
      </c>
      <c r="H12" s="184">
        <f>SUM(I12:J12)</f>
        <v>3228</v>
      </c>
      <c r="I12" s="184">
        <f>SUM(I13:I15)</f>
        <v>1616</v>
      </c>
      <c r="J12" s="184">
        <f>SUM(J13:J15)</f>
        <v>1612</v>
      </c>
      <c r="K12" s="232">
        <f>SUM(L12:M12)</f>
        <v>4783</v>
      </c>
      <c r="L12" s="232">
        <f>SUM(L13:L15)</f>
        <v>2431</v>
      </c>
      <c r="M12" s="235">
        <f>SUM(M13:M15)</f>
        <v>2352</v>
      </c>
      <c r="N12" s="235">
        <f t="shared" ref="N12:P12" si="7">SUM(N13:N15)</f>
        <v>10638</v>
      </c>
      <c r="O12" s="235">
        <f t="shared" si="7"/>
        <v>5218</v>
      </c>
      <c r="P12" s="235">
        <f t="shared" si="7"/>
        <v>5420</v>
      </c>
    </row>
    <row r="13" spans="1:16" x14ac:dyDescent="0.15">
      <c r="A13" s="180" t="s">
        <v>849</v>
      </c>
      <c r="B13" s="186">
        <f t="shared" si="5"/>
        <v>185</v>
      </c>
      <c r="C13" s="186">
        <v>90</v>
      </c>
      <c r="D13" s="186">
        <v>95</v>
      </c>
      <c r="E13" s="186">
        <f t="shared" si="2"/>
        <v>187</v>
      </c>
      <c r="F13" s="186">
        <v>122</v>
      </c>
      <c r="G13" s="186">
        <v>65</v>
      </c>
      <c r="H13" s="186">
        <f t="shared" si="3"/>
        <v>258</v>
      </c>
      <c r="I13" s="186">
        <v>169</v>
      </c>
      <c r="J13" s="186">
        <v>89</v>
      </c>
      <c r="K13" s="229">
        <f t="shared" ref="K13:K15" si="8">SUM(L13:M13)</f>
        <v>224</v>
      </c>
      <c r="L13" s="229">
        <v>106</v>
      </c>
      <c r="M13" s="229">
        <v>118</v>
      </c>
      <c r="N13" s="20">
        <v>430</v>
      </c>
      <c r="O13" s="20">
        <v>232</v>
      </c>
      <c r="P13" s="20">
        <v>198</v>
      </c>
    </row>
    <row r="14" spans="1:16" x14ac:dyDescent="0.15">
      <c r="A14" s="180" t="s">
        <v>850</v>
      </c>
      <c r="B14" s="186">
        <f t="shared" si="5"/>
        <v>0</v>
      </c>
      <c r="C14" s="186">
        <v>0</v>
      </c>
      <c r="D14" s="186">
        <v>0</v>
      </c>
      <c r="E14" s="186">
        <f t="shared" si="2"/>
        <v>0</v>
      </c>
      <c r="F14" s="186">
        <v>0</v>
      </c>
      <c r="G14" s="186">
        <v>0</v>
      </c>
      <c r="H14" s="186">
        <f t="shared" si="3"/>
        <v>0</v>
      </c>
      <c r="I14" s="186">
        <v>0</v>
      </c>
      <c r="J14" s="186">
        <v>0</v>
      </c>
      <c r="K14" s="229">
        <f t="shared" si="8"/>
        <v>0</v>
      </c>
      <c r="L14" s="229">
        <v>0</v>
      </c>
      <c r="M14" s="229">
        <v>0</v>
      </c>
      <c r="N14" s="229">
        <f t="shared" ref="N14" si="9">SUM(O14:P14)</f>
        <v>0</v>
      </c>
      <c r="O14" s="229">
        <v>0</v>
      </c>
      <c r="P14" s="229">
        <v>0</v>
      </c>
    </row>
    <row r="15" spans="1:16" x14ac:dyDescent="0.15">
      <c r="A15" s="180" t="s">
        <v>851</v>
      </c>
      <c r="B15" s="186">
        <f t="shared" si="5"/>
        <v>9690</v>
      </c>
      <c r="C15" s="186">
        <v>5040</v>
      </c>
      <c r="D15" s="186">
        <v>4650</v>
      </c>
      <c r="E15" s="186">
        <f t="shared" si="2"/>
        <v>2084</v>
      </c>
      <c r="F15" s="186">
        <v>1049</v>
      </c>
      <c r="G15" s="186">
        <v>1035</v>
      </c>
      <c r="H15" s="186">
        <f t="shared" si="3"/>
        <v>2970</v>
      </c>
      <c r="I15" s="186">
        <v>1447</v>
      </c>
      <c r="J15" s="186">
        <v>1523</v>
      </c>
      <c r="K15" s="229">
        <f t="shared" si="8"/>
        <v>4559</v>
      </c>
      <c r="L15" s="229">
        <v>2325</v>
      </c>
      <c r="M15" s="229">
        <v>2234</v>
      </c>
      <c r="N15" s="20">
        <v>10208</v>
      </c>
      <c r="O15" s="20">
        <v>4986</v>
      </c>
      <c r="P15" s="20">
        <v>5222</v>
      </c>
    </row>
    <row r="16" spans="1:16" s="183" customFormat="1" x14ac:dyDescent="0.15">
      <c r="A16" s="183" t="s">
        <v>7</v>
      </c>
      <c r="B16" s="184">
        <f>SUM(C16:D16)</f>
        <v>330317</v>
      </c>
      <c r="C16" s="184">
        <f>SUM(C17:C21)</f>
        <v>165399</v>
      </c>
      <c r="D16" s="184">
        <f t="shared" ref="D16" si="10">SUM(D17:D21)</f>
        <v>164918</v>
      </c>
      <c r="E16" s="184">
        <f>SUM(F16:G16)</f>
        <v>338326</v>
      </c>
      <c r="F16" s="184">
        <f>SUM(F17:F21)</f>
        <v>172213</v>
      </c>
      <c r="G16" s="184">
        <f t="shared" ref="G16" si="11">SUM(G17:G21)</f>
        <v>166113</v>
      </c>
      <c r="H16" s="184">
        <f>SUM(I16:J16)</f>
        <v>400503</v>
      </c>
      <c r="I16" s="184">
        <f>SUM(I17:I21)</f>
        <v>202336</v>
      </c>
      <c r="J16" s="184">
        <f t="shared" ref="J16" si="12">SUM(J17:J21)</f>
        <v>198167</v>
      </c>
      <c r="K16" s="232">
        <f>SUM(L16:M16)</f>
        <v>391325</v>
      </c>
      <c r="L16" s="232">
        <f>SUM(L17:L21)</f>
        <v>193330</v>
      </c>
      <c r="M16" s="232">
        <f t="shared" ref="M16:P16" si="13">SUM(M17:M21)</f>
        <v>197995</v>
      </c>
      <c r="N16" s="232">
        <f t="shared" si="13"/>
        <v>465052</v>
      </c>
      <c r="O16" s="232">
        <f t="shared" si="13"/>
        <v>226022</v>
      </c>
      <c r="P16" s="232">
        <f t="shared" si="13"/>
        <v>239030</v>
      </c>
    </row>
    <row r="17" spans="1:16" x14ac:dyDescent="0.15">
      <c r="A17" s="180" t="s">
        <v>852</v>
      </c>
      <c r="B17" s="186">
        <f t="shared" si="5"/>
        <v>0</v>
      </c>
      <c r="C17" s="186">
        <v>0</v>
      </c>
      <c r="D17" s="186">
        <v>0</v>
      </c>
      <c r="E17" s="186">
        <f t="shared" si="2"/>
        <v>0</v>
      </c>
      <c r="F17" s="186">
        <v>0</v>
      </c>
      <c r="G17" s="186">
        <v>0</v>
      </c>
      <c r="H17" s="186">
        <f t="shared" si="3"/>
        <v>0</v>
      </c>
      <c r="I17" s="186">
        <v>0</v>
      </c>
      <c r="J17" s="186">
        <v>0</v>
      </c>
      <c r="K17" s="229">
        <f t="shared" ref="K17:K21" si="14">SUM(L17:M17)</f>
        <v>0</v>
      </c>
      <c r="L17" s="229"/>
      <c r="M17" s="229"/>
      <c r="N17" s="229">
        <f t="shared" ref="N17:N18" si="15">SUM(O17:P17)</f>
        <v>0</v>
      </c>
      <c r="O17" s="229">
        <v>0</v>
      </c>
      <c r="P17" s="229">
        <v>0</v>
      </c>
    </row>
    <row r="18" spans="1:16" x14ac:dyDescent="0.15">
      <c r="A18" s="180" t="s">
        <v>853</v>
      </c>
      <c r="B18" s="186">
        <f t="shared" si="5"/>
        <v>0</v>
      </c>
      <c r="C18" s="186">
        <v>0</v>
      </c>
      <c r="D18" s="186">
        <v>0</v>
      </c>
      <c r="E18" s="186">
        <f t="shared" si="2"/>
        <v>0</v>
      </c>
      <c r="F18" s="186">
        <v>0</v>
      </c>
      <c r="G18" s="186">
        <v>0</v>
      </c>
      <c r="H18" s="186">
        <f t="shared" si="3"/>
        <v>0</v>
      </c>
      <c r="I18" s="186">
        <v>0</v>
      </c>
      <c r="J18" s="186">
        <v>0</v>
      </c>
      <c r="K18" s="229">
        <f t="shared" si="14"/>
        <v>0</v>
      </c>
      <c r="L18" s="229"/>
      <c r="M18" s="229"/>
      <c r="N18" s="229">
        <f t="shared" si="15"/>
        <v>0</v>
      </c>
      <c r="O18" s="229">
        <v>0</v>
      </c>
      <c r="P18" s="229">
        <v>0</v>
      </c>
    </row>
    <row r="19" spans="1:16" x14ac:dyDescent="0.15">
      <c r="A19" s="180" t="s">
        <v>854</v>
      </c>
      <c r="B19" s="186">
        <f t="shared" si="5"/>
        <v>213230</v>
      </c>
      <c r="C19" s="186">
        <v>103780</v>
      </c>
      <c r="D19" s="186">
        <v>109450</v>
      </c>
      <c r="E19" s="186">
        <f t="shared" si="2"/>
        <v>218741</v>
      </c>
      <c r="F19" s="186">
        <v>108109</v>
      </c>
      <c r="G19" s="186">
        <v>110632</v>
      </c>
      <c r="H19" s="186">
        <f t="shared" si="3"/>
        <v>240118</v>
      </c>
      <c r="I19" s="186">
        <v>118479</v>
      </c>
      <c r="J19" s="186">
        <v>121639</v>
      </c>
      <c r="K19" s="229">
        <f t="shared" si="14"/>
        <v>263142</v>
      </c>
      <c r="L19" s="229">
        <v>127107</v>
      </c>
      <c r="M19" s="229">
        <v>136035</v>
      </c>
      <c r="N19" s="20">
        <v>310698</v>
      </c>
      <c r="O19" s="20">
        <v>148062</v>
      </c>
      <c r="P19" s="20">
        <v>162636</v>
      </c>
    </row>
    <row r="20" spans="1:16" x14ac:dyDescent="0.15">
      <c r="A20" s="180" t="s">
        <v>954</v>
      </c>
      <c r="B20" s="186">
        <f t="shared" si="5"/>
        <v>0</v>
      </c>
      <c r="C20" s="186">
        <v>0</v>
      </c>
      <c r="D20" s="186">
        <v>0</v>
      </c>
      <c r="E20" s="186">
        <f t="shared" si="2"/>
        <v>0</v>
      </c>
      <c r="F20" s="186">
        <v>0</v>
      </c>
      <c r="G20" s="186">
        <v>0</v>
      </c>
      <c r="H20" s="186">
        <f t="shared" si="3"/>
        <v>0</v>
      </c>
      <c r="I20" s="186">
        <v>0</v>
      </c>
      <c r="J20" s="186">
        <v>0</v>
      </c>
      <c r="K20" s="229">
        <f t="shared" si="14"/>
        <v>0</v>
      </c>
      <c r="L20" s="229"/>
      <c r="M20" s="229"/>
      <c r="N20" s="229">
        <f t="shared" ref="N20" si="16">SUM(O20:P20)</f>
        <v>0</v>
      </c>
      <c r="O20" s="229">
        <v>0</v>
      </c>
      <c r="P20" s="229">
        <v>0</v>
      </c>
    </row>
    <row r="21" spans="1:16" x14ac:dyDescent="0.15">
      <c r="A21" s="180" t="s">
        <v>968</v>
      </c>
      <c r="B21" s="186">
        <f t="shared" si="5"/>
        <v>117087</v>
      </c>
      <c r="C21" s="186">
        <v>61619</v>
      </c>
      <c r="D21" s="186">
        <v>55468</v>
      </c>
      <c r="E21" s="186">
        <f t="shared" si="2"/>
        <v>119585</v>
      </c>
      <c r="F21" s="186">
        <v>64104</v>
      </c>
      <c r="G21" s="186">
        <v>55481</v>
      </c>
      <c r="H21" s="186">
        <f t="shared" si="3"/>
        <v>160385</v>
      </c>
      <c r="I21" s="186">
        <v>83857</v>
      </c>
      <c r="J21" s="186">
        <v>76528</v>
      </c>
      <c r="K21" s="229">
        <f t="shared" si="14"/>
        <v>128183</v>
      </c>
      <c r="L21" s="229">
        <v>66223</v>
      </c>
      <c r="M21" s="229">
        <v>61960</v>
      </c>
      <c r="N21" s="20">
        <v>154354</v>
      </c>
      <c r="O21" s="20">
        <v>77960</v>
      </c>
      <c r="P21" s="20">
        <v>76394</v>
      </c>
    </row>
    <row r="22" spans="1:16" s="183" customFormat="1" x14ac:dyDescent="0.15">
      <c r="A22" s="183" t="s">
        <v>8</v>
      </c>
      <c r="B22" s="184">
        <f>SUM(C22:D22)</f>
        <v>16474</v>
      </c>
      <c r="C22" s="184">
        <f t="shared" ref="C22:D22" si="17">SUM(C23:C25)</f>
        <v>8578</v>
      </c>
      <c r="D22" s="184">
        <f t="shared" si="17"/>
        <v>7896</v>
      </c>
      <c r="E22" s="184">
        <f>SUM(F22:G22)</f>
        <v>17725</v>
      </c>
      <c r="F22" s="184">
        <f t="shared" ref="F22:G22" si="18">SUM(F23:F25)</f>
        <v>8917</v>
      </c>
      <c r="G22" s="184">
        <f t="shared" si="18"/>
        <v>8808</v>
      </c>
      <c r="H22" s="184">
        <f>SUM(I22:J22)</f>
        <v>19045</v>
      </c>
      <c r="I22" s="184">
        <f t="shared" ref="I22:J22" si="19">SUM(I23:I25)</f>
        <v>9838</v>
      </c>
      <c r="J22" s="184">
        <f t="shared" si="19"/>
        <v>9207</v>
      </c>
      <c r="K22" s="232">
        <f>SUM(L22:M22)</f>
        <v>22181</v>
      </c>
      <c r="L22" s="232">
        <f t="shared" ref="L22:P22" si="20">SUM(L23:L25)</f>
        <v>11725</v>
      </c>
      <c r="M22" s="232">
        <f t="shared" si="20"/>
        <v>10456</v>
      </c>
      <c r="N22" s="232">
        <f t="shared" si="20"/>
        <v>21349</v>
      </c>
      <c r="O22" s="232">
        <f t="shared" si="20"/>
        <v>10656</v>
      </c>
      <c r="P22" s="232">
        <f t="shared" si="20"/>
        <v>10693</v>
      </c>
    </row>
    <row r="23" spans="1:16" x14ac:dyDescent="0.15">
      <c r="A23" s="180" t="s">
        <v>857</v>
      </c>
      <c r="B23" s="186">
        <f t="shared" si="5"/>
        <v>12788</v>
      </c>
      <c r="C23" s="186">
        <v>6679</v>
      </c>
      <c r="D23" s="186">
        <v>6109</v>
      </c>
      <c r="E23" s="186">
        <f t="shared" si="2"/>
        <v>13458</v>
      </c>
      <c r="F23" s="186">
        <v>6678</v>
      </c>
      <c r="G23" s="186">
        <v>6780</v>
      </c>
      <c r="H23" s="186">
        <f>SUM(I23:J23)</f>
        <v>13987</v>
      </c>
      <c r="I23" s="186">
        <v>7258</v>
      </c>
      <c r="J23" s="186">
        <v>6729</v>
      </c>
      <c r="K23" s="229">
        <f>SUM(L23:M23)</f>
        <v>17631</v>
      </c>
      <c r="L23" s="229">
        <v>9365</v>
      </c>
      <c r="M23" s="229">
        <v>8266</v>
      </c>
      <c r="N23" s="20">
        <v>16041</v>
      </c>
      <c r="O23" s="20">
        <v>7951</v>
      </c>
      <c r="P23" s="20">
        <v>8090</v>
      </c>
    </row>
    <row r="24" spans="1:16" x14ac:dyDescent="0.15">
      <c r="A24" s="180" t="s">
        <v>858</v>
      </c>
      <c r="B24" s="186">
        <f t="shared" si="5"/>
        <v>3283</v>
      </c>
      <c r="C24" s="186">
        <v>1665</v>
      </c>
      <c r="D24" s="186">
        <v>1618</v>
      </c>
      <c r="E24" s="186">
        <f t="shared" si="2"/>
        <v>3761</v>
      </c>
      <c r="F24" s="186">
        <v>1930</v>
      </c>
      <c r="G24" s="186">
        <v>1831</v>
      </c>
      <c r="H24" s="186">
        <f t="shared" si="3"/>
        <v>4471</v>
      </c>
      <c r="I24" s="186">
        <v>2223</v>
      </c>
      <c r="J24" s="186">
        <v>2248</v>
      </c>
      <c r="K24" s="229">
        <f t="shared" ref="K24:K25" si="21">SUM(L24:M24)</f>
        <v>686</v>
      </c>
      <c r="L24" s="229">
        <v>447</v>
      </c>
      <c r="M24" s="229">
        <v>239</v>
      </c>
      <c r="N24" s="20">
        <v>4792</v>
      </c>
      <c r="O24" s="20">
        <v>2363</v>
      </c>
      <c r="P24" s="20">
        <v>2429</v>
      </c>
    </row>
    <row r="25" spans="1:16" x14ac:dyDescent="0.15">
      <c r="A25" s="180" t="s">
        <v>859</v>
      </c>
      <c r="B25" s="186">
        <f t="shared" si="5"/>
        <v>403</v>
      </c>
      <c r="C25" s="186">
        <v>234</v>
      </c>
      <c r="D25" s="186">
        <v>169</v>
      </c>
      <c r="E25" s="186">
        <f t="shared" si="2"/>
        <v>506</v>
      </c>
      <c r="F25" s="186">
        <v>309</v>
      </c>
      <c r="G25" s="186">
        <v>197</v>
      </c>
      <c r="H25" s="186">
        <f t="shared" si="3"/>
        <v>587</v>
      </c>
      <c r="I25" s="186">
        <v>357</v>
      </c>
      <c r="J25" s="186">
        <v>230</v>
      </c>
      <c r="K25" s="229">
        <f t="shared" si="21"/>
        <v>3864</v>
      </c>
      <c r="L25" s="229">
        <v>1913</v>
      </c>
      <c r="M25" s="229">
        <v>1951</v>
      </c>
      <c r="N25" s="20">
        <v>516</v>
      </c>
      <c r="O25" s="20">
        <v>342</v>
      </c>
      <c r="P25" s="20">
        <v>174</v>
      </c>
    </row>
    <row r="26" spans="1:16" s="183" customFormat="1" x14ac:dyDescent="0.15">
      <c r="A26" s="183" t="s">
        <v>9</v>
      </c>
      <c r="B26" s="184">
        <f>SUM(C26:D26)</f>
        <v>47833</v>
      </c>
      <c r="C26" s="184">
        <f t="shared" ref="C26:D26" si="22">SUM(C27:C30)</f>
        <v>22581</v>
      </c>
      <c r="D26" s="184">
        <f t="shared" si="22"/>
        <v>25252</v>
      </c>
      <c r="E26" s="184">
        <f>SUM(F26:G26)</f>
        <v>70493</v>
      </c>
      <c r="F26" s="184">
        <f t="shared" ref="F26:G26" si="23">SUM(F27:F30)</f>
        <v>32274</v>
      </c>
      <c r="G26" s="184">
        <f t="shared" si="23"/>
        <v>38219</v>
      </c>
      <c r="H26" s="184">
        <f>SUM(I26:J26)</f>
        <v>68487</v>
      </c>
      <c r="I26" s="184">
        <f t="shared" ref="I26:J26" si="24">SUM(I27:I30)</f>
        <v>31472</v>
      </c>
      <c r="J26" s="184">
        <f t="shared" si="24"/>
        <v>37015</v>
      </c>
      <c r="K26" s="232">
        <f>SUM(L26:M26)</f>
        <v>79303</v>
      </c>
      <c r="L26" s="232">
        <f t="shared" ref="L26:P26" si="25">SUM(L27:L30)</f>
        <v>38028</v>
      </c>
      <c r="M26" s="232">
        <f t="shared" si="25"/>
        <v>41275</v>
      </c>
      <c r="N26" s="232">
        <f t="shared" si="25"/>
        <v>79179</v>
      </c>
      <c r="O26" s="232">
        <f t="shared" si="25"/>
        <v>37054</v>
      </c>
      <c r="P26" s="232">
        <f t="shared" si="25"/>
        <v>42125</v>
      </c>
    </row>
    <row r="27" spans="1:16" x14ac:dyDescent="0.15">
      <c r="A27" s="180" t="s">
        <v>860</v>
      </c>
      <c r="B27" s="186">
        <f t="shared" si="5"/>
        <v>16776</v>
      </c>
      <c r="C27" s="186">
        <v>8212</v>
      </c>
      <c r="D27" s="186">
        <v>8564</v>
      </c>
      <c r="E27" s="186">
        <f t="shared" si="2"/>
        <v>17372</v>
      </c>
      <c r="F27" s="186">
        <v>8416</v>
      </c>
      <c r="G27" s="186">
        <v>8956</v>
      </c>
      <c r="H27" s="186">
        <f t="shared" si="3"/>
        <v>15676</v>
      </c>
      <c r="I27" s="186">
        <v>7844</v>
      </c>
      <c r="J27" s="186">
        <v>7832</v>
      </c>
      <c r="K27" s="229">
        <f t="shared" ref="K27:K28" si="26">SUM(L27:M27)</f>
        <v>20312</v>
      </c>
      <c r="L27" s="229">
        <v>9858</v>
      </c>
      <c r="M27" s="229">
        <v>10454</v>
      </c>
      <c r="N27" s="20">
        <v>18138</v>
      </c>
      <c r="O27" s="20">
        <v>8950</v>
      </c>
      <c r="P27" s="20">
        <v>9188</v>
      </c>
    </row>
    <row r="28" spans="1:16" x14ac:dyDescent="0.15">
      <c r="A28" s="180" t="s">
        <v>861</v>
      </c>
      <c r="B28" s="186">
        <f t="shared" si="5"/>
        <v>22993</v>
      </c>
      <c r="C28" s="186">
        <v>10360</v>
      </c>
      <c r="D28" s="186">
        <v>12633</v>
      </c>
      <c r="E28" s="186">
        <f t="shared" si="2"/>
        <v>44557</v>
      </c>
      <c r="F28" s="186">
        <v>19667</v>
      </c>
      <c r="G28" s="186">
        <v>24890</v>
      </c>
      <c r="H28" s="186">
        <f t="shared" si="3"/>
        <v>45124</v>
      </c>
      <c r="I28" s="186">
        <v>19695</v>
      </c>
      <c r="J28" s="186">
        <v>25429</v>
      </c>
      <c r="K28" s="229">
        <f t="shared" si="26"/>
        <v>51050</v>
      </c>
      <c r="L28" s="229">
        <v>24261</v>
      </c>
      <c r="M28" s="229">
        <v>26789</v>
      </c>
      <c r="N28" s="20">
        <v>53294</v>
      </c>
      <c r="O28" s="20">
        <v>24359</v>
      </c>
      <c r="P28" s="20">
        <v>28935</v>
      </c>
    </row>
    <row r="29" spans="1:16" x14ac:dyDescent="0.15">
      <c r="A29" s="180" t="s">
        <v>862</v>
      </c>
      <c r="B29" s="186">
        <f t="shared" si="5"/>
        <v>3048</v>
      </c>
      <c r="C29" s="186">
        <v>1534</v>
      </c>
      <c r="D29" s="186">
        <v>1514</v>
      </c>
      <c r="E29" s="186">
        <f t="shared" si="2"/>
        <v>3621</v>
      </c>
      <c r="F29" s="186">
        <v>1828</v>
      </c>
      <c r="G29" s="186">
        <v>1793</v>
      </c>
      <c r="H29" s="186">
        <f>SUM(I29:J29)</f>
        <v>2850</v>
      </c>
      <c r="I29" s="186">
        <v>1458</v>
      </c>
      <c r="J29" s="186">
        <v>1392</v>
      </c>
      <c r="K29" s="229">
        <f>SUM(L29:M29)</f>
        <v>2888</v>
      </c>
      <c r="L29" s="229">
        <v>1434</v>
      </c>
      <c r="M29" s="229">
        <v>1454</v>
      </c>
      <c r="N29" s="20">
        <v>2544</v>
      </c>
      <c r="O29" s="20">
        <v>1266</v>
      </c>
      <c r="P29" s="20">
        <v>1278</v>
      </c>
    </row>
    <row r="30" spans="1:16" x14ac:dyDescent="0.15">
      <c r="A30" s="180" t="s">
        <v>863</v>
      </c>
      <c r="B30" s="186">
        <f t="shared" si="5"/>
        <v>5016</v>
      </c>
      <c r="C30" s="186">
        <v>2475</v>
      </c>
      <c r="D30" s="186">
        <v>2541</v>
      </c>
      <c r="E30" s="186">
        <f t="shared" si="2"/>
        <v>4943</v>
      </c>
      <c r="F30" s="186">
        <v>2363</v>
      </c>
      <c r="G30" s="186">
        <v>2580</v>
      </c>
      <c r="H30" s="186">
        <f t="shared" si="3"/>
        <v>4837</v>
      </c>
      <c r="I30" s="186">
        <v>2475</v>
      </c>
      <c r="J30" s="186">
        <v>2362</v>
      </c>
      <c r="K30" s="229">
        <f t="shared" ref="K30" si="27">SUM(L30:M30)</f>
        <v>5053</v>
      </c>
      <c r="L30" s="229">
        <v>2475</v>
      </c>
      <c r="M30" s="229">
        <v>2578</v>
      </c>
      <c r="N30" s="20">
        <v>5203</v>
      </c>
      <c r="O30" s="20">
        <v>2479</v>
      </c>
      <c r="P30" s="20">
        <v>2724</v>
      </c>
    </row>
    <row r="31" spans="1:16" s="183" customFormat="1" x14ac:dyDescent="0.15">
      <c r="A31" s="183" t="s">
        <v>10</v>
      </c>
      <c r="B31" s="184">
        <f>SUM(C31:D31)</f>
        <v>114924</v>
      </c>
      <c r="C31" s="184">
        <f t="shared" ref="C31:D31" si="28">SUM(C32:C39)</f>
        <v>68464</v>
      </c>
      <c r="D31" s="184">
        <f t="shared" si="28"/>
        <v>46460</v>
      </c>
      <c r="E31" s="184">
        <f>SUM(F31:G31)</f>
        <v>158605</v>
      </c>
      <c r="F31" s="184">
        <f t="shared" ref="F31:G31" si="29">SUM(F32:F39)</f>
        <v>87356</v>
      </c>
      <c r="G31" s="184">
        <f t="shared" si="29"/>
        <v>71249</v>
      </c>
      <c r="H31" s="184">
        <f>SUM(I31:J31)</f>
        <v>193118</v>
      </c>
      <c r="I31" s="184">
        <f>SUM(I32:I39)</f>
        <v>105691</v>
      </c>
      <c r="J31" s="184">
        <f t="shared" ref="J31" si="30">SUM(J32:J39)</f>
        <v>87427</v>
      </c>
      <c r="K31" s="232">
        <f>SUM(L31:M31)</f>
        <v>188405</v>
      </c>
      <c r="L31" s="232">
        <f>SUM(L32:L39)</f>
        <v>99398</v>
      </c>
      <c r="M31" s="232">
        <f t="shared" ref="M31:P31" si="31">SUM(M32:M39)</f>
        <v>89007</v>
      </c>
      <c r="N31" s="232">
        <f t="shared" si="31"/>
        <v>139646</v>
      </c>
      <c r="O31" s="232">
        <f t="shared" si="31"/>
        <v>80771</v>
      </c>
      <c r="P31" s="232">
        <f t="shared" si="31"/>
        <v>58875</v>
      </c>
    </row>
    <row r="32" spans="1:16" x14ac:dyDescent="0.15">
      <c r="A32" s="180" t="s">
        <v>864</v>
      </c>
      <c r="B32" s="186">
        <f t="shared" si="5"/>
        <v>24546</v>
      </c>
      <c r="C32" s="186">
        <v>24546</v>
      </c>
      <c r="D32" s="186"/>
      <c r="E32" s="186">
        <f t="shared" si="2"/>
        <v>52389</v>
      </c>
      <c r="F32" s="186">
        <v>29104</v>
      </c>
      <c r="G32" s="186">
        <v>23285</v>
      </c>
      <c r="H32" s="186">
        <f t="shared" si="3"/>
        <v>58112</v>
      </c>
      <c r="I32" s="186">
        <v>32108</v>
      </c>
      <c r="J32" s="186">
        <v>26004</v>
      </c>
      <c r="K32" s="229">
        <f t="shared" ref="K32:K34" si="32">SUM(L32:M32)</f>
        <v>54487</v>
      </c>
      <c r="L32" s="229">
        <v>30373</v>
      </c>
      <c r="M32" s="229">
        <v>24114</v>
      </c>
      <c r="N32" s="20">
        <v>59041</v>
      </c>
      <c r="O32" s="20">
        <v>32609</v>
      </c>
      <c r="P32" s="20">
        <v>26432</v>
      </c>
    </row>
    <row r="33" spans="1:16" x14ac:dyDescent="0.15">
      <c r="A33" s="179" t="s">
        <v>865</v>
      </c>
      <c r="B33" s="186">
        <f t="shared" si="5"/>
        <v>1048</v>
      </c>
      <c r="C33" s="186">
        <v>673</v>
      </c>
      <c r="D33" s="186">
        <v>375</v>
      </c>
      <c r="E33" s="186">
        <f t="shared" si="2"/>
        <v>1416</v>
      </c>
      <c r="F33" s="186">
        <v>865</v>
      </c>
      <c r="G33" s="186">
        <v>551</v>
      </c>
      <c r="H33" s="186">
        <f t="shared" si="3"/>
        <v>1142</v>
      </c>
      <c r="I33" s="186">
        <v>691</v>
      </c>
      <c r="J33" s="186">
        <v>451</v>
      </c>
      <c r="K33" s="229">
        <f t="shared" si="32"/>
        <v>2759</v>
      </c>
      <c r="L33" s="229">
        <v>1955</v>
      </c>
      <c r="M33" s="229">
        <v>804</v>
      </c>
      <c r="N33" s="20">
        <v>2300</v>
      </c>
      <c r="O33" s="20">
        <v>1473</v>
      </c>
      <c r="P33" s="20">
        <v>827</v>
      </c>
    </row>
    <row r="34" spans="1:16" x14ac:dyDescent="0.15">
      <c r="A34" s="180" t="s">
        <v>866</v>
      </c>
      <c r="B34" s="186">
        <f t="shared" si="5"/>
        <v>0</v>
      </c>
      <c r="C34" s="186">
        <v>0</v>
      </c>
      <c r="D34" s="186">
        <v>0</v>
      </c>
      <c r="E34" s="186">
        <f t="shared" si="2"/>
        <v>0</v>
      </c>
      <c r="F34" s="186">
        <v>0</v>
      </c>
      <c r="G34" s="186">
        <v>0</v>
      </c>
      <c r="H34" s="186">
        <f t="shared" si="3"/>
        <v>0</v>
      </c>
      <c r="I34" s="186">
        <v>0</v>
      </c>
      <c r="J34" s="186">
        <v>0</v>
      </c>
      <c r="K34" s="229">
        <f t="shared" si="32"/>
        <v>0</v>
      </c>
      <c r="L34" s="229">
        <v>0</v>
      </c>
      <c r="M34" s="229">
        <v>0</v>
      </c>
      <c r="N34" s="229">
        <f t="shared" ref="N34" si="33">SUM(O34:P34)</f>
        <v>0</v>
      </c>
      <c r="O34" s="229">
        <v>0</v>
      </c>
      <c r="P34" s="229">
        <v>0</v>
      </c>
    </row>
    <row r="35" spans="1:16" x14ac:dyDescent="0.15">
      <c r="A35" s="180" t="s">
        <v>867</v>
      </c>
      <c r="B35" s="186">
        <f t="shared" si="5"/>
        <v>20638</v>
      </c>
      <c r="C35" s="186">
        <v>12526</v>
      </c>
      <c r="D35" s="186">
        <v>8112</v>
      </c>
      <c r="E35" s="186">
        <f t="shared" si="2"/>
        <v>33212</v>
      </c>
      <c r="F35" s="186">
        <v>22940</v>
      </c>
      <c r="G35" s="186">
        <v>10272</v>
      </c>
      <c r="H35" s="186">
        <f>SUM(I35:J35)</f>
        <v>51208</v>
      </c>
      <c r="I35" s="186">
        <v>34561</v>
      </c>
      <c r="J35" s="186">
        <v>16647</v>
      </c>
      <c r="K35" s="229">
        <f>SUM(L35:M35)</f>
        <v>37021</v>
      </c>
      <c r="L35" s="229">
        <v>27344</v>
      </c>
      <c r="M35" s="229">
        <v>9677</v>
      </c>
      <c r="N35" s="20">
        <v>42298</v>
      </c>
      <c r="O35" s="20">
        <v>29179</v>
      </c>
      <c r="P35" s="20">
        <v>13119</v>
      </c>
    </row>
    <row r="36" spans="1:16" x14ac:dyDescent="0.15">
      <c r="A36" s="180" t="s">
        <v>868</v>
      </c>
      <c r="B36" s="186">
        <f t="shared" si="5"/>
        <v>1569</v>
      </c>
      <c r="C36" s="186">
        <v>914</v>
      </c>
      <c r="D36" s="186">
        <v>655</v>
      </c>
      <c r="E36" s="186">
        <f t="shared" si="2"/>
        <v>1845</v>
      </c>
      <c r="F36" s="186">
        <v>872</v>
      </c>
      <c r="G36" s="186">
        <v>973</v>
      </c>
      <c r="H36" s="186">
        <f t="shared" si="3"/>
        <v>1964</v>
      </c>
      <c r="I36" s="186">
        <v>1053</v>
      </c>
      <c r="J36" s="186">
        <v>911</v>
      </c>
      <c r="K36" s="229">
        <f t="shared" ref="K36:K37" si="34">SUM(L36:M36)</f>
        <v>1534</v>
      </c>
      <c r="L36" s="229">
        <v>779</v>
      </c>
      <c r="M36" s="229">
        <v>755</v>
      </c>
      <c r="N36" s="20">
        <v>2415</v>
      </c>
      <c r="O36" s="20">
        <v>1312</v>
      </c>
      <c r="P36" s="20">
        <v>1103</v>
      </c>
    </row>
    <row r="37" spans="1:16" x14ac:dyDescent="0.15">
      <c r="A37" s="180" t="s">
        <v>869</v>
      </c>
      <c r="B37" s="186">
        <f t="shared" si="5"/>
        <v>0</v>
      </c>
      <c r="C37" s="186">
        <v>0</v>
      </c>
      <c r="D37" s="186">
        <v>0</v>
      </c>
      <c r="E37" s="186">
        <f t="shared" si="2"/>
        <v>0</v>
      </c>
      <c r="F37" s="186">
        <v>0</v>
      </c>
      <c r="G37" s="186">
        <v>0</v>
      </c>
      <c r="H37" s="186">
        <f t="shared" si="3"/>
        <v>0</v>
      </c>
      <c r="I37" s="186">
        <v>0</v>
      </c>
      <c r="J37" s="186">
        <v>0</v>
      </c>
      <c r="K37" s="229">
        <f t="shared" si="34"/>
        <v>0</v>
      </c>
      <c r="L37" s="229">
        <v>0</v>
      </c>
      <c r="M37" s="229">
        <v>0</v>
      </c>
      <c r="N37" s="229">
        <f t="shared" ref="N37" si="35">SUM(O37:P37)</f>
        <v>0</v>
      </c>
      <c r="O37" s="229">
        <v>0</v>
      </c>
      <c r="P37" s="229">
        <v>0</v>
      </c>
    </row>
    <row r="38" spans="1:16" ht="11.25" x14ac:dyDescent="0.15">
      <c r="A38" s="180" t="s">
        <v>870</v>
      </c>
      <c r="B38" s="186">
        <f t="shared" si="5"/>
        <v>17811</v>
      </c>
      <c r="C38" s="186">
        <v>7431</v>
      </c>
      <c r="D38" s="186">
        <v>10380</v>
      </c>
      <c r="E38" s="186">
        <f t="shared" si="2"/>
        <v>17541</v>
      </c>
      <c r="F38" s="186">
        <v>8329</v>
      </c>
      <c r="G38" s="186">
        <v>9212</v>
      </c>
      <c r="H38" s="186">
        <f>SUM(I38:J38)</f>
        <v>22233</v>
      </c>
      <c r="I38" s="186">
        <v>10452</v>
      </c>
      <c r="J38" s="186">
        <v>11781</v>
      </c>
      <c r="K38" s="229">
        <f>SUM(L38:M38)</f>
        <v>27540</v>
      </c>
      <c r="L38" s="229">
        <v>12866</v>
      </c>
      <c r="M38" s="229">
        <v>14674</v>
      </c>
      <c r="N38" s="20">
        <v>22554</v>
      </c>
      <c r="O38" s="20">
        <v>10616</v>
      </c>
      <c r="P38" s="20">
        <v>11938</v>
      </c>
    </row>
    <row r="39" spans="1:16" x14ac:dyDescent="0.15">
      <c r="A39" s="180" t="s">
        <v>871</v>
      </c>
      <c r="B39" s="186">
        <f t="shared" si="5"/>
        <v>49312</v>
      </c>
      <c r="C39" s="186">
        <v>22374</v>
      </c>
      <c r="D39" s="186">
        <v>26938</v>
      </c>
      <c r="E39" s="186">
        <f t="shared" si="2"/>
        <v>52202</v>
      </c>
      <c r="F39" s="186">
        <v>25246</v>
      </c>
      <c r="G39" s="186">
        <v>26956</v>
      </c>
      <c r="H39" s="186">
        <f t="shared" si="3"/>
        <v>58459</v>
      </c>
      <c r="I39" s="186">
        <v>26826</v>
      </c>
      <c r="J39" s="186">
        <v>31633</v>
      </c>
      <c r="K39" s="229">
        <f t="shared" ref="K39" si="36">SUM(L39:M39)</f>
        <v>65064</v>
      </c>
      <c r="L39" s="229">
        <v>26081</v>
      </c>
      <c r="M39" s="229">
        <v>38983</v>
      </c>
      <c r="N39" s="20">
        <v>11038</v>
      </c>
      <c r="O39" s="20">
        <v>5582</v>
      </c>
      <c r="P39" s="20">
        <v>5456</v>
      </c>
    </row>
    <row r="40" spans="1:16" s="183" customFormat="1" x14ac:dyDescent="0.15">
      <c r="A40" s="183" t="s">
        <v>11</v>
      </c>
      <c r="B40" s="184">
        <f>SUM(C40:D40)</f>
        <v>93129</v>
      </c>
      <c r="C40" s="184">
        <f t="shared" ref="C40:D40" si="37">SUM(C41:C42)</f>
        <v>42590</v>
      </c>
      <c r="D40" s="184">
        <f t="shared" si="37"/>
        <v>50539</v>
      </c>
      <c r="E40" s="184">
        <f>SUM(F40:G40)</f>
        <v>96485</v>
      </c>
      <c r="F40" s="184">
        <f t="shared" ref="F40:G40" si="38">SUM(F41:F42)</f>
        <v>43910</v>
      </c>
      <c r="G40" s="184">
        <f t="shared" si="38"/>
        <v>52575</v>
      </c>
      <c r="H40" s="184">
        <f>SUM(I40:J40)</f>
        <v>98529</v>
      </c>
      <c r="I40" s="184">
        <f t="shared" ref="I40:J40" si="39">SUM(I41:I42)</f>
        <v>42413</v>
      </c>
      <c r="J40" s="184">
        <f t="shared" si="39"/>
        <v>56116</v>
      </c>
      <c r="K40" s="232">
        <f>SUM(L40:M40)</f>
        <v>103770</v>
      </c>
      <c r="L40" s="232">
        <f t="shared" ref="L40:P40" si="40">SUM(L41:L42)</f>
        <v>43625</v>
      </c>
      <c r="M40" s="232">
        <f t="shared" si="40"/>
        <v>60145</v>
      </c>
      <c r="N40" s="232">
        <f t="shared" si="40"/>
        <v>114969</v>
      </c>
      <c r="O40" s="232">
        <f t="shared" si="40"/>
        <v>49126</v>
      </c>
      <c r="P40" s="232">
        <f t="shared" si="40"/>
        <v>65843</v>
      </c>
    </row>
    <row r="41" spans="1:16" x14ac:dyDescent="0.15">
      <c r="A41" s="180" t="s">
        <v>872</v>
      </c>
      <c r="B41" s="186">
        <f>SUM(C41:D41)</f>
        <v>80382</v>
      </c>
      <c r="C41" s="186">
        <v>35354</v>
      </c>
      <c r="D41" s="186">
        <v>45028</v>
      </c>
      <c r="E41" s="186">
        <f>SUM(F41:G41)</f>
        <v>84460</v>
      </c>
      <c r="F41" s="186">
        <v>37009</v>
      </c>
      <c r="G41" s="186">
        <v>47451</v>
      </c>
      <c r="H41" s="186">
        <f>SUM(I41:J41)</f>
        <v>85169</v>
      </c>
      <c r="I41" s="186">
        <v>34693</v>
      </c>
      <c r="J41" s="186">
        <v>50476</v>
      </c>
      <c r="K41" s="229">
        <f>SUM(L41:M41)</f>
        <v>89693</v>
      </c>
      <c r="L41" s="229">
        <v>35917</v>
      </c>
      <c r="M41" s="229">
        <v>53776</v>
      </c>
      <c r="N41" s="20">
        <v>94754</v>
      </c>
      <c r="O41" s="20">
        <v>37902</v>
      </c>
      <c r="P41" s="20">
        <v>56852</v>
      </c>
    </row>
    <row r="42" spans="1:16" x14ac:dyDescent="0.15">
      <c r="A42" s="180" t="s">
        <v>873</v>
      </c>
      <c r="B42" s="186">
        <f>SUM(C42:D42)</f>
        <v>12747</v>
      </c>
      <c r="C42" s="186">
        <v>7236</v>
      </c>
      <c r="D42" s="186">
        <v>5511</v>
      </c>
      <c r="E42" s="186">
        <f>SUM(F42:G42)</f>
        <v>12025</v>
      </c>
      <c r="F42" s="186">
        <v>6901</v>
      </c>
      <c r="G42" s="186">
        <v>5124</v>
      </c>
      <c r="H42" s="186">
        <f>SUM(I42:J42)</f>
        <v>13360</v>
      </c>
      <c r="I42" s="186">
        <v>7720</v>
      </c>
      <c r="J42" s="186">
        <v>5640</v>
      </c>
      <c r="K42" s="229">
        <f>SUM(L42:M42)</f>
        <v>14077</v>
      </c>
      <c r="L42" s="229">
        <v>7708</v>
      </c>
      <c r="M42" s="229">
        <v>6369</v>
      </c>
      <c r="N42" s="20">
        <v>20215</v>
      </c>
      <c r="O42" s="20">
        <v>11224</v>
      </c>
      <c r="P42" s="20">
        <v>8991</v>
      </c>
    </row>
    <row r="43" spans="1:16" s="183" customFormat="1" x14ac:dyDescent="0.15">
      <c r="A43" s="183" t="s">
        <v>12</v>
      </c>
      <c r="B43" s="184">
        <f>SUM(C43:D43)</f>
        <v>12824</v>
      </c>
      <c r="C43" s="184">
        <f t="shared" ref="C43:D43" si="41">SUM(C44:C46)</f>
        <v>7072</v>
      </c>
      <c r="D43" s="184">
        <f t="shared" si="41"/>
        <v>5752</v>
      </c>
      <c r="E43" s="184">
        <f>SUM(F43:G43)</f>
        <v>13403</v>
      </c>
      <c r="F43" s="184">
        <f t="shared" ref="F43:G43" si="42">SUM(F44:F46)</f>
        <v>7337</v>
      </c>
      <c r="G43" s="184">
        <f t="shared" si="42"/>
        <v>6066</v>
      </c>
      <c r="H43" s="184">
        <f>SUM(I43:J43)</f>
        <v>20656</v>
      </c>
      <c r="I43" s="184">
        <f t="shared" ref="I43:J43" si="43">SUM(I44:I46)</f>
        <v>10994</v>
      </c>
      <c r="J43" s="184">
        <f t="shared" si="43"/>
        <v>9662</v>
      </c>
      <c r="K43" s="232">
        <f>SUM(L43:M43)</f>
        <v>23187</v>
      </c>
      <c r="L43" s="232">
        <f t="shared" ref="L43:P43" si="44">SUM(L44:L46)</f>
        <v>12246</v>
      </c>
      <c r="M43" s="232">
        <f t="shared" si="44"/>
        <v>10941</v>
      </c>
      <c r="N43" s="232">
        <f t="shared" si="44"/>
        <v>27946</v>
      </c>
      <c r="O43" s="232">
        <f t="shared" si="44"/>
        <v>14591</v>
      </c>
      <c r="P43" s="232">
        <f t="shared" si="44"/>
        <v>13355</v>
      </c>
    </row>
    <row r="44" spans="1:16" x14ac:dyDescent="0.15">
      <c r="A44" s="180" t="s">
        <v>874</v>
      </c>
      <c r="B44" s="186">
        <f t="shared" si="5"/>
        <v>0</v>
      </c>
      <c r="C44" s="186">
        <v>0</v>
      </c>
      <c r="D44" s="186">
        <v>0</v>
      </c>
      <c r="E44" s="186">
        <f t="shared" si="2"/>
        <v>0</v>
      </c>
      <c r="F44" s="186">
        <v>0</v>
      </c>
      <c r="G44" s="186">
        <v>0</v>
      </c>
      <c r="H44" s="186">
        <f t="shared" si="3"/>
        <v>0</v>
      </c>
      <c r="I44" s="186">
        <v>0</v>
      </c>
      <c r="J44" s="186">
        <v>0</v>
      </c>
      <c r="K44" s="229">
        <f t="shared" ref="K44:K46" si="45">SUM(L44:M44)</f>
        <v>0</v>
      </c>
      <c r="L44" s="229">
        <v>0</v>
      </c>
      <c r="M44" s="229">
        <v>0</v>
      </c>
      <c r="N44" s="229">
        <f t="shared" ref="N44" si="46">SUM(O44:P44)</f>
        <v>0</v>
      </c>
      <c r="O44" s="229">
        <v>0</v>
      </c>
      <c r="P44" s="229">
        <v>0</v>
      </c>
    </row>
    <row r="45" spans="1:16" x14ac:dyDescent="0.15">
      <c r="A45" s="180" t="s">
        <v>957</v>
      </c>
      <c r="B45" s="186">
        <f t="shared" si="5"/>
        <v>12378</v>
      </c>
      <c r="C45" s="186">
        <v>6688</v>
      </c>
      <c r="D45" s="186">
        <v>5690</v>
      </c>
      <c r="E45" s="186">
        <f t="shared" si="2"/>
        <v>12889</v>
      </c>
      <c r="F45" s="186">
        <v>6934</v>
      </c>
      <c r="G45" s="186">
        <v>5955</v>
      </c>
      <c r="H45" s="186">
        <f t="shared" si="3"/>
        <v>20088</v>
      </c>
      <c r="I45" s="186">
        <v>10532</v>
      </c>
      <c r="J45" s="186">
        <v>9556</v>
      </c>
      <c r="K45" s="229">
        <f t="shared" si="45"/>
        <v>22557</v>
      </c>
      <c r="L45" s="229">
        <v>11683</v>
      </c>
      <c r="M45" s="229">
        <v>10874</v>
      </c>
      <c r="N45" s="20">
        <v>27633</v>
      </c>
      <c r="O45" s="20">
        <v>14300</v>
      </c>
      <c r="P45" s="20">
        <v>13333</v>
      </c>
    </row>
    <row r="46" spans="1:16" x14ac:dyDescent="0.15">
      <c r="A46" s="180" t="s">
        <v>876</v>
      </c>
      <c r="B46" s="186">
        <f t="shared" si="5"/>
        <v>446</v>
      </c>
      <c r="C46" s="186">
        <v>384</v>
      </c>
      <c r="D46" s="186">
        <v>62</v>
      </c>
      <c r="E46" s="186">
        <f t="shared" si="2"/>
        <v>514</v>
      </c>
      <c r="F46" s="186">
        <v>403</v>
      </c>
      <c r="G46" s="186">
        <v>111</v>
      </c>
      <c r="H46" s="186">
        <f t="shared" si="3"/>
        <v>568</v>
      </c>
      <c r="I46" s="186">
        <v>462</v>
      </c>
      <c r="J46" s="186">
        <v>106</v>
      </c>
      <c r="K46" s="229">
        <f t="shared" si="45"/>
        <v>630</v>
      </c>
      <c r="L46" s="229">
        <v>563</v>
      </c>
      <c r="M46" s="229">
        <v>67</v>
      </c>
      <c r="N46" s="20">
        <v>313</v>
      </c>
      <c r="O46" s="20">
        <v>291</v>
      </c>
      <c r="P46" s="20">
        <v>22</v>
      </c>
    </row>
    <row r="47" spans="1:16" s="183" customFormat="1" x14ac:dyDescent="0.15">
      <c r="A47" s="183" t="s">
        <v>13</v>
      </c>
      <c r="B47" s="184">
        <f>SUM(C47:D47)</f>
        <v>61074</v>
      </c>
      <c r="C47" s="184">
        <f t="shared" ref="C47:D47" si="47">SUM(C48:C55)</f>
        <v>30943</v>
      </c>
      <c r="D47" s="184">
        <f t="shared" si="47"/>
        <v>30131</v>
      </c>
      <c r="E47" s="184">
        <f>SUM(F47:G47)</f>
        <v>67325</v>
      </c>
      <c r="F47" s="184">
        <f t="shared" ref="F47:G47" si="48">SUM(F48:F55)</f>
        <v>34046</v>
      </c>
      <c r="G47" s="184">
        <f t="shared" si="48"/>
        <v>33279</v>
      </c>
      <c r="H47" s="184">
        <f>SUM(I47:J47)</f>
        <v>78376</v>
      </c>
      <c r="I47" s="184">
        <f t="shared" ref="I47:J47" si="49">SUM(I48:I55)</f>
        <v>41263</v>
      </c>
      <c r="J47" s="184">
        <f t="shared" si="49"/>
        <v>37113</v>
      </c>
      <c r="K47" s="232">
        <f>SUM(L47:M47)</f>
        <v>81006</v>
      </c>
      <c r="L47" s="232">
        <f t="shared" ref="L47:P47" si="50">SUM(L48:L55)</f>
        <v>42148</v>
      </c>
      <c r="M47" s="232">
        <f t="shared" si="50"/>
        <v>38858</v>
      </c>
      <c r="N47" s="232">
        <f t="shared" si="50"/>
        <v>97042</v>
      </c>
      <c r="O47" s="232">
        <f t="shared" si="50"/>
        <v>48576</v>
      </c>
      <c r="P47" s="232">
        <f t="shared" si="50"/>
        <v>48466</v>
      </c>
    </row>
    <row r="48" spans="1:16" x14ac:dyDescent="0.15">
      <c r="A48" s="180" t="s">
        <v>877</v>
      </c>
      <c r="B48" s="186">
        <f t="shared" si="5"/>
        <v>5873</v>
      </c>
      <c r="C48" s="186">
        <v>2960</v>
      </c>
      <c r="D48" s="186">
        <v>2913</v>
      </c>
      <c r="E48" s="186">
        <f t="shared" si="2"/>
        <v>5779</v>
      </c>
      <c r="F48" s="186">
        <v>2903</v>
      </c>
      <c r="G48" s="186">
        <v>2876</v>
      </c>
      <c r="H48" s="186">
        <f t="shared" si="3"/>
        <v>7354</v>
      </c>
      <c r="I48" s="186">
        <v>3668</v>
      </c>
      <c r="J48" s="186">
        <v>3686</v>
      </c>
      <c r="K48" s="229">
        <f t="shared" ref="K48:K55" si="51">SUM(L48:M48)</f>
        <v>8572</v>
      </c>
      <c r="L48" s="229">
        <v>4411</v>
      </c>
      <c r="M48" s="229">
        <v>4161</v>
      </c>
      <c r="N48" s="20">
        <v>9333</v>
      </c>
      <c r="O48" s="20">
        <v>4561</v>
      </c>
      <c r="P48" s="20">
        <v>4772</v>
      </c>
    </row>
    <row r="49" spans="1:16" x14ac:dyDescent="0.15">
      <c r="A49" s="180" t="s">
        <v>878</v>
      </c>
      <c r="B49" s="186">
        <f t="shared" si="5"/>
        <v>7190</v>
      </c>
      <c r="C49" s="186">
        <v>3597</v>
      </c>
      <c r="D49" s="186">
        <v>3593</v>
      </c>
      <c r="E49" s="186">
        <f t="shared" si="2"/>
        <v>10947</v>
      </c>
      <c r="F49" s="186">
        <v>5454</v>
      </c>
      <c r="G49" s="186">
        <v>5493</v>
      </c>
      <c r="H49" s="186">
        <f t="shared" si="3"/>
        <v>13291</v>
      </c>
      <c r="I49" s="186">
        <v>7004</v>
      </c>
      <c r="J49" s="186">
        <v>6287</v>
      </c>
      <c r="K49" s="229">
        <f t="shared" si="51"/>
        <v>11604</v>
      </c>
      <c r="L49" s="229">
        <v>5946</v>
      </c>
      <c r="M49" s="229">
        <v>5658</v>
      </c>
      <c r="N49" s="20">
        <v>10497</v>
      </c>
      <c r="O49" s="20">
        <v>5206</v>
      </c>
      <c r="P49" s="20">
        <v>5291</v>
      </c>
    </row>
    <row r="50" spans="1:16" x14ac:dyDescent="0.15">
      <c r="A50" s="180" t="s">
        <v>879</v>
      </c>
      <c r="B50" s="186">
        <f t="shared" si="5"/>
        <v>2985</v>
      </c>
      <c r="C50" s="186">
        <v>1502</v>
      </c>
      <c r="D50" s="186">
        <v>1483</v>
      </c>
      <c r="E50" s="186">
        <f t="shared" si="2"/>
        <v>2945</v>
      </c>
      <c r="F50" s="186">
        <v>1474</v>
      </c>
      <c r="G50" s="186">
        <v>1471</v>
      </c>
      <c r="H50" s="186">
        <f t="shared" si="3"/>
        <v>3413</v>
      </c>
      <c r="I50" s="186">
        <v>1716</v>
      </c>
      <c r="J50" s="186">
        <v>1697</v>
      </c>
      <c r="K50" s="229">
        <f t="shared" si="51"/>
        <v>3866</v>
      </c>
      <c r="L50" s="229">
        <v>1885</v>
      </c>
      <c r="M50" s="229">
        <v>1981</v>
      </c>
      <c r="N50" s="20">
        <v>5116</v>
      </c>
      <c r="O50" s="20">
        <v>2416</v>
      </c>
      <c r="P50" s="20">
        <v>2700</v>
      </c>
    </row>
    <row r="51" spans="1:16" x14ac:dyDescent="0.15">
      <c r="A51" s="180" t="s">
        <v>880</v>
      </c>
      <c r="B51" s="186">
        <f t="shared" si="5"/>
        <v>285</v>
      </c>
      <c r="C51" s="186">
        <v>249</v>
      </c>
      <c r="D51" s="186">
        <v>36</v>
      </c>
      <c r="E51" s="186">
        <f t="shared" si="2"/>
        <v>336</v>
      </c>
      <c r="F51" s="186">
        <v>318</v>
      </c>
      <c r="G51" s="186">
        <v>18</v>
      </c>
      <c r="H51" s="186">
        <f t="shared" si="3"/>
        <v>360</v>
      </c>
      <c r="I51" s="186">
        <v>310</v>
      </c>
      <c r="J51" s="186">
        <v>50</v>
      </c>
      <c r="K51" s="229">
        <f t="shared" si="51"/>
        <v>1061</v>
      </c>
      <c r="L51" s="229">
        <v>699</v>
      </c>
      <c r="M51" s="229">
        <v>362</v>
      </c>
      <c r="N51" s="20">
        <v>1148</v>
      </c>
      <c r="O51" s="20">
        <v>710</v>
      </c>
      <c r="P51" s="20">
        <v>438</v>
      </c>
    </row>
    <row r="52" spans="1:16" x14ac:dyDescent="0.15">
      <c r="A52" s="180" t="s">
        <v>881</v>
      </c>
      <c r="B52" s="186">
        <f t="shared" si="5"/>
        <v>442</v>
      </c>
      <c r="C52" s="186">
        <v>234</v>
      </c>
      <c r="D52" s="186">
        <v>208</v>
      </c>
      <c r="E52" s="186">
        <f t="shared" si="2"/>
        <v>310</v>
      </c>
      <c r="F52" s="186">
        <v>170</v>
      </c>
      <c r="G52" s="186">
        <v>140</v>
      </c>
      <c r="H52" s="186">
        <f t="shared" si="3"/>
        <v>228</v>
      </c>
      <c r="I52" s="186">
        <v>140</v>
      </c>
      <c r="J52" s="186">
        <v>88</v>
      </c>
      <c r="K52" s="229">
        <f t="shared" si="51"/>
        <v>241</v>
      </c>
      <c r="L52" s="229">
        <v>131</v>
      </c>
      <c r="M52" s="229">
        <v>110</v>
      </c>
      <c r="N52" s="20">
        <v>182</v>
      </c>
      <c r="O52" s="20">
        <v>87</v>
      </c>
      <c r="P52" s="20">
        <v>95</v>
      </c>
    </row>
    <row r="53" spans="1:16" x14ac:dyDescent="0.15">
      <c r="A53" s="180" t="s">
        <v>882</v>
      </c>
      <c r="B53" s="186">
        <f t="shared" si="5"/>
        <v>9017</v>
      </c>
      <c r="C53" s="186">
        <v>5777</v>
      </c>
      <c r="D53" s="186">
        <v>3240</v>
      </c>
      <c r="E53" s="186">
        <f t="shared" si="2"/>
        <v>10354</v>
      </c>
      <c r="F53" s="186">
        <v>6512</v>
      </c>
      <c r="G53" s="186">
        <v>3842</v>
      </c>
      <c r="H53" s="186">
        <f t="shared" si="3"/>
        <v>10954</v>
      </c>
      <c r="I53" s="186">
        <v>6567</v>
      </c>
      <c r="J53" s="186">
        <v>4387</v>
      </c>
      <c r="K53" s="229">
        <f t="shared" si="51"/>
        <v>10558</v>
      </c>
      <c r="L53" s="229">
        <v>6344</v>
      </c>
      <c r="M53" s="229">
        <v>4214</v>
      </c>
      <c r="N53" s="20">
        <v>16727</v>
      </c>
      <c r="O53" s="20">
        <v>9333</v>
      </c>
      <c r="P53" s="20">
        <v>7394</v>
      </c>
    </row>
    <row r="54" spans="1:16" x14ac:dyDescent="0.15">
      <c r="A54" s="180" t="s">
        <v>883</v>
      </c>
      <c r="B54" s="186">
        <f t="shared" si="5"/>
        <v>0</v>
      </c>
      <c r="C54" s="186">
        <v>0</v>
      </c>
      <c r="D54" s="186">
        <v>0</v>
      </c>
      <c r="E54" s="186">
        <f t="shared" si="2"/>
        <v>0</v>
      </c>
      <c r="F54" s="186">
        <v>0</v>
      </c>
      <c r="G54" s="186">
        <v>0</v>
      </c>
      <c r="H54" s="186">
        <f t="shared" si="3"/>
        <v>0</v>
      </c>
      <c r="I54" s="186">
        <v>0</v>
      </c>
      <c r="J54" s="186">
        <v>0</v>
      </c>
      <c r="K54" s="229">
        <f t="shared" si="51"/>
        <v>0</v>
      </c>
      <c r="L54" s="229">
        <v>0</v>
      </c>
      <c r="M54" s="229">
        <v>0</v>
      </c>
      <c r="N54" s="229">
        <f t="shared" ref="N54" si="52">SUM(O54:P54)</f>
        <v>0</v>
      </c>
      <c r="O54" s="229">
        <v>0</v>
      </c>
      <c r="P54" s="229">
        <v>0</v>
      </c>
    </row>
    <row r="55" spans="1:16" x14ac:dyDescent="0.15">
      <c r="A55" s="180" t="s">
        <v>958</v>
      </c>
      <c r="B55" s="186">
        <f t="shared" si="5"/>
        <v>35282</v>
      </c>
      <c r="C55" s="186">
        <v>16624</v>
      </c>
      <c r="D55" s="186">
        <v>18658</v>
      </c>
      <c r="E55" s="186">
        <f t="shared" si="2"/>
        <v>36654</v>
      </c>
      <c r="F55" s="186">
        <v>17215</v>
      </c>
      <c r="G55" s="186">
        <v>19439</v>
      </c>
      <c r="H55" s="186">
        <f t="shared" si="3"/>
        <v>42776</v>
      </c>
      <c r="I55" s="186">
        <v>21858</v>
      </c>
      <c r="J55" s="186">
        <v>20918</v>
      </c>
      <c r="K55" s="229">
        <f t="shared" si="51"/>
        <v>45104</v>
      </c>
      <c r="L55" s="229">
        <v>22732</v>
      </c>
      <c r="M55" s="229">
        <v>22372</v>
      </c>
      <c r="N55" s="20">
        <v>54039</v>
      </c>
      <c r="O55" s="20">
        <v>26263</v>
      </c>
      <c r="P55" s="20">
        <v>27776</v>
      </c>
    </row>
    <row r="56" spans="1:16" s="183" customFormat="1" x14ac:dyDescent="0.15">
      <c r="A56" s="183" t="s">
        <v>14</v>
      </c>
      <c r="B56" s="184">
        <f>SUM(C56:D56)</f>
        <v>58769</v>
      </c>
      <c r="C56" s="184">
        <f t="shared" ref="C56:D56" si="53">SUM(C57:C63)</f>
        <v>32137</v>
      </c>
      <c r="D56" s="184">
        <f t="shared" si="53"/>
        <v>26632</v>
      </c>
      <c r="E56" s="184">
        <f>SUM(F56:G56)</f>
        <v>61864</v>
      </c>
      <c r="F56" s="184">
        <f t="shared" ref="F56:G56" si="54">SUM(F57:F63)</f>
        <v>33118</v>
      </c>
      <c r="G56" s="184">
        <f t="shared" si="54"/>
        <v>28746</v>
      </c>
      <c r="H56" s="184">
        <f>SUM(I56:J56)</f>
        <v>86274</v>
      </c>
      <c r="I56" s="184">
        <f t="shared" ref="I56:J56" si="55">SUM(I57:I63)</f>
        <v>45716</v>
      </c>
      <c r="J56" s="184">
        <f t="shared" si="55"/>
        <v>40558</v>
      </c>
      <c r="K56" s="232">
        <f>SUM(L56:M56)</f>
        <v>89078</v>
      </c>
      <c r="L56" s="232">
        <f t="shared" ref="L56:P56" si="56">SUM(L57:L63)</f>
        <v>48680</v>
      </c>
      <c r="M56" s="232">
        <f t="shared" si="56"/>
        <v>40398</v>
      </c>
      <c r="N56" s="232">
        <f t="shared" si="56"/>
        <v>99713</v>
      </c>
      <c r="O56" s="232">
        <f t="shared" si="56"/>
        <v>54981</v>
      </c>
      <c r="P56" s="232">
        <f t="shared" si="56"/>
        <v>44732</v>
      </c>
    </row>
    <row r="57" spans="1:16" x14ac:dyDescent="0.15">
      <c r="A57" s="180" t="s">
        <v>885</v>
      </c>
      <c r="B57" s="186">
        <f t="shared" si="5"/>
        <v>48271</v>
      </c>
      <c r="C57" s="186">
        <v>25877</v>
      </c>
      <c r="D57" s="186">
        <v>22394</v>
      </c>
      <c r="E57" s="186">
        <f t="shared" si="2"/>
        <v>48837</v>
      </c>
      <c r="F57" s="186">
        <v>26180</v>
      </c>
      <c r="G57" s="186">
        <v>22657</v>
      </c>
      <c r="H57" s="186">
        <f t="shared" si="3"/>
        <v>68480</v>
      </c>
      <c r="I57" s="186">
        <v>36335</v>
      </c>
      <c r="J57" s="186">
        <v>32145</v>
      </c>
      <c r="K57" s="229">
        <f t="shared" ref="K57:K63" si="57">SUM(L57:M57)</f>
        <v>70887</v>
      </c>
      <c r="L57" s="229">
        <v>38735</v>
      </c>
      <c r="M57" s="229">
        <v>32152</v>
      </c>
      <c r="N57" s="20">
        <v>75465</v>
      </c>
      <c r="O57" s="20">
        <v>42061</v>
      </c>
      <c r="P57" s="20">
        <v>33404</v>
      </c>
    </row>
    <row r="58" spans="1:16" x14ac:dyDescent="0.15">
      <c r="A58" s="180" t="s">
        <v>886</v>
      </c>
      <c r="B58" s="186">
        <f t="shared" si="5"/>
        <v>1377</v>
      </c>
      <c r="C58" s="186">
        <v>967</v>
      </c>
      <c r="D58" s="186">
        <v>410</v>
      </c>
      <c r="E58" s="186">
        <f t="shared" si="2"/>
        <v>1722</v>
      </c>
      <c r="F58" s="186">
        <v>1153</v>
      </c>
      <c r="G58" s="186">
        <v>569</v>
      </c>
      <c r="H58" s="186">
        <f t="shared" si="3"/>
        <v>2074</v>
      </c>
      <c r="I58" s="186">
        <v>1391</v>
      </c>
      <c r="J58" s="186">
        <v>683</v>
      </c>
      <c r="K58" s="229">
        <f t="shared" si="57"/>
        <v>3415</v>
      </c>
      <c r="L58" s="229">
        <v>2144</v>
      </c>
      <c r="M58" s="229">
        <v>1271</v>
      </c>
      <c r="N58" s="20">
        <v>3671</v>
      </c>
      <c r="O58" s="20">
        <v>2125</v>
      </c>
      <c r="P58" s="20">
        <v>1546</v>
      </c>
    </row>
    <row r="59" spans="1:16" x14ac:dyDescent="0.15">
      <c r="A59" s="180" t="s">
        <v>959</v>
      </c>
      <c r="B59" s="186">
        <f t="shared" si="5"/>
        <v>558</v>
      </c>
      <c r="C59" s="186">
        <v>304</v>
      </c>
      <c r="D59" s="186">
        <v>254</v>
      </c>
      <c r="E59" s="186">
        <f t="shared" si="2"/>
        <v>716</v>
      </c>
      <c r="F59" s="186">
        <v>363</v>
      </c>
      <c r="G59" s="186">
        <v>353</v>
      </c>
      <c r="H59" s="186">
        <f t="shared" si="3"/>
        <v>1364</v>
      </c>
      <c r="I59" s="186">
        <v>701</v>
      </c>
      <c r="J59" s="186">
        <v>663</v>
      </c>
      <c r="K59" s="229">
        <f t="shared" si="57"/>
        <v>1083</v>
      </c>
      <c r="L59" s="229">
        <v>586</v>
      </c>
      <c r="M59" s="229">
        <v>497</v>
      </c>
      <c r="N59" s="20">
        <v>1630</v>
      </c>
      <c r="O59" s="20">
        <v>1158</v>
      </c>
      <c r="P59" s="20">
        <v>472</v>
      </c>
    </row>
    <row r="60" spans="1:16" x14ac:dyDescent="0.15">
      <c r="A60" s="180" t="s">
        <v>888</v>
      </c>
      <c r="B60" s="186">
        <f t="shared" si="5"/>
        <v>468</v>
      </c>
      <c r="C60" s="186">
        <v>385</v>
      </c>
      <c r="D60" s="186">
        <v>83</v>
      </c>
      <c r="E60" s="186">
        <f t="shared" si="2"/>
        <v>427</v>
      </c>
      <c r="F60" s="186">
        <v>314</v>
      </c>
      <c r="G60" s="186">
        <v>113</v>
      </c>
      <c r="H60" s="186">
        <f t="shared" si="3"/>
        <v>472</v>
      </c>
      <c r="I60" s="186">
        <v>334</v>
      </c>
      <c r="J60" s="186">
        <v>138</v>
      </c>
      <c r="K60" s="229">
        <f t="shared" si="57"/>
        <v>656</v>
      </c>
      <c r="L60" s="229">
        <v>489</v>
      </c>
      <c r="M60" s="229">
        <v>167</v>
      </c>
      <c r="N60" s="20">
        <v>938</v>
      </c>
      <c r="O60" s="20">
        <v>650</v>
      </c>
      <c r="P60" s="20">
        <v>288</v>
      </c>
    </row>
    <row r="61" spans="1:16" x14ac:dyDescent="0.15">
      <c r="A61" s="180" t="s">
        <v>889</v>
      </c>
      <c r="B61" s="186">
        <f t="shared" si="5"/>
        <v>643</v>
      </c>
      <c r="C61" s="186">
        <v>419</v>
      </c>
      <c r="D61" s="186">
        <v>224</v>
      </c>
      <c r="E61" s="186">
        <f t="shared" si="2"/>
        <v>672</v>
      </c>
      <c r="F61" s="186">
        <v>417</v>
      </c>
      <c r="G61" s="186">
        <v>255</v>
      </c>
      <c r="H61" s="186">
        <f t="shared" si="3"/>
        <v>871</v>
      </c>
      <c r="I61" s="186">
        <v>503</v>
      </c>
      <c r="J61" s="186">
        <v>368</v>
      </c>
      <c r="K61" s="229">
        <f t="shared" si="57"/>
        <v>827</v>
      </c>
      <c r="L61" s="229">
        <v>508</v>
      </c>
      <c r="M61" s="229">
        <v>319</v>
      </c>
      <c r="N61" s="20">
        <v>1264</v>
      </c>
      <c r="O61" s="20">
        <v>769</v>
      </c>
      <c r="P61" s="20">
        <v>495</v>
      </c>
    </row>
    <row r="62" spans="1:16" x14ac:dyDescent="0.15">
      <c r="A62" s="180" t="s">
        <v>890</v>
      </c>
      <c r="B62" s="186">
        <f t="shared" si="5"/>
        <v>7452</v>
      </c>
      <c r="C62" s="186">
        <v>4185</v>
      </c>
      <c r="D62" s="186">
        <v>3267</v>
      </c>
      <c r="E62" s="186">
        <f t="shared" si="2"/>
        <v>9490</v>
      </c>
      <c r="F62" s="186">
        <v>4691</v>
      </c>
      <c r="G62" s="186">
        <v>4799</v>
      </c>
      <c r="H62" s="186">
        <f t="shared" si="3"/>
        <v>12839</v>
      </c>
      <c r="I62" s="186">
        <v>6308</v>
      </c>
      <c r="J62" s="186">
        <v>6531</v>
      </c>
      <c r="K62" s="229">
        <f t="shared" si="57"/>
        <v>11864</v>
      </c>
      <c r="L62" s="229">
        <v>5970</v>
      </c>
      <c r="M62" s="229">
        <v>5894</v>
      </c>
      <c r="N62" s="20">
        <v>16334</v>
      </c>
      <c r="O62" s="20">
        <v>7928</v>
      </c>
      <c r="P62" s="20">
        <v>8406</v>
      </c>
    </row>
    <row r="63" spans="1:16" x14ac:dyDescent="0.15">
      <c r="A63" s="180" t="s">
        <v>891</v>
      </c>
      <c r="B63" s="186">
        <f t="shared" si="5"/>
        <v>0</v>
      </c>
      <c r="C63" s="186">
        <v>0</v>
      </c>
      <c r="D63" s="186">
        <v>0</v>
      </c>
      <c r="E63" s="186">
        <f t="shared" si="2"/>
        <v>0</v>
      </c>
      <c r="F63" s="186">
        <v>0</v>
      </c>
      <c r="G63" s="186">
        <v>0</v>
      </c>
      <c r="H63" s="186">
        <f t="shared" si="3"/>
        <v>174</v>
      </c>
      <c r="I63" s="186">
        <v>144</v>
      </c>
      <c r="J63" s="186">
        <v>30</v>
      </c>
      <c r="K63" s="229">
        <f t="shared" si="57"/>
        <v>346</v>
      </c>
      <c r="L63" s="229">
        <v>248</v>
      </c>
      <c r="M63" s="229">
        <v>98</v>
      </c>
      <c r="N63" s="20">
        <v>411</v>
      </c>
      <c r="O63" s="20">
        <v>290</v>
      </c>
      <c r="P63" s="20">
        <v>121</v>
      </c>
    </row>
    <row r="64" spans="1:16" s="183" customFormat="1" x14ac:dyDescent="0.15">
      <c r="A64" s="183" t="s">
        <v>350</v>
      </c>
      <c r="B64" s="184">
        <f>SUM(C64:D64)</f>
        <v>262021</v>
      </c>
      <c r="C64" s="184">
        <f t="shared" ref="C64:D64" si="58">SUM(C65:C77)</f>
        <v>139831</v>
      </c>
      <c r="D64" s="184">
        <f t="shared" si="58"/>
        <v>122190</v>
      </c>
      <c r="E64" s="184">
        <f>SUM(F64:G64)</f>
        <v>371883</v>
      </c>
      <c r="F64" s="184">
        <f t="shared" ref="F64:G64" si="59">SUM(F65:F77)</f>
        <v>200400</v>
      </c>
      <c r="G64" s="184">
        <f t="shared" si="59"/>
        <v>171483</v>
      </c>
      <c r="H64" s="184">
        <f>SUM(I64:J64)</f>
        <v>462349</v>
      </c>
      <c r="I64" s="184">
        <f t="shared" ref="I64:J64" si="60">SUM(I65:I77)</f>
        <v>253199</v>
      </c>
      <c r="J64" s="184">
        <f t="shared" si="60"/>
        <v>209150</v>
      </c>
      <c r="K64" s="232">
        <f>SUM(L64:M64)</f>
        <v>437857</v>
      </c>
      <c r="L64" s="232">
        <f t="shared" ref="L64:P64" si="61">SUM(L65:L77)</f>
        <v>236949</v>
      </c>
      <c r="M64" s="232">
        <f t="shared" si="61"/>
        <v>200908</v>
      </c>
      <c r="N64" s="232">
        <f t="shared" si="61"/>
        <v>450797</v>
      </c>
      <c r="O64" s="232">
        <f t="shared" si="61"/>
        <v>241486</v>
      </c>
      <c r="P64" s="232">
        <f t="shared" si="61"/>
        <v>209311</v>
      </c>
    </row>
    <row r="65" spans="1:16" x14ac:dyDescent="0.15">
      <c r="A65" s="180" t="s">
        <v>892</v>
      </c>
      <c r="B65" s="186">
        <f t="shared" si="5"/>
        <v>37593</v>
      </c>
      <c r="C65" s="186">
        <v>19782</v>
      </c>
      <c r="D65" s="186">
        <v>17811</v>
      </c>
      <c r="E65" s="186">
        <f t="shared" si="2"/>
        <v>59823</v>
      </c>
      <c r="F65" s="186">
        <v>31423</v>
      </c>
      <c r="G65" s="186">
        <v>28400</v>
      </c>
      <c r="H65" s="186">
        <f t="shared" si="3"/>
        <v>81739</v>
      </c>
      <c r="I65" s="186">
        <v>42408</v>
      </c>
      <c r="J65" s="186">
        <v>39331</v>
      </c>
      <c r="K65" s="229">
        <f t="shared" ref="K65:K77" si="62">SUM(L65:M65)</f>
        <v>71010</v>
      </c>
      <c r="L65" s="229">
        <v>36720</v>
      </c>
      <c r="M65" s="229">
        <v>34290</v>
      </c>
      <c r="N65" s="20">
        <v>89621</v>
      </c>
      <c r="O65" s="20">
        <v>46869</v>
      </c>
      <c r="P65" s="20">
        <v>42752</v>
      </c>
    </row>
    <row r="66" spans="1:16" x14ac:dyDescent="0.15">
      <c r="A66" s="180" t="s">
        <v>893</v>
      </c>
      <c r="B66" s="186">
        <f t="shared" si="5"/>
        <v>23614</v>
      </c>
      <c r="C66" s="186">
        <v>12167</v>
      </c>
      <c r="D66" s="186">
        <v>11447</v>
      </c>
      <c r="E66" s="186">
        <f t="shared" si="2"/>
        <v>32103</v>
      </c>
      <c r="F66" s="186">
        <v>16159</v>
      </c>
      <c r="G66" s="186">
        <v>15944</v>
      </c>
      <c r="H66" s="186">
        <f t="shared" si="3"/>
        <v>35026</v>
      </c>
      <c r="I66" s="186">
        <v>17773</v>
      </c>
      <c r="J66" s="186">
        <v>17253</v>
      </c>
      <c r="K66" s="229">
        <f t="shared" si="62"/>
        <v>40829</v>
      </c>
      <c r="L66" s="229">
        <v>20306</v>
      </c>
      <c r="M66" s="229">
        <v>20523</v>
      </c>
      <c r="N66" s="20">
        <v>48476</v>
      </c>
      <c r="O66" s="20">
        <v>24174</v>
      </c>
      <c r="P66" s="20">
        <v>24302</v>
      </c>
    </row>
    <row r="67" spans="1:16" x14ac:dyDescent="0.15">
      <c r="A67" s="180" t="s">
        <v>894</v>
      </c>
      <c r="B67" s="186">
        <f t="shared" si="5"/>
        <v>9061</v>
      </c>
      <c r="C67" s="186">
        <v>4781</v>
      </c>
      <c r="D67" s="186">
        <v>4280</v>
      </c>
      <c r="E67" s="186">
        <f t="shared" si="2"/>
        <v>11832</v>
      </c>
      <c r="F67" s="186">
        <v>6383</v>
      </c>
      <c r="G67" s="186">
        <v>5449</v>
      </c>
      <c r="H67" s="186">
        <f t="shared" si="3"/>
        <v>14669</v>
      </c>
      <c r="I67" s="186">
        <v>7751</v>
      </c>
      <c r="J67" s="186">
        <v>6918</v>
      </c>
      <c r="K67" s="229">
        <f t="shared" si="62"/>
        <v>13645</v>
      </c>
      <c r="L67" s="229">
        <v>7572</v>
      </c>
      <c r="M67" s="229">
        <v>6073</v>
      </c>
      <c r="N67" s="20">
        <v>19895</v>
      </c>
      <c r="O67" s="20">
        <v>10305</v>
      </c>
      <c r="P67" s="20">
        <v>9590</v>
      </c>
    </row>
    <row r="68" spans="1:16" x14ac:dyDescent="0.15">
      <c r="A68" s="180" t="s">
        <v>895</v>
      </c>
      <c r="B68" s="186">
        <f t="shared" si="5"/>
        <v>4799</v>
      </c>
      <c r="C68" s="186">
        <v>2653</v>
      </c>
      <c r="D68" s="186">
        <v>2146</v>
      </c>
      <c r="E68" s="186">
        <f t="shared" si="2"/>
        <v>4594</v>
      </c>
      <c r="F68" s="186">
        <v>2575</v>
      </c>
      <c r="G68" s="186">
        <v>2019</v>
      </c>
      <c r="H68" s="186">
        <f t="shared" si="3"/>
        <v>6956</v>
      </c>
      <c r="I68" s="186">
        <v>3709</v>
      </c>
      <c r="J68" s="186">
        <v>3247</v>
      </c>
      <c r="K68" s="229">
        <f t="shared" si="62"/>
        <v>8687</v>
      </c>
      <c r="L68" s="229">
        <v>4596</v>
      </c>
      <c r="M68" s="229">
        <v>4091</v>
      </c>
      <c r="N68" s="20">
        <v>8136</v>
      </c>
      <c r="O68" s="20">
        <v>4319</v>
      </c>
      <c r="P68" s="20">
        <v>3817</v>
      </c>
    </row>
    <row r="69" spans="1:16" x14ac:dyDescent="0.15">
      <c r="A69" s="180" t="s">
        <v>896</v>
      </c>
      <c r="B69" s="186">
        <f t="shared" si="5"/>
        <v>85602</v>
      </c>
      <c r="C69" s="186">
        <v>45163</v>
      </c>
      <c r="D69" s="186">
        <v>40439</v>
      </c>
      <c r="E69" s="186">
        <f t="shared" si="2"/>
        <v>115761</v>
      </c>
      <c r="F69" s="186">
        <v>61661</v>
      </c>
      <c r="G69" s="186">
        <v>54100</v>
      </c>
      <c r="H69" s="186">
        <f t="shared" si="3"/>
        <v>136014</v>
      </c>
      <c r="I69" s="186">
        <v>74705</v>
      </c>
      <c r="J69" s="186">
        <v>61309</v>
      </c>
      <c r="K69" s="229">
        <f t="shared" si="62"/>
        <v>129373</v>
      </c>
      <c r="L69" s="229">
        <v>70969</v>
      </c>
      <c r="M69" s="229">
        <v>58404</v>
      </c>
      <c r="N69" s="20">
        <v>92631</v>
      </c>
      <c r="O69" s="20">
        <v>49227</v>
      </c>
      <c r="P69" s="20">
        <v>43404</v>
      </c>
    </row>
    <row r="70" spans="1:16" x14ac:dyDescent="0.15">
      <c r="A70" s="180" t="s">
        <v>897</v>
      </c>
      <c r="B70" s="186">
        <f t="shared" si="5"/>
        <v>16</v>
      </c>
      <c r="C70" s="186">
        <v>9</v>
      </c>
      <c r="D70" s="186">
        <v>7</v>
      </c>
      <c r="E70" s="186">
        <f t="shared" si="2"/>
        <v>50</v>
      </c>
      <c r="F70" s="186">
        <v>26</v>
      </c>
      <c r="G70" s="186">
        <v>24</v>
      </c>
      <c r="H70" s="186">
        <f t="shared" si="3"/>
        <v>64</v>
      </c>
      <c r="I70" s="186">
        <v>35</v>
      </c>
      <c r="J70" s="186">
        <v>29</v>
      </c>
      <c r="K70" s="229">
        <f t="shared" si="62"/>
        <v>102</v>
      </c>
      <c r="L70" s="229">
        <v>77</v>
      </c>
      <c r="M70" s="229">
        <v>25</v>
      </c>
      <c r="N70" s="20">
        <v>146</v>
      </c>
      <c r="O70" s="20">
        <v>93</v>
      </c>
      <c r="P70" s="20">
        <v>53</v>
      </c>
    </row>
    <row r="71" spans="1:16" x14ac:dyDescent="0.15">
      <c r="A71" s="180" t="s">
        <v>898</v>
      </c>
      <c r="B71" s="186">
        <f t="shared" si="5"/>
        <v>0</v>
      </c>
      <c r="C71" s="186">
        <v>0</v>
      </c>
      <c r="D71" s="186">
        <v>0</v>
      </c>
      <c r="E71" s="186">
        <f t="shared" si="2"/>
        <v>0</v>
      </c>
      <c r="F71" s="186">
        <v>0</v>
      </c>
      <c r="G71" s="186">
        <v>0</v>
      </c>
      <c r="H71" s="186">
        <f t="shared" si="3"/>
        <v>0</v>
      </c>
      <c r="I71" s="186">
        <v>0</v>
      </c>
      <c r="J71" s="186">
        <v>0</v>
      </c>
      <c r="K71" s="229">
        <f t="shared" si="62"/>
        <v>0</v>
      </c>
      <c r="L71" s="229">
        <v>0</v>
      </c>
      <c r="M71" s="229">
        <v>0</v>
      </c>
      <c r="N71" s="229">
        <f t="shared" ref="N71" si="63">SUM(O71:P71)</f>
        <v>0</v>
      </c>
      <c r="O71" s="229">
        <v>0</v>
      </c>
      <c r="P71" s="229">
        <v>0</v>
      </c>
    </row>
    <row r="72" spans="1:16" x14ac:dyDescent="0.15">
      <c r="A72" s="180" t="s">
        <v>899</v>
      </c>
      <c r="B72" s="186">
        <f t="shared" si="5"/>
        <v>29447</v>
      </c>
      <c r="C72" s="186">
        <v>16316</v>
      </c>
      <c r="D72" s="186">
        <v>13131</v>
      </c>
      <c r="E72" s="186">
        <f t="shared" si="2"/>
        <v>55641</v>
      </c>
      <c r="F72" s="186">
        <v>31854</v>
      </c>
      <c r="G72" s="186">
        <v>23787</v>
      </c>
      <c r="H72" s="186">
        <f t="shared" si="3"/>
        <v>84539</v>
      </c>
      <c r="I72" s="186">
        <v>48309</v>
      </c>
      <c r="J72" s="186">
        <v>36230</v>
      </c>
      <c r="K72" s="229">
        <f t="shared" si="62"/>
        <v>84924</v>
      </c>
      <c r="L72" s="229">
        <v>47483</v>
      </c>
      <c r="M72" s="229">
        <v>37441</v>
      </c>
      <c r="N72" s="20">
        <v>103425</v>
      </c>
      <c r="O72" s="20">
        <v>59663</v>
      </c>
      <c r="P72" s="20">
        <v>43762</v>
      </c>
    </row>
    <row r="73" spans="1:16" x14ac:dyDescent="0.15">
      <c r="A73" s="180" t="s">
        <v>900</v>
      </c>
      <c r="B73" s="186">
        <f t="shared" si="5"/>
        <v>0</v>
      </c>
      <c r="C73" s="186">
        <v>0</v>
      </c>
      <c r="D73" s="186">
        <v>0</v>
      </c>
      <c r="E73" s="186">
        <f t="shared" si="2"/>
        <v>341</v>
      </c>
      <c r="F73" s="186">
        <v>180</v>
      </c>
      <c r="G73" s="186">
        <v>161</v>
      </c>
      <c r="H73" s="186">
        <f t="shared" si="3"/>
        <v>624</v>
      </c>
      <c r="I73" s="186">
        <v>302</v>
      </c>
      <c r="J73" s="186">
        <v>322</v>
      </c>
      <c r="K73" s="229">
        <f t="shared" si="62"/>
        <v>820</v>
      </c>
      <c r="L73" s="229">
        <v>513</v>
      </c>
      <c r="M73" s="229">
        <v>307</v>
      </c>
      <c r="N73" s="20">
        <v>603</v>
      </c>
      <c r="O73" s="20">
        <v>317</v>
      </c>
      <c r="P73" s="20">
        <v>286</v>
      </c>
    </row>
    <row r="74" spans="1:16" x14ac:dyDescent="0.15">
      <c r="A74" s="180" t="s">
        <v>901</v>
      </c>
      <c r="B74" s="186">
        <f t="shared" si="5"/>
        <v>60</v>
      </c>
      <c r="C74" s="186">
        <v>57</v>
      </c>
      <c r="D74" s="186">
        <v>3</v>
      </c>
      <c r="E74" s="186">
        <f t="shared" si="2"/>
        <v>0</v>
      </c>
      <c r="F74" s="186">
        <v>0</v>
      </c>
      <c r="G74" s="186">
        <v>0</v>
      </c>
      <c r="H74" s="186">
        <f t="shared" si="3"/>
        <v>0</v>
      </c>
      <c r="I74" s="186">
        <v>0</v>
      </c>
      <c r="J74" s="186">
        <v>0</v>
      </c>
      <c r="K74" s="229">
        <f t="shared" si="62"/>
        <v>0</v>
      </c>
      <c r="L74" s="229">
        <v>0</v>
      </c>
      <c r="M74" s="229">
        <v>0</v>
      </c>
      <c r="N74" s="229">
        <f t="shared" ref="N74" si="64">SUM(O74:P74)</f>
        <v>0</v>
      </c>
      <c r="O74" s="229">
        <v>0</v>
      </c>
      <c r="P74" s="229">
        <v>0</v>
      </c>
    </row>
    <row r="75" spans="1:16" x14ac:dyDescent="0.15">
      <c r="A75" s="180" t="s">
        <v>902</v>
      </c>
      <c r="B75" s="186">
        <f t="shared" si="5"/>
        <v>31</v>
      </c>
      <c r="C75" s="186">
        <v>23</v>
      </c>
      <c r="D75" s="186">
        <v>8</v>
      </c>
      <c r="E75" s="186">
        <f t="shared" si="2"/>
        <v>3954</v>
      </c>
      <c r="F75" s="186">
        <v>2802</v>
      </c>
      <c r="G75" s="186">
        <v>1152</v>
      </c>
      <c r="H75" s="186">
        <f t="shared" si="3"/>
        <v>11207</v>
      </c>
      <c r="I75" s="186">
        <v>8358</v>
      </c>
      <c r="J75" s="186">
        <v>2849</v>
      </c>
      <c r="K75" s="229">
        <f t="shared" si="62"/>
        <v>8751</v>
      </c>
      <c r="L75" s="229">
        <v>6164</v>
      </c>
      <c r="M75" s="229">
        <v>2587</v>
      </c>
      <c r="N75" s="20">
        <v>6233</v>
      </c>
      <c r="O75" s="20">
        <v>4025</v>
      </c>
      <c r="P75" s="20">
        <v>2208</v>
      </c>
    </row>
    <row r="76" spans="1:16" x14ac:dyDescent="0.15">
      <c r="A76" s="180" t="s">
        <v>903</v>
      </c>
      <c r="B76" s="186">
        <f t="shared" si="5"/>
        <v>2335</v>
      </c>
      <c r="C76" s="186">
        <v>1106</v>
      </c>
      <c r="D76" s="186">
        <v>1229</v>
      </c>
      <c r="E76" s="186">
        <f t="shared" ref="E76:E124" si="65">SUM(F76:G76)</f>
        <v>2731</v>
      </c>
      <c r="F76" s="186">
        <v>1257</v>
      </c>
      <c r="G76" s="186">
        <v>1474</v>
      </c>
      <c r="H76" s="186">
        <f t="shared" ref="H76:H124" si="66">SUM(I76:J76)</f>
        <v>5656</v>
      </c>
      <c r="I76" s="186">
        <v>2836</v>
      </c>
      <c r="J76" s="186">
        <v>2820</v>
      </c>
      <c r="K76" s="229">
        <f t="shared" si="62"/>
        <v>6244</v>
      </c>
      <c r="L76" s="229">
        <v>3138</v>
      </c>
      <c r="M76" s="229">
        <v>3106</v>
      </c>
      <c r="N76" s="20">
        <v>6680</v>
      </c>
      <c r="O76" s="20">
        <v>3353</v>
      </c>
      <c r="P76" s="20">
        <v>3327</v>
      </c>
    </row>
    <row r="77" spans="1:16" x14ac:dyDescent="0.15">
      <c r="A77" s="180" t="s">
        <v>904</v>
      </c>
      <c r="B77" s="186">
        <f t="shared" ref="B77:B124" si="67">SUM(C77:D77)</f>
        <v>69463</v>
      </c>
      <c r="C77" s="186">
        <v>37774</v>
      </c>
      <c r="D77" s="186">
        <v>31689</v>
      </c>
      <c r="E77" s="186">
        <f t="shared" si="65"/>
        <v>85053</v>
      </c>
      <c r="F77" s="186">
        <v>46080</v>
      </c>
      <c r="G77" s="186">
        <v>38973</v>
      </c>
      <c r="H77" s="186">
        <f t="shared" si="66"/>
        <v>85855</v>
      </c>
      <c r="I77" s="186">
        <v>47013</v>
      </c>
      <c r="J77" s="186">
        <v>38842</v>
      </c>
      <c r="K77" s="229">
        <f t="shared" si="62"/>
        <v>73472</v>
      </c>
      <c r="L77" s="229">
        <v>39411</v>
      </c>
      <c r="M77" s="229">
        <v>34061</v>
      </c>
      <c r="N77" s="20">
        <v>74951</v>
      </c>
      <c r="O77" s="20">
        <v>39141</v>
      </c>
      <c r="P77" s="20">
        <v>35810</v>
      </c>
    </row>
    <row r="78" spans="1:16" s="183" customFormat="1" x14ac:dyDescent="0.15">
      <c r="A78" s="183" t="s">
        <v>16</v>
      </c>
      <c r="B78" s="184">
        <f>SUM(C78:D78)</f>
        <v>1159</v>
      </c>
      <c r="C78" s="184">
        <f t="shared" ref="C78:D78" si="68">SUM(C79:C80)</f>
        <v>762</v>
      </c>
      <c r="D78" s="184">
        <f t="shared" si="68"/>
        <v>397</v>
      </c>
      <c r="E78" s="184">
        <f>SUM(F78:G78)</f>
        <v>1221</v>
      </c>
      <c r="F78" s="184">
        <f t="shared" ref="F78:G78" si="69">SUM(F79:F80)</f>
        <v>687</v>
      </c>
      <c r="G78" s="184">
        <f t="shared" si="69"/>
        <v>534</v>
      </c>
      <c r="H78" s="184">
        <f>SUM(I78:J78)</f>
        <v>2322</v>
      </c>
      <c r="I78" s="184">
        <f t="shared" ref="I78:J78" si="70">SUM(I79:I80)</f>
        <v>1344</v>
      </c>
      <c r="J78" s="184">
        <f t="shared" si="70"/>
        <v>978</v>
      </c>
      <c r="K78" s="232">
        <f>SUM(L78:M78)</f>
        <v>4521</v>
      </c>
      <c r="L78" s="232">
        <f t="shared" ref="L78:P78" si="71">SUM(L79:L80)</f>
        <v>2402</v>
      </c>
      <c r="M78" s="232">
        <f t="shared" si="71"/>
        <v>2119</v>
      </c>
      <c r="N78" s="232">
        <f t="shared" si="71"/>
        <v>7122</v>
      </c>
      <c r="O78" s="232">
        <f t="shared" si="71"/>
        <v>4054</v>
      </c>
      <c r="P78" s="232">
        <f t="shared" si="71"/>
        <v>3068</v>
      </c>
    </row>
    <row r="79" spans="1:16" x14ac:dyDescent="0.15">
      <c r="A79" s="180" t="s">
        <v>905</v>
      </c>
      <c r="B79" s="186">
        <f t="shared" si="67"/>
        <v>869</v>
      </c>
      <c r="C79" s="186">
        <v>587</v>
      </c>
      <c r="D79" s="186">
        <v>282</v>
      </c>
      <c r="E79" s="186">
        <f t="shared" si="65"/>
        <v>528</v>
      </c>
      <c r="F79" s="186">
        <v>268</v>
      </c>
      <c r="G79" s="186">
        <v>260</v>
      </c>
      <c r="H79" s="186">
        <f t="shared" si="66"/>
        <v>1198</v>
      </c>
      <c r="I79" s="186">
        <v>733</v>
      </c>
      <c r="J79" s="186">
        <v>465</v>
      </c>
      <c r="K79" s="229">
        <f>SUM(L79:M79)</f>
        <v>1125</v>
      </c>
      <c r="L79" s="229">
        <v>706</v>
      </c>
      <c r="M79" s="229">
        <v>419</v>
      </c>
      <c r="N79" s="20">
        <v>2230</v>
      </c>
      <c r="O79" s="20">
        <v>1248</v>
      </c>
      <c r="P79" s="20">
        <v>982</v>
      </c>
    </row>
    <row r="80" spans="1:16" x14ac:dyDescent="0.15">
      <c r="A80" s="180" t="s">
        <v>906</v>
      </c>
      <c r="B80" s="186">
        <f t="shared" si="67"/>
        <v>290</v>
      </c>
      <c r="C80" s="186">
        <v>175</v>
      </c>
      <c r="D80" s="186">
        <v>115</v>
      </c>
      <c r="E80" s="186">
        <f t="shared" si="65"/>
        <v>693</v>
      </c>
      <c r="F80" s="186">
        <v>419</v>
      </c>
      <c r="G80" s="186">
        <v>274</v>
      </c>
      <c r="H80" s="186">
        <f t="shared" si="66"/>
        <v>1124</v>
      </c>
      <c r="I80" s="186">
        <v>611</v>
      </c>
      <c r="J80" s="186">
        <v>513</v>
      </c>
      <c r="K80" s="229">
        <f t="shared" ref="K80" si="72">SUM(L80:M80)</f>
        <v>3396</v>
      </c>
      <c r="L80" s="229">
        <v>1696</v>
      </c>
      <c r="M80" s="229">
        <v>1700</v>
      </c>
      <c r="N80" s="20">
        <v>4892</v>
      </c>
      <c r="O80" s="20">
        <v>2806</v>
      </c>
      <c r="P80" s="20">
        <v>2086</v>
      </c>
    </row>
    <row r="81" spans="1:16" s="183" customFormat="1" x14ac:dyDescent="0.15">
      <c r="A81" s="183" t="s">
        <v>17</v>
      </c>
      <c r="B81" s="184">
        <f>SUM(C81:D81)</f>
        <v>430663</v>
      </c>
      <c r="C81" s="184">
        <f t="shared" ref="C81:D81" si="73">SUM(C82:C92)</f>
        <v>223681</v>
      </c>
      <c r="D81" s="184">
        <f t="shared" si="73"/>
        <v>206982</v>
      </c>
      <c r="E81" s="184">
        <f>SUM(F81:G81)</f>
        <v>514248</v>
      </c>
      <c r="F81" s="184">
        <f t="shared" ref="F81:G81" si="74">SUM(F82:F92)</f>
        <v>253561</v>
      </c>
      <c r="G81" s="184">
        <f t="shared" si="74"/>
        <v>260687</v>
      </c>
      <c r="H81" s="184">
        <f>SUM(I81:J81)</f>
        <v>568391</v>
      </c>
      <c r="I81" s="184">
        <f t="shared" ref="I81:J81" si="75">SUM(I82:I92)</f>
        <v>275349</v>
      </c>
      <c r="J81" s="184">
        <f t="shared" si="75"/>
        <v>293042</v>
      </c>
      <c r="K81" s="232">
        <f>SUM(L81:M81)</f>
        <v>631151</v>
      </c>
      <c r="L81" s="232">
        <f>SUM(L82:L92)</f>
        <v>307259</v>
      </c>
      <c r="M81" s="232">
        <f t="shared" ref="M81:P81" si="76">SUM(M82:M92)</f>
        <v>323892</v>
      </c>
      <c r="N81" s="232">
        <f t="shared" si="76"/>
        <v>677011</v>
      </c>
      <c r="O81" s="232">
        <f t="shared" si="76"/>
        <v>336044</v>
      </c>
      <c r="P81" s="232">
        <f t="shared" si="76"/>
        <v>340967</v>
      </c>
    </row>
    <row r="82" spans="1:16" x14ac:dyDescent="0.15">
      <c r="A82" s="180" t="s">
        <v>907</v>
      </c>
      <c r="B82" s="186">
        <f t="shared" si="67"/>
        <v>20950</v>
      </c>
      <c r="C82" s="186">
        <v>9828</v>
      </c>
      <c r="D82" s="186">
        <v>11122</v>
      </c>
      <c r="E82" s="186">
        <f t="shared" si="65"/>
        <v>27049</v>
      </c>
      <c r="F82" s="186">
        <v>12548</v>
      </c>
      <c r="G82" s="186">
        <v>14501</v>
      </c>
      <c r="H82" s="186">
        <f t="shared" si="66"/>
        <v>31142</v>
      </c>
      <c r="I82" s="186">
        <v>14110</v>
      </c>
      <c r="J82" s="186">
        <v>17032</v>
      </c>
      <c r="K82" s="229">
        <f t="shared" ref="K82:K92" si="77">SUM(L82:M82)</f>
        <v>39666</v>
      </c>
      <c r="L82" s="229">
        <v>17637</v>
      </c>
      <c r="M82" s="229">
        <v>22029</v>
      </c>
      <c r="N82" s="20">
        <v>48624</v>
      </c>
      <c r="O82" s="20">
        <v>22486</v>
      </c>
      <c r="P82" s="20">
        <v>26138</v>
      </c>
    </row>
    <row r="83" spans="1:16" x14ac:dyDescent="0.15">
      <c r="A83" s="180" t="s">
        <v>908</v>
      </c>
      <c r="B83" s="186">
        <f t="shared" si="67"/>
        <v>95062</v>
      </c>
      <c r="C83" s="186">
        <v>46054</v>
      </c>
      <c r="D83" s="186">
        <v>49008</v>
      </c>
      <c r="E83" s="186">
        <f t="shared" si="65"/>
        <v>133037</v>
      </c>
      <c r="F83" s="186">
        <v>64681</v>
      </c>
      <c r="G83" s="186">
        <v>68356</v>
      </c>
      <c r="H83" s="186">
        <f t="shared" si="66"/>
        <v>124272</v>
      </c>
      <c r="I83" s="186">
        <v>60506</v>
      </c>
      <c r="J83" s="186">
        <v>63766</v>
      </c>
      <c r="K83" s="229">
        <f t="shared" si="77"/>
        <v>137778</v>
      </c>
      <c r="L83" s="229">
        <v>65122</v>
      </c>
      <c r="M83" s="229">
        <v>72656</v>
      </c>
      <c r="N83" s="20">
        <v>126613</v>
      </c>
      <c r="O83" s="20">
        <v>61061</v>
      </c>
      <c r="P83" s="20">
        <v>65552</v>
      </c>
    </row>
    <row r="84" spans="1:16" x14ac:dyDescent="0.15">
      <c r="A84" s="180" t="s">
        <v>909</v>
      </c>
      <c r="B84" s="186">
        <f t="shared" si="67"/>
        <v>293266</v>
      </c>
      <c r="C84" s="186">
        <v>156670</v>
      </c>
      <c r="D84" s="186">
        <v>136596</v>
      </c>
      <c r="E84" s="186">
        <f t="shared" si="65"/>
        <v>332334</v>
      </c>
      <c r="F84" s="186">
        <v>164755</v>
      </c>
      <c r="G84" s="186">
        <v>167579</v>
      </c>
      <c r="H84" s="186">
        <f t="shared" si="66"/>
        <v>386287</v>
      </c>
      <c r="I84" s="186">
        <v>187131</v>
      </c>
      <c r="J84" s="186">
        <v>199156</v>
      </c>
      <c r="K84" s="229">
        <f t="shared" si="77"/>
        <v>415625</v>
      </c>
      <c r="L84" s="229">
        <v>205040</v>
      </c>
      <c r="M84" s="229">
        <v>210585</v>
      </c>
      <c r="N84" s="20">
        <v>468523</v>
      </c>
      <c r="O84" s="20">
        <v>235247</v>
      </c>
      <c r="P84" s="20">
        <v>233276</v>
      </c>
    </row>
    <row r="85" spans="1:16" x14ac:dyDescent="0.15">
      <c r="A85" s="180" t="s">
        <v>910</v>
      </c>
      <c r="B85" s="186">
        <f t="shared" si="67"/>
        <v>11721</v>
      </c>
      <c r="C85" s="186">
        <v>6175</v>
      </c>
      <c r="D85" s="186">
        <v>5546</v>
      </c>
      <c r="E85" s="186">
        <f t="shared" si="65"/>
        <v>12189</v>
      </c>
      <c r="F85" s="186">
        <v>6506</v>
      </c>
      <c r="G85" s="186">
        <v>5683</v>
      </c>
      <c r="H85" s="186">
        <f t="shared" si="66"/>
        <v>15728</v>
      </c>
      <c r="I85" s="186">
        <v>8105</v>
      </c>
      <c r="J85" s="186">
        <v>7623</v>
      </c>
      <c r="K85" s="229">
        <f t="shared" si="77"/>
        <v>16583</v>
      </c>
      <c r="L85" s="229">
        <v>8727</v>
      </c>
      <c r="M85" s="229">
        <v>7856</v>
      </c>
      <c r="N85" s="20">
        <v>20265</v>
      </c>
      <c r="O85" s="20">
        <v>10556</v>
      </c>
      <c r="P85" s="20">
        <v>9709</v>
      </c>
    </row>
    <row r="86" spans="1:16" x14ac:dyDescent="0.15">
      <c r="A86" s="180" t="s">
        <v>911</v>
      </c>
      <c r="B86" s="186">
        <f t="shared" si="67"/>
        <v>351</v>
      </c>
      <c r="C86" s="186">
        <v>191</v>
      </c>
      <c r="D86" s="186">
        <v>160</v>
      </c>
      <c r="E86" s="186">
        <f t="shared" si="65"/>
        <v>0</v>
      </c>
      <c r="F86" s="186">
        <v>0</v>
      </c>
      <c r="G86" s="186">
        <v>0</v>
      </c>
      <c r="H86" s="186">
        <f t="shared" si="66"/>
        <v>621</v>
      </c>
      <c r="I86" s="186">
        <v>415</v>
      </c>
      <c r="J86" s="186">
        <v>206</v>
      </c>
      <c r="K86" s="229">
        <f t="shared" si="77"/>
        <v>1928</v>
      </c>
      <c r="L86" s="229">
        <v>1227</v>
      </c>
      <c r="M86" s="229">
        <v>701</v>
      </c>
      <c r="N86" s="20">
        <v>1916</v>
      </c>
      <c r="O86" s="20">
        <v>1062</v>
      </c>
      <c r="P86" s="20">
        <v>854</v>
      </c>
    </row>
    <row r="87" spans="1:16" x14ac:dyDescent="0.15">
      <c r="A87" s="180" t="s">
        <v>912</v>
      </c>
      <c r="B87" s="186">
        <f t="shared" si="67"/>
        <v>0</v>
      </c>
      <c r="C87" s="186">
        <v>0</v>
      </c>
      <c r="D87" s="186">
        <v>0</v>
      </c>
      <c r="E87" s="186">
        <f t="shared" si="65"/>
        <v>0</v>
      </c>
      <c r="F87" s="186">
        <v>0</v>
      </c>
      <c r="G87" s="186">
        <v>0</v>
      </c>
      <c r="H87" s="186">
        <f t="shared" si="66"/>
        <v>0</v>
      </c>
      <c r="I87" s="186">
        <v>0</v>
      </c>
      <c r="J87" s="186">
        <v>0</v>
      </c>
      <c r="K87" s="229">
        <f t="shared" si="77"/>
        <v>0</v>
      </c>
      <c r="L87" s="229">
        <v>0</v>
      </c>
      <c r="M87" s="229">
        <v>0</v>
      </c>
      <c r="N87" s="229">
        <f t="shared" ref="N87:N88" si="78">SUM(O87:P87)</f>
        <v>0</v>
      </c>
      <c r="O87" s="229">
        <v>0</v>
      </c>
      <c r="P87" s="229">
        <v>0</v>
      </c>
    </row>
    <row r="88" spans="1:16" x14ac:dyDescent="0.15">
      <c r="A88" s="180" t="s">
        <v>913</v>
      </c>
      <c r="B88" s="186">
        <f t="shared" si="67"/>
        <v>0</v>
      </c>
      <c r="C88" s="186">
        <v>0</v>
      </c>
      <c r="D88" s="186">
        <v>0</v>
      </c>
      <c r="E88" s="186">
        <f t="shared" si="65"/>
        <v>0</v>
      </c>
      <c r="F88" s="186">
        <v>0</v>
      </c>
      <c r="G88" s="186">
        <v>0</v>
      </c>
      <c r="H88" s="186">
        <f t="shared" si="66"/>
        <v>0</v>
      </c>
      <c r="I88" s="186">
        <v>0</v>
      </c>
      <c r="J88" s="186">
        <v>0</v>
      </c>
      <c r="K88" s="229">
        <f t="shared" si="77"/>
        <v>0</v>
      </c>
      <c r="L88" s="229">
        <v>0</v>
      </c>
      <c r="M88" s="229">
        <v>0</v>
      </c>
      <c r="N88" s="229">
        <f t="shared" si="78"/>
        <v>0</v>
      </c>
      <c r="O88" s="229">
        <v>0</v>
      </c>
      <c r="P88" s="229">
        <v>0</v>
      </c>
    </row>
    <row r="89" spans="1:16" x14ac:dyDescent="0.15">
      <c r="A89" s="180" t="s">
        <v>914</v>
      </c>
      <c r="B89" s="186">
        <f t="shared" si="67"/>
        <v>2185</v>
      </c>
      <c r="C89" s="186">
        <v>1268</v>
      </c>
      <c r="D89" s="186">
        <v>917</v>
      </c>
      <c r="E89" s="186">
        <f t="shared" si="65"/>
        <v>2988</v>
      </c>
      <c r="F89" s="186">
        <v>1766</v>
      </c>
      <c r="G89" s="186">
        <v>1222</v>
      </c>
      <c r="H89" s="186">
        <f t="shared" si="66"/>
        <v>3241</v>
      </c>
      <c r="I89" s="186">
        <v>1881</v>
      </c>
      <c r="J89" s="186">
        <v>1360</v>
      </c>
      <c r="K89" s="229">
        <f t="shared" si="77"/>
        <v>4245</v>
      </c>
      <c r="L89" s="229">
        <v>2469</v>
      </c>
      <c r="M89" s="229">
        <v>1776</v>
      </c>
      <c r="N89" s="20">
        <v>3401</v>
      </c>
      <c r="O89" s="20">
        <v>1967</v>
      </c>
      <c r="P89" s="20">
        <v>1434</v>
      </c>
    </row>
    <row r="90" spans="1:16" x14ac:dyDescent="0.15">
      <c r="A90" s="180" t="s">
        <v>915</v>
      </c>
      <c r="B90" s="186">
        <f t="shared" si="67"/>
        <v>305</v>
      </c>
      <c r="C90" s="186">
        <v>181</v>
      </c>
      <c r="D90" s="186">
        <v>124</v>
      </c>
      <c r="E90" s="186">
        <f t="shared" si="65"/>
        <v>471</v>
      </c>
      <c r="F90" s="186">
        <v>281</v>
      </c>
      <c r="G90" s="186">
        <v>190</v>
      </c>
      <c r="H90" s="186">
        <f t="shared" si="66"/>
        <v>560</v>
      </c>
      <c r="I90" s="186">
        <v>310</v>
      </c>
      <c r="J90" s="186">
        <v>250</v>
      </c>
      <c r="K90" s="229">
        <f t="shared" si="77"/>
        <v>769</v>
      </c>
      <c r="L90" s="229">
        <v>408</v>
      </c>
      <c r="M90" s="229">
        <v>361</v>
      </c>
      <c r="N90" s="20">
        <v>1246</v>
      </c>
      <c r="O90" s="20">
        <v>666</v>
      </c>
      <c r="P90" s="20">
        <v>580</v>
      </c>
    </row>
    <row r="91" spans="1:16" x14ac:dyDescent="0.15">
      <c r="A91" s="180" t="s">
        <v>916</v>
      </c>
      <c r="B91" s="186">
        <f t="shared" si="67"/>
        <v>2829</v>
      </c>
      <c r="C91" s="186">
        <v>1357</v>
      </c>
      <c r="D91" s="186">
        <v>1472</v>
      </c>
      <c r="E91" s="186">
        <f t="shared" si="65"/>
        <v>1907</v>
      </c>
      <c r="F91" s="186">
        <v>851</v>
      </c>
      <c r="G91" s="186">
        <v>1056</v>
      </c>
      <c r="H91" s="186">
        <f t="shared" si="66"/>
        <v>1855</v>
      </c>
      <c r="I91" s="186">
        <v>793</v>
      </c>
      <c r="J91" s="186">
        <v>1062</v>
      </c>
      <c r="K91" s="229">
        <f t="shared" si="77"/>
        <v>7928</v>
      </c>
      <c r="L91" s="229">
        <v>3635</v>
      </c>
      <c r="M91" s="229">
        <v>4293</v>
      </c>
      <c r="N91" s="20">
        <v>1316</v>
      </c>
      <c r="O91" s="20">
        <v>648</v>
      </c>
      <c r="P91" s="20">
        <v>668</v>
      </c>
    </row>
    <row r="92" spans="1:16" x14ac:dyDescent="0.15">
      <c r="A92" s="180" t="s">
        <v>917</v>
      </c>
      <c r="B92" s="186">
        <f t="shared" si="67"/>
        <v>3994</v>
      </c>
      <c r="C92" s="186">
        <v>1957</v>
      </c>
      <c r="D92" s="186">
        <v>2037</v>
      </c>
      <c r="E92" s="186">
        <f t="shared" si="65"/>
        <v>4273</v>
      </c>
      <c r="F92" s="186">
        <v>2173</v>
      </c>
      <c r="G92" s="186">
        <v>2100</v>
      </c>
      <c r="H92" s="186">
        <f t="shared" si="66"/>
        <v>4685</v>
      </c>
      <c r="I92" s="186">
        <v>2098</v>
      </c>
      <c r="J92" s="186">
        <v>2587</v>
      </c>
      <c r="K92" s="229">
        <f t="shared" si="77"/>
        <v>6629</v>
      </c>
      <c r="L92" s="229">
        <v>2994</v>
      </c>
      <c r="M92" s="229">
        <v>3635</v>
      </c>
      <c r="N92" s="20">
        <v>5107</v>
      </c>
      <c r="O92" s="20">
        <v>2351</v>
      </c>
      <c r="P92" s="20">
        <v>2756</v>
      </c>
    </row>
    <row r="93" spans="1:16" s="183" customFormat="1" x14ac:dyDescent="0.15">
      <c r="A93" s="183" t="s">
        <v>18</v>
      </c>
      <c r="B93" s="184">
        <f>SUM(C93:D93)</f>
        <v>32341</v>
      </c>
      <c r="C93" s="184">
        <f>SUM(C94:C112)</f>
        <v>18757</v>
      </c>
      <c r="D93" s="184">
        <f>SUM(D94:D112)</f>
        <v>13584</v>
      </c>
      <c r="E93" s="184">
        <f>SUM(F93:G93)</f>
        <v>32544</v>
      </c>
      <c r="F93" s="184">
        <f>SUM(F94:F112)</f>
        <v>18632</v>
      </c>
      <c r="G93" s="184">
        <f>SUM(G94:G112)</f>
        <v>13912</v>
      </c>
      <c r="H93" s="184">
        <f>SUM(I93:J93)</f>
        <v>50008</v>
      </c>
      <c r="I93" s="184">
        <f>SUM(I94:I112)</f>
        <v>26568</v>
      </c>
      <c r="J93" s="184">
        <f>SUM(J94:J112)</f>
        <v>23440</v>
      </c>
      <c r="K93" s="232">
        <f>SUM(L93:M93)</f>
        <v>52931</v>
      </c>
      <c r="L93" s="232">
        <f>SUM(L94:L112)</f>
        <v>30698</v>
      </c>
      <c r="M93" s="232">
        <f>SUM(M94:M112)</f>
        <v>22233</v>
      </c>
      <c r="N93" s="232">
        <f t="shared" ref="N93:P93" si="79">SUM(N94:N112)</f>
        <v>73451</v>
      </c>
      <c r="O93" s="232">
        <f t="shared" si="79"/>
        <v>42884</v>
      </c>
      <c r="P93" s="232">
        <f t="shared" si="79"/>
        <v>30567</v>
      </c>
    </row>
    <row r="94" spans="1:16" x14ac:dyDescent="0.15">
      <c r="A94" s="180" t="s">
        <v>960</v>
      </c>
      <c r="B94" s="186">
        <f t="shared" si="67"/>
        <v>0</v>
      </c>
      <c r="C94" s="186">
        <v>0</v>
      </c>
      <c r="D94" s="186">
        <v>0</v>
      </c>
      <c r="E94" s="186">
        <f t="shared" si="65"/>
        <v>0</v>
      </c>
      <c r="F94" s="186">
        <v>0</v>
      </c>
      <c r="G94" s="186">
        <v>0</v>
      </c>
      <c r="H94" s="186">
        <f t="shared" si="66"/>
        <v>0</v>
      </c>
      <c r="I94" s="186">
        <v>0</v>
      </c>
      <c r="J94" s="186">
        <v>0</v>
      </c>
      <c r="K94" s="229">
        <f t="shared" ref="K94:K112" si="80">SUM(L94:M94)</f>
        <v>0</v>
      </c>
      <c r="L94" s="229">
        <v>0</v>
      </c>
      <c r="M94" s="229">
        <v>0</v>
      </c>
      <c r="N94" s="229">
        <f t="shared" ref="N94:N95" si="81">SUM(O94:P94)</f>
        <v>0</v>
      </c>
      <c r="O94" s="229">
        <v>0</v>
      </c>
      <c r="P94" s="229">
        <v>0</v>
      </c>
    </row>
    <row r="95" spans="1:16" x14ac:dyDescent="0.15">
      <c r="A95" s="180" t="s">
        <v>961</v>
      </c>
      <c r="B95" s="186">
        <f t="shared" si="67"/>
        <v>0</v>
      </c>
      <c r="C95" s="186">
        <v>0</v>
      </c>
      <c r="D95" s="186">
        <v>0</v>
      </c>
      <c r="E95" s="186">
        <f t="shared" si="65"/>
        <v>0</v>
      </c>
      <c r="F95" s="186">
        <v>0</v>
      </c>
      <c r="G95" s="186">
        <v>0</v>
      </c>
      <c r="H95" s="186">
        <f t="shared" si="66"/>
        <v>0</v>
      </c>
      <c r="I95" s="186">
        <v>0</v>
      </c>
      <c r="J95" s="186">
        <v>0</v>
      </c>
      <c r="K95" s="229">
        <f t="shared" si="80"/>
        <v>0</v>
      </c>
      <c r="L95" s="229">
        <v>0</v>
      </c>
      <c r="M95" s="229">
        <v>0</v>
      </c>
      <c r="N95" s="229">
        <f t="shared" si="81"/>
        <v>0</v>
      </c>
      <c r="O95" s="229">
        <v>0</v>
      </c>
      <c r="P95" s="229">
        <v>0</v>
      </c>
    </row>
    <row r="96" spans="1:16" x14ac:dyDescent="0.15">
      <c r="A96" s="180" t="s">
        <v>920</v>
      </c>
      <c r="B96" s="186">
        <f t="shared" si="67"/>
        <v>328</v>
      </c>
      <c r="C96" s="186">
        <v>247</v>
      </c>
      <c r="D96" s="186">
        <v>81</v>
      </c>
      <c r="E96" s="186">
        <f t="shared" si="65"/>
        <v>386</v>
      </c>
      <c r="F96" s="186">
        <v>238</v>
      </c>
      <c r="G96" s="186">
        <v>148</v>
      </c>
      <c r="H96" s="186">
        <f t="shared" si="66"/>
        <v>1022</v>
      </c>
      <c r="I96" s="186">
        <v>531</v>
      </c>
      <c r="J96" s="186">
        <v>491</v>
      </c>
      <c r="K96" s="229">
        <f t="shared" si="80"/>
        <v>1944</v>
      </c>
      <c r="L96" s="229">
        <v>1070</v>
      </c>
      <c r="M96" s="229">
        <v>874</v>
      </c>
      <c r="N96" s="20">
        <v>4728</v>
      </c>
      <c r="O96" s="20">
        <v>2388</v>
      </c>
      <c r="P96" s="20">
        <v>2340</v>
      </c>
    </row>
    <row r="97" spans="1:16" x14ac:dyDescent="0.15">
      <c r="A97" s="180" t="s">
        <v>921</v>
      </c>
      <c r="B97" s="186">
        <f t="shared" si="67"/>
        <v>12595</v>
      </c>
      <c r="C97" s="186">
        <v>7720</v>
      </c>
      <c r="D97" s="186">
        <v>4875</v>
      </c>
      <c r="E97" s="186">
        <f t="shared" si="65"/>
        <v>11405</v>
      </c>
      <c r="F97" s="186">
        <v>6621</v>
      </c>
      <c r="G97" s="186">
        <v>4784</v>
      </c>
      <c r="H97" s="186">
        <f t="shared" si="66"/>
        <v>16231</v>
      </c>
      <c r="I97" s="186">
        <v>8143</v>
      </c>
      <c r="J97" s="186">
        <v>8088</v>
      </c>
      <c r="K97" s="229">
        <f t="shared" si="80"/>
        <v>18012</v>
      </c>
      <c r="L97" s="229">
        <v>11584</v>
      </c>
      <c r="M97" s="229">
        <v>6428</v>
      </c>
      <c r="N97" s="20">
        <v>23999</v>
      </c>
      <c r="O97" s="20">
        <v>16104</v>
      </c>
      <c r="P97" s="20">
        <v>7895</v>
      </c>
    </row>
    <row r="98" spans="1:16" x14ac:dyDescent="0.15">
      <c r="A98" s="180" t="s">
        <v>922</v>
      </c>
      <c r="B98" s="186">
        <f t="shared" si="67"/>
        <v>1923</v>
      </c>
      <c r="C98" s="186">
        <v>1104</v>
      </c>
      <c r="D98" s="186">
        <v>819</v>
      </c>
      <c r="E98" s="186">
        <f t="shared" si="65"/>
        <v>1575</v>
      </c>
      <c r="F98" s="186">
        <v>949</v>
      </c>
      <c r="G98" s="186">
        <v>626</v>
      </c>
      <c r="H98" s="186">
        <f t="shared" si="66"/>
        <v>2893</v>
      </c>
      <c r="I98" s="186">
        <v>1604</v>
      </c>
      <c r="J98" s="186">
        <v>1289</v>
      </c>
      <c r="K98" s="229">
        <f t="shared" si="80"/>
        <v>2123</v>
      </c>
      <c r="L98" s="229">
        <v>1089</v>
      </c>
      <c r="M98" s="229">
        <v>1034</v>
      </c>
      <c r="N98" s="20">
        <v>2737</v>
      </c>
      <c r="O98" s="20">
        <v>1221</v>
      </c>
      <c r="P98" s="20">
        <v>1516</v>
      </c>
    </row>
    <row r="99" spans="1:16" x14ac:dyDescent="0.15">
      <c r="A99" s="180" t="s">
        <v>923</v>
      </c>
      <c r="B99" s="186">
        <f t="shared" si="67"/>
        <v>8382</v>
      </c>
      <c r="C99" s="186">
        <v>4689</v>
      </c>
      <c r="D99" s="186">
        <v>3693</v>
      </c>
      <c r="E99" s="186">
        <f t="shared" si="65"/>
        <v>8071</v>
      </c>
      <c r="F99" s="186">
        <v>4845</v>
      </c>
      <c r="G99" s="186">
        <v>3226</v>
      </c>
      <c r="H99" s="186">
        <f t="shared" si="66"/>
        <v>13966</v>
      </c>
      <c r="I99" s="186">
        <v>8009</v>
      </c>
      <c r="J99" s="186">
        <v>5957</v>
      </c>
      <c r="K99" s="229">
        <f t="shared" si="80"/>
        <v>16230</v>
      </c>
      <c r="L99" s="229">
        <v>9398</v>
      </c>
      <c r="M99" s="229">
        <v>6832</v>
      </c>
      <c r="N99" s="20">
        <v>26227</v>
      </c>
      <c r="O99" s="20">
        <v>14711</v>
      </c>
      <c r="P99" s="20">
        <v>11516</v>
      </c>
    </row>
    <row r="100" spans="1:16" x14ac:dyDescent="0.15">
      <c r="A100" s="180" t="s">
        <v>924</v>
      </c>
      <c r="B100" s="186">
        <f t="shared" si="67"/>
        <v>0</v>
      </c>
      <c r="C100" s="186">
        <v>0</v>
      </c>
      <c r="D100" s="186">
        <v>0</v>
      </c>
      <c r="E100" s="186">
        <f t="shared" si="65"/>
        <v>0</v>
      </c>
      <c r="F100" s="186">
        <v>0</v>
      </c>
      <c r="G100" s="186">
        <v>0</v>
      </c>
      <c r="H100" s="186">
        <f t="shared" si="66"/>
        <v>0</v>
      </c>
      <c r="I100" s="186">
        <v>0</v>
      </c>
      <c r="J100" s="186">
        <v>0</v>
      </c>
      <c r="K100" s="229">
        <f t="shared" si="80"/>
        <v>0</v>
      </c>
      <c r="L100" s="229">
        <v>0</v>
      </c>
      <c r="M100" s="229">
        <v>0</v>
      </c>
      <c r="N100" s="229">
        <f t="shared" ref="N100:N101" si="82">SUM(O100:P100)</f>
        <v>0</v>
      </c>
      <c r="O100" s="229">
        <v>0</v>
      </c>
      <c r="P100" s="229">
        <v>0</v>
      </c>
    </row>
    <row r="101" spans="1:16" x14ac:dyDescent="0.15">
      <c r="A101" s="180" t="s">
        <v>925</v>
      </c>
      <c r="B101" s="186">
        <f t="shared" si="67"/>
        <v>0</v>
      </c>
      <c r="C101" s="186">
        <v>0</v>
      </c>
      <c r="D101" s="186">
        <v>0</v>
      </c>
      <c r="E101" s="186">
        <f t="shared" si="65"/>
        <v>0</v>
      </c>
      <c r="F101" s="186">
        <v>0</v>
      </c>
      <c r="G101" s="186">
        <v>0</v>
      </c>
      <c r="H101" s="186">
        <f t="shared" si="66"/>
        <v>0</v>
      </c>
      <c r="I101" s="186">
        <v>0</v>
      </c>
      <c r="J101" s="186">
        <v>0</v>
      </c>
      <c r="K101" s="229">
        <f t="shared" si="80"/>
        <v>0</v>
      </c>
      <c r="L101" s="229">
        <v>0</v>
      </c>
      <c r="M101" s="229">
        <v>0</v>
      </c>
      <c r="N101" s="229">
        <f t="shared" si="82"/>
        <v>0</v>
      </c>
      <c r="O101" s="229">
        <v>0</v>
      </c>
      <c r="P101" s="229">
        <v>0</v>
      </c>
    </row>
    <row r="102" spans="1:16" x14ac:dyDescent="0.15">
      <c r="A102" s="180" t="s">
        <v>926</v>
      </c>
      <c r="B102" s="186">
        <f t="shared" si="67"/>
        <v>1964</v>
      </c>
      <c r="C102" s="186">
        <v>1180</v>
      </c>
      <c r="D102" s="186">
        <v>784</v>
      </c>
      <c r="E102" s="186">
        <f t="shared" si="65"/>
        <v>1788</v>
      </c>
      <c r="F102" s="186">
        <v>1000</v>
      </c>
      <c r="G102" s="186">
        <v>788</v>
      </c>
      <c r="H102" s="186">
        <f t="shared" si="66"/>
        <v>1251</v>
      </c>
      <c r="I102" s="186">
        <v>688</v>
      </c>
      <c r="J102" s="186">
        <v>563</v>
      </c>
      <c r="K102" s="229">
        <f t="shared" si="80"/>
        <v>2314</v>
      </c>
      <c r="L102" s="229">
        <v>1166</v>
      </c>
      <c r="M102" s="229">
        <v>1148</v>
      </c>
      <c r="N102" s="20">
        <v>3053</v>
      </c>
      <c r="O102" s="20">
        <v>1588</v>
      </c>
      <c r="P102" s="20">
        <v>1465</v>
      </c>
    </row>
    <row r="103" spans="1:16" x14ac:dyDescent="0.15">
      <c r="A103" s="180" t="s">
        <v>927</v>
      </c>
      <c r="B103" s="186">
        <f t="shared" si="67"/>
        <v>515</v>
      </c>
      <c r="C103" s="186">
        <v>312</v>
      </c>
      <c r="D103" s="186">
        <v>203</v>
      </c>
      <c r="E103" s="186">
        <f t="shared" si="65"/>
        <v>680</v>
      </c>
      <c r="F103" s="186">
        <v>394</v>
      </c>
      <c r="G103" s="186">
        <v>286</v>
      </c>
      <c r="H103" s="186">
        <f t="shared" si="66"/>
        <v>1500</v>
      </c>
      <c r="I103" s="186">
        <v>799</v>
      </c>
      <c r="J103" s="186">
        <v>701</v>
      </c>
      <c r="K103" s="229">
        <f t="shared" si="80"/>
        <v>2430</v>
      </c>
      <c r="L103" s="229">
        <v>1409</v>
      </c>
      <c r="M103" s="229">
        <v>1021</v>
      </c>
      <c r="N103" s="20">
        <v>2098</v>
      </c>
      <c r="O103" s="20">
        <v>1191</v>
      </c>
      <c r="P103" s="20">
        <v>907</v>
      </c>
    </row>
    <row r="104" spans="1:16" x14ac:dyDescent="0.15">
      <c r="A104" s="180" t="s">
        <v>928</v>
      </c>
      <c r="B104" s="186">
        <f t="shared" si="67"/>
        <v>0</v>
      </c>
      <c r="C104" s="186">
        <v>0</v>
      </c>
      <c r="D104" s="186">
        <v>0</v>
      </c>
      <c r="E104" s="186">
        <f t="shared" si="65"/>
        <v>0</v>
      </c>
      <c r="F104" s="186">
        <v>0</v>
      </c>
      <c r="G104" s="186">
        <v>0</v>
      </c>
      <c r="H104" s="186">
        <f t="shared" si="66"/>
        <v>0</v>
      </c>
      <c r="I104" s="186">
        <v>0</v>
      </c>
      <c r="J104" s="186">
        <v>0</v>
      </c>
      <c r="K104" s="229">
        <f t="shared" si="80"/>
        <v>0</v>
      </c>
      <c r="L104" s="229">
        <v>0</v>
      </c>
      <c r="M104" s="229">
        <v>0</v>
      </c>
      <c r="N104" s="229">
        <f t="shared" ref="N104:N107" si="83">SUM(O104:P104)</f>
        <v>0</v>
      </c>
      <c r="O104" s="229">
        <v>0</v>
      </c>
      <c r="P104" s="229">
        <v>0</v>
      </c>
    </row>
    <row r="105" spans="1:16" x14ac:dyDescent="0.15">
      <c r="A105" s="180" t="s">
        <v>929</v>
      </c>
      <c r="B105" s="186">
        <f t="shared" si="67"/>
        <v>0</v>
      </c>
      <c r="C105" s="186">
        <v>0</v>
      </c>
      <c r="D105" s="186">
        <v>0</v>
      </c>
      <c r="E105" s="186">
        <f t="shared" si="65"/>
        <v>0</v>
      </c>
      <c r="F105" s="186">
        <v>0</v>
      </c>
      <c r="G105" s="186">
        <v>0</v>
      </c>
      <c r="H105" s="186">
        <f t="shared" si="66"/>
        <v>0</v>
      </c>
      <c r="I105" s="186">
        <v>0</v>
      </c>
      <c r="J105" s="186">
        <v>0</v>
      </c>
      <c r="K105" s="229">
        <f t="shared" si="80"/>
        <v>0</v>
      </c>
      <c r="L105" s="229">
        <v>0</v>
      </c>
      <c r="M105" s="229">
        <v>0</v>
      </c>
      <c r="N105" s="229">
        <f t="shared" si="83"/>
        <v>0</v>
      </c>
      <c r="O105" s="229">
        <v>0</v>
      </c>
      <c r="P105" s="229">
        <v>0</v>
      </c>
    </row>
    <row r="106" spans="1:16" x14ac:dyDescent="0.15">
      <c r="A106" s="180" t="s">
        <v>930</v>
      </c>
      <c r="B106" s="186">
        <f t="shared" si="67"/>
        <v>0</v>
      </c>
      <c r="C106" s="186">
        <v>0</v>
      </c>
      <c r="D106" s="186">
        <v>0</v>
      </c>
      <c r="E106" s="186">
        <f t="shared" si="65"/>
        <v>0</v>
      </c>
      <c r="F106" s="186">
        <v>0</v>
      </c>
      <c r="G106" s="186">
        <v>0</v>
      </c>
      <c r="H106" s="186">
        <f t="shared" si="66"/>
        <v>0</v>
      </c>
      <c r="I106" s="186">
        <v>0</v>
      </c>
      <c r="J106" s="186">
        <v>0</v>
      </c>
      <c r="K106" s="229">
        <f t="shared" si="80"/>
        <v>0</v>
      </c>
      <c r="L106" s="229">
        <v>0</v>
      </c>
      <c r="M106" s="229">
        <v>0</v>
      </c>
      <c r="N106" s="229">
        <f t="shared" si="83"/>
        <v>0</v>
      </c>
      <c r="O106" s="229">
        <v>0</v>
      </c>
      <c r="P106" s="229">
        <v>0</v>
      </c>
    </row>
    <row r="107" spans="1:16" x14ac:dyDescent="0.15">
      <c r="A107" s="180" t="s">
        <v>931</v>
      </c>
      <c r="B107" s="186">
        <f t="shared" si="67"/>
        <v>0</v>
      </c>
      <c r="C107" s="186">
        <v>0</v>
      </c>
      <c r="D107" s="186">
        <v>0</v>
      </c>
      <c r="E107" s="186">
        <f t="shared" si="65"/>
        <v>0</v>
      </c>
      <c r="F107" s="186">
        <v>0</v>
      </c>
      <c r="G107" s="186">
        <v>0</v>
      </c>
      <c r="H107" s="186">
        <f t="shared" si="66"/>
        <v>0</v>
      </c>
      <c r="I107" s="186">
        <v>0</v>
      </c>
      <c r="J107" s="186">
        <v>0</v>
      </c>
      <c r="K107" s="229">
        <f t="shared" si="80"/>
        <v>0</v>
      </c>
      <c r="L107" s="229">
        <v>0</v>
      </c>
      <c r="M107" s="229">
        <v>0</v>
      </c>
      <c r="N107" s="229">
        <f t="shared" si="83"/>
        <v>0</v>
      </c>
      <c r="O107" s="229">
        <v>0</v>
      </c>
      <c r="P107" s="229">
        <v>0</v>
      </c>
    </row>
    <row r="108" spans="1:16" x14ac:dyDescent="0.15">
      <c r="A108" s="180" t="s">
        <v>932</v>
      </c>
      <c r="B108" s="186">
        <f t="shared" si="67"/>
        <v>4281</v>
      </c>
      <c r="C108" s="186">
        <v>2252</v>
      </c>
      <c r="D108" s="186">
        <v>2029</v>
      </c>
      <c r="E108" s="186">
        <f t="shared" si="65"/>
        <v>6706</v>
      </c>
      <c r="F108" s="186">
        <v>3487</v>
      </c>
      <c r="G108" s="186">
        <v>3219</v>
      </c>
      <c r="H108" s="186">
        <f t="shared" si="66"/>
        <v>11463</v>
      </c>
      <c r="I108" s="186">
        <v>5901</v>
      </c>
      <c r="J108" s="186">
        <v>5562</v>
      </c>
      <c r="K108" s="229">
        <f t="shared" si="80"/>
        <v>8213</v>
      </c>
      <c r="L108" s="229">
        <v>4094</v>
      </c>
      <c r="M108" s="229">
        <v>4119</v>
      </c>
      <c r="N108" s="20">
        <v>7716</v>
      </c>
      <c r="O108" s="20">
        <v>3989</v>
      </c>
      <c r="P108" s="20">
        <v>3727</v>
      </c>
    </row>
    <row r="109" spans="1:16" ht="11.25" x14ac:dyDescent="0.15">
      <c r="A109" s="180" t="s">
        <v>933</v>
      </c>
      <c r="B109" s="186">
        <f t="shared" si="67"/>
        <v>1043</v>
      </c>
      <c r="C109" s="186">
        <v>575</v>
      </c>
      <c r="D109" s="186">
        <v>468</v>
      </c>
      <c r="E109" s="186">
        <f t="shared" si="65"/>
        <v>711</v>
      </c>
      <c r="F109" s="186">
        <v>415</v>
      </c>
      <c r="G109" s="186">
        <v>296</v>
      </c>
      <c r="H109" s="186">
        <f t="shared" si="66"/>
        <v>0</v>
      </c>
      <c r="I109" s="186">
        <v>0</v>
      </c>
      <c r="J109" s="186">
        <v>0</v>
      </c>
      <c r="K109" s="229">
        <f t="shared" si="80"/>
        <v>0</v>
      </c>
      <c r="L109" s="229">
        <v>0</v>
      </c>
      <c r="M109" s="229">
        <v>0</v>
      </c>
      <c r="N109" s="229">
        <f t="shared" ref="N109" si="84">SUM(O109:P109)</f>
        <v>0</v>
      </c>
      <c r="O109" s="229">
        <v>0</v>
      </c>
      <c r="P109" s="229">
        <v>0</v>
      </c>
    </row>
    <row r="110" spans="1:16" x14ac:dyDescent="0.15">
      <c r="A110" s="180" t="s">
        <v>934</v>
      </c>
      <c r="B110" s="186">
        <f t="shared" si="67"/>
        <v>1147</v>
      </c>
      <c r="C110" s="186">
        <v>575</v>
      </c>
      <c r="D110" s="186">
        <v>572</v>
      </c>
      <c r="E110" s="186">
        <f t="shared" si="65"/>
        <v>1079</v>
      </c>
      <c r="F110" s="186">
        <v>597</v>
      </c>
      <c r="G110" s="186">
        <v>482</v>
      </c>
      <c r="H110" s="186">
        <f t="shared" si="66"/>
        <v>1403</v>
      </c>
      <c r="I110" s="186">
        <v>705</v>
      </c>
      <c r="J110" s="186">
        <v>698</v>
      </c>
      <c r="K110" s="229">
        <f t="shared" si="80"/>
        <v>1552</v>
      </c>
      <c r="L110" s="229">
        <v>820</v>
      </c>
      <c r="M110" s="229">
        <v>732</v>
      </c>
      <c r="N110" s="20">
        <v>2519</v>
      </c>
      <c r="O110" s="20">
        <v>1458</v>
      </c>
      <c r="P110" s="20">
        <v>1061</v>
      </c>
    </row>
    <row r="111" spans="1:16" x14ac:dyDescent="0.15">
      <c r="A111" s="180" t="s">
        <v>935</v>
      </c>
      <c r="B111" s="186">
        <f t="shared" si="67"/>
        <v>0</v>
      </c>
      <c r="C111" s="186">
        <v>0</v>
      </c>
      <c r="D111" s="186">
        <v>0</v>
      </c>
      <c r="E111" s="186">
        <f t="shared" si="65"/>
        <v>0</v>
      </c>
      <c r="F111" s="186">
        <v>0</v>
      </c>
      <c r="G111" s="186">
        <v>0</v>
      </c>
      <c r="H111" s="186">
        <f t="shared" si="66"/>
        <v>0</v>
      </c>
      <c r="I111" s="186">
        <v>0</v>
      </c>
      <c r="J111" s="186">
        <v>0</v>
      </c>
      <c r="K111" s="229">
        <f t="shared" si="80"/>
        <v>0</v>
      </c>
      <c r="L111" s="229">
        <v>0</v>
      </c>
      <c r="M111" s="229">
        <v>0</v>
      </c>
      <c r="N111" s="229">
        <f t="shared" ref="N111" si="85">SUM(O111:P111)</f>
        <v>0</v>
      </c>
      <c r="O111" s="229">
        <v>0</v>
      </c>
      <c r="P111" s="229">
        <v>0</v>
      </c>
    </row>
    <row r="112" spans="1:16" ht="11.25" x14ac:dyDescent="0.15">
      <c r="A112" s="180" t="s">
        <v>936</v>
      </c>
      <c r="B112" s="186">
        <f t="shared" si="67"/>
        <v>163</v>
      </c>
      <c r="C112" s="186">
        <v>103</v>
      </c>
      <c r="D112" s="186">
        <v>60</v>
      </c>
      <c r="E112" s="186">
        <f t="shared" si="65"/>
        <v>143</v>
      </c>
      <c r="F112" s="186">
        <v>86</v>
      </c>
      <c r="G112" s="186">
        <v>57</v>
      </c>
      <c r="H112" s="186">
        <f t="shared" si="66"/>
        <v>279</v>
      </c>
      <c r="I112" s="186">
        <v>188</v>
      </c>
      <c r="J112" s="186">
        <v>91</v>
      </c>
      <c r="K112" s="229">
        <f t="shared" si="80"/>
        <v>113</v>
      </c>
      <c r="L112" s="229">
        <v>68</v>
      </c>
      <c r="M112" s="229">
        <v>45</v>
      </c>
      <c r="N112" s="20">
        <v>374</v>
      </c>
      <c r="O112" s="20">
        <v>234</v>
      </c>
      <c r="P112" s="20">
        <v>140</v>
      </c>
    </row>
    <row r="113" spans="1:16" s="183" customFormat="1" x14ac:dyDescent="0.15">
      <c r="A113" s="183" t="s">
        <v>19</v>
      </c>
      <c r="B113" s="184">
        <f>SUM(C113:D113)</f>
        <v>289370</v>
      </c>
      <c r="C113" s="184">
        <f>SUM(C114:C124)</f>
        <v>147454</v>
      </c>
      <c r="D113" s="184">
        <f>SUM(D114:D124)</f>
        <v>141916</v>
      </c>
      <c r="E113" s="184">
        <f>SUM(F113:G113)</f>
        <v>302275</v>
      </c>
      <c r="F113" s="184">
        <f>SUM(F114:F124)</f>
        <v>152986</v>
      </c>
      <c r="G113" s="184">
        <f>SUM(G114:G124)</f>
        <v>149289</v>
      </c>
      <c r="H113" s="184">
        <f>SUM(I113:J113)</f>
        <v>338558</v>
      </c>
      <c r="I113" s="184">
        <f>SUM(I114:I124)</f>
        <v>170367</v>
      </c>
      <c r="J113" s="184">
        <f>SUM(J114:J124)</f>
        <v>168191</v>
      </c>
      <c r="K113" s="232">
        <f>SUM(L113:M113)</f>
        <v>382943</v>
      </c>
      <c r="L113" s="232">
        <f>SUM(L114:L124)</f>
        <v>190885</v>
      </c>
      <c r="M113" s="232">
        <f>SUM(M114:M124)</f>
        <v>192058</v>
      </c>
      <c r="N113" s="232">
        <f t="shared" ref="N113:P113" si="86">SUM(N114:N124)</f>
        <v>409541</v>
      </c>
      <c r="O113" s="232">
        <f t="shared" si="86"/>
        <v>204716</v>
      </c>
      <c r="P113" s="232">
        <f t="shared" si="86"/>
        <v>204825</v>
      </c>
    </row>
    <row r="114" spans="1:16" x14ac:dyDescent="0.15">
      <c r="A114" s="180" t="s">
        <v>962</v>
      </c>
      <c r="B114" s="186">
        <f t="shared" si="67"/>
        <v>15666</v>
      </c>
      <c r="C114" s="186">
        <v>8045</v>
      </c>
      <c r="D114" s="186">
        <v>7621</v>
      </c>
      <c r="E114" s="186">
        <f t="shared" si="65"/>
        <v>22264</v>
      </c>
      <c r="F114" s="186">
        <v>11560</v>
      </c>
      <c r="G114" s="186">
        <v>10704</v>
      </c>
      <c r="H114" s="186">
        <f t="shared" si="66"/>
        <v>22732</v>
      </c>
      <c r="I114" s="186">
        <v>11948</v>
      </c>
      <c r="J114" s="186">
        <v>10784</v>
      </c>
      <c r="K114" s="229">
        <f t="shared" ref="K114:K124" si="87">SUM(L114:M114)</f>
        <v>28316</v>
      </c>
      <c r="L114" s="229">
        <v>14986</v>
      </c>
      <c r="M114" s="229">
        <v>13330</v>
      </c>
      <c r="N114" s="20">
        <v>29577</v>
      </c>
      <c r="O114" s="20">
        <v>14774</v>
      </c>
      <c r="P114" s="20">
        <v>14803</v>
      </c>
    </row>
    <row r="115" spans="1:16" x14ac:dyDescent="0.15">
      <c r="A115" s="180" t="s">
        <v>938</v>
      </c>
      <c r="B115" s="186">
        <f t="shared" si="67"/>
        <v>0</v>
      </c>
      <c r="C115" s="186">
        <v>0</v>
      </c>
      <c r="D115" s="186">
        <v>0</v>
      </c>
      <c r="E115" s="186">
        <f t="shared" si="65"/>
        <v>0</v>
      </c>
      <c r="F115" s="186">
        <v>0</v>
      </c>
      <c r="G115" s="186">
        <v>0</v>
      </c>
      <c r="H115" s="186">
        <f t="shared" si="66"/>
        <v>0</v>
      </c>
      <c r="I115" s="186">
        <v>0</v>
      </c>
      <c r="J115" s="186">
        <v>0</v>
      </c>
      <c r="K115" s="229">
        <f t="shared" si="87"/>
        <v>0</v>
      </c>
      <c r="L115" s="229">
        <v>0</v>
      </c>
      <c r="M115" s="229">
        <v>0</v>
      </c>
      <c r="N115" s="229">
        <f t="shared" ref="N115" si="88">SUM(O115:P115)</f>
        <v>0</v>
      </c>
      <c r="O115" s="229">
        <v>0</v>
      </c>
      <c r="P115" s="229">
        <v>0</v>
      </c>
    </row>
    <row r="116" spans="1:16" x14ac:dyDescent="0.15">
      <c r="A116" s="180" t="s">
        <v>939</v>
      </c>
      <c r="B116" s="186">
        <f t="shared" si="67"/>
        <v>5728</v>
      </c>
      <c r="C116" s="186">
        <v>2931</v>
      </c>
      <c r="D116" s="186">
        <v>2797</v>
      </c>
      <c r="E116" s="186">
        <f t="shared" si="65"/>
        <v>6605</v>
      </c>
      <c r="F116" s="186">
        <v>3365</v>
      </c>
      <c r="G116" s="186">
        <v>3240</v>
      </c>
      <c r="H116" s="186">
        <f t="shared" si="66"/>
        <v>10159</v>
      </c>
      <c r="I116" s="186">
        <v>5121</v>
      </c>
      <c r="J116" s="186">
        <v>5038</v>
      </c>
      <c r="K116" s="229">
        <f t="shared" si="87"/>
        <v>7543</v>
      </c>
      <c r="L116" s="229">
        <v>3443</v>
      </c>
      <c r="M116" s="229">
        <v>4100</v>
      </c>
      <c r="N116" s="20">
        <v>8333</v>
      </c>
      <c r="O116" s="20">
        <v>4193</v>
      </c>
      <c r="P116" s="20">
        <v>4140</v>
      </c>
    </row>
    <row r="117" spans="1:16" x14ac:dyDescent="0.15">
      <c r="A117" s="180" t="s">
        <v>940</v>
      </c>
      <c r="B117" s="186">
        <f t="shared" si="67"/>
        <v>1604</v>
      </c>
      <c r="C117" s="186">
        <v>923</v>
      </c>
      <c r="D117" s="186">
        <v>681</v>
      </c>
      <c r="E117" s="186">
        <f t="shared" si="65"/>
        <v>1495</v>
      </c>
      <c r="F117" s="186">
        <v>795</v>
      </c>
      <c r="G117" s="186">
        <v>700</v>
      </c>
      <c r="H117" s="186">
        <f t="shared" si="66"/>
        <v>1827</v>
      </c>
      <c r="I117" s="186">
        <v>957</v>
      </c>
      <c r="J117" s="186">
        <v>870</v>
      </c>
      <c r="K117" s="229">
        <f t="shared" si="87"/>
        <v>1936</v>
      </c>
      <c r="L117" s="229">
        <v>1055</v>
      </c>
      <c r="M117" s="229">
        <v>881</v>
      </c>
      <c r="N117" s="20">
        <v>2269</v>
      </c>
      <c r="O117" s="20">
        <v>1199</v>
      </c>
      <c r="P117" s="20">
        <v>1070</v>
      </c>
    </row>
    <row r="118" spans="1:16" x14ac:dyDescent="0.15">
      <c r="A118" s="180" t="s">
        <v>941</v>
      </c>
      <c r="B118" s="186">
        <f t="shared" si="67"/>
        <v>145148</v>
      </c>
      <c r="C118" s="186">
        <v>74987</v>
      </c>
      <c r="D118" s="186">
        <v>70161</v>
      </c>
      <c r="E118" s="186">
        <f t="shared" si="65"/>
        <v>143253</v>
      </c>
      <c r="F118" s="186">
        <v>74150</v>
      </c>
      <c r="G118" s="186">
        <v>69103</v>
      </c>
      <c r="H118" s="186">
        <f t="shared" si="66"/>
        <v>170032</v>
      </c>
      <c r="I118" s="186">
        <v>86285</v>
      </c>
      <c r="J118" s="186">
        <v>83747</v>
      </c>
      <c r="K118" s="229">
        <f t="shared" si="87"/>
        <v>197503</v>
      </c>
      <c r="L118" s="229">
        <v>99632</v>
      </c>
      <c r="M118" s="229">
        <v>97871</v>
      </c>
      <c r="N118" s="20">
        <v>211886</v>
      </c>
      <c r="O118" s="20">
        <v>107518</v>
      </c>
      <c r="P118" s="20">
        <v>104368</v>
      </c>
    </row>
    <row r="119" spans="1:16" x14ac:dyDescent="0.15">
      <c r="A119" s="180" t="s">
        <v>942</v>
      </c>
      <c r="B119" s="186">
        <f t="shared" si="67"/>
        <v>636</v>
      </c>
      <c r="C119" s="186">
        <v>310</v>
      </c>
      <c r="D119" s="186">
        <v>326</v>
      </c>
      <c r="E119" s="186">
        <f t="shared" si="65"/>
        <v>780</v>
      </c>
      <c r="F119" s="186">
        <v>370</v>
      </c>
      <c r="G119" s="186">
        <v>410</v>
      </c>
      <c r="H119" s="186">
        <f t="shared" si="66"/>
        <v>959</v>
      </c>
      <c r="I119" s="186">
        <v>440</v>
      </c>
      <c r="J119" s="186">
        <v>519</v>
      </c>
      <c r="K119" s="229">
        <f t="shared" si="87"/>
        <v>1013</v>
      </c>
      <c r="L119" s="229">
        <v>467</v>
      </c>
      <c r="M119" s="229">
        <v>546</v>
      </c>
      <c r="N119" s="20">
        <v>1270</v>
      </c>
      <c r="O119" s="20">
        <v>598</v>
      </c>
      <c r="P119" s="20">
        <v>672</v>
      </c>
    </row>
    <row r="120" spans="1:16" x14ac:dyDescent="0.15">
      <c r="A120" s="180" t="s">
        <v>943</v>
      </c>
      <c r="B120" s="186">
        <f t="shared" si="67"/>
        <v>7841</v>
      </c>
      <c r="C120" s="186">
        <v>4451</v>
      </c>
      <c r="D120" s="186">
        <v>3390</v>
      </c>
      <c r="E120" s="186">
        <f t="shared" si="65"/>
        <v>7509</v>
      </c>
      <c r="F120" s="186">
        <v>4488</v>
      </c>
      <c r="G120" s="186">
        <v>3021</v>
      </c>
      <c r="H120" s="186">
        <f t="shared" si="66"/>
        <v>7484</v>
      </c>
      <c r="I120" s="186">
        <v>4363</v>
      </c>
      <c r="J120" s="186">
        <v>3121</v>
      </c>
      <c r="K120" s="229">
        <f t="shared" si="87"/>
        <v>7540</v>
      </c>
      <c r="L120" s="229">
        <v>4127</v>
      </c>
      <c r="M120" s="229">
        <v>3413</v>
      </c>
      <c r="N120" s="20">
        <v>3481</v>
      </c>
      <c r="O120" s="20">
        <v>1951</v>
      </c>
      <c r="P120" s="20">
        <v>1530</v>
      </c>
    </row>
    <row r="121" spans="1:16" x14ac:dyDescent="0.15">
      <c r="A121" s="180" t="s">
        <v>944</v>
      </c>
      <c r="B121" s="186">
        <f t="shared" si="67"/>
        <v>14281</v>
      </c>
      <c r="C121" s="186">
        <v>7597</v>
      </c>
      <c r="D121" s="186">
        <v>6684</v>
      </c>
      <c r="E121" s="186">
        <f t="shared" si="65"/>
        <v>13285</v>
      </c>
      <c r="F121" s="186">
        <v>7107</v>
      </c>
      <c r="G121" s="186">
        <v>6178</v>
      </c>
      <c r="H121" s="186">
        <f t="shared" si="66"/>
        <v>11065</v>
      </c>
      <c r="I121" s="186">
        <v>5935</v>
      </c>
      <c r="J121" s="186">
        <v>5130</v>
      </c>
      <c r="K121" s="229">
        <f t="shared" si="87"/>
        <v>8358</v>
      </c>
      <c r="L121" s="229">
        <v>4253</v>
      </c>
      <c r="M121" s="229">
        <v>4105</v>
      </c>
      <c r="N121" s="20">
        <v>10601</v>
      </c>
      <c r="O121" s="20">
        <v>5456</v>
      </c>
      <c r="P121" s="20">
        <v>5145</v>
      </c>
    </row>
    <row r="122" spans="1:16" x14ac:dyDescent="0.15">
      <c r="A122" s="180" t="s">
        <v>945</v>
      </c>
      <c r="B122" s="186">
        <f t="shared" si="67"/>
        <v>20013</v>
      </c>
      <c r="C122" s="186">
        <v>10045</v>
      </c>
      <c r="D122" s="186">
        <v>9968</v>
      </c>
      <c r="E122" s="186">
        <f t="shared" si="65"/>
        <v>22203</v>
      </c>
      <c r="F122" s="186">
        <v>11005</v>
      </c>
      <c r="G122" s="186">
        <v>11198</v>
      </c>
      <c r="H122" s="186">
        <f t="shared" si="66"/>
        <v>24225</v>
      </c>
      <c r="I122" s="229">
        <v>11671</v>
      </c>
      <c r="J122" s="229">
        <v>12554</v>
      </c>
      <c r="K122" s="229">
        <f t="shared" si="87"/>
        <v>28917</v>
      </c>
      <c r="L122" s="229">
        <v>13817</v>
      </c>
      <c r="M122" s="229">
        <v>15100</v>
      </c>
      <c r="N122" s="20">
        <v>31291</v>
      </c>
      <c r="O122" s="20">
        <v>15245</v>
      </c>
      <c r="P122" s="20">
        <v>16046</v>
      </c>
    </row>
    <row r="123" spans="1:16" x14ac:dyDescent="0.15">
      <c r="A123" s="180" t="s">
        <v>969</v>
      </c>
      <c r="B123" s="186">
        <f t="shared" si="67"/>
        <v>0</v>
      </c>
      <c r="C123" s="186">
        <v>0</v>
      </c>
      <c r="D123" s="186">
        <v>0</v>
      </c>
      <c r="E123" s="186">
        <f t="shared" si="65"/>
        <v>0</v>
      </c>
      <c r="F123" s="186">
        <v>0</v>
      </c>
      <c r="G123" s="186">
        <v>0</v>
      </c>
      <c r="H123" s="186">
        <f t="shared" si="66"/>
        <v>0</v>
      </c>
      <c r="I123" s="229">
        <v>0</v>
      </c>
      <c r="J123" s="229">
        <v>0</v>
      </c>
      <c r="K123" s="229">
        <f t="shared" si="87"/>
        <v>0</v>
      </c>
      <c r="L123" s="229">
        <v>0</v>
      </c>
      <c r="M123" s="229">
        <v>0</v>
      </c>
      <c r="N123" s="229">
        <f t="shared" ref="N123" si="89">SUM(O123:P123)</f>
        <v>0</v>
      </c>
      <c r="O123" s="229">
        <v>0</v>
      </c>
      <c r="P123" s="229">
        <v>0</v>
      </c>
    </row>
    <row r="124" spans="1:16" x14ac:dyDescent="0.15">
      <c r="A124" s="180" t="s">
        <v>947</v>
      </c>
      <c r="B124" s="186">
        <f t="shared" si="67"/>
        <v>78453</v>
      </c>
      <c r="C124" s="186">
        <v>38165</v>
      </c>
      <c r="D124" s="186">
        <v>40288</v>
      </c>
      <c r="E124" s="186">
        <f t="shared" si="65"/>
        <v>84881</v>
      </c>
      <c r="F124" s="186">
        <v>40146</v>
      </c>
      <c r="G124" s="186">
        <v>44735</v>
      </c>
      <c r="H124" s="186">
        <f t="shared" si="66"/>
        <v>90075</v>
      </c>
      <c r="I124" s="229">
        <v>43647</v>
      </c>
      <c r="J124" s="229">
        <v>46428</v>
      </c>
      <c r="K124" s="229">
        <f t="shared" si="87"/>
        <v>101817</v>
      </c>
      <c r="L124" s="229">
        <v>49105</v>
      </c>
      <c r="M124" s="229">
        <v>52712</v>
      </c>
      <c r="N124" s="20">
        <v>110833</v>
      </c>
      <c r="O124" s="20">
        <v>53782</v>
      </c>
      <c r="P124" s="20">
        <v>57051</v>
      </c>
    </row>
    <row r="125" spans="1:16" x14ac:dyDescent="0.15">
      <c r="I125" s="196"/>
      <c r="J125" s="196"/>
      <c r="K125" s="196"/>
      <c r="L125" s="196"/>
      <c r="M125" s="196"/>
    </row>
    <row r="126" spans="1:16" x14ac:dyDescent="0.15">
      <c r="A126" s="180" t="s">
        <v>970</v>
      </c>
      <c r="I126" s="196"/>
      <c r="J126" s="196"/>
      <c r="K126" s="196"/>
      <c r="L126" s="196"/>
      <c r="M126" s="196"/>
    </row>
    <row r="127" spans="1:16" ht="14.25" customHeight="1" x14ac:dyDescent="0.15">
      <c r="A127" s="180" t="s">
        <v>964</v>
      </c>
      <c r="I127" s="196"/>
      <c r="J127" s="196"/>
      <c r="K127" s="196"/>
      <c r="L127" s="196"/>
      <c r="M127" s="196"/>
    </row>
    <row r="128" spans="1:16" x14ac:dyDescent="0.15">
      <c r="A128" s="180" t="s">
        <v>460</v>
      </c>
    </row>
    <row r="129" spans="1:1" x14ac:dyDescent="0.15">
      <c r="A129" s="180" t="s">
        <v>456</v>
      </c>
    </row>
  </sheetData>
  <mergeCells count="7">
    <mergeCell ref="A2:P2"/>
    <mergeCell ref="A4:A5"/>
    <mergeCell ref="B4:D4"/>
    <mergeCell ref="E4:G4"/>
    <mergeCell ref="H4:J4"/>
    <mergeCell ref="K4:M4"/>
    <mergeCell ref="N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U130"/>
  <sheetViews>
    <sheetView zoomScaleNormal="100" workbookViewId="0">
      <selection activeCell="A2" sqref="A2:U2"/>
    </sheetView>
  </sheetViews>
  <sheetFormatPr baseColWidth="10" defaultRowHeight="15" x14ac:dyDescent="0.25"/>
  <cols>
    <col min="1" max="1" width="32.5703125" style="180" customWidth="1"/>
    <col min="2" max="2" width="12" style="180" bestFit="1" customWidth="1"/>
    <col min="3" max="3" width="10.28515625" style="180" bestFit="1" customWidth="1"/>
    <col min="4" max="4" width="12" style="180" bestFit="1" customWidth="1"/>
    <col min="5" max="5" width="10.5703125" style="180" bestFit="1" customWidth="1"/>
    <col min="6" max="6" width="12" style="180" bestFit="1" customWidth="1"/>
    <col min="7" max="7" width="10.28515625" style="180" bestFit="1" customWidth="1"/>
    <col min="8" max="10" width="12" style="180" bestFit="1" customWidth="1"/>
    <col min="11" max="11" width="10.28515625" style="180" bestFit="1" customWidth="1"/>
    <col min="12" max="13" width="12" style="180" bestFit="1" customWidth="1"/>
    <col min="14" max="14" width="11.85546875" style="180" bestFit="1" customWidth="1"/>
    <col min="15" max="15" width="11.5703125" style="180" bestFit="1" customWidth="1"/>
    <col min="16" max="16" width="11.85546875" style="180" bestFit="1" customWidth="1"/>
    <col min="17" max="17" width="11.5703125" style="180" bestFit="1" customWidth="1"/>
    <col min="18" max="21" width="12.7109375" customWidth="1"/>
    <col min="22" max="16384" width="11.42578125" style="180"/>
  </cols>
  <sheetData>
    <row r="1" spans="1:21" ht="10.5" x14ac:dyDescent="0.15">
      <c r="R1" s="183"/>
      <c r="S1" s="183"/>
      <c r="T1" s="183"/>
      <c r="U1" s="183"/>
    </row>
    <row r="2" spans="1:21" s="183" customFormat="1" ht="17.25" customHeight="1" x14ac:dyDescent="0.15">
      <c r="A2" s="2498" t="s">
        <v>971</v>
      </c>
      <c r="B2" s="2498"/>
      <c r="C2" s="2498"/>
      <c r="D2" s="2498"/>
      <c r="E2" s="2498"/>
      <c r="F2" s="2498"/>
      <c r="G2" s="2498"/>
      <c r="H2" s="2498"/>
      <c r="I2" s="2498"/>
      <c r="J2" s="2498"/>
      <c r="K2" s="2498"/>
      <c r="L2" s="2498"/>
      <c r="M2" s="2498"/>
      <c r="N2" s="2498"/>
      <c r="O2" s="2498"/>
      <c r="P2" s="2498"/>
      <c r="Q2" s="2498"/>
      <c r="R2" s="2498"/>
      <c r="S2" s="2498"/>
      <c r="T2" s="2498"/>
      <c r="U2" s="2498"/>
    </row>
    <row r="3" spans="1:21" ht="8.25" customHeight="1" x14ac:dyDescent="0.15">
      <c r="A3" s="2485"/>
      <c r="B3" s="2485"/>
      <c r="C3" s="2485"/>
      <c r="D3" s="2485"/>
      <c r="E3" s="2485"/>
      <c r="F3" s="2485"/>
      <c r="G3" s="2485"/>
      <c r="H3" s="2485"/>
      <c r="I3" s="2485"/>
      <c r="J3" s="2485"/>
      <c r="K3" s="2485"/>
      <c r="L3" s="2485"/>
      <c r="R3" s="234"/>
      <c r="S3" s="234"/>
      <c r="T3" s="234"/>
      <c r="U3" s="234"/>
    </row>
    <row r="4" spans="1:21" ht="24.75" customHeight="1" x14ac:dyDescent="0.15">
      <c r="A4" s="2488" t="s">
        <v>844</v>
      </c>
      <c r="B4" s="2488">
        <v>2011</v>
      </c>
      <c r="C4" s="2488"/>
      <c r="D4" s="2488"/>
      <c r="E4" s="2488"/>
      <c r="F4" s="2488">
        <v>2012</v>
      </c>
      <c r="G4" s="2488"/>
      <c r="H4" s="2488"/>
      <c r="I4" s="2488"/>
      <c r="J4" s="2488">
        <v>2013</v>
      </c>
      <c r="K4" s="2488"/>
      <c r="L4" s="2488"/>
      <c r="M4" s="2488"/>
      <c r="N4" s="2488">
        <v>2014</v>
      </c>
      <c r="O4" s="2488"/>
      <c r="P4" s="2488"/>
      <c r="Q4" s="2488"/>
      <c r="R4" s="2489">
        <v>2015</v>
      </c>
      <c r="S4" s="2490"/>
      <c r="T4" s="2490"/>
      <c r="U4" s="2491"/>
    </row>
    <row r="5" spans="1:21" ht="24.75" customHeight="1" x14ac:dyDescent="0.15">
      <c r="A5" s="2488"/>
      <c r="B5" s="181" t="s">
        <v>69</v>
      </c>
      <c r="C5" s="181" t="s">
        <v>972</v>
      </c>
      <c r="D5" s="181" t="s">
        <v>973</v>
      </c>
      <c r="E5" s="181" t="s">
        <v>974</v>
      </c>
      <c r="F5" s="181" t="s">
        <v>69</v>
      </c>
      <c r="G5" s="181" t="s">
        <v>972</v>
      </c>
      <c r="H5" s="181" t="s">
        <v>973</v>
      </c>
      <c r="I5" s="181" t="s">
        <v>974</v>
      </c>
      <c r="J5" s="181" t="s">
        <v>69</v>
      </c>
      <c r="K5" s="181" t="s">
        <v>972</v>
      </c>
      <c r="L5" s="181" t="s">
        <v>973</v>
      </c>
      <c r="M5" s="181" t="s">
        <v>974</v>
      </c>
      <c r="N5" s="181" t="s">
        <v>69</v>
      </c>
      <c r="O5" s="181" t="s">
        <v>972</v>
      </c>
      <c r="P5" s="181" t="s">
        <v>973</v>
      </c>
      <c r="Q5" s="181" t="s">
        <v>974</v>
      </c>
      <c r="R5" s="182" t="s">
        <v>69</v>
      </c>
      <c r="S5" s="181" t="s">
        <v>972</v>
      </c>
      <c r="T5" s="181" t="s">
        <v>973</v>
      </c>
      <c r="U5" s="181" t="s">
        <v>974</v>
      </c>
    </row>
    <row r="6" spans="1:21" s="183" customFormat="1" ht="10.5" x14ac:dyDescent="0.15">
      <c r="A6" s="183" t="s">
        <v>141</v>
      </c>
      <c r="B6" s="184">
        <f>SUM(C6:E6)</f>
        <v>1794732</v>
      </c>
      <c r="C6" s="184">
        <f>SUM(C7+C12+C16+C22+C26+C31+C40+C43+C47+C56+C64+C78+C81+C93+C113)</f>
        <v>292270</v>
      </c>
      <c r="D6" s="184">
        <f t="shared" ref="D6:E6" si="0">SUM(D7+D12+D16+D22+D26+D31+D40+D43+D47+D56+D64+D78+D81+D93+D113)</f>
        <v>1355946</v>
      </c>
      <c r="E6" s="184">
        <f t="shared" si="0"/>
        <v>146516</v>
      </c>
      <c r="F6" s="184">
        <f>SUM(G6:I6)</f>
        <v>2224817</v>
      </c>
      <c r="G6" s="184">
        <f>SUM(G7+G12+G16+G22+G26+G31+G40+G43+G47+G56+G64+G78+G81+G93+G113)</f>
        <v>163147</v>
      </c>
      <c r="H6" s="184">
        <f t="shared" ref="H6:I6" si="1">SUM(H7+H12+H16+H22+H26+H31+H40+H43+H47+H56+H64+H78+H81+H93+H113)</f>
        <v>1053291</v>
      </c>
      <c r="I6" s="184">
        <f t="shared" si="1"/>
        <v>1008379</v>
      </c>
      <c r="J6" s="184">
        <f>SUM(K6:M6)</f>
        <v>2609814</v>
      </c>
      <c r="K6" s="184">
        <f>SUM(K7+K12+K16+K22+K26+K31+K40+K43+K47+K56+K64+K78+K81+K93+K113)</f>
        <v>201545</v>
      </c>
      <c r="L6" s="184">
        <f t="shared" ref="L6:M6" si="2">SUM(L7+L12+L16+L22+L26+L31+L40+L43+L47+L56+L64+L78+L81+L93+L113)</f>
        <v>1227212</v>
      </c>
      <c r="M6" s="184">
        <f t="shared" si="2"/>
        <v>1181057</v>
      </c>
      <c r="N6" s="232">
        <f>SUM(O6:Q6)</f>
        <v>2510648</v>
      </c>
      <c r="O6" s="232">
        <f>SUM(O7+O12+O16+O22+O26+O31+O40+O43+O47+O56+O64+O78+O81+O93+O113)</f>
        <v>396344</v>
      </c>
      <c r="P6" s="232">
        <f t="shared" ref="P6:U6" si="3">SUM(P7+P12+P16+P22+P26+P31+P40+P43+P47+P56+P64+P78+P81+P93+P113)</f>
        <v>1883324</v>
      </c>
      <c r="Q6" s="232">
        <f t="shared" si="3"/>
        <v>230980</v>
      </c>
      <c r="R6" s="232">
        <f t="shared" si="3"/>
        <v>2689190</v>
      </c>
      <c r="S6" s="232">
        <f t="shared" si="3"/>
        <v>432322</v>
      </c>
      <c r="T6" s="232">
        <f t="shared" si="3"/>
        <v>2028591</v>
      </c>
      <c r="U6" s="232">
        <f t="shared" si="3"/>
        <v>228277</v>
      </c>
    </row>
    <row r="7" spans="1:21" s="183" customFormat="1" ht="10.5" x14ac:dyDescent="0.15">
      <c r="A7" s="183" t="s">
        <v>5</v>
      </c>
      <c r="B7" s="184">
        <f>SUM(C7:E7)</f>
        <v>13991</v>
      </c>
      <c r="C7" s="184">
        <f>SUM(C8:C11)</f>
        <v>481</v>
      </c>
      <c r="D7" s="184">
        <f>SUM(D8:D11)</f>
        <v>11811</v>
      </c>
      <c r="E7" s="184">
        <f>SUM(E8:E11)</f>
        <v>1699</v>
      </c>
      <c r="F7" s="184">
        <f>SUM(G7:I7)</f>
        <v>15364</v>
      </c>
      <c r="G7" s="184">
        <f>SUM(G8:G11)</f>
        <v>2362</v>
      </c>
      <c r="H7" s="184">
        <f>SUM(H8:H11)</f>
        <v>6683</v>
      </c>
      <c r="I7" s="184">
        <f>SUM(I8:I11)</f>
        <v>6319</v>
      </c>
      <c r="J7" s="184">
        <f>SUM(K7:M7)</f>
        <v>19609</v>
      </c>
      <c r="K7" s="184">
        <f>SUM(K8:K11)</f>
        <v>1184</v>
      </c>
      <c r="L7" s="184">
        <f>SUM(L8:L11)</f>
        <v>9046</v>
      </c>
      <c r="M7" s="184">
        <f>SUM(M8:M11)</f>
        <v>9379</v>
      </c>
      <c r="N7" s="232">
        <f>SUM(O7:Q7)</f>
        <v>18207</v>
      </c>
      <c r="O7" s="232">
        <f>SUM(O8:O11)</f>
        <v>924</v>
      </c>
      <c r="P7" s="232">
        <f>SUM(P8:P11)</f>
        <v>15426</v>
      </c>
      <c r="Q7" s="232">
        <f>SUM(Q8:Q11)</f>
        <v>1857</v>
      </c>
      <c r="R7" s="232">
        <f t="shared" ref="R7:U7" si="4">SUM(R8:R11)</f>
        <v>15734</v>
      </c>
      <c r="S7" s="232">
        <f t="shared" si="4"/>
        <v>861</v>
      </c>
      <c r="T7" s="232">
        <f t="shared" si="4"/>
        <v>13303</v>
      </c>
      <c r="U7" s="232">
        <f t="shared" si="4"/>
        <v>1570</v>
      </c>
    </row>
    <row r="8" spans="1:21" ht="10.5" x14ac:dyDescent="0.15">
      <c r="A8" s="180" t="s">
        <v>845</v>
      </c>
      <c r="B8" s="186">
        <f>SUM(C8:E8)</f>
        <v>12081</v>
      </c>
      <c r="C8" s="186">
        <v>460</v>
      </c>
      <c r="D8" s="186">
        <v>9951</v>
      </c>
      <c r="E8" s="186">
        <v>1670</v>
      </c>
      <c r="F8" s="186">
        <f>SUM(G8:I8)</f>
        <v>14443</v>
      </c>
      <c r="G8" s="186">
        <v>2356</v>
      </c>
      <c r="H8" s="186">
        <v>6178</v>
      </c>
      <c r="I8" s="186">
        <v>5909</v>
      </c>
      <c r="J8" s="186">
        <f>SUM(K8:M8)</f>
        <v>18384</v>
      </c>
      <c r="K8" s="186">
        <v>1173</v>
      </c>
      <c r="L8" s="186">
        <v>8396</v>
      </c>
      <c r="M8" s="186">
        <v>8815</v>
      </c>
      <c r="N8" s="229">
        <f>SUM(O8:Q8)</f>
        <v>16829</v>
      </c>
      <c r="O8" s="229">
        <v>922</v>
      </c>
      <c r="P8" s="229">
        <v>14155</v>
      </c>
      <c r="Q8" s="229">
        <v>1752</v>
      </c>
      <c r="R8" s="217">
        <f>SUM(S8:U8)</f>
        <v>14016</v>
      </c>
      <c r="S8" s="217">
        <v>836</v>
      </c>
      <c r="T8" s="217">
        <v>11913</v>
      </c>
      <c r="U8" s="217">
        <v>1267</v>
      </c>
    </row>
    <row r="9" spans="1:21" ht="10.5" x14ac:dyDescent="0.15">
      <c r="A9" s="180" t="s">
        <v>846</v>
      </c>
      <c r="B9" s="186">
        <f t="shared" ref="B9:B75" si="5">SUM(C9:E9)</f>
        <v>777</v>
      </c>
      <c r="C9" s="186">
        <v>15</v>
      </c>
      <c r="D9" s="186">
        <v>742</v>
      </c>
      <c r="E9" s="186">
        <v>20</v>
      </c>
      <c r="F9" s="186">
        <f t="shared" ref="F9:F75" si="6">SUM(G9:I9)</f>
        <v>210</v>
      </c>
      <c r="G9" s="186">
        <v>2</v>
      </c>
      <c r="H9" s="186">
        <v>111</v>
      </c>
      <c r="I9" s="186">
        <v>97</v>
      </c>
      <c r="J9" s="186">
        <f t="shared" ref="J9:J75" si="7">SUM(K9:M9)</f>
        <v>459</v>
      </c>
      <c r="K9" s="186">
        <v>9</v>
      </c>
      <c r="L9" s="186">
        <v>245</v>
      </c>
      <c r="M9" s="186">
        <v>205</v>
      </c>
      <c r="N9" s="229">
        <f>SUM(O9:Q9)</f>
        <v>520</v>
      </c>
      <c r="O9" s="229">
        <v>2</v>
      </c>
      <c r="P9" s="229">
        <v>507</v>
      </c>
      <c r="Q9" s="229">
        <v>11</v>
      </c>
      <c r="R9" s="217">
        <f t="shared" ref="R9:R11" si="8">SUM(S9:U9)</f>
        <v>516</v>
      </c>
      <c r="S9" s="217">
        <v>12</v>
      </c>
      <c r="T9" s="217">
        <v>423</v>
      </c>
      <c r="U9" s="217">
        <v>81</v>
      </c>
    </row>
    <row r="10" spans="1:21" ht="10.5" x14ac:dyDescent="0.15">
      <c r="A10" s="180" t="s">
        <v>847</v>
      </c>
      <c r="B10" s="186">
        <f t="shared" si="5"/>
        <v>0</v>
      </c>
      <c r="C10" s="186">
        <v>0</v>
      </c>
      <c r="D10" s="186"/>
      <c r="E10" s="186">
        <v>0</v>
      </c>
      <c r="F10" s="186">
        <f t="shared" si="6"/>
        <v>0</v>
      </c>
      <c r="G10" s="186">
        <v>0</v>
      </c>
      <c r="H10" s="186">
        <v>0</v>
      </c>
      <c r="I10" s="186">
        <v>0</v>
      </c>
      <c r="J10" s="186">
        <f t="shared" si="7"/>
        <v>0</v>
      </c>
      <c r="K10" s="186">
        <v>0</v>
      </c>
      <c r="L10" s="186">
        <v>0</v>
      </c>
      <c r="M10" s="186">
        <v>0</v>
      </c>
      <c r="N10" s="229">
        <f>SUM(O10:Q10)</f>
        <v>0</v>
      </c>
      <c r="O10" s="229">
        <v>0</v>
      </c>
      <c r="P10" s="229">
        <v>0</v>
      </c>
      <c r="Q10" s="229">
        <v>0</v>
      </c>
      <c r="R10" s="217">
        <f t="shared" si="8"/>
        <v>0</v>
      </c>
      <c r="S10" s="217">
        <v>0</v>
      </c>
      <c r="T10" s="217">
        <v>0</v>
      </c>
      <c r="U10" s="217">
        <v>0</v>
      </c>
    </row>
    <row r="11" spans="1:21" ht="10.5" x14ac:dyDescent="0.15">
      <c r="A11" s="180" t="s">
        <v>848</v>
      </c>
      <c r="B11" s="186">
        <f t="shared" si="5"/>
        <v>1133</v>
      </c>
      <c r="C11" s="186">
        <v>6</v>
      </c>
      <c r="D11" s="186">
        <v>1118</v>
      </c>
      <c r="E11" s="186">
        <v>9</v>
      </c>
      <c r="F11" s="186">
        <f t="shared" si="6"/>
        <v>711</v>
      </c>
      <c r="G11" s="186">
        <v>4</v>
      </c>
      <c r="H11" s="186">
        <v>394</v>
      </c>
      <c r="I11" s="186">
        <v>313</v>
      </c>
      <c r="J11" s="186">
        <f t="shared" si="7"/>
        <v>766</v>
      </c>
      <c r="K11" s="186">
        <v>2</v>
      </c>
      <c r="L11" s="186">
        <v>405</v>
      </c>
      <c r="M11" s="186">
        <v>359</v>
      </c>
      <c r="N11" s="229">
        <f t="shared" ref="N11" si="9">SUM(O11:Q11)</f>
        <v>858</v>
      </c>
      <c r="O11" s="229">
        <v>0</v>
      </c>
      <c r="P11" s="229">
        <v>764</v>
      </c>
      <c r="Q11" s="229">
        <v>94</v>
      </c>
      <c r="R11" s="217">
        <f t="shared" si="8"/>
        <v>1202</v>
      </c>
      <c r="S11" s="217">
        <v>13</v>
      </c>
      <c r="T11" s="217">
        <v>967</v>
      </c>
      <c r="U11" s="217">
        <v>222</v>
      </c>
    </row>
    <row r="12" spans="1:21" s="183" customFormat="1" ht="10.5" x14ac:dyDescent="0.15">
      <c r="A12" s="183" t="s">
        <v>6</v>
      </c>
      <c r="B12" s="184">
        <f>SUM(C12:E12)</f>
        <v>9875</v>
      </c>
      <c r="C12" s="184">
        <f>SUM(C13:C15)</f>
        <v>939</v>
      </c>
      <c r="D12" s="184">
        <f>SUM(D13:D15)</f>
        <v>8638</v>
      </c>
      <c r="E12" s="184">
        <f>SUM(E13:E15)</f>
        <v>298</v>
      </c>
      <c r="F12" s="184">
        <f>SUM(G12:I12)</f>
        <v>2297</v>
      </c>
      <c r="G12" s="184">
        <f>SUM(G13:G15)</f>
        <v>26</v>
      </c>
      <c r="H12" s="184">
        <f>SUM(H13:H15)</f>
        <v>1171</v>
      </c>
      <c r="I12" s="184">
        <f>SUM(I13:I15)</f>
        <v>1100</v>
      </c>
      <c r="J12" s="184">
        <f>SUM(K12:M12)</f>
        <v>3404</v>
      </c>
      <c r="K12" s="184">
        <f>SUM(K13:K15)</f>
        <v>176</v>
      </c>
      <c r="L12" s="184">
        <f>SUM(L13:L15)</f>
        <v>1616</v>
      </c>
      <c r="M12" s="184">
        <f>SUM(M13:M15)</f>
        <v>1612</v>
      </c>
      <c r="N12" s="232">
        <f>SUM(O12:Q12)</f>
        <v>4783</v>
      </c>
      <c r="O12" s="232">
        <f>SUM(O13:O15)</f>
        <v>1114</v>
      </c>
      <c r="P12" s="232">
        <f>SUM(P13:P15)</f>
        <v>3430</v>
      </c>
      <c r="Q12" s="232">
        <f>SUM(Q13:Q15)</f>
        <v>239</v>
      </c>
      <c r="R12" s="236">
        <f t="shared" ref="R12:U12" si="10">SUM(R13:R15)</f>
        <v>10638</v>
      </c>
      <c r="S12" s="236">
        <f t="shared" si="10"/>
        <v>2591</v>
      </c>
      <c r="T12" s="236">
        <f t="shared" si="10"/>
        <v>7714</v>
      </c>
      <c r="U12" s="236">
        <f t="shared" si="10"/>
        <v>333</v>
      </c>
    </row>
    <row r="13" spans="1:21" ht="10.5" x14ac:dyDescent="0.15">
      <c r="A13" s="180" t="s">
        <v>849</v>
      </c>
      <c r="B13" s="186">
        <f t="shared" si="5"/>
        <v>185</v>
      </c>
      <c r="C13" s="186">
        <v>13</v>
      </c>
      <c r="D13" s="186">
        <v>169</v>
      </c>
      <c r="E13" s="186">
        <v>3</v>
      </c>
      <c r="F13" s="186">
        <f t="shared" si="6"/>
        <v>192</v>
      </c>
      <c r="G13" s="186">
        <v>5</v>
      </c>
      <c r="H13" s="186">
        <v>122</v>
      </c>
      <c r="I13" s="186">
        <v>65</v>
      </c>
      <c r="J13" s="186">
        <f t="shared" si="7"/>
        <v>266</v>
      </c>
      <c r="K13" s="186">
        <v>8</v>
      </c>
      <c r="L13" s="186">
        <v>169</v>
      </c>
      <c r="M13" s="186">
        <v>89</v>
      </c>
      <c r="N13" s="229">
        <f t="shared" ref="N13:N25" si="11">SUM(O13:Q13)</f>
        <v>224</v>
      </c>
      <c r="O13" s="229">
        <v>0</v>
      </c>
      <c r="P13" s="229">
        <v>224</v>
      </c>
      <c r="Q13" s="229">
        <v>0</v>
      </c>
      <c r="R13" s="217">
        <f>SUM(S13:U13)</f>
        <v>430</v>
      </c>
      <c r="S13" s="217">
        <v>14</v>
      </c>
      <c r="T13" s="217">
        <v>416</v>
      </c>
      <c r="U13" s="217" t="s">
        <v>193</v>
      </c>
    </row>
    <row r="14" spans="1:21" ht="10.5" x14ac:dyDescent="0.15">
      <c r="A14" s="180" t="s">
        <v>850</v>
      </c>
      <c r="B14" s="186">
        <f t="shared" si="5"/>
        <v>0</v>
      </c>
      <c r="C14" s="186">
        <v>0</v>
      </c>
      <c r="D14" s="186"/>
      <c r="E14" s="186">
        <v>0</v>
      </c>
      <c r="F14" s="186">
        <f t="shared" si="6"/>
        <v>0</v>
      </c>
      <c r="G14" s="186">
        <v>0</v>
      </c>
      <c r="H14" s="186">
        <v>0</v>
      </c>
      <c r="I14" s="186">
        <v>0</v>
      </c>
      <c r="J14" s="186">
        <f t="shared" si="7"/>
        <v>0</v>
      </c>
      <c r="K14" s="186">
        <v>0</v>
      </c>
      <c r="L14" s="186">
        <v>0</v>
      </c>
      <c r="M14" s="186">
        <v>0</v>
      </c>
      <c r="N14" s="229">
        <f t="shared" si="11"/>
        <v>0</v>
      </c>
      <c r="O14" s="229">
        <v>0</v>
      </c>
      <c r="P14" s="229">
        <v>0</v>
      </c>
      <c r="Q14" s="229">
        <v>0</v>
      </c>
      <c r="R14" s="217">
        <f>SUM(S14:U14)</f>
        <v>0</v>
      </c>
      <c r="S14" s="217">
        <v>0</v>
      </c>
      <c r="T14" s="217">
        <v>0</v>
      </c>
      <c r="U14" s="217">
        <v>0</v>
      </c>
    </row>
    <row r="15" spans="1:21" ht="10.5" x14ac:dyDescent="0.15">
      <c r="A15" s="180" t="s">
        <v>851</v>
      </c>
      <c r="B15" s="186">
        <f t="shared" si="5"/>
        <v>9690</v>
      </c>
      <c r="C15" s="186">
        <v>926</v>
      </c>
      <c r="D15" s="186">
        <v>8469</v>
      </c>
      <c r="E15" s="186">
        <v>295</v>
      </c>
      <c r="F15" s="186">
        <f t="shared" si="6"/>
        <v>2105</v>
      </c>
      <c r="G15" s="186">
        <v>21</v>
      </c>
      <c r="H15" s="186">
        <v>1049</v>
      </c>
      <c r="I15" s="186">
        <v>1035</v>
      </c>
      <c r="J15" s="186">
        <f t="shared" si="7"/>
        <v>3138</v>
      </c>
      <c r="K15" s="186">
        <v>168</v>
      </c>
      <c r="L15" s="186">
        <v>1447</v>
      </c>
      <c r="M15" s="186">
        <v>1523</v>
      </c>
      <c r="N15" s="229">
        <f t="shared" si="11"/>
        <v>4559</v>
      </c>
      <c r="O15" s="229">
        <v>1114</v>
      </c>
      <c r="P15" s="229">
        <v>3206</v>
      </c>
      <c r="Q15" s="229">
        <v>239</v>
      </c>
      <c r="R15" s="217">
        <v>10208</v>
      </c>
      <c r="S15" s="217">
        <v>2577</v>
      </c>
      <c r="T15" s="217">
        <v>7298</v>
      </c>
      <c r="U15" s="217">
        <v>333</v>
      </c>
    </row>
    <row r="16" spans="1:21" s="183" customFormat="1" ht="10.5" x14ac:dyDescent="0.15">
      <c r="A16" s="183" t="s">
        <v>7</v>
      </c>
      <c r="B16" s="184">
        <f>SUM(C16:E16)</f>
        <v>330317</v>
      </c>
      <c r="C16" s="184">
        <f>SUM(C17:C21)</f>
        <v>42230</v>
      </c>
      <c r="D16" s="184">
        <f t="shared" ref="D16:E16" si="12">SUM(D17:D21)</f>
        <v>262689</v>
      </c>
      <c r="E16" s="184">
        <f t="shared" si="12"/>
        <v>25398</v>
      </c>
      <c r="F16" s="184">
        <f>SUM(G16:I16)</f>
        <v>365538</v>
      </c>
      <c r="G16" s="184">
        <f>SUM(G17:G21)</f>
        <v>27212</v>
      </c>
      <c r="H16" s="184">
        <f t="shared" ref="H16:I16" si="13">SUM(H17:H21)</f>
        <v>172213</v>
      </c>
      <c r="I16" s="184">
        <f t="shared" si="13"/>
        <v>166113</v>
      </c>
      <c r="J16" s="184">
        <f>SUM(K16:M16)</f>
        <v>429839</v>
      </c>
      <c r="K16" s="184">
        <f>SUM(K17:K21)</f>
        <v>29336</v>
      </c>
      <c r="L16" s="184">
        <f t="shared" ref="L16:M16" si="14">SUM(L17:L21)</f>
        <v>202336</v>
      </c>
      <c r="M16" s="184">
        <f t="shared" si="14"/>
        <v>198167</v>
      </c>
      <c r="N16" s="232">
        <f t="shared" si="11"/>
        <v>391325</v>
      </c>
      <c r="O16" s="232">
        <f>SUM(O17:O21)</f>
        <v>51666</v>
      </c>
      <c r="P16" s="232">
        <f t="shared" ref="P16:U16" si="15">SUM(P17:P21)</f>
        <v>313319</v>
      </c>
      <c r="Q16" s="232">
        <f t="shared" si="15"/>
        <v>26340</v>
      </c>
      <c r="R16" s="236">
        <f t="shared" si="15"/>
        <v>465052</v>
      </c>
      <c r="S16" s="236">
        <f t="shared" si="15"/>
        <v>67526</v>
      </c>
      <c r="T16" s="236">
        <f t="shared" si="15"/>
        <v>368588</v>
      </c>
      <c r="U16" s="236">
        <f t="shared" si="15"/>
        <v>28938</v>
      </c>
    </row>
    <row r="17" spans="1:21" ht="10.5" x14ac:dyDescent="0.15">
      <c r="A17" s="180" t="s">
        <v>852</v>
      </c>
      <c r="B17" s="186">
        <f t="shared" si="5"/>
        <v>0</v>
      </c>
      <c r="C17" s="186">
        <v>0</v>
      </c>
      <c r="D17" s="186">
        <v>0</v>
      </c>
      <c r="E17" s="186">
        <v>0</v>
      </c>
      <c r="F17" s="186">
        <f t="shared" si="6"/>
        <v>0</v>
      </c>
      <c r="G17" s="186">
        <v>0</v>
      </c>
      <c r="H17" s="186">
        <v>0</v>
      </c>
      <c r="I17" s="186">
        <v>0</v>
      </c>
      <c r="J17" s="186">
        <f t="shared" si="7"/>
        <v>0</v>
      </c>
      <c r="K17" s="186">
        <v>0</v>
      </c>
      <c r="L17" s="186">
        <v>0</v>
      </c>
      <c r="M17" s="186">
        <v>0</v>
      </c>
      <c r="N17" s="229">
        <f t="shared" si="11"/>
        <v>0</v>
      </c>
      <c r="O17" s="229">
        <v>0</v>
      </c>
      <c r="P17" s="229">
        <v>0</v>
      </c>
      <c r="Q17" s="229">
        <v>0</v>
      </c>
      <c r="R17" s="217">
        <f>SUM(S17:U17)</f>
        <v>0</v>
      </c>
      <c r="S17" s="217">
        <v>0</v>
      </c>
      <c r="T17" s="217">
        <v>0</v>
      </c>
      <c r="U17" s="217">
        <v>0</v>
      </c>
    </row>
    <row r="18" spans="1:21" ht="10.5" x14ac:dyDescent="0.15">
      <c r="A18" s="180" t="s">
        <v>853</v>
      </c>
      <c r="B18" s="186">
        <f t="shared" si="5"/>
        <v>0</v>
      </c>
      <c r="C18" s="186">
        <v>0</v>
      </c>
      <c r="D18" s="186">
        <v>0</v>
      </c>
      <c r="E18" s="186">
        <v>0</v>
      </c>
      <c r="F18" s="186">
        <f t="shared" si="6"/>
        <v>0</v>
      </c>
      <c r="G18" s="186">
        <v>0</v>
      </c>
      <c r="H18" s="186">
        <v>0</v>
      </c>
      <c r="I18" s="186">
        <v>0</v>
      </c>
      <c r="J18" s="186">
        <f t="shared" si="7"/>
        <v>0</v>
      </c>
      <c r="K18" s="186">
        <v>0</v>
      </c>
      <c r="L18" s="186">
        <v>0</v>
      </c>
      <c r="M18" s="186">
        <v>0</v>
      </c>
      <c r="N18" s="229">
        <f t="shared" si="11"/>
        <v>0</v>
      </c>
      <c r="O18" s="229">
        <v>0</v>
      </c>
      <c r="P18" s="229">
        <v>0</v>
      </c>
      <c r="Q18" s="229">
        <v>0</v>
      </c>
      <c r="R18" s="217">
        <f>SUM(S18:U18)</f>
        <v>0</v>
      </c>
      <c r="S18" s="217">
        <v>0</v>
      </c>
      <c r="T18" s="217">
        <v>0</v>
      </c>
      <c r="U18" s="217">
        <v>0</v>
      </c>
    </row>
    <row r="19" spans="1:21" ht="10.5" x14ac:dyDescent="0.15">
      <c r="A19" s="180" t="s">
        <v>854</v>
      </c>
      <c r="B19" s="186">
        <f t="shared" si="5"/>
        <v>213230</v>
      </c>
      <c r="C19" s="186">
        <v>23834</v>
      </c>
      <c r="D19" s="186">
        <v>172135</v>
      </c>
      <c r="E19" s="186">
        <v>17261</v>
      </c>
      <c r="F19" s="186">
        <f t="shared" si="6"/>
        <v>238737</v>
      </c>
      <c r="G19" s="186">
        <v>19996</v>
      </c>
      <c r="H19" s="186">
        <v>108109</v>
      </c>
      <c r="I19" s="186">
        <v>110632</v>
      </c>
      <c r="J19" s="186">
        <f t="shared" si="7"/>
        <v>261414</v>
      </c>
      <c r="K19" s="186">
        <v>21296</v>
      </c>
      <c r="L19" s="186">
        <v>118479</v>
      </c>
      <c r="M19" s="186">
        <v>121639</v>
      </c>
      <c r="N19" s="229">
        <f t="shared" si="11"/>
        <v>263142</v>
      </c>
      <c r="O19" s="229">
        <v>34180</v>
      </c>
      <c r="P19" s="229">
        <v>209153</v>
      </c>
      <c r="Q19" s="229">
        <v>19809</v>
      </c>
      <c r="R19" s="217">
        <v>310698</v>
      </c>
      <c r="S19" s="217">
        <v>43876</v>
      </c>
      <c r="T19" s="217">
        <v>246494</v>
      </c>
      <c r="U19" s="217">
        <v>20328</v>
      </c>
    </row>
    <row r="20" spans="1:21" ht="10.5" x14ac:dyDescent="0.15">
      <c r="A20" s="180" t="s">
        <v>954</v>
      </c>
      <c r="B20" s="186">
        <f t="shared" si="5"/>
        <v>0</v>
      </c>
      <c r="C20" s="186">
        <v>0</v>
      </c>
      <c r="D20" s="186">
        <v>0</v>
      </c>
      <c r="E20" s="186">
        <v>0</v>
      </c>
      <c r="F20" s="186">
        <f t="shared" si="6"/>
        <v>0</v>
      </c>
      <c r="G20" s="186">
        <v>0</v>
      </c>
      <c r="H20" s="186">
        <v>0</v>
      </c>
      <c r="I20" s="186">
        <v>0</v>
      </c>
      <c r="J20" s="186">
        <f t="shared" si="7"/>
        <v>0</v>
      </c>
      <c r="K20" s="186">
        <v>0</v>
      </c>
      <c r="L20" s="186">
        <v>0</v>
      </c>
      <c r="M20" s="186">
        <v>0</v>
      </c>
      <c r="N20" s="229">
        <f t="shared" si="11"/>
        <v>0</v>
      </c>
      <c r="O20" s="229">
        <v>0</v>
      </c>
      <c r="P20" s="229">
        <v>0</v>
      </c>
      <c r="Q20" s="229">
        <v>0</v>
      </c>
      <c r="R20" s="217" t="s">
        <v>193</v>
      </c>
      <c r="S20" s="217">
        <v>0</v>
      </c>
      <c r="T20" s="217">
        <v>0</v>
      </c>
      <c r="U20" s="217">
        <v>0</v>
      </c>
    </row>
    <row r="21" spans="1:21" ht="10.5" x14ac:dyDescent="0.15">
      <c r="A21" s="180" t="s">
        <v>856</v>
      </c>
      <c r="B21" s="186">
        <f t="shared" si="5"/>
        <v>117087</v>
      </c>
      <c r="C21" s="186">
        <v>18396</v>
      </c>
      <c r="D21" s="186">
        <v>90554</v>
      </c>
      <c r="E21" s="186">
        <v>8137</v>
      </c>
      <c r="F21" s="186">
        <f t="shared" si="6"/>
        <v>126801</v>
      </c>
      <c r="G21" s="186">
        <v>7216</v>
      </c>
      <c r="H21" s="186">
        <v>64104</v>
      </c>
      <c r="I21" s="186">
        <v>55481</v>
      </c>
      <c r="J21" s="186">
        <f t="shared" si="7"/>
        <v>168425</v>
      </c>
      <c r="K21" s="186">
        <v>8040</v>
      </c>
      <c r="L21" s="186">
        <v>83857</v>
      </c>
      <c r="M21" s="186">
        <v>76528</v>
      </c>
      <c r="N21" s="229">
        <f t="shared" si="11"/>
        <v>128183</v>
      </c>
      <c r="O21" s="229">
        <v>17486</v>
      </c>
      <c r="P21" s="229">
        <v>104166</v>
      </c>
      <c r="Q21" s="229">
        <v>6531</v>
      </c>
      <c r="R21" s="217">
        <v>154354</v>
      </c>
      <c r="S21" s="217">
        <v>23650</v>
      </c>
      <c r="T21" s="217">
        <v>122094</v>
      </c>
      <c r="U21" s="217">
        <v>8610</v>
      </c>
    </row>
    <row r="22" spans="1:21" s="183" customFormat="1" ht="10.5" x14ac:dyDescent="0.15">
      <c r="A22" s="183" t="s">
        <v>8</v>
      </c>
      <c r="B22" s="184">
        <f>SUM(C22:E22)</f>
        <v>16474</v>
      </c>
      <c r="C22" s="184">
        <f>SUM(C23:C25)</f>
        <v>4009</v>
      </c>
      <c r="D22" s="184">
        <f t="shared" ref="D22:E22" si="16">SUM(D23:D25)</f>
        <v>11514</v>
      </c>
      <c r="E22" s="184">
        <f t="shared" si="16"/>
        <v>951</v>
      </c>
      <c r="F22" s="184">
        <f>SUM(G22:I22)</f>
        <v>19493</v>
      </c>
      <c r="G22" s="184">
        <f>SUM(G23:G25)</f>
        <v>1768</v>
      </c>
      <c r="H22" s="184">
        <f t="shared" ref="H22:I22" si="17">SUM(H23:H25)</f>
        <v>8917</v>
      </c>
      <c r="I22" s="184">
        <f t="shared" si="17"/>
        <v>8808</v>
      </c>
      <c r="J22" s="184">
        <f>SUM(K22:M22)</f>
        <v>19562</v>
      </c>
      <c r="K22" s="184">
        <f>SUM(K23:K25)</f>
        <v>517</v>
      </c>
      <c r="L22" s="184">
        <f t="shared" ref="L22:M22" si="18">SUM(L23:L25)</f>
        <v>9838</v>
      </c>
      <c r="M22" s="184">
        <f t="shared" si="18"/>
        <v>9207</v>
      </c>
      <c r="N22" s="232">
        <f t="shared" si="11"/>
        <v>22181</v>
      </c>
      <c r="O22" s="232">
        <f>SUM(O23:O25)</f>
        <v>9232</v>
      </c>
      <c r="P22" s="232">
        <f t="shared" ref="P22:U22" si="19">SUM(P23:P25)</f>
        <v>11655</v>
      </c>
      <c r="Q22" s="232">
        <f t="shared" si="19"/>
        <v>1294</v>
      </c>
      <c r="R22" s="236">
        <f t="shared" si="19"/>
        <v>21349</v>
      </c>
      <c r="S22" s="236">
        <f t="shared" si="19"/>
        <v>4225</v>
      </c>
      <c r="T22" s="236">
        <f t="shared" si="19"/>
        <v>16138</v>
      </c>
      <c r="U22" s="236">
        <f t="shared" si="19"/>
        <v>986</v>
      </c>
    </row>
    <row r="23" spans="1:21" ht="10.5" x14ac:dyDescent="0.15">
      <c r="A23" s="180" t="s">
        <v>857</v>
      </c>
      <c r="B23" s="186">
        <f t="shared" si="5"/>
        <v>12788</v>
      </c>
      <c r="C23" s="186">
        <v>3010</v>
      </c>
      <c r="D23" s="186">
        <v>8827</v>
      </c>
      <c r="E23" s="186">
        <v>951</v>
      </c>
      <c r="F23" s="186">
        <f t="shared" si="6"/>
        <v>15206</v>
      </c>
      <c r="G23" s="186">
        <v>1748</v>
      </c>
      <c r="H23" s="186">
        <v>6678</v>
      </c>
      <c r="I23" s="186">
        <v>6780</v>
      </c>
      <c r="J23" s="186">
        <f t="shared" si="7"/>
        <v>14503</v>
      </c>
      <c r="K23" s="186">
        <v>516</v>
      </c>
      <c r="L23" s="186">
        <v>7258</v>
      </c>
      <c r="M23" s="186">
        <v>6729</v>
      </c>
      <c r="N23" s="229">
        <f t="shared" si="11"/>
        <v>17631</v>
      </c>
      <c r="O23" s="229">
        <v>8201</v>
      </c>
      <c r="P23" s="229">
        <v>8158</v>
      </c>
      <c r="Q23" s="229">
        <v>1272</v>
      </c>
      <c r="R23" s="217">
        <f>SUM(S23:U23)</f>
        <v>16041</v>
      </c>
      <c r="S23" s="217">
        <v>2891</v>
      </c>
      <c r="T23" s="217">
        <v>12196</v>
      </c>
      <c r="U23" s="217">
        <v>954</v>
      </c>
    </row>
    <row r="24" spans="1:21" ht="10.5" x14ac:dyDescent="0.15">
      <c r="A24" s="180" t="s">
        <v>858</v>
      </c>
      <c r="B24" s="186">
        <f t="shared" si="5"/>
        <v>3283</v>
      </c>
      <c r="C24" s="186">
        <v>996</v>
      </c>
      <c r="D24" s="186">
        <v>2287</v>
      </c>
      <c r="E24" s="186">
        <v>0</v>
      </c>
      <c r="F24" s="186">
        <f t="shared" si="6"/>
        <v>3781</v>
      </c>
      <c r="G24" s="186">
        <v>20</v>
      </c>
      <c r="H24" s="186">
        <v>1930</v>
      </c>
      <c r="I24" s="186">
        <v>1831</v>
      </c>
      <c r="J24" s="186">
        <f t="shared" si="7"/>
        <v>4472</v>
      </c>
      <c r="K24" s="186">
        <v>1</v>
      </c>
      <c r="L24" s="186">
        <v>2223</v>
      </c>
      <c r="M24" s="186">
        <v>2248</v>
      </c>
      <c r="N24" s="229">
        <f t="shared" si="11"/>
        <v>3864</v>
      </c>
      <c r="O24" s="229">
        <v>1025</v>
      </c>
      <c r="P24" s="229">
        <v>2825</v>
      </c>
      <c r="Q24" s="229">
        <v>14</v>
      </c>
      <c r="R24" s="217">
        <f t="shared" ref="R24:R25" si="20">SUM(S24:U24)</f>
        <v>4792</v>
      </c>
      <c r="S24" s="217">
        <v>1329</v>
      </c>
      <c r="T24" s="217">
        <v>3433</v>
      </c>
      <c r="U24" s="217">
        <v>30</v>
      </c>
    </row>
    <row r="25" spans="1:21" ht="10.5" x14ac:dyDescent="0.15">
      <c r="A25" s="180" t="s">
        <v>975</v>
      </c>
      <c r="B25" s="186">
        <f t="shared" si="5"/>
        <v>403</v>
      </c>
      <c r="C25" s="186">
        <v>3</v>
      </c>
      <c r="D25" s="186">
        <v>400</v>
      </c>
      <c r="E25" s="186">
        <v>0</v>
      </c>
      <c r="F25" s="186">
        <f t="shared" si="6"/>
        <v>506</v>
      </c>
      <c r="G25" s="186">
        <v>0</v>
      </c>
      <c r="H25" s="186">
        <v>309</v>
      </c>
      <c r="I25" s="186">
        <v>197</v>
      </c>
      <c r="J25" s="186">
        <f t="shared" si="7"/>
        <v>587</v>
      </c>
      <c r="K25" s="186">
        <v>0</v>
      </c>
      <c r="L25" s="186">
        <v>357</v>
      </c>
      <c r="M25" s="186">
        <v>230</v>
      </c>
      <c r="N25" s="229">
        <f t="shared" si="11"/>
        <v>686</v>
      </c>
      <c r="O25" s="229">
        <v>6</v>
      </c>
      <c r="P25" s="229">
        <v>672</v>
      </c>
      <c r="Q25" s="229">
        <v>8</v>
      </c>
      <c r="R25" s="217">
        <f t="shared" si="20"/>
        <v>516</v>
      </c>
      <c r="S25" s="217">
        <v>5</v>
      </c>
      <c r="T25" s="217">
        <v>509</v>
      </c>
      <c r="U25" s="217">
        <v>2</v>
      </c>
    </row>
    <row r="26" spans="1:21" s="183" customFormat="1" ht="10.5" x14ac:dyDescent="0.15">
      <c r="A26" s="183" t="s">
        <v>9</v>
      </c>
      <c r="B26" s="184">
        <f>SUM(C26:E26)</f>
        <v>47833</v>
      </c>
      <c r="C26" s="184">
        <f>SUM(C27:C30)</f>
        <v>10079</v>
      </c>
      <c r="D26" s="184">
        <f t="shared" ref="D26:E26" si="21">SUM(D27:D30)</f>
        <v>36698</v>
      </c>
      <c r="E26" s="184">
        <f t="shared" si="21"/>
        <v>1056</v>
      </c>
      <c r="F26" s="184">
        <f>SUM(G26:I26)</f>
        <v>71344</v>
      </c>
      <c r="G26" s="184">
        <f>SUM(G27:G30)</f>
        <v>851</v>
      </c>
      <c r="H26" s="184">
        <f t="shared" ref="H26:I26" si="22">SUM(H27:H30)</f>
        <v>32274</v>
      </c>
      <c r="I26" s="184">
        <f t="shared" si="22"/>
        <v>38219</v>
      </c>
      <c r="J26" s="184">
        <f>SUM(K26:M26)</f>
        <v>70191</v>
      </c>
      <c r="K26" s="184">
        <f>SUM(K27:K30)</f>
        <v>1704</v>
      </c>
      <c r="L26" s="184">
        <f t="shared" ref="L26:M26" si="23">SUM(L27:L30)</f>
        <v>31472</v>
      </c>
      <c r="M26" s="184">
        <f t="shared" si="23"/>
        <v>37015</v>
      </c>
      <c r="N26" s="232">
        <f>+N27+N28+N29+N30</f>
        <v>79303</v>
      </c>
      <c r="O26" s="232">
        <f t="shared" ref="O26:S26" si="24">+O27+O28+O29+O30</f>
        <v>17033</v>
      </c>
      <c r="P26" s="232">
        <f t="shared" si="24"/>
        <v>60637</v>
      </c>
      <c r="Q26" s="232">
        <f t="shared" si="24"/>
        <v>1633</v>
      </c>
      <c r="R26" s="236">
        <f t="shared" si="24"/>
        <v>79179</v>
      </c>
      <c r="S26" s="236">
        <f t="shared" si="24"/>
        <v>17229</v>
      </c>
      <c r="T26" s="236">
        <f>+T27+T28+T29+T30</f>
        <v>59833</v>
      </c>
      <c r="U26" s="236">
        <f>SUM(U27:U30)</f>
        <v>2117</v>
      </c>
    </row>
    <row r="27" spans="1:21" ht="10.5" x14ac:dyDescent="0.15">
      <c r="A27" s="180" t="s">
        <v>860</v>
      </c>
      <c r="B27" s="186">
        <f t="shared" si="5"/>
        <v>16776</v>
      </c>
      <c r="C27" s="186">
        <v>4435</v>
      </c>
      <c r="D27" s="186">
        <v>12205</v>
      </c>
      <c r="E27" s="186">
        <v>136</v>
      </c>
      <c r="F27" s="186">
        <f t="shared" si="6"/>
        <v>17662</v>
      </c>
      <c r="G27" s="186">
        <v>290</v>
      </c>
      <c r="H27" s="186">
        <v>8416</v>
      </c>
      <c r="I27" s="186">
        <v>8956</v>
      </c>
      <c r="J27" s="186">
        <f t="shared" si="7"/>
        <v>16203</v>
      </c>
      <c r="K27" s="186">
        <v>527</v>
      </c>
      <c r="L27" s="186">
        <v>7844</v>
      </c>
      <c r="M27" s="186">
        <v>7832</v>
      </c>
      <c r="N27" s="229">
        <f t="shared" ref="N27:N77" si="25">SUM(O27:Q27)</f>
        <v>20312</v>
      </c>
      <c r="O27" s="229">
        <v>5885</v>
      </c>
      <c r="P27" s="229">
        <v>13574</v>
      </c>
      <c r="Q27" s="229">
        <v>853</v>
      </c>
      <c r="R27" s="217">
        <f>SUM(S27:U27)</f>
        <v>18138</v>
      </c>
      <c r="S27" s="217">
        <v>5326</v>
      </c>
      <c r="T27" s="217">
        <v>12118</v>
      </c>
      <c r="U27" s="217">
        <v>694</v>
      </c>
    </row>
    <row r="28" spans="1:21" ht="10.5" x14ac:dyDescent="0.15">
      <c r="A28" s="180" t="s">
        <v>861</v>
      </c>
      <c r="B28" s="186">
        <f t="shared" si="5"/>
        <v>22993</v>
      </c>
      <c r="C28" s="186">
        <v>3179</v>
      </c>
      <c r="D28" s="186">
        <v>19036</v>
      </c>
      <c r="E28" s="186">
        <v>778</v>
      </c>
      <c r="F28" s="186">
        <f t="shared" si="6"/>
        <v>44880</v>
      </c>
      <c r="G28" s="186">
        <v>323</v>
      </c>
      <c r="H28" s="186">
        <v>19667</v>
      </c>
      <c r="I28" s="186">
        <v>24890</v>
      </c>
      <c r="J28" s="186">
        <f t="shared" si="7"/>
        <v>46050</v>
      </c>
      <c r="K28" s="186">
        <v>926</v>
      </c>
      <c r="L28" s="186">
        <v>19695</v>
      </c>
      <c r="M28" s="186">
        <v>25429</v>
      </c>
      <c r="N28" s="229">
        <f t="shared" si="25"/>
        <v>51050</v>
      </c>
      <c r="O28" s="229">
        <v>8718</v>
      </c>
      <c r="P28" s="229">
        <v>41892</v>
      </c>
      <c r="Q28" s="229">
        <v>440</v>
      </c>
      <c r="R28" s="217">
        <f t="shared" ref="R28:R30" si="26">SUM(S28:U28)</f>
        <v>53294</v>
      </c>
      <c r="S28" s="217">
        <v>9319</v>
      </c>
      <c r="T28" s="217">
        <v>42774</v>
      </c>
      <c r="U28" s="217">
        <v>1201</v>
      </c>
    </row>
    <row r="29" spans="1:21" ht="10.5" x14ac:dyDescent="0.15">
      <c r="A29" s="180" t="s">
        <v>976</v>
      </c>
      <c r="B29" s="186">
        <f t="shared" si="5"/>
        <v>3048</v>
      </c>
      <c r="C29" s="186">
        <v>1122</v>
      </c>
      <c r="D29" s="186">
        <v>1913</v>
      </c>
      <c r="E29" s="186">
        <v>13</v>
      </c>
      <c r="F29" s="186">
        <f t="shared" si="6"/>
        <v>3621</v>
      </c>
      <c r="G29" s="186">
        <v>0</v>
      </c>
      <c r="H29" s="186">
        <v>1828</v>
      </c>
      <c r="I29" s="186">
        <v>1793</v>
      </c>
      <c r="J29" s="186">
        <f t="shared" si="7"/>
        <v>2850</v>
      </c>
      <c r="K29" s="186">
        <v>0</v>
      </c>
      <c r="L29" s="186">
        <v>1458</v>
      </c>
      <c r="M29" s="186">
        <v>1392</v>
      </c>
      <c r="N29" s="229">
        <f t="shared" si="25"/>
        <v>2888</v>
      </c>
      <c r="O29" s="229">
        <v>892</v>
      </c>
      <c r="P29" s="229">
        <v>1996</v>
      </c>
      <c r="Q29" s="229">
        <v>0</v>
      </c>
      <c r="R29" s="217">
        <f t="shared" si="26"/>
        <v>2544</v>
      </c>
      <c r="S29" s="217">
        <v>891</v>
      </c>
      <c r="T29" s="217">
        <v>1653</v>
      </c>
      <c r="U29" s="237" t="s">
        <v>193</v>
      </c>
    </row>
    <row r="30" spans="1:21" ht="10.5" x14ac:dyDescent="0.15">
      <c r="A30" s="180" t="s">
        <v>863</v>
      </c>
      <c r="B30" s="186">
        <f t="shared" si="5"/>
        <v>5016</v>
      </c>
      <c r="C30" s="186">
        <v>1343</v>
      </c>
      <c r="D30" s="186">
        <v>3544</v>
      </c>
      <c r="E30" s="186">
        <v>129</v>
      </c>
      <c r="F30" s="186">
        <f t="shared" si="6"/>
        <v>5181</v>
      </c>
      <c r="G30" s="186">
        <v>238</v>
      </c>
      <c r="H30" s="186">
        <v>2363</v>
      </c>
      <c r="I30" s="186">
        <v>2580</v>
      </c>
      <c r="J30" s="186">
        <f t="shared" si="7"/>
        <v>5088</v>
      </c>
      <c r="K30" s="186">
        <v>251</v>
      </c>
      <c r="L30" s="186">
        <v>2475</v>
      </c>
      <c r="M30" s="186">
        <v>2362</v>
      </c>
      <c r="N30" s="229">
        <f t="shared" si="25"/>
        <v>5053</v>
      </c>
      <c r="O30" s="229">
        <v>1538</v>
      </c>
      <c r="P30" s="229">
        <v>3175</v>
      </c>
      <c r="Q30" s="229">
        <v>340</v>
      </c>
      <c r="R30" s="217">
        <f t="shared" si="26"/>
        <v>5203</v>
      </c>
      <c r="S30" s="217">
        <v>1693</v>
      </c>
      <c r="T30" s="217">
        <v>3288</v>
      </c>
      <c r="U30" s="217">
        <v>222</v>
      </c>
    </row>
    <row r="31" spans="1:21" s="183" customFormat="1" ht="10.5" x14ac:dyDescent="0.15">
      <c r="A31" s="183" t="s">
        <v>10</v>
      </c>
      <c r="B31" s="184">
        <f>SUM(C31:E31)</f>
        <v>134892</v>
      </c>
      <c r="C31" s="184">
        <f>SUM(C32:C39)</f>
        <v>25507</v>
      </c>
      <c r="D31" s="184">
        <f t="shared" ref="D31:E31" si="27">SUM(D32:D39)</f>
        <v>97798</v>
      </c>
      <c r="E31" s="184">
        <f t="shared" si="27"/>
        <v>11587</v>
      </c>
      <c r="F31" s="184">
        <f>SUM(G31:I31)</f>
        <v>170766</v>
      </c>
      <c r="G31" s="184">
        <f>SUM(G32:G39)</f>
        <v>12161</v>
      </c>
      <c r="H31" s="184">
        <f t="shared" ref="H31:I31" si="28">SUM(H32:H39)</f>
        <v>87356</v>
      </c>
      <c r="I31" s="184">
        <f t="shared" si="28"/>
        <v>71249</v>
      </c>
      <c r="J31" s="184">
        <f>SUM(K31:M31)</f>
        <v>207433</v>
      </c>
      <c r="K31" s="184">
        <f>SUM(K32:K39)</f>
        <v>14315</v>
      </c>
      <c r="L31" s="184">
        <f t="shared" ref="L31:M31" si="29">SUM(L32:L39)</f>
        <v>105691</v>
      </c>
      <c r="M31" s="184">
        <f t="shared" si="29"/>
        <v>87427</v>
      </c>
      <c r="N31" s="232">
        <f t="shared" si="25"/>
        <v>188405</v>
      </c>
      <c r="O31" s="232">
        <f>SUM(O32:O39)</f>
        <v>31107</v>
      </c>
      <c r="P31" s="232">
        <f t="shared" ref="P31:U31" si="30">SUM(P32:P39)</f>
        <v>146668</v>
      </c>
      <c r="Q31" s="232">
        <f t="shared" si="30"/>
        <v>10630</v>
      </c>
      <c r="R31" s="236">
        <f t="shared" si="30"/>
        <v>139646</v>
      </c>
      <c r="S31" s="236">
        <f t="shared" si="30"/>
        <v>31066</v>
      </c>
      <c r="T31" s="236">
        <f t="shared" si="30"/>
        <v>98212</v>
      </c>
      <c r="U31" s="236">
        <f t="shared" si="30"/>
        <v>10368</v>
      </c>
    </row>
    <row r="32" spans="1:21" ht="10.5" x14ac:dyDescent="0.15">
      <c r="A32" s="180" t="s">
        <v>864</v>
      </c>
      <c r="B32" s="186"/>
      <c r="C32" s="186">
        <v>12375</v>
      </c>
      <c r="D32" s="186">
        <v>30339</v>
      </c>
      <c r="E32" s="186">
        <v>1800</v>
      </c>
      <c r="F32" s="186">
        <f t="shared" si="6"/>
        <v>54326</v>
      </c>
      <c r="G32" s="186">
        <v>1937</v>
      </c>
      <c r="H32" s="186">
        <v>29104</v>
      </c>
      <c r="I32" s="186">
        <v>23285</v>
      </c>
      <c r="J32" s="186">
        <f t="shared" si="7"/>
        <v>60430</v>
      </c>
      <c r="K32" s="186">
        <v>2318</v>
      </c>
      <c r="L32" s="186">
        <v>32108</v>
      </c>
      <c r="M32" s="186">
        <v>26004</v>
      </c>
      <c r="N32" s="229">
        <f t="shared" si="25"/>
        <v>54487</v>
      </c>
      <c r="O32" s="229">
        <v>13301</v>
      </c>
      <c r="P32" s="229">
        <v>39375</v>
      </c>
      <c r="Q32" s="229">
        <v>1811</v>
      </c>
      <c r="R32" s="217">
        <f>SUM(S32:U32)</f>
        <v>59041</v>
      </c>
      <c r="S32" s="217">
        <v>14221</v>
      </c>
      <c r="T32" s="217">
        <v>43076</v>
      </c>
      <c r="U32" s="217">
        <v>1744</v>
      </c>
    </row>
    <row r="33" spans="1:21" ht="10.5" x14ac:dyDescent="0.15">
      <c r="A33" s="179" t="s">
        <v>865</v>
      </c>
      <c r="B33" s="186">
        <f t="shared" si="5"/>
        <v>1048</v>
      </c>
      <c r="C33" s="186">
        <v>139</v>
      </c>
      <c r="D33" s="186">
        <v>898</v>
      </c>
      <c r="E33" s="186">
        <v>11</v>
      </c>
      <c r="F33" s="186">
        <f t="shared" si="6"/>
        <v>1525</v>
      </c>
      <c r="G33" s="186">
        <v>109</v>
      </c>
      <c r="H33" s="186">
        <v>865</v>
      </c>
      <c r="I33" s="186">
        <v>551</v>
      </c>
      <c r="J33" s="186">
        <f t="shared" si="7"/>
        <v>1219</v>
      </c>
      <c r="K33" s="186">
        <v>77</v>
      </c>
      <c r="L33" s="186">
        <v>691</v>
      </c>
      <c r="M33" s="186">
        <v>451</v>
      </c>
      <c r="N33" s="229">
        <f t="shared" si="25"/>
        <v>2759</v>
      </c>
      <c r="O33" s="229">
        <v>408</v>
      </c>
      <c r="P33" s="229">
        <v>2275</v>
      </c>
      <c r="Q33" s="229">
        <v>76</v>
      </c>
      <c r="R33" s="217">
        <f t="shared" ref="R33:R39" si="31">SUM(S33:U33)</f>
        <v>2300</v>
      </c>
      <c r="S33" s="217">
        <v>349</v>
      </c>
      <c r="T33" s="217">
        <v>1887</v>
      </c>
      <c r="U33" s="217">
        <v>64</v>
      </c>
    </row>
    <row r="34" spans="1:21" ht="10.5" x14ac:dyDescent="0.15">
      <c r="A34" s="180" t="s">
        <v>866</v>
      </c>
      <c r="B34" s="186">
        <f t="shared" si="5"/>
        <v>0</v>
      </c>
      <c r="C34" s="186">
        <v>0</v>
      </c>
      <c r="D34" s="186">
        <v>0</v>
      </c>
      <c r="E34" s="186">
        <v>0</v>
      </c>
      <c r="F34" s="186">
        <f t="shared" si="6"/>
        <v>0</v>
      </c>
      <c r="G34" s="186">
        <v>0</v>
      </c>
      <c r="H34" s="186">
        <v>0</v>
      </c>
      <c r="I34" s="186">
        <v>0</v>
      </c>
      <c r="J34" s="186">
        <f t="shared" si="7"/>
        <v>0</v>
      </c>
      <c r="K34" s="186">
        <v>0</v>
      </c>
      <c r="L34" s="186">
        <v>0</v>
      </c>
      <c r="M34" s="186">
        <v>0</v>
      </c>
      <c r="N34" s="229">
        <f t="shared" si="25"/>
        <v>0</v>
      </c>
      <c r="O34" s="229">
        <v>0</v>
      </c>
      <c r="P34" s="229">
        <v>0</v>
      </c>
      <c r="Q34" s="229">
        <v>0</v>
      </c>
      <c r="R34" s="217">
        <f t="shared" si="31"/>
        <v>0</v>
      </c>
      <c r="S34" s="217"/>
      <c r="T34" s="217"/>
      <c r="U34" s="217"/>
    </row>
    <row r="35" spans="1:21" ht="10.5" x14ac:dyDescent="0.15">
      <c r="A35" s="180" t="s">
        <v>867</v>
      </c>
      <c r="B35" s="186">
        <f t="shared" si="5"/>
        <v>20638</v>
      </c>
      <c r="C35" s="186">
        <v>5684</v>
      </c>
      <c r="D35" s="186">
        <v>12738</v>
      </c>
      <c r="E35" s="186">
        <v>2216</v>
      </c>
      <c r="F35" s="186">
        <f t="shared" si="6"/>
        <v>37852</v>
      </c>
      <c r="G35" s="186">
        <v>4640</v>
      </c>
      <c r="H35" s="186">
        <v>22940</v>
      </c>
      <c r="I35" s="186">
        <v>10272</v>
      </c>
      <c r="J35" s="186">
        <f t="shared" si="7"/>
        <v>58133</v>
      </c>
      <c r="K35" s="186">
        <v>6925</v>
      </c>
      <c r="L35" s="186">
        <v>34561</v>
      </c>
      <c r="M35" s="186">
        <v>16647</v>
      </c>
      <c r="N35" s="229">
        <f t="shared" si="25"/>
        <v>37021</v>
      </c>
      <c r="O35" s="229">
        <v>6548</v>
      </c>
      <c r="P35" s="229">
        <v>26542</v>
      </c>
      <c r="Q35" s="229">
        <v>3931</v>
      </c>
      <c r="R35" s="217">
        <f t="shared" si="31"/>
        <v>42298</v>
      </c>
      <c r="S35" s="217">
        <v>9042</v>
      </c>
      <c r="T35" s="217">
        <v>26560</v>
      </c>
      <c r="U35" s="217">
        <v>6696</v>
      </c>
    </row>
    <row r="36" spans="1:21" ht="10.5" x14ac:dyDescent="0.15">
      <c r="A36" s="180" t="s">
        <v>868</v>
      </c>
      <c r="B36" s="186">
        <f t="shared" si="5"/>
        <v>1569</v>
      </c>
      <c r="C36" s="186">
        <v>762</v>
      </c>
      <c r="D36" s="186">
        <v>747</v>
      </c>
      <c r="E36" s="186">
        <v>60</v>
      </c>
      <c r="F36" s="186">
        <f t="shared" si="6"/>
        <v>1930</v>
      </c>
      <c r="G36" s="186">
        <v>85</v>
      </c>
      <c r="H36" s="186">
        <v>872</v>
      </c>
      <c r="I36" s="186">
        <v>973</v>
      </c>
      <c r="J36" s="186">
        <f t="shared" si="7"/>
        <v>2079</v>
      </c>
      <c r="K36" s="186">
        <v>115</v>
      </c>
      <c r="L36" s="186">
        <v>1053</v>
      </c>
      <c r="M36" s="186">
        <v>911</v>
      </c>
      <c r="N36" s="229">
        <f t="shared" si="25"/>
        <v>1534</v>
      </c>
      <c r="O36" s="229">
        <v>259</v>
      </c>
      <c r="P36" s="229">
        <v>1189</v>
      </c>
      <c r="Q36" s="229">
        <v>86</v>
      </c>
      <c r="R36" s="217">
        <f t="shared" si="31"/>
        <v>2415</v>
      </c>
      <c r="S36" s="217">
        <v>621</v>
      </c>
      <c r="T36" s="217">
        <v>1678</v>
      </c>
      <c r="U36" s="217">
        <v>116</v>
      </c>
    </row>
    <row r="37" spans="1:21" ht="10.5" x14ac:dyDescent="0.15">
      <c r="A37" s="180" t="s">
        <v>869</v>
      </c>
      <c r="B37" s="186">
        <f t="shared" si="5"/>
        <v>0</v>
      </c>
      <c r="C37" s="186">
        <v>0</v>
      </c>
      <c r="D37" s="186">
        <v>0</v>
      </c>
      <c r="E37" s="186">
        <v>0</v>
      </c>
      <c r="F37" s="186">
        <f t="shared" si="6"/>
        <v>0</v>
      </c>
      <c r="G37" s="186">
        <v>0</v>
      </c>
      <c r="H37" s="186">
        <v>0</v>
      </c>
      <c r="I37" s="186">
        <v>0</v>
      </c>
      <c r="J37" s="186">
        <f t="shared" si="7"/>
        <v>0</v>
      </c>
      <c r="K37" s="186">
        <v>0</v>
      </c>
      <c r="L37" s="186">
        <v>0</v>
      </c>
      <c r="M37" s="186">
        <v>0</v>
      </c>
      <c r="N37" s="229">
        <f t="shared" si="25"/>
        <v>0</v>
      </c>
      <c r="O37" s="229">
        <v>0</v>
      </c>
      <c r="P37" s="229">
        <v>0</v>
      </c>
      <c r="Q37" s="229">
        <v>0</v>
      </c>
      <c r="R37" s="217">
        <f t="shared" si="31"/>
        <v>0</v>
      </c>
      <c r="S37" s="217">
        <v>0</v>
      </c>
      <c r="T37" s="217">
        <v>0</v>
      </c>
      <c r="U37" s="217">
        <v>0</v>
      </c>
    </row>
    <row r="38" spans="1:21" ht="11.25" x14ac:dyDescent="0.15">
      <c r="A38" s="180" t="s">
        <v>870</v>
      </c>
      <c r="B38" s="186">
        <f t="shared" si="5"/>
        <v>17811</v>
      </c>
      <c r="C38" s="186">
        <v>4903</v>
      </c>
      <c r="D38" s="186">
        <v>10444</v>
      </c>
      <c r="E38" s="186">
        <v>2464</v>
      </c>
      <c r="F38" s="186">
        <f t="shared" si="6"/>
        <v>19228</v>
      </c>
      <c r="G38" s="186">
        <v>1687</v>
      </c>
      <c r="H38" s="186">
        <v>8329</v>
      </c>
      <c r="I38" s="186">
        <v>9212</v>
      </c>
      <c r="J38" s="186">
        <f t="shared" si="7"/>
        <v>23617</v>
      </c>
      <c r="K38" s="186">
        <v>1384</v>
      </c>
      <c r="L38" s="186">
        <v>10452</v>
      </c>
      <c r="M38" s="186">
        <v>11781</v>
      </c>
      <c r="N38" s="229">
        <f t="shared" si="25"/>
        <v>27540</v>
      </c>
      <c r="O38" s="229">
        <v>8995</v>
      </c>
      <c r="P38" s="229">
        <v>16589</v>
      </c>
      <c r="Q38" s="229">
        <v>1956</v>
      </c>
      <c r="R38" s="217">
        <f t="shared" si="31"/>
        <v>22554</v>
      </c>
      <c r="S38" s="217">
        <v>6557</v>
      </c>
      <c r="T38" s="217">
        <v>14777</v>
      </c>
      <c r="U38" s="217">
        <v>1220</v>
      </c>
    </row>
    <row r="39" spans="1:21" ht="10.5" x14ac:dyDescent="0.15">
      <c r="A39" s="180" t="s">
        <v>871</v>
      </c>
      <c r="B39" s="186">
        <f t="shared" si="5"/>
        <v>49312</v>
      </c>
      <c r="C39" s="186">
        <v>1644</v>
      </c>
      <c r="D39" s="186">
        <v>42632</v>
      </c>
      <c r="E39" s="186">
        <v>5036</v>
      </c>
      <c r="F39" s="186">
        <f t="shared" si="6"/>
        <v>55905</v>
      </c>
      <c r="G39" s="186">
        <v>3703</v>
      </c>
      <c r="H39" s="186">
        <v>25246</v>
      </c>
      <c r="I39" s="186">
        <v>26956</v>
      </c>
      <c r="J39" s="186">
        <f t="shared" si="7"/>
        <v>61955</v>
      </c>
      <c r="K39" s="186">
        <v>3496</v>
      </c>
      <c r="L39" s="186">
        <v>26826</v>
      </c>
      <c r="M39" s="186">
        <v>31633</v>
      </c>
      <c r="N39" s="229">
        <f t="shared" si="25"/>
        <v>65064</v>
      </c>
      <c r="O39" s="229">
        <v>1596</v>
      </c>
      <c r="P39" s="229">
        <v>60698</v>
      </c>
      <c r="Q39" s="229">
        <v>2770</v>
      </c>
      <c r="R39" s="217">
        <f t="shared" si="31"/>
        <v>11038</v>
      </c>
      <c r="S39" s="217">
        <v>276</v>
      </c>
      <c r="T39" s="217">
        <v>10234</v>
      </c>
      <c r="U39" s="217">
        <v>528</v>
      </c>
    </row>
    <row r="40" spans="1:21" s="183" customFormat="1" ht="10.5" x14ac:dyDescent="0.15">
      <c r="A40" s="183" t="s">
        <v>11</v>
      </c>
      <c r="B40" s="184">
        <f>SUM(C40:E40)</f>
        <v>93129</v>
      </c>
      <c r="C40" s="184">
        <f>SUM(C41:C42)</f>
        <v>26826</v>
      </c>
      <c r="D40" s="184">
        <f t="shared" ref="D40:E40" si="32">SUM(D41:D42)</f>
        <v>58322</v>
      </c>
      <c r="E40" s="184">
        <f t="shared" si="32"/>
        <v>7981</v>
      </c>
      <c r="F40" s="184">
        <f>SUM(G40:I40)</f>
        <v>103182</v>
      </c>
      <c r="G40" s="184">
        <f>SUM(G41:G42)</f>
        <v>6697</v>
      </c>
      <c r="H40" s="184">
        <f t="shared" ref="H40:I40" si="33">SUM(H41:H42)</f>
        <v>43910</v>
      </c>
      <c r="I40" s="184">
        <f t="shared" si="33"/>
        <v>52575</v>
      </c>
      <c r="J40" s="184">
        <f>SUM(K40:M40)</f>
        <v>105331</v>
      </c>
      <c r="K40" s="184">
        <f>SUM(K41:K42)</f>
        <v>6802</v>
      </c>
      <c r="L40" s="184">
        <f t="shared" ref="L40:M40" si="34">SUM(L41:L42)</f>
        <v>42413</v>
      </c>
      <c r="M40" s="184">
        <f t="shared" si="34"/>
        <v>56116</v>
      </c>
      <c r="N40" s="232">
        <f t="shared" si="25"/>
        <v>103770</v>
      </c>
      <c r="O40" s="232">
        <f>SUM(O41:O42)</f>
        <v>32192</v>
      </c>
      <c r="P40" s="232">
        <f t="shared" ref="P40:U40" si="35">SUM(P41:P42)</f>
        <v>61769</v>
      </c>
      <c r="Q40" s="232">
        <f t="shared" si="35"/>
        <v>9809</v>
      </c>
      <c r="R40" s="236">
        <f t="shared" si="35"/>
        <v>114969</v>
      </c>
      <c r="S40" s="236">
        <f t="shared" si="35"/>
        <v>35444</v>
      </c>
      <c r="T40" s="236">
        <f t="shared" si="35"/>
        <v>71553</v>
      </c>
      <c r="U40" s="236">
        <f t="shared" si="35"/>
        <v>7972</v>
      </c>
    </row>
    <row r="41" spans="1:21" ht="10.5" x14ac:dyDescent="0.15">
      <c r="A41" s="180" t="s">
        <v>872</v>
      </c>
      <c r="B41" s="186">
        <f>SUM(C41:E41)</f>
        <v>80382</v>
      </c>
      <c r="C41" s="186">
        <v>24671</v>
      </c>
      <c r="D41" s="186">
        <v>49213</v>
      </c>
      <c r="E41" s="186">
        <v>6498</v>
      </c>
      <c r="F41" s="186">
        <f>SUM(G41:I41)</f>
        <v>91130</v>
      </c>
      <c r="G41" s="186">
        <v>6670</v>
      </c>
      <c r="H41" s="186">
        <v>37009</v>
      </c>
      <c r="I41" s="186">
        <v>47451</v>
      </c>
      <c r="J41" s="186">
        <f>SUM(K41:M41)</f>
        <v>91895</v>
      </c>
      <c r="K41" s="186">
        <v>6726</v>
      </c>
      <c r="L41" s="186">
        <v>34693</v>
      </c>
      <c r="M41" s="186">
        <v>50476</v>
      </c>
      <c r="N41" s="229">
        <f t="shared" si="25"/>
        <v>89693</v>
      </c>
      <c r="O41" s="229">
        <v>30245</v>
      </c>
      <c r="P41" s="229">
        <v>52326</v>
      </c>
      <c r="Q41" s="229">
        <v>7122</v>
      </c>
      <c r="R41" s="217">
        <f>SUM(S41:U41)</f>
        <v>94754</v>
      </c>
      <c r="S41" s="217">
        <v>31817</v>
      </c>
      <c r="T41" s="217">
        <v>55102</v>
      </c>
      <c r="U41" s="217">
        <v>7835</v>
      </c>
    </row>
    <row r="42" spans="1:21" ht="10.5" x14ac:dyDescent="0.15">
      <c r="A42" s="180" t="s">
        <v>873</v>
      </c>
      <c r="B42" s="186">
        <f>SUM(C42:E42)</f>
        <v>12747</v>
      </c>
      <c r="C42" s="186">
        <v>2155</v>
      </c>
      <c r="D42" s="186">
        <v>9109</v>
      </c>
      <c r="E42" s="186">
        <v>1483</v>
      </c>
      <c r="F42" s="186">
        <f>SUM(G42:I42)</f>
        <v>12052</v>
      </c>
      <c r="G42" s="186">
        <v>27</v>
      </c>
      <c r="H42" s="186">
        <v>6901</v>
      </c>
      <c r="I42" s="186">
        <v>5124</v>
      </c>
      <c r="J42" s="186">
        <f>SUM(K42:M42)</f>
        <v>13436</v>
      </c>
      <c r="K42" s="186">
        <v>76</v>
      </c>
      <c r="L42" s="186">
        <v>7720</v>
      </c>
      <c r="M42" s="186">
        <v>5640</v>
      </c>
      <c r="N42" s="229">
        <f t="shared" si="25"/>
        <v>14077</v>
      </c>
      <c r="O42" s="229">
        <v>1947</v>
      </c>
      <c r="P42" s="229">
        <v>9443</v>
      </c>
      <c r="Q42" s="229">
        <v>2687</v>
      </c>
      <c r="R42" s="217">
        <f>SUM(S42:U42)</f>
        <v>20215</v>
      </c>
      <c r="S42" s="217">
        <v>3627</v>
      </c>
      <c r="T42" s="217">
        <v>16451</v>
      </c>
      <c r="U42" s="217">
        <v>137</v>
      </c>
    </row>
    <row r="43" spans="1:21" s="183" customFormat="1" ht="10.5" x14ac:dyDescent="0.15">
      <c r="A43" s="183" t="s">
        <v>12</v>
      </c>
      <c r="B43" s="184">
        <f>SUM(C43:E43)</f>
        <v>12824</v>
      </c>
      <c r="C43" s="184">
        <f>SUM(C44:C46)</f>
        <v>3610</v>
      </c>
      <c r="D43" s="184">
        <f t="shared" ref="D43:E43" si="36">SUM(D44:D46)</f>
        <v>8610</v>
      </c>
      <c r="E43" s="184">
        <f t="shared" si="36"/>
        <v>604</v>
      </c>
      <c r="F43" s="184">
        <f>SUM(G43:I43)</f>
        <v>13835</v>
      </c>
      <c r="G43" s="184">
        <f>SUM(G44:G46)</f>
        <v>432</v>
      </c>
      <c r="H43" s="184">
        <f t="shared" ref="H43:I43" si="37">SUM(H44:H46)</f>
        <v>7337</v>
      </c>
      <c r="I43" s="184">
        <f t="shared" si="37"/>
        <v>6066</v>
      </c>
      <c r="J43" s="184">
        <f>SUM(K43:M43)</f>
        <v>21497</v>
      </c>
      <c r="K43" s="184">
        <f>SUM(K44:K46)</f>
        <v>841</v>
      </c>
      <c r="L43" s="184">
        <f t="shared" ref="L43:M43" si="38">SUM(L44:L46)</f>
        <v>10994</v>
      </c>
      <c r="M43" s="184">
        <f t="shared" si="38"/>
        <v>9662</v>
      </c>
      <c r="N43" s="232">
        <f t="shared" si="25"/>
        <v>23187</v>
      </c>
      <c r="O43" s="232">
        <f>SUM(O44:O46)</f>
        <v>5522</v>
      </c>
      <c r="P43" s="232">
        <f t="shared" ref="P43:U43" si="39">SUM(P44:P46)</f>
        <v>16555</v>
      </c>
      <c r="Q43" s="232">
        <f t="shared" si="39"/>
        <v>1110</v>
      </c>
      <c r="R43" s="236">
        <f t="shared" si="39"/>
        <v>27946</v>
      </c>
      <c r="S43" s="236">
        <f t="shared" si="39"/>
        <v>7534</v>
      </c>
      <c r="T43" s="236">
        <f t="shared" si="39"/>
        <v>19259</v>
      </c>
      <c r="U43" s="236">
        <f t="shared" si="39"/>
        <v>1153</v>
      </c>
    </row>
    <row r="44" spans="1:21" ht="10.5" x14ac:dyDescent="0.15">
      <c r="A44" s="180" t="s">
        <v>874</v>
      </c>
      <c r="B44" s="186">
        <f t="shared" si="5"/>
        <v>0</v>
      </c>
      <c r="C44" s="186">
        <v>0</v>
      </c>
      <c r="D44" s="186">
        <v>0</v>
      </c>
      <c r="E44" s="186">
        <v>0</v>
      </c>
      <c r="F44" s="186">
        <f t="shared" si="6"/>
        <v>0</v>
      </c>
      <c r="G44" s="186">
        <v>0</v>
      </c>
      <c r="H44" s="186">
        <v>0</v>
      </c>
      <c r="I44" s="186">
        <v>0</v>
      </c>
      <c r="J44" s="186">
        <f t="shared" si="7"/>
        <v>0</v>
      </c>
      <c r="K44" s="186">
        <v>0</v>
      </c>
      <c r="L44" s="186">
        <v>0</v>
      </c>
      <c r="M44" s="186">
        <v>0</v>
      </c>
      <c r="N44" s="229">
        <f t="shared" si="25"/>
        <v>0</v>
      </c>
      <c r="O44" s="229">
        <v>0</v>
      </c>
      <c r="P44" s="229">
        <v>0</v>
      </c>
      <c r="Q44" s="229">
        <v>0</v>
      </c>
      <c r="R44" s="217">
        <f>SUM(S44:U44)</f>
        <v>0</v>
      </c>
      <c r="S44" s="217">
        <v>0</v>
      </c>
      <c r="T44" s="217">
        <v>0</v>
      </c>
      <c r="U44" s="217">
        <v>0</v>
      </c>
    </row>
    <row r="45" spans="1:21" ht="10.5" x14ac:dyDescent="0.15">
      <c r="A45" s="180" t="s">
        <v>875</v>
      </c>
      <c r="B45" s="186">
        <f t="shared" si="5"/>
        <v>12378</v>
      </c>
      <c r="C45" s="186">
        <v>3550</v>
      </c>
      <c r="D45" s="186">
        <v>8224</v>
      </c>
      <c r="E45" s="186">
        <v>604</v>
      </c>
      <c r="F45" s="186">
        <f t="shared" si="6"/>
        <v>13321</v>
      </c>
      <c r="G45" s="186">
        <v>432</v>
      </c>
      <c r="H45" s="186">
        <v>6934</v>
      </c>
      <c r="I45" s="186">
        <v>5955</v>
      </c>
      <c r="J45" s="186">
        <f t="shared" si="7"/>
        <v>20929</v>
      </c>
      <c r="K45" s="186">
        <v>841</v>
      </c>
      <c r="L45" s="186">
        <v>10532</v>
      </c>
      <c r="M45" s="186">
        <v>9556</v>
      </c>
      <c r="N45" s="229">
        <f t="shared" si="25"/>
        <v>22557</v>
      </c>
      <c r="O45" s="229">
        <v>5474</v>
      </c>
      <c r="P45" s="229">
        <v>15973</v>
      </c>
      <c r="Q45" s="229">
        <v>1110</v>
      </c>
      <c r="R45" s="217">
        <f t="shared" ref="R45:R46" si="40">SUM(S45:U45)</f>
        <v>27633</v>
      </c>
      <c r="S45" s="217">
        <v>7518</v>
      </c>
      <c r="T45" s="217">
        <v>18962</v>
      </c>
      <c r="U45" s="217">
        <v>1153</v>
      </c>
    </row>
    <row r="46" spans="1:21" ht="10.5" x14ac:dyDescent="0.15">
      <c r="A46" s="180" t="s">
        <v>876</v>
      </c>
      <c r="B46" s="186">
        <f t="shared" si="5"/>
        <v>446</v>
      </c>
      <c r="C46" s="186">
        <v>60</v>
      </c>
      <c r="D46" s="186">
        <v>386</v>
      </c>
      <c r="E46" s="186">
        <v>0</v>
      </c>
      <c r="F46" s="186">
        <f t="shared" si="6"/>
        <v>514</v>
      </c>
      <c r="G46" s="186">
        <v>0</v>
      </c>
      <c r="H46" s="186">
        <v>403</v>
      </c>
      <c r="I46" s="186">
        <v>111</v>
      </c>
      <c r="J46" s="186">
        <f t="shared" si="7"/>
        <v>568</v>
      </c>
      <c r="K46" s="186">
        <v>0</v>
      </c>
      <c r="L46" s="186">
        <v>462</v>
      </c>
      <c r="M46" s="186">
        <v>106</v>
      </c>
      <c r="N46" s="229">
        <f t="shared" si="25"/>
        <v>630</v>
      </c>
      <c r="O46" s="229">
        <v>48</v>
      </c>
      <c r="P46" s="229">
        <v>582</v>
      </c>
      <c r="Q46" s="229">
        <v>0</v>
      </c>
      <c r="R46" s="217">
        <f t="shared" si="40"/>
        <v>313</v>
      </c>
      <c r="S46" s="217">
        <v>16</v>
      </c>
      <c r="T46" s="217">
        <v>297</v>
      </c>
      <c r="U46" s="217" t="s">
        <v>193</v>
      </c>
    </row>
    <row r="47" spans="1:21" s="183" customFormat="1" ht="10.5" x14ac:dyDescent="0.15">
      <c r="A47" s="183" t="s">
        <v>13</v>
      </c>
      <c r="B47" s="184">
        <f>SUM(C47:E47)</f>
        <v>61074</v>
      </c>
      <c r="C47" s="184">
        <f>SUM(C48:C55)</f>
        <v>12376</v>
      </c>
      <c r="D47" s="184">
        <f t="shared" ref="D47:E47" si="41">SUM(D48:D55)</f>
        <v>45282</v>
      </c>
      <c r="E47" s="184">
        <f t="shared" si="41"/>
        <v>3416</v>
      </c>
      <c r="F47" s="184">
        <f>SUM(G47:I47)</f>
        <v>69916</v>
      </c>
      <c r="G47" s="184">
        <f>SUM(G48:G55)</f>
        <v>2591</v>
      </c>
      <c r="H47" s="184">
        <f t="shared" ref="H47:I47" si="42">SUM(H48:H55)</f>
        <v>34046</v>
      </c>
      <c r="I47" s="184">
        <f t="shared" si="42"/>
        <v>33279</v>
      </c>
      <c r="J47" s="184">
        <f>SUM(K47:M47)</f>
        <v>81981</v>
      </c>
      <c r="K47" s="184">
        <f>SUM(K48:K55)</f>
        <v>3605</v>
      </c>
      <c r="L47" s="184">
        <f t="shared" ref="L47:M47" si="43">SUM(L48:L55)</f>
        <v>41263</v>
      </c>
      <c r="M47" s="184">
        <f t="shared" si="43"/>
        <v>37113</v>
      </c>
      <c r="N47" s="232">
        <f t="shared" si="25"/>
        <v>81006</v>
      </c>
      <c r="O47" s="232">
        <f>SUM(O48:O55)</f>
        <v>14522</v>
      </c>
      <c r="P47" s="232">
        <f t="shared" ref="P47:U47" si="44">SUM(P48:P55)</f>
        <v>62659</v>
      </c>
      <c r="Q47" s="232">
        <f t="shared" si="44"/>
        <v>3825</v>
      </c>
      <c r="R47" s="236">
        <f t="shared" si="44"/>
        <v>97042</v>
      </c>
      <c r="S47" s="236">
        <f t="shared" si="44"/>
        <v>19681</v>
      </c>
      <c r="T47" s="236">
        <f t="shared" si="44"/>
        <v>70066</v>
      </c>
      <c r="U47" s="236">
        <f t="shared" si="44"/>
        <v>7295</v>
      </c>
    </row>
    <row r="48" spans="1:21" ht="10.5" x14ac:dyDescent="0.15">
      <c r="A48" s="180" t="s">
        <v>877</v>
      </c>
      <c r="B48" s="186">
        <f t="shared" si="5"/>
        <v>5873</v>
      </c>
      <c r="C48" s="186">
        <v>2520</v>
      </c>
      <c r="D48" s="186">
        <v>2904</v>
      </c>
      <c r="E48" s="186">
        <v>449</v>
      </c>
      <c r="F48" s="186">
        <f t="shared" si="6"/>
        <v>6503</v>
      </c>
      <c r="G48" s="186">
        <v>724</v>
      </c>
      <c r="H48" s="186">
        <v>2903</v>
      </c>
      <c r="I48" s="186">
        <v>2876</v>
      </c>
      <c r="J48" s="186">
        <f t="shared" si="7"/>
        <v>7977</v>
      </c>
      <c r="K48" s="186">
        <v>623</v>
      </c>
      <c r="L48" s="186">
        <v>3668</v>
      </c>
      <c r="M48" s="186">
        <v>3686</v>
      </c>
      <c r="N48" s="229">
        <f t="shared" si="25"/>
        <v>8572</v>
      </c>
      <c r="O48" s="229">
        <v>2837</v>
      </c>
      <c r="P48" s="229">
        <v>5085</v>
      </c>
      <c r="Q48" s="229">
        <v>650</v>
      </c>
      <c r="R48" s="217">
        <f>SUM(S48:U48)</f>
        <v>9333</v>
      </c>
      <c r="S48" s="217">
        <v>4598</v>
      </c>
      <c r="T48" s="217">
        <v>4020</v>
      </c>
      <c r="U48" s="217">
        <v>715</v>
      </c>
    </row>
    <row r="49" spans="1:21" ht="10.5" x14ac:dyDescent="0.15">
      <c r="A49" s="180" t="s">
        <v>878</v>
      </c>
      <c r="B49" s="186">
        <f t="shared" si="5"/>
        <v>7190</v>
      </c>
      <c r="C49" s="186">
        <v>1691</v>
      </c>
      <c r="D49" s="186">
        <v>4902</v>
      </c>
      <c r="E49" s="186">
        <v>597</v>
      </c>
      <c r="F49" s="186">
        <f t="shared" si="6"/>
        <v>11957</v>
      </c>
      <c r="G49" s="186">
        <v>1010</v>
      </c>
      <c r="H49" s="186">
        <v>5454</v>
      </c>
      <c r="I49" s="186">
        <v>5493</v>
      </c>
      <c r="J49" s="186">
        <f t="shared" si="7"/>
        <v>14887</v>
      </c>
      <c r="K49" s="186">
        <v>1596</v>
      </c>
      <c r="L49" s="186">
        <v>7004</v>
      </c>
      <c r="M49" s="186">
        <v>6287</v>
      </c>
      <c r="N49" s="229">
        <f t="shared" si="25"/>
        <v>11604</v>
      </c>
      <c r="O49" s="229">
        <v>2471</v>
      </c>
      <c r="P49" s="229">
        <v>8836</v>
      </c>
      <c r="Q49" s="229">
        <v>297</v>
      </c>
      <c r="R49" s="217">
        <f t="shared" ref="R49:R55" si="45">SUM(S49:U49)</f>
        <v>10497</v>
      </c>
      <c r="S49" s="217">
        <v>2160</v>
      </c>
      <c r="T49" s="217">
        <v>7917</v>
      </c>
      <c r="U49" s="217">
        <v>420</v>
      </c>
    </row>
    <row r="50" spans="1:21" ht="10.5" x14ac:dyDescent="0.15">
      <c r="A50" s="180" t="s">
        <v>879</v>
      </c>
      <c r="B50" s="186">
        <f t="shared" si="5"/>
        <v>2985</v>
      </c>
      <c r="C50" s="186">
        <v>904</v>
      </c>
      <c r="D50" s="186">
        <v>1831</v>
      </c>
      <c r="E50" s="186">
        <v>250</v>
      </c>
      <c r="F50" s="186">
        <f t="shared" si="6"/>
        <v>2986</v>
      </c>
      <c r="G50" s="186">
        <v>41</v>
      </c>
      <c r="H50" s="186">
        <v>1474</v>
      </c>
      <c r="I50" s="186">
        <v>1471</v>
      </c>
      <c r="J50" s="186">
        <f t="shared" si="7"/>
        <v>3427</v>
      </c>
      <c r="K50" s="186">
        <v>14</v>
      </c>
      <c r="L50" s="186">
        <v>1716</v>
      </c>
      <c r="M50" s="186">
        <v>1697</v>
      </c>
      <c r="N50" s="229">
        <f t="shared" si="25"/>
        <v>3866</v>
      </c>
      <c r="O50" s="229">
        <v>1085</v>
      </c>
      <c r="P50" s="229">
        <v>2781</v>
      </c>
      <c r="Q50" s="229">
        <v>0</v>
      </c>
      <c r="R50" s="217">
        <f t="shared" si="45"/>
        <v>5116</v>
      </c>
      <c r="S50" s="217">
        <v>1340</v>
      </c>
      <c r="T50" s="217">
        <v>3659</v>
      </c>
      <c r="U50" s="217">
        <v>117</v>
      </c>
    </row>
    <row r="51" spans="1:21" ht="10.5" x14ac:dyDescent="0.15">
      <c r="A51" s="180" t="s">
        <v>880</v>
      </c>
      <c r="B51" s="186">
        <f t="shared" si="5"/>
        <v>285</v>
      </c>
      <c r="C51" s="186">
        <v>5</v>
      </c>
      <c r="D51" s="186">
        <v>280</v>
      </c>
      <c r="E51" s="186">
        <v>0</v>
      </c>
      <c r="F51" s="186">
        <f t="shared" si="6"/>
        <v>339</v>
      </c>
      <c r="G51" s="186">
        <v>3</v>
      </c>
      <c r="H51" s="186">
        <v>318</v>
      </c>
      <c r="I51" s="186">
        <v>18</v>
      </c>
      <c r="J51" s="186">
        <f t="shared" si="7"/>
        <v>360</v>
      </c>
      <c r="K51" s="186">
        <v>0</v>
      </c>
      <c r="L51" s="186">
        <v>310</v>
      </c>
      <c r="M51" s="186">
        <v>50</v>
      </c>
      <c r="N51" s="229">
        <f t="shared" si="25"/>
        <v>1061</v>
      </c>
      <c r="O51" s="229">
        <v>207</v>
      </c>
      <c r="P51" s="229">
        <v>833</v>
      </c>
      <c r="Q51" s="229">
        <v>21</v>
      </c>
      <c r="R51" s="217">
        <f t="shared" si="45"/>
        <v>1148</v>
      </c>
      <c r="S51" s="217">
        <v>268</v>
      </c>
      <c r="T51" s="217">
        <v>832</v>
      </c>
      <c r="U51" s="217">
        <v>48</v>
      </c>
    </row>
    <row r="52" spans="1:21" ht="10.5" x14ac:dyDescent="0.15">
      <c r="A52" s="180" t="s">
        <v>881</v>
      </c>
      <c r="B52" s="186">
        <f t="shared" si="5"/>
        <v>442</v>
      </c>
      <c r="C52" s="186">
        <v>138</v>
      </c>
      <c r="D52" s="186">
        <v>298</v>
      </c>
      <c r="E52" s="186">
        <v>6</v>
      </c>
      <c r="F52" s="186">
        <f t="shared" si="6"/>
        <v>313</v>
      </c>
      <c r="G52" s="186">
        <v>3</v>
      </c>
      <c r="H52" s="186">
        <v>170</v>
      </c>
      <c r="I52" s="186">
        <v>140</v>
      </c>
      <c r="J52" s="186">
        <f t="shared" si="7"/>
        <v>232</v>
      </c>
      <c r="K52" s="186">
        <v>4</v>
      </c>
      <c r="L52" s="186">
        <v>140</v>
      </c>
      <c r="M52" s="186">
        <v>88</v>
      </c>
      <c r="N52" s="229">
        <f t="shared" si="25"/>
        <v>241</v>
      </c>
      <c r="O52" s="229">
        <v>91</v>
      </c>
      <c r="P52" s="229">
        <v>147</v>
      </c>
      <c r="Q52" s="229">
        <v>3</v>
      </c>
      <c r="R52" s="217">
        <f t="shared" si="45"/>
        <v>182</v>
      </c>
      <c r="S52" s="217">
        <v>62</v>
      </c>
      <c r="T52" s="217">
        <v>120</v>
      </c>
      <c r="U52" s="217" t="s">
        <v>193</v>
      </c>
    </row>
    <row r="53" spans="1:21" ht="10.5" x14ac:dyDescent="0.15">
      <c r="A53" s="180" t="s">
        <v>882</v>
      </c>
      <c r="B53" s="186">
        <f t="shared" si="5"/>
        <v>9017</v>
      </c>
      <c r="C53" s="186">
        <v>668</v>
      </c>
      <c r="D53" s="186">
        <v>8306</v>
      </c>
      <c r="E53" s="186">
        <v>43</v>
      </c>
      <c r="F53" s="186">
        <f t="shared" si="6"/>
        <v>10412</v>
      </c>
      <c r="G53" s="186">
        <v>58</v>
      </c>
      <c r="H53" s="186">
        <v>6512</v>
      </c>
      <c r="I53" s="186">
        <v>3842</v>
      </c>
      <c r="J53" s="186">
        <f t="shared" si="7"/>
        <v>11032</v>
      </c>
      <c r="K53" s="186">
        <v>78</v>
      </c>
      <c r="L53" s="186">
        <v>6567</v>
      </c>
      <c r="M53" s="186">
        <v>4387</v>
      </c>
      <c r="N53" s="229">
        <f t="shared" si="25"/>
        <v>10558</v>
      </c>
      <c r="O53" s="229">
        <v>947</v>
      </c>
      <c r="P53" s="229">
        <v>9559</v>
      </c>
      <c r="Q53" s="229">
        <v>52</v>
      </c>
      <c r="R53" s="217">
        <f t="shared" si="45"/>
        <v>16727</v>
      </c>
      <c r="S53" s="217">
        <v>1683</v>
      </c>
      <c r="T53" s="217">
        <v>14842</v>
      </c>
      <c r="U53" s="217">
        <v>202</v>
      </c>
    </row>
    <row r="54" spans="1:21" ht="10.5" x14ac:dyDescent="0.15">
      <c r="A54" s="180" t="s">
        <v>883</v>
      </c>
      <c r="B54" s="186">
        <f t="shared" si="5"/>
        <v>0</v>
      </c>
      <c r="C54" s="186">
        <v>0</v>
      </c>
      <c r="D54" s="186">
        <v>0</v>
      </c>
      <c r="E54" s="186">
        <v>0</v>
      </c>
      <c r="F54" s="186">
        <f t="shared" si="6"/>
        <v>0</v>
      </c>
      <c r="G54" s="186">
        <v>0</v>
      </c>
      <c r="H54" s="186">
        <v>0</v>
      </c>
      <c r="I54" s="186">
        <v>0</v>
      </c>
      <c r="J54" s="186">
        <f t="shared" si="7"/>
        <v>0</v>
      </c>
      <c r="K54" s="186">
        <v>0</v>
      </c>
      <c r="L54" s="186">
        <v>0</v>
      </c>
      <c r="M54" s="186">
        <v>0</v>
      </c>
      <c r="N54" s="229">
        <f t="shared" si="25"/>
        <v>0</v>
      </c>
      <c r="O54" s="229">
        <v>0</v>
      </c>
      <c r="P54" s="229">
        <v>0</v>
      </c>
      <c r="Q54" s="229">
        <v>0</v>
      </c>
      <c r="R54" s="217">
        <f t="shared" si="45"/>
        <v>0</v>
      </c>
      <c r="S54" s="217">
        <v>0</v>
      </c>
      <c r="T54" s="217">
        <v>0</v>
      </c>
      <c r="U54" s="217">
        <v>0</v>
      </c>
    </row>
    <row r="55" spans="1:21" ht="10.5" x14ac:dyDescent="0.15">
      <c r="A55" s="180" t="s">
        <v>958</v>
      </c>
      <c r="B55" s="186">
        <f t="shared" si="5"/>
        <v>35282</v>
      </c>
      <c r="C55" s="186">
        <v>6450</v>
      </c>
      <c r="D55" s="186">
        <v>26761</v>
      </c>
      <c r="E55" s="186">
        <v>2071</v>
      </c>
      <c r="F55" s="186">
        <f t="shared" si="6"/>
        <v>37406</v>
      </c>
      <c r="G55" s="186">
        <v>752</v>
      </c>
      <c r="H55" s="186">
        <v>17215</v>
      </c>
      <c r="I55" s="186">
        <v>19439</v>
      </c>
      <c r="J55" s="186">
        <f t="shared" si="7"/>
        <v>44066</v>
      </c>
      <c r="K55" s="186">
        <v>1290</v>
      </c>
      <c r="L55" s="186">
        <v>21858</v>
      </c>
      <c r="M55" s="186">
        <v>20918</v>
      </c>
      <c r="N55" s="229">
        <f t="shared" si="25"/>
        <v>45104</v>
      </c>
      <c r="O55" s="229">
        <v>6884</v>
      </c>
      <c r="P55" s="229">
        <v>35418</v>
      </c>
      <c r="Q55" s="229">
        <v>2802</v>
      </c>
      <c r="R55" s="217">
        <f t="shared" si="45"/>
        <v>54039</v>
      </c>
      <c r="S55" s="217">
        <v>9570</v>
      </c>
      <c r="T55" s="217">
        <v>38676</v>
      </c>
      <c r="U55" s="217">
        <v>5793</v>
      </c>
    </row>
    <row r="56" spans="1:21" s="183" customFormat="1" ht="10.5" x14ac:dyDescent="0.15">
      <c r="A56" s="183" t="s">
        <v>14</v>
      </c>
      <c r="B56" s="184">
        <f>SUM(C56:E56)</f>
        <v>58769</v>
      </c>
      <c r="C56" s="184">
        <f>SUM(C57:C63)</f>
        <v>17889</v>
      </c>
      <c r="D56" s="184">
        <f t="shared" ref="D56:E56" si="46">SUM(D57:D63)</f>
        <v>40646</v>
      </c>
      <c r="E56" s="184">
        <f t="shared" si="46"/>
        <v>234</v>
      </c>
      <c r="F56" s="184">
        <f>SUM(G56:I56)</f>
        <v>62104</v>
      </c>
      <c r="G56" s="184">
        <f>SUM(G57:G63)</f>
        <v>240</v>
      </c>
      <c r="H56" s="184">
        <f t="shared" ref="H56:I56" si="47">SUM(H57:H63)</f>
        <v>33118</v>
      </c>
      <c r="I56" s="184">
        <f t="shared" si="47"/>
        <v>28746</v>
      </c>
      <c r="J56" s="184">
        <f>SUM(K56:M56)</f>
        <v>86418</v>
      </c>
      <c r="K56" s="184">
        <f>SUM(K57:K63)</f>
        <v>144</v>
      </c>
      <c r="L56" s="184">
        <f t="shared" ref="L56:M56" si="48">SUM(L57:L63)</f>
        <v>45716</v>
      </c>
      <c r="M56" s="184">
        <f t="shared" si="48"/>
        <v>40558</v>
      </c>
      <c r="N56" s="232">
        <f t="shared" si="25"/>
        <v>89078</v>
      </c>
      <c r="O56" s="232">
        <f>SUM(O57:O63)</f>
        <v>27746</v>
      </c>
      <c r="P56" s="232">
        <f t="shared" ref="P56:U56" si="49">SUM(P57:P63)</f>
        <v>61026</v>
      </c>
      <c r="Q56" s="232">
        <f t="shared" si="49"/>
        <v>306</v>
      </c>
      <c r="R56" s="236">
        <f t="shared" si="49"/>
        <v>99713</v>
      </c>
      <c r="S56" s="236">
        <f t="shared" si="49"/>
        <v>28043</v>
      </c>
      <c r="T56" s="236">
        <f t="shared" si="49"/>
        <v>70997</v>
      </c>
      <c r="U56" s="236">
        <f t="shared" si="49"/>
        <v>673</v>
      </c>
    </row>
    <row r="57" spans="1:21" ht="10.5" x14ac:dyDescent="0.15">
      <c r="A57" s="180" t="s">
        <v>885</v>
      </c>
      <c r="B57" s="186">
        <f t="shared" si="5"/>
        <v>48271</v>
      </c>
      <c r="C57" s="186">
        <v>15325</v>
      </c>
      <c r="D57" s="186">
        <v>32946</v>
      </c>
      <c r="E57" s="186">
        <v>0</v>
      </c>
      <c r="F57" s="186">
        <f t="shared" si="6"/>
        <v>48837</v>
      </c>
      <c r="G57" s="186">
        <v>0</v>
      </c>
      <c r="H57" s="186">
        <v>26180</v>
      </c>
      <c r="I57" s="186">
        <v>22657</v>
      </c>
      <c r="J57" s="186">
        <f t="shared" si="7"/>
        <v>68492</v>
      </c>
      <c r="K57" s="186">
        <v>12</v>
      </c>
      <c r="L57" s="186">
        <v>36335</v>
      </c>
      <c r="M57" s="186">
        <v>32145</v>
      </c>
      <c r="N57" s="229">
        <f t="shared" si="25"/>
        <v>70887</v>
      </c>
      <c r="O57" s="229">
        <v>23034</v>
      </c>
      <c r="P57" s="229">
        <v>47853</v>
      </c>
      <c r="Q57" s="229">
        <v>0</v>
      </c>
      <c r="R57" s="217">
        <v>75465</v>
      </c>
      <c r="S57" s="238">
        <v>22331</v>
      </c>
      <c r="T57" s="217">
        <v>52892</v>
      </c>
      <c r="U57" s="217">
        <v>242</v>
      </c>
    </row>
    <row r="58" spans="1:21" ht="10.5" x14ac:dyDescent="0.15">
      <c r="A58" s="180" t="s">
        <v>886</v>
      </c>
      <c r="B58" s="186">
        <f t="shared" si="5"/>
        <v>1377</v>
      </c>
      <c r="C58" s="186">
        <v>314</v>
      </c>
      <c r="D58" s="186">
        <v>1061</v>
      </c>
      <c r="E58" s="186">
        <v>2</v>
      </c>
      <c r="F58" s="186">
        <f t="shared" si="6"/>
        <v>1722</v>
      </c>
      <c r="G58" s="186">
        <v>0</v>
      </c>
      <c r="H58" s="186">
        <v>1153</v>
      </c>
      <c r="I58" s="186">
        <v>569</v>
      </c>
      <c r="J58" s="186">
        <f t="shared" si="7"/>
        <v>2074</v>
      </c>
      <c r="K58" s="186">
        <v>0</v>
      </c>
      <c r="L58" s="186">
        <v>1391</v>
      </c>
      <c r="M58" s="186">
        <v>683</v>
      </c>
      <c r="N58" s="229">
        <f t="shared" si="25"/>
        <v>3415</v>
      </c>
      <c r="O58" s="229">
        <v>547</v>
      </c>
      <c r="P58" s="229">
        <v>2788</v>
      </c>
      <c r="Q58" s="229">
        <v>80</v>
      </c>
      <c r="R58" s="217">
        <v>3671</v>
      </c>
      <c r="S58" s="238">
        <v>559</v>
      </c>
      <c r="T58" s="217">
        <v>3069</v>
      </c>
      <c r="U58" s="217">
        <v>43</v>
      </c>
    </row>
    <row r="59" spans="1:21" ht="10.5" x14ac:dyDescent="0.15">
      <c r="A59" s="180" t="s">
        <v>959</v>
      </c>
      <c r="B59" s="186">
        <f t="shared" si="5"/>
        <v>558</v>
      </c>
      <c r="C59" s="186">
        <v>104</v>
      </c>
      <c r="D59" s="186">
        <v>454</v>
      </c>
      <c r="E59" s="186">
        <v>0</v>
      </c>
      <c r="F59" s="186">
        <f t="shared" si="6"/>
        <v>716</v>
      </c>
      <c r="G59" s="186">
        <v>0</v>
      </c>
      <c r="H59" s="186">
        <v>363</v>
      </c>
      <c r="I59" s="186">
        <v>353</v>
      </c>
      <c r="J59" s="186">
        <f t="shared" si="7"/>
        <v>1364</v>
      </c>
      <c r="K59" s="186">
        <v>0</v>
      </c>
      <c r="L59" s="186">
        <v>701</v>
      </c>
      <c r="M59" s="186">
        <v>663</v>
      </c>
      <c r="N59" s="229">
        <f t="shared" si="25"/>
        <v>1083</v>
      </c>
      <c r="O59" s="229">
        <v>155</v>
      </c>
      <c r="P59" s="229">
        <v>928</v>
      </c>
      <c r="Q59" s="229">
        <v>0</v>
      </c>
      <c r="R59" s="217">
        <v>1630</v>
      </c>
      <c r="S59" s="238">
        <v>340</v>
      </c>
      <c r="T59" s="217">
        <v>1290</v>
      </c>
      <c r="U59" s="217" t="s">
        <v>193</v>
      </c>
    </row>
    <row r="60" spans="1:21" ht="10.5" x14ac:dyDescent="0.15">
      <c r="A60" s="180" t="s">
        <v>888</v>
      </c>
      <c r="B60" s="186">
        <f t="shared" si="5"/>
        <v>468</v>
      </c>
      <c r="C60" s="186">
        <v>61</v>
      </c>
      <c r="D60" s="186">
        <v>392</v>
      </c>
      <c r="E60" s="186">
        <v>15</v>
      </c>
      <c r="F60" s="186">
        <f t="shared" si="6"/>
        <v>427</v>
      </c>
      <c r="G60" s="186">
        <v>0</v>
      </c>
      <c r="H60" s="186">
        <v>314</v>
      </c>
      <c r="I60" s="186">
        <v>113</v>
      </c>
      <c r="J60" s="186">
        <f t="shared" si="7"/>
        <v>486</v>
      </c>
      <c r="K60" s="186">
        <v>14</v>
      </c>
      <c r="L60" s="186">
        <v>334</v>
      </c>
      <c r="M60" s="186">
        <v>138</v>
      </c>
      <c r="N60" s="229">
        <f t="shared" si="25"/>
        <v>656</v>
      </c>
      <c r="O60" s="229">
        <v>91</v>
      </c>
      <c r="P60" s="229">
        <v>548</v>
      </c>
      <c r="Q60" s="229">
        <v>17</v>
      </c>
      <c r="R60" s="217">
        <v>938</v>
      </c>
      <c r="S60" s="238">
        <v>98</v>
      </c>
      <c r="T60" s="217">
        <v>820</v>
      </c>
      <c r="U60" s="217">
        <v>20</v>
      </c>
    </row>
    <row r="61" spans="1:21" ht="10.5" x14ac:dyDescent="0.15">
      <c r="A61" s="180" t="s">
        <v>889</v>
      </c>
      <c r="B61" s="186">
        <f t="shared" si="5"/>
        <v>643</v>
      </c>
      <c r="C61" s="186">
        <v>149</v>
      </c>
      <c r="D61" s="186">
        <v>493</v>
      </c>
      <c r="E61" s="186">
        <v>1</v>
      </c>
      <c r="F61" s="186">
        <f t="shared" si="6"/>
        <v>676</v>
      </c>
      <c r="G61" s="186">
        <v>4</v>
      </c>
      <c r="H61" s="186">
        <v>417</v>
      </c>
      <c r="I61" s="186">
        <v>255</v>
      </c>
      <c r="J61" s="186">
        <f t="shared" si="7"/>
        <v>872</v>
      </c>
      <c r="K61" s="186">
        <v>1</v>
      </c>
      <c r="L61" s="186">
        <v>503</v>
      </c>
      <c r="M61" s="186">
        <v>368</v>
      </c>
      <c r="N61" s="229">
        <f t="shared" si="25"/>
        <v>827</v>
      </c>
      <c r="O61" s="229">
        <v>85</v>
      </c>
      <c r="P61" s="229">
        <v>742</v>
      </c>
      <c r="Q61" s="229">
        <v>0</v>
      </c>
      <c r="R61" s="217">
        <v>1264</v>
      </c>
      <c r="S61" s="238">
        <v>164</v>
      </c>
      <c r="T61" s="217">
        <v>1100</v>
      </c>
      <c r="U61" s="217" t="s">
        <v>193</v>
      </c>
    </row>
    <row r="62" spans="1:21" ht="10.5" x14ac:dyDescent="0.15">
      <c r="A62" s="180" t="s">
        <v>890</v>
      </c>
      <c r="B62" s="186">
        <f t="shared" si="5"/>
        <v>7452</v>
      </c>
      <c r="C62" s="186">
        <v>1936</v>
      </c>
      <c r="D62" s="186">
        <v>5300</v>
      </c>
      <c r="E62" s="186">
        <v>216</v>
      </c>
      <c r="F62" s="186">
        <f t="shared" si="6"/>
        <v>9726</v>
      </c>
      <c r="G62" s="186">
        <v>236</v>
      </c>
      <c r="H62" s="186">
        <v>4691</v>
      </c>
      <c r="I62" s="186">
        <v>4799</v>
      </c>
      <c r="J62" s="186">
        <f t="shared" si="7"/>
        <v>12956</v>
      </c>
      <c r="K62" s="186">
        <v>117</v>
      </c>
      <c r="L62" s="186">
        <v>6308</v>
      </c>
      <c r="M62" s="186">
        <v>6531</v>
      </c>
      <c r="N62" s="229">
        <f t="shared" si="25"/>
        <v>11864</v>
      </c>
      <c r="O62" s="229">
        <v>3815</v>
      </c>
      <c r="P62" s="229">
        <v>7840</v>
      </c>
      <c r="Q62" s="229">
        <v>209</v>
      </c>
      <c r="R62" s="217">
        <v>16334</v>
      </c>
      <c r="S62" s="217">
        <v>4526</v>
      </c>
      <c r="T62" s="217">
        <v>11440</v>
      </c>
      <c r="U62" s="217">
        <v>368</v>
      </c>
    </row>
    <row r="63" spans="1:21" ht="10.5" x14ac:dyDescent="0.15">
      <c r="A63" s="180" t="s">
        <v>891</v>
      </c>
      <c r="B63" s="186">
        <f t="shared" si="5"/>
        <v>0</v>
      </c>
      <c r="C63" s="186">
        <v>0</v>
      </c>
      <c r="D63" s="186">
        <v>0</v>
      </c>
      <c r="E63" s="186">
        <v>0</v>
      </c>
      <c r="F63" s="186">
        <f t="shared" si="6"/>
        <v>0</v>
      </c>
      <c r="G63" s="186">
        <v>0</v>
      </c>
      <c r="H63" s="186">
        <v>0</v>
      </c>
      <c r="I63" s="186">
        <v>0</v>
      </c>
      <c r="J63" s="186">
        <f t="shared" si="7"/>
        <v>174</v>
      </c>
      <c r="K63" s="186">
        <v>0</v>
      </c>
      <c r="L63" s="186">
        <v>144</v>
      </c>
      <c r="M63" s="186">
        <v>30</v>
      </c>
      <c r="N63" s="229">
        <f t="shared" si="25"/>
        <v>346</v>
      </c>
      <c r="O63" s="229">
        <v>19</v>
      </c>
      <c r="P63" s="229">
        <v>327</v>
      </c>
      <c r="Q63" s="229">
        <v>0</v>
      </c>
      <c r="R63" s="217">
        <v>411</v>
      </c>
      <c r="S63" s="217">
        <v>25</v>
      </c>
      <c r="T63" s="217">
        <v>386</v>
      </c>
      <c r="U63" s="217" t="s">
        <v>193</v>
      </c>
    </row>
    <row r="64" spans="1:21" s="183" customFormat="1" ht="10.5" x14ac:dyDescent="0.15">
      <c r="A64" s="183" t="s">
        <v>15</v>
      </c>
      <c r="B64" s="184">
        <f>SUM(C64:E64)</f>
        <v>262021</v>
      </c>
      <c r="C64" s="184">
        <f>SUM(C65:C77)</f>
        <v>58533</v>
      </c>
      <c r="D64" s="184">
        <f t="shared" ref="D64:E64" si="50">SUM(D65:D77)</f>
        <v>185081</v>
      </c>
      <c r="E64" s="184">
        <f t="shared" si="50"/>
        <v>18407</v>
      </c>
      <c r="F64" s="184">
        <f>SUM(G64:I64)</f>
        <v>394130</v>
      </c>
      <c r="G64" s="184">
        <f>SUM(G65:G77)</f>
        <v>22247</v>
      </c>
      <c r="H64" s="184">
        <f t="shared" ref="H64:I64" si="51">SUM(H65:H77)</f>
        <v>200400</v>
      </c>
      <c r="I64" s="184">
        <f t="shared" si="51"/>
        <v>171483</v>
      </c>
      <c r="J64" s="184">
        <f>SUM(K64:M64)</f>
        <v>483745</v>
      </c>
      <c r="K64" s="184">
        <f>SUM(K65:K77)</f>
        <v>21396</v>
      </c>
      <c r="L64" s="184">
        <f t="shared" ref="L64:M64" si="52">SUM(L65:L77)</f>
        <v>253199</v>
      </c>
      <c r="M64" s="184">
        <f t="shared" si="52"/>
        <v>209150</v>
      </c>
      <c r="N64" s="232">
        <f t="shared" si="25"/>
        <v>437857</v>
      </c>
      <c r="O64" s="232">
        <f>SUM(O65:O77)</f>
        <v>92032</v>
      </c>
      <c r="P64" s="232">
        <f t="shared" ref="P64:U64" si="53">SUM(P65:P77)</f>
        <v>323412</v>
      </c>
      <c r="Q64" s="232">
        <f t="shared" si="53"/>
        <v>22413</v>
      </c>
      <c r="R64" s="236">
        <f t="shared" si="53"/>
        <v>450797</v>
      </c>
      <c r="S64" s="236">
        <f t="shared" si="53"/>
        <v>94108</v>
      </c>
      <c r="T64" s="236">
        <f t="shared" si="53"/>
        <v>336899</v>
      </c>
      <c r="U64" s="236">
        <f t="shared" si="53"/>
        <v>19790</v>
      </c>
    </row>
    <row r="65" spans="1:21" ht="10.5" x14ac:dyDescent="0.15">
      <c r="A65" s="180" t="s">
        <v>892</v>
      </c>
      <c r="B65" s="186">
        <f t="shared" si="5"/>
        <v>37593</v>
      </c>
      <c r="C65" s="186">
        <v>9773</v>
      </c>
      <c r="D65" s="186">
        <v>24704</v>
      </c>
      <c r="E65" s="186">
        <v>3116</v>
      </c>
      <c r="F65" s="186">
        <f t="shared" si="6"/>
        <v>66311</v>
      </c>
      <c r="G65" s="186">
        <v>6488</v>
      </c>
      <c r="H65" s="186">
        <v>31423</v>
      </c>
      <c r="I65" s="186">
        <v>28400</v>
      </c>
      <c r="J65" s="186">
        <f t="shared" si="7"/>
        <v>86177</v>
      </c>
      <c r="K65" s="186">
        <v>4438</v>
      </c>
      <c r="L65" s="186">
        <v>42408</v>
      </c>
      <c r="M65" s="186">
        <v>39331</v>
      </c>
      <c r="N65" s="229">
        <f t="shared" si="25"/>
        <v>71010</v>
      </c>
      <c r="O65" s="229">
        <v>16691</v>
      </c>
      <c r="P65" s="229">
        <v>48440</v>
      </c>
      <c r="Q65" s="229">
        <v>5879</v>
      </c>
      <c r="R65" s="217">
        <f>SUM(S65:U65)</f>
        <v>89621</v>
      </c>
      <c r="S65" s="217">
        <v>24014</v>
      </c>
      <c r="T65" s="217">
        <v>60052</v>
      </c>
      <c r="U65" s="217">
        <v>5555</v>
      </c>
    </row>
    <row r="66" spans="1:21" ht="10.5" x14ac:dyDescent="0.15">
      <c r="A66" s="180" t="s">
        <v>893</v>
      </c>
      <c r="B66" s="186">
        <f t="shared" si="5"/>
        <v>23614</v>
      </c>
      <c r="C66" s="186">
        <v>2338</v>
      </c>
      <c r="D66" s="186">
        <v>20045</v>
      </c>
      <c r="E66" s="186">
        <v>1231</v>
      </c>
      <c r="F66" s="186">
        <f t="shared" si="6"/>
        <v>34104</v>
      </c>
      <c r="G66" s="186">
        <v>2001</v>
      </c>
      <c r="H66" s="186">
        <v>16159</v>
      </c>
      <c r="I66" s="186">
        <v>15944</v>
      </c>
      <c r="J66" s="186">
        <f t="shared" si="7"/>
        <v>37376</v>
      </c>
      <c r="K66" s="186">
        <v>2350</v>
      </c>
      <c r="L66" s="186">
        <v>17773</v>
      </c>
      <c r="M66" s="186">
        <v>17253</v>
      </c>
      <c r="N66" s="229">
        <f t="shared" si="25"/>
        <v>40829</v>
      </c>
      <c r="O66" s="229">
        <v>5955</v>
      </c>
      <c r="P66" s="229">
        <v>32472</v>
      </c>
      <c r="Q66" s="229">
        <v>2402</v>
      </c>
      <c r="R66" s="217">
        <f t="shared" ref="R66:R80" si="54">SUM(S66:U66)</f>
        <v>48476</v>
      </c>
      <c r="S66" s="217">
        <v>6863</v>
      </c>
      <c r="T66" s="217">
        <v>39871</v>
      </c>
      <c r="U66" s="217">
        <v>1742</v>
      </c>
    </row>
    <row r="67" spans="1:21" ht="10.5" x14ac:dyDescent="0.15">
      <c r="A67" s="180" t="s">
        <v>894</v>
      </c>
      <c r="B67" s="186">
        <f t="shared" si="5"/>
        <v>9061</v>
      </c>
      <c r="C67" s="186">
        <v>1953</v>
      </c>
      <c r="D67" s="186">
        <v>6484</v>
      </c>
      <c r="E67" s="186">
        <v>624</v>
      </c>
      <c r="F67" s="186">
        <f t="shared" si="6"/>
        <v>12992</v>
      </c>
      <c r="G67" s="186">
        <v>1160</v>
      </c>
      <c r="H67" s="186">
        <v>6383</v>
      </c>
      <c r="I67" s="186">
        <v>5449</v>
      </c>
      <c r="J67" s="186">
        <f t="shared" si="7"/>
        <v>15545</v>
      </c>
      <c r="K67" s="186">
        <v>876</v>
      </c>
      <c r="L67" s="186">
        <v>7751</v>
      </c>
      <c r="M67" s="186">
        <v>6918</v>
      </c>
      <c r="N67" s="229">
        <f t="shared" si="25"/>
        <v>13645</v>
      </c>
      <c r="O67" s="229">
        <v>2606</v>
      </c>
      <c r="P67" s="229">
        <v>10419</v>
      </c>
      <c r="Q67" s="229">
        <v>620</v>
      </c>
      <c r="R67" s="217">
        <f t="shared" si="54"/>
        <v>19895</v>
      </c>
      <c r="S67" s="217">
        <v>3731</v>
      </c>
      <c r="T67" s="217">
        <v>14911</v>
      </c>
      <c r="U67" s="217">
        <v>1253</v>
      </c>
    </row>
    <row r="68" spans="1:21" ht="10.5" x14ac:dyDescent="0.15">
      <c r="A68" s="180" t="s">
        <v>895</v>
      </c>
      <c r="B68" s="186">
        <f t="shared" si="5"/>
        <v>4799</v>
      </c>
      <c r="C68" s="186">
        <v>1464</v>
      </c>
      <c r="D68" s="186">
        <v>3146</v>
      </c>
      <c r="E68" s="186">
        <v>189</v>
      </c>
      <c r="F68" s="186">
        <f t="shared" si="6"/>
        <v>4664</v>
      </c>
      <c r="G68" s="186">
        <v>70</v>
      </c>
      <c r="H68" s="186">
        <v>2575</v>
      </c>
      <c r="I68" s="186">
        <v>2019</v>
      </c>
      <c r="J68" s="186">
        <f t="shared" si="7"/>
        <v>7305</v>
      </c>
      <c r="K68" s="186">
        <v>349</v>
      </c>
      <c r="L68" s="186">
        <v>3709</v>
      </c>
      <c r="M68" s="186">
        <v>3247</v>
      </c>
      <c r="N68" s="229">
        <f t="shared" si="25"/>
        <v>8687</v>
      </c>
      <c r="O68" s="229">
        <v>2498</v>
      </c>
      <c r="P68" s="229">
        <v>5772</v>
      </c>
      <c r="Q68" s="229">
        <v>417</v>
      </c>
      <c r="R68" s="217">
        <f t="shared" si="54"/>
        <v>8136</v>
      </c>
      <c r="S68" s="217">
        <v>1916</v>
      </c>
      <c r="T68" s="217">
        <v>5719</v>
      </c>
      <c r="U68" s="217">
        <v>501</v>
      </c>
    </row>
    <row r="69" spans="1:21" ht="10.5" x14ac:dyDescent="0.15">
      <c r="A69" s="180" t="s">
        <v>896</v>
      </c>
      <c r="B69" s="186">
        <f t="shared" si="5"/>
        <v>85602</v>
      </c>
      <c r="C69" s="186">
        <v>19784</v>
      </c>
      <c r="D69" s="186">
        <v>60811</v>
      </c>
      <c r="E69" s="186">
        <v>5007</v>
      </c>
      <c r="F69" s="186">
        <f t="shared" si="6"/>
        <v>121609</v>
      </c>
      <c r="G69" s="186">
        <v>5848</v>
      </c>
      <c r="H69" s="186">
        <v>61661</v>
      </c>
      <c r="I69" s="186">
        <v>54100</v>
      </c>
      <c r="J69" s="186">
        <f t="shared" si="7"/>
        <v>141781</v>
      </c>
      <c r="K69" s="186">
        <v>5767</v>
      </c>
      <c r="L69" s="186">
        <v>74705</v>
      </c>
      <c r="M69" s="186">
        <v>61309</v>
      </c>
      <c r="N69" s="229">
        <f t="shared" si="25"/>
        <v>129373</v>
      </c>
      <c r="O69" s="229">
        <v>23782</v>
      </c>
      <c r="P69" s="229">
        <v>100083</v>
      </c>
      <c r="Q69" s="229">
        <v>5508</v>
      </c>
      <c r="R69" s="217">
        <f t="shared" si="54"/>
        <v>92631</v>
      </c>
      <c r="S69" s="217">
        <v>16399</v>
      </c>
      <c r="T69" s="217">
        <v>72249</v>
      </c>
      <c r="U69" s="217">
        <v>3983</v>
      </c>
    </row>
    <row r="70" spans="1:21" ht="10.5" x14ac:dyDescent="0.15">
      <c r="A70" s="180" t="s">
        <v>897</v>
      </c>
      <c r="B70" s="186">
        <f t="shared" si="5"/>
        <v>16</v>
      </c>
      <c r="C70" s="186">
        <v>4</v>
      </c>
      <c r="D70" s="186">
        <v>12</v>
      </c>
      <c r="E70" s="186">
        <v>0</v>
      </c>
      <c r="F70" s="186">
        <f t="shared" si="6"/>
        <v>50</v>
      </c>
      <c r="G70" s="186">
        <v>0</v>
      </c>
      <c r="H70" s="186">
        <v>26</v>
      </c>
      <c r="I70" s="186">
        <v>24</v>
      </c>
      <c r="J70" s="186">
        <f t="shared" si="7"/>
        <v>64</v>
      </c>
      <c r="K70" s="186">
        <v>0</v>
      </c>
      <c r="L70" s="186">
        <v>35</v>
      </c>
      <c r="M70" s="186">
        <v>29</v>
      </c>
      <c r="N70" s="229">
        <f t="shared" si="25"/>
        <v>102</v>
      </c>
      <c r="O70" s="229">
        <v>6</v>
      </c>
      <c r="P70" s="229">
        <v>96</v>
      </c>
      <c r="Q70" s="229">
        <v>0</v>
      </c>
      <c r="R70" s="217">
        <f t="shared" si="54"/>
        <v>146</v>
      </c>
      <c r="S70" s="217">
        <v>9</v>
      </c>
      <c r="T70" s="217">
        <v>137</v>
      </c>
      <c r="U70" s="217" t="s">
        <v>193</v>
      </c>
    </row>
    <row r="71" spans="1:21" ht="10.5" x14ac:dyDescent="0.15">
      <c r="A71" s="180" t="s">
        <v>898</v>
      </c>
      <c r="B71" s="186">
        <f t="shared" si="5"/>
        <v>0</v>
      </c>
      <c r="C71" s="186">
        <v>0</v>
      </c>
      <c r="D71" s="186">
        <v>0</v>
      </c>
      <c r="E71" s="186">
        <v>0</v>
      </c>
      <c r="F71" s="186">
        <f t="shared" si="6"/>
        <v>0</v>
      </c>
      <c r="G71" s="186">
        <v>0</v>
      </c>
      <c r="H71" s="186">
        <v>0</v>
      </c>
      <c r="I71" s="186">
        <v>0</v>
      </c>
      <c r="J71" s="186">
        <f t="shared" si="7"/>
        <v>0</v>
      </c>
      <c r="K71" s="186">
        <v>0</v>
      </c>
      <c r="L71" s="186">
        <v>0</v>
      </c>
      <c r="M71" s="186">
        <v>0</v>
      </c>
      <c r="N71" s="229">
        <f t="shared" si="25"/>
        <v>0</v>
      </c>
      <c r="O71" s="229">
        <v>0</v>
      </c>
      <c r="P71" s="229">
        <v>0</v>
      </c>
      <c r="Q71" s="229">
        <v>0</v>
      </c>
      <c r="R71" s="217">
        <f t="shared" si="54"/>
        <v>0</v>
      </c>
      <c r="S71" s="217">
        <v>0</v>
      </c>
      <c r="T71" s="217">
        <v>0</v>
      </c>
      <c r="U71" s="217">
        <v>0</v>
      </c>
    </row>
    <row r="72" spans="1:21" ht="10.5" x14ac:dyDescent="0.15">
      <c r="A72" s="180" t="s">
        <v>899</v>
      </c>
      <c r="B72" s="186">
        <f t="shared" si="5"/>
        <v>29447</v>
      </c>
      <c r="C72" s="186">
        <v>8106</v>
      </c>
      <c r="D72" s="186">
        <v>21288</v>
      </c>
      <c r="E72" s="186">
        <v>53</v>
      </c>
      <c r="F72" s="186">
        <f t="shared" si="6"/>
        <v>55649</v>
      </c>
      <c r="G72" s="186">
        <v>8</v>
      </c>
      <c r="H72" s="186">
        <v>31854</v>
      </c>
      <c r="I72" s="186">
        <v>23787</v>
      </c>
      <c r="J72" s="186">
        <f t="shared" si="7"/>
        <v>84569</v>
      </c>
      <c r="K72" s="186">
        <v>30</v>
      </c>
      <c r="L72" s="186">
        <v>48309</v>
      </c>
      <c r="M72" s="186">
        <v>36230</v>
      </c>
      <c r="N72" s="229">
        <f t="shared" si="25"/>
        <v>84924</v>
      </c>
      <c r="O72" s="229">
        <v>23021</v>
      </c>
      <c r="P72" s="229">
        <v>61897</v>
      </c>
      <c r="Q72" s="229">
        <v>6</v>
      </c>
      <c r="R72" s="217">
        <f t="shared" si="54"/>
        <v>103425</v>
      </c>
      <c r="S72" s="217">
        <v>25431</v>
      </c>
      <c r="T72" s="217">
        <v>77989</v>
      </c>
      <c r="U72" s="217">
        <v>5</v>
      </c>
    </row>
    <row r="73" spans="1:21" ht="10.5" x14ac:dyDescent="0.15">
      <c r="A73" s="180" t="s">
        <v>900</v>
      </c>
      <c r="B73" s="186">
        <f t="shared" si="5"/>
        <v>0</v>
      </c>
      <c r="C73" s="186">
        <v>0</v>
      </c>
      <c r="D73" s="186">
        <v>0</v>
      </c>
      <c r="E73" s="186">
        <v>0</v>
      </c>
      <c r="F73" s="186">
        <f t="shared" si="6"/>
        <v>350</v>
      </c>
      <c r="G73" s="186">
        <v>9</v>
      </c>
      <c r="H73" s="186">
        <v>180</v>
      </c>
      <c r="I73" s="186">
        <v>161</v>
      </c>
      <c r="J73" s="186">
        <f t="shared" si="7"/>
        <v>637</v>
      </c>
      <c r="K73" s="186">
        <v>13</v>
      </c>
      <c r="L73" s="186">
        <v>302</v>
      </c>
      <c r="M73" s="186">
        <v>322</v>
      </c>
      <c r="N73" s="229">
        <f t="shared" si="25"/>
        <v>820</v>
      </c>
      <c r="O73" s="229">
        <v>179</v>
      </c>
      <c r="P73" s="229">
        <v>641</v>
      </c>
      <c r="Q73" s="229">
        <v>0</v>
      </c>
      <c r="R73" s="217">
        <f t="shared" si="54"/>
        <v>603</v>
      </c>
      <c r="S73" s="217">
        <v>122</v>
      </c>
      <c r="T73" s="217">
        <v>464</v>
      </c>
      <c r="U73" s="217">
        <v>17</v>
      </c>
    </row>
    <row r="74" spans="1:21" ht="10.5" x14ac:dyDescent="0.15">
      <c r="A74" s="180" t="s">
        <v>901</v>
      </c>
      <c r="B74" s="186">
        <f t="shared" si="5"/>
        <v>60</v>
      </c>
      <c r="C74" s="186">
        <v>2</v>
      </c>
      <c r="D74" s="186">
        <v>58</v>
      </c>
      <c r="E74" s="186">
        <v>0</v>
      </c>
      <c r="F74" s="186">
        <f t="shared" si="6"/>
        <v>0</v>
      </c>
      <c r="G74" s="186">
        <v>0</v>
      </c>
      <c r="H74" s="186">
        <v>0</v>
      </c>
      <c r="I74" s="186">
        <v>0</v>
      </c>
      <c r="J74" s="186">
        <f t="shared" si="7"/>
        <v>0</v>
      </c>
      <c r="K74" s="186">
        <v>0</v>
      </c>
      <c r="L74" s="186">
        <v>0</v>
      </c>
      <c r="M74" s="186">
        <v>0</v>
      </c>
      <c r="N74" s="229">
        <f t="shared" si="25"/>
        <v>0</v>
      </c>
      <c r="O74" s="229">
        <v>0</v>
      </c>
      <c r="P74" s="229">
        <v>0</v>
      </c>
      <c r="Q74" s="229">
        <v>0</v>
      </c>
      <c r="R74" s="217">
        <f t="shared" si="54"/>
        <v>0</v>
      </c>
      <c r="S74" s="217">
        <v>0</v>
      </c>
      <c r="T74" s="217">
        <v>0</v>
      </c>
      <c r="U74" s="217">
        <v>0</v>
      </c>
    </row>
    <row r="75" spans="1:21" ht="10.5" x14ac:dyDescent="0.15">
      <c r="A75" s="180" t="s">
        <v>902</v>
      </c>
      <c r="B75" s="186">
        <f t="shared" si="5"/>
        <v>31</v>
      </c>
      <c r="C75" s="186">
        <v>0</v>
      </c>
      <c r="D75" s="186">
        <v>31</v>
      </c>
      <c r="E75" s="186">
        <v>0</v>
      </c>
      <c r="F75" s="186">
        <f t="shared" si="6"/>
        <v>4084</v>
      </c>
      <c r="G75" s="186">
        <v>130</v>
      </c>
      <c r="H75" s="186">
        <v>2802</v>
      </c>
      <c r="I75" s="186">
        <v>1152</v>
      </c>
      <c r="J75" s="186">
        <f t="shared" si="7"/>
        <v>11400</v>
      </c>
      <c r="K75" s="186">
        <v>193</v>
      </c>
      <c r="L75" s="186">
        <v>8358</v>
      </c>
      <c r="M75" s="186">
        <v>2849</v>
      </c>
      <c r="N75" s="229">
        <f t="shared" si="25"/>
        <v>8751</v>
      </c>
      <c r="O75" s="229">
        <v>519</v>
      </c>
      <c r="P75" s="229">
        <v>8044</v>
      </c>
      <c r="Q75" s="229">
        <v>188</v>
      </c>
      <c r="R75" s="217">
        <f t="shared" si="54"/>
        <v>6233</v>
      </c>
      <c r="S75" s="217">
        <v>758</v>
      </c>
      <c r="T75" s="217">
        <v>5387</v>
      </c>
      <c r="U75" s="217">
        <v>88</v>
      </c>
    </row>
    <row r="76" spans="1:21" ht="10.5" x14ac:dyDescent="0.15">
      <c r="A76" s="180" t="s">
        <v>903</v>
      </c>
      <c r="B76" s="186">
        <f t="shared" ref="B76:B124" si="55">SUM(C76:E76)</f>
        <v>2335</v>
      </c>
      <c r="C76" s="186">
        <v>836</v>
      </c>
      <c r="D76" s="186">
        <v>1325</v>
      </c>
      <c r="E76" s="186">
        <v>174</v>
      </c>
      <c r="F76" s="186">
        <f t="shared" ref="F76:F124" si="56">SUM(G76:I76)</f>
        <v>3185</v>
      </c>
      <c r="G76" s="186">
        <v>454</v>
      </c>
      <c r="H76" s="186">
        <v>1257</v>
      </c>
      <c r="I76" s="186">
        <v>1474</v>
      </c>
      <c r="J76" s="186">
        <f t="shared" ref="J76:J124" si="57">SUM(K76:M76)</f>
        <v>6125</v>
      </c>
      <c r="K76" s="186">
        <v>469</v>
      </c>
      <c r="L76" s="186">
        <v>2836</v>
      </c>
      <c r="M76" s="186">
        <v>2820</v>
      </c>
      <c r="N76" s="229">
        <f t="shared" si="25"/>
        <v>6244</v>
      </c>
      <c r="O76" s="229">
        <v>1571</v>
      </c>
      <c r="P76" s="229">
        <v>4294</v>
      </c>
      <c r="Q76" s="229">
        <v>379</v>
      </c>
      <c r="R76" s="217">
        <f t="shared" si="54"/>
        <v>6680</v>
      </c>
      <c r="S76" s="217">
        <v>1731</v>
      </c>
      <c r="T76" s="217">
        <v>4444</v>
      </c>
      <c r="U76" s="217">
        <v>505</v>
      </c>
    </row>
    <row r="77" spans="1:21" ht="10.5" x14ac:dyDescent="0.15">
      <c r="A77" s="180" t="s">
        <v>904</v>
      </c>
      <c r="B77" s="186">
        <f t="shared" si="55"/>
        <v>69463</v>
      </c>
      <c r="C77" s="186">
        <v>14273</v>
      </c>
      <c r="D77" s="186">
        <v>47177</v>
      </c>
      <c r="E77" s="186">
        <v>8013</v>
      </c>
      <c r="F77" s="186">
        <f t="shared" si="56"/>
        <v>91132</v>
      </c>
      <c r="G77" s="186">
        <v>6079</v>
      </c>
      <c r="H77" s="186">
        <v>46080</v>
      </c>
      <c r="I77" s="186">
        <v>38973</v>
      </c>
      <c r="J77" s="186">
        <f t="shared" si="57"/>
        <v>92766</v>
      </c>
      <c r="K77" s="186">
        <v>6911</v>
      </c>
      <c r="L77" s="186">
        <v>47013</v>
      </c>
      <c r="M77" s="186">
        <v>38842</v>
      </c>
      <c r="N77" s="229">
        <f t="shared" si="25"/>
        <v>73472</v>
      </c>
      <c r="O77" s="229">
        <v>15204</v>
      </c>
      <c r="P77" s="229">
        <v>51254</v>
      </c>
      <c r="Q77" s="229">
        <v>7014</v>
      </c>
      <c r="R77" s="217">
        <f t="shared" si="54"/>
        <v>74951</v>
      </c>
      <c r="S77" s="217">
        <v>13134</v>
      </c>
      <c r="T77" s="217">
        <v>55676</v>
      </c>
      <c r="U77" s="217">
        <v>6141</v>
      </c>
    </row>
    <row r="78" spans="1:21" s="183" customFormat="1" ht="10.5" x14ac:dyDescent="0.15">
      <c r="A78" s="183" t="s">
        <v>16</v>
      </c>
      <c r="B78" s="184">
        <f>SUM(C78:E78)</f>
        <v>1159</v>
      </c>
      <c r="C78" s="184">
        <f>SUM(C79:C80)</f>
        <v>102</v>
      </c>
      <c r="D78" s="184">
        <f t="shared" ref="D78:E78" si="58">SUM(D79:D80)</f>
        <v>1048</v>
      </c>
      <c r="E78" s="184">
        <f t="shared" si="58"/>
        <v>9</v>
      </c>
      <c r="F78" s="184">
        <f>SUM(G78:I78)</f>
        <v>1243</v>
      </c>
      <c r="G78" s="184">
        <f>SUM(G79:G80)</f>
        <v>22</v>
      </c>
      <c r="H78" s="184">
        <f t="shared" ref="H78:I78" si="59">SUM(H79:H80)</f>
        <v>687</v>
      </c>
      <c r="I78" s="184">
        <f t="shared" si="59"/>
        <v>534</v>
      </c>
      <c r="J78" s="184">
        <f>SUM(K78:M78)</f>
        <v>2401</v>
      </c>
      <c r="K78" s="184">
        <f>SUM(K79:K80)</f>
        <v>79</v>
      </c>
      <c r="L78" s="184">
        <f t="shared" ref="L78:M78" si="60">SUM(L79:L80)</f>
        <v>1344</v>
      </c>
      <c r="M78" s="184">
        <f t="shared" si="60"/>
        <v>978</v>
      </c>
      <c r="N78" s="232">
        <f>+O78+P78+Q78</f>
        <v>4521</v>
      </c>
      <c r="O78" s="232">
        <f>+O79+O80</f>
        <v>789</v>
      </c>
      <c r="P78" s="232">
        <f>+P79+P80</f>
        <v>3412</v>
      </c>
      <c r="Q78" s="232">
        <f>+Q79+Q80</f>
        <v>320</v>
      </c>
      <c r="R78" s="236">
        <f t="shared" ref="R78:U78" si="61">+R79+R80</f>
        <v>7122</v>
      </c>
      <c r="S78" s="236">
        <f t="shared" si="61"/>
        <v>1159</v>
      </c>
      <c r="T78" s="236">
        <f t="shared" si="61"/>
        <v>5825</v>
      </c>
      <c r="U78" s="236">
        <f t="shared" si="61"/>
        <v>138</v>
      </c>
    </row>
    <row r="79" spans="1:21" ht="10.5" x14ac:dyDescent="0.15">
      <c r="A79" s="180" t="s">
        <v>905</v>
      </c>
      <c r="B79" s="186">
        <f t="shared" si="55"/>
        <v>869</v>
      </c>
      <c r="C79" s="186">
        <v>67</v>
      </c>
      <c r="D79" s="186">
        <v>800</v>
      </c>
      <c r="E79" s="186">
        <v>2</v>
      </c>
      <c r="F79" s="186">
        <f t="shared" si="56"/>
        <v>538</v>
      </c>
      <c r="G79" s="186">
        <v>10</v>
      </c>
      <c r="H79" s="186">
        <v>268</v>
      </c>
      <c r="I79" s="186">
        <v>260</v>
      </c>
      <c r="J79" s="186">
        <f t="shared" si="57"/>
        <v>1217</v>
      </c>
      <c r="K79" s="186">
        <v>19</v>
      </c>
      <c r="L79" s="186">
        <v>733</v>
      </c>
      <c r="M79" s="186">
        <v>465</v>
      </c>
      <c r="N79" s="229">
        <f t="shared" ref="N79:N119" si="62">SUM(O79:Q79)</f>
        <v>1125</v>
      </c>
      <c r="O79" s="229">
        <v>187</v>
      </c>
      <c r="P79" s="229">
        <v>882</v>
      </c>
      <c r="Q79" s="229">
        <v>56</v>
      </c>
      <c r="R79" s="217">
        <f t="shared" si="54"/>
        <v>2230</v>
      </c>
      <c r="S79" s="217">
        <v>294</v>
      </c>
      <c r="T79" s="217">
        <v>1833</v>
      </c>
      <c r="U79" s="217">
        <v>103</v>
      </c>
    </row>
    <row r="80" spans="1:21" ht="10.5" x14ac:dyDescent="0.15">
      <c r="A80" s="180" t="s">
        <v>906</v>
      </c>
      <c r="B80" s="186">
        <f t="shared" si="55"/>
        <v>290</v>
      </c>
      <c r="C80" s="186">
        <v>35</v>
      </c>
      <c r="D80" s="186">
        <v>248</v>
      </c>
      <c r="E80" s="186">
        <v>7</v>
      </c>
      <c r="F80" s="186">
        <f t="shared" si="56"/>
        <v>705</v>
      </c>
      <c r="G80" s="186">
        <v>12</v>
      </c>
      <c r="H80" s="186">
        <v>419</v>
      </c>
      <c r="I80" s="186">
        <v>274</v>
      </c>
      <c r="J80" s="186">
        <f t="shared" si="57"/>
        <v>1184</v>
      </c>
      <c r="K80" s="186">
        <v>60</v>
      </c>
      <c r="L80" s="186">
        <v>611</v>
      </c>
      <c r="M80" s="186">
        <v>513</v>
      </c>
      <c r="N80" s="229">
        <f t="shared" si="62"/>
        <v>3396</v>
      </c>
      <c r="O80" s="229">
        <v>602</v>
      </c>
      <c r="P80" s="229">
        <v>2530</v>
      </c>
      <c r="Q80" s="229">
        <v>264</v>
      </c>
      <c r="R80" s="217">
        <f t="shared" si="54"/>
        <v>4892</v>
      </c>
      <c r="S80" s="217">
        <v>865</v>
      </c>
      <c r="T80" s="217">
        <v>3992</v>
      </c>
      <c r="U80" s="217">
        <v>35</v>
      </c>
    </row>
    <row r="81" spans="1:21" s="183" customFormat="1" ht="10.5" x14ac:dyDescent="0.15">
      <c r="A81" s="183" t="s">
        <v>17</v>
      </c>
      <c r="B81" s="184">
        <f>SUM(C81:E81)</f>
        <v>430663</v>
      </c>
      <c r="C81" s="184">
        <f>SUM(C82:C92)</f>
        <v>61866</v>
      </c>
      <c r="D81" s="184">
        <f t="shared" ref="D81:E81" si="63">SUM(D82:D92)</f>
        <v>329050</v>
      </c>
      <c r="E81" s="184">
        <f t="shared" si="63"/>
        <v>39747</v>
      </c>
      <c r="F81" s="184">
        <f>SUM(G81:I81)</f>
        <v>561638</v>
      </c>
      <c r="G81" s="184">
        <f>SUM(G82:G92)</f>
        <v>47390</v>
      </c>
      <c r="H81" s="184">
        <f t="shared" ref="H81:I81" si="64">SUM(H82:H92)</f>
        <v>253561</v>
      </c>
      <c r="I81" s="184">
        <f t="shared" si="64"/>
        <v>260687</v>
      </c>
      <c r="J81" s="184">
        <f>SUM(K81:M81)</f>
        <v>639760</v>
      </c>
      <c r="K81" s="184">
        <f>SUM(K82:K92)</f>
        <v>71369</v>
      </c>
      <c r="L81" s="184">
        <f t="shared" ref="L81:M81" si="65">SUM(L82:L92)</f>
        <v>275349</v>
      </c>
      <c r="M81" s="184">
        <f t="shared" si="65"/>
        <v>293042</v>
      </c>
      <c r="N81" s="232">
        <f t="shared" si="62"/>
        <v>631151</v>
      </c>
      <c r="O81" s="232">
        <f>SUM(O82:O92)</f>
        <v>77657</v>
      </c>
      <c r="P81" s="232">
        <f t="shared" ref="P81:U81" si="66">SUM(P82:P92)</f>
        <v>463789</v>
      </c>
      <c r="Q81" s="232">
        <f t="shared" si="66"/>
        <v>89705</v>
      </c>
      <c r="R81" s="236">
        <f t="shared" si="66"/>
        <v>677011</v>
      </c>
      <c r="S81" s="236">
        <f t="shared" si="66"/>
        <v>83154</v>
      </c>
      <c r="T81" s="236">
        <f t="shared" si="66"/>
        <v>510108</v>
      </c>
      <c r="U81" s="236">
        <f t="shared" si="66"/>
        <v>83749</v>
      </c>
    </row>
    <row r="82" spans="1:21" ht="10.5" x14ac:dyDescent="0.15">
      <c r="A82" s="180" t="s">
        <v>907</v>
      </c>
      <c r="B82" s="186">
        <f t="shared" si="55"/>
        <v>20950</v>
      </c>
      <c r="C82" s="186">
        <v>3369</v>
      </c>
      <c r="D82" s="186">
        <v>16967</v>
      </c>
      <c r="E82" s="186">
        <v>614</v>
      </c>
      <c r="F82" s="186">
        <f t="shared" si="56"/>
        <v>27976</v>
      </c>
      <c r="G82" s="186">
        <v>927</v>
      </c>
      <c r="H82" s="186">
        <v>12548</v>
      </c>
      <c r="I82" s="186">
        <v>14501</v>
      </c>
      <c r="J82" s="186">
        <f t="shared" si="57"/>
        <v>33849</v>
      </c>
      <c r="K82" s="186">
        <v>2707</v>
      </c>
      <c r="L82" s="186">
        <v>14110</v>
      </c>
      <c r="M82" s="186">
        <v>17032</v>
      </c>
      <c r="N82" s="229">
        <f t="shared" si="62"/>
        <v>39666</v>
      </c>
      <c r="O82" s="229">
        <v>4244</v>
      </c>
      <c r="P82" s="229">
        <v>30154</v>
      </c>
      <c r="Q82" s="229">
        <v>5268</v>
      </c>
      <c r="R82" s="217">
        <f>SUM(S82:U82)</f>
        <v>48624</v>
      </c>
      <c r="S82" s="217">
        <v>5931</v>
      </c>
      <c r="T82" s="217">
        <v>37644</v>
      </c>
      <c r="U82" s="217">
        <v>5049</v>
      </c>
    </row>
    <row r="83" spans="1:21" ht="10.5" x14ac:dyDescent="0.15">
      <c r="A83" s="180" t="s">
        <v>908</v>
      </c>
      <c r="B83" s="186">
        <f t="shared" si="55"/>
        <v>95062</v>
      </c>
      <c r="C83" s="186">
        <v>21181</v>
      </c>
      <c r="D83" s="186">
        <v>65539</v>
      </c>
      <c r="E83" s="186">
        <v>8342</v>
      </c>
      <c r="F83" s="186">
        <f t="shared" si="56"/>
        <v>149877</v>
      </c>
      <c r="G83" s="186">
        <v>16840</v>
      </c>
      <c r="H83" s="186">
        <v>64681</v>
      </c>
      <c r="I83" s="186">
        <v>68356</v>
      </c>
      <c r="J83" s="186">
        <f t="shared" si="57"/>
        <v>148061</v>
      </c>
      <c r="K83" s="186">
        <v>23789</v>
      </c>
      <c r="L83" s="186">
        <v>60506</v>
      </c>
      <c r="M83" s="186">
        <v>63766</v>
      </c>
      <c r="N83" s="229">
        <f t="shared" si="62"/>
        <v>137778</v>
      </c>
      <c r="O83" s="229">
        <v>31624</v>
      </c>
      <c r="P83" s="229">
        <v>82294</v>
      </c>
      <c r="Q83" s="229">
        <v>23860</v>
      </c>
      <c r="R83" s="217">
        <f t="shared" ref="R83:R92" si="67">SUM(S83:U83)</f>
        <v>126613</v>
      </c>
      <c r="S83" s="217">
        <v>24993</v>
      </c>
      <c r="T83" s="217">
        <v>90109</v>
      </c>
      <c r="U83" s="217">
        <v>11511</v>
      </c>
    </row>
    <row r="84" spans="1:21" ht="10.5" x14ac:dyDescent="0.15">
      <c r="A84" s="180" t="s">
        <v>909</v>
      </c>
      <c r="B84" s="186">
        <f t="shared" si="55"/>
        <v>293266</v>
      </c>
      <c r="C84" s="186">
        <v>32121</v>
      </c>
      <c r="D84" s="186">
        <v>230554</v>
      </c>
      <c r="E84" s="186">
        <v>30591</v>
      </c>
      <c r="F84" s="186">
        <f t="shared" si="56"/>
        <v>361769</v>
      </c>
      <c r="G84" s="186">
        <v>29435</v>
      </c>
      <c r="H84" s="186">
        <v>164755</v>
      </c>
      <c r="I84" s="186">
        <v>167579</v>
      </c>
      <c r="J84" s="186">
        <f t="shared" si="57"/>
        <v>430080</v>
      </c>
      <c r="K84" s="186">
        <v>43793</v>
      </c>
      <c r="L84" s="186">
        <v>187131</v>
      </c>
      <c r="M84" s="186">
        <v>199156</v>
      </c>
      <c r="N84" s="229">
        <f t="shared" si="62"/>
        <v>415625</v>
      </c>
      <c r="O84" s="229">
        <v>34737</v>
      </c>
      <c r="P84" s="229">
        <v>322876</v>
      </c>
      <c r="Q84" s="229">
        <v>58012</v>
      </c>
      <c r="R84" s="217">
        <f t="shared" si="67"/>
        <v>468523</v>
      </c>
      <c r="S84" s="217">
        <v>46245</v>
      </c>
      <c r="T84" s="217">
        <v>355949</v>
      </c>
      <c r="U84" s="217">
        <v>66329</v>
      </c>
    </row>
    <row r="85" spans="1:21" ht="10.5" x14ac:dyDescent="0.15">
      <c r="A85" s="180" t="s">
        <v>910</v>
      </c>
      <c r="B85" s="186">
        <f t="shared" si="55"/>
        <v>11721</v>
      </c>
      <c r="C85" s="186">
        <v>1986</v>
      </c>
      <c r="D85" s="186">
        <v>9721</v>
      </c>
      <c r="E85" s="186">
        <v>14</v>
      </c>
      <c r="F85" s="186">
        <f t="shared" si="56"/>
        <v>12191</v>
      </c>
      <c r="G85" s="186">
        <v>2</v>
      </c>
      <c r="H85" s="186">
        <v>6506</v>
      </c>
      <c r="I85" s="186">
        <v>5683</v>
      </c>
      <c r="J85" s="186">
        <f t="shared" si="57"/>
        <v>15772</v>
      </c>
      <c r="K85" s="186">
        <v>44</v>
      </c>
      <c r="L85" s="186">
        <v>8105</v>
      </c>
      <c r="M85" s="186">
        <v>7623</v>
      </c>
      <c r="N85" s="229">
        <f t="shared" si="62"/>
        <v>16583</v>
      </c>
      <c r="O85" s="229">
        <v>3371</v>
      </c>
      <c r="P85" s="229">
        <v>13103</v>
      </c>
      <c r="Q85" s="229">
        <v>109</v>
      </c>
      <c r="R85" s="217">
        <f t="shared" si="67"/>
        <v>20265</v>
      </c>
      <c r="S85" s="217">
        <v>3631</v>
      </c>
      <c r="T85" s="217">
        <v>16550</v>
      </c>
      <c r="U85" s="217">
        <v>84</v>
      </c>
    </row>
    <row r="86" spans="1:21" ht="10.5" x14ac:dyDescent="0.15">
      <c r="A86" s="180" t="s">
        <v>911</v>
      </c>
      <c r="B86" s="186">
        <f t="shared" si="55"/>
        <v>351</v>
      </c>
      <c r="C86" s="186">
        <v>22</v>
      </c>
      <c r="D86" s="186">
        <v>329</v>
      </c>
      <c r="E86" s="186">
        <v>0</v>
      </c>
      <c r="F86" s="186">
        <f t="shared" si="56"/>
        <v>0</v>
      </c>
      <c r="G86" s="186">
        <v>0</v>
      </c>
      <c r="H86" s="186">
        <v>0</v>
      </c>
      <c r="I86" s="186">
        <v>0</v>
      </c>
      <c r="J86" s="186">
        <f t="shared" si="57"/>
        <v>621</v>
      </c>
      <c r="K86" s="186">
        <v>0</v>
      </c>
      <c r="L86" s="186">
        <v>415</v>
      </c>
      <c r="M86" s="186">
        <v>206</v>
      </c>
      <c r="N86" s="229">
        <f t="shared" si="62"/>
        <v>1928</v>
      </c>
      <c r="O86" s="229">
        <v>132</v>
      </c>
      <c r="P86" s="229">
        <v>1796</v>
      </c>
      <c r="Q86" s="229">
        <v>0</v>
      </c>
      <c r="R86" s="217">
        <f t="shared" si="67"/>
        <v>1916</v>
      </c>
      <c r="S86" s="217">
        <v>7</v>
      </c>
      <c r="T86" s="217">
        <v>1906</v>
      </c>
      <c r="U86" s="217">
        <v>3</v>
      </c>
    </row>
    <row r="87" spans="1:21" ht="10.5" x14ac:dyDescent="0.15">
      <c r="A87" s="180" t="s">
        <v>912</v>
      </c>
      <c r="B87" s="186">
        <f t="shared" si="55"/>
        <v>0</v>
      </c>
      <c r="C87" s="186">
        <v>0</v>
      </c>
      <c r="D87" s="186">
        <v>0</v>
      </c>
      <c r="E87" s="186">
        <v>0</v>
      </c>
      <c r="F87" s="186">
        <f t="shared" si="56"/>
        <v>0</v>
      </c>
      <c r="G87" s="186">
        <v>0</v>
      </c>
      <c r="H87" s="186">
        <v>0</v>
      </c>
      <c r="I87" s="186">
        <v>0</v>
      </c>
      <c r="J87" s="186">
        <f t="shared" si="57"/>
        <v>0</v>
      </c>
      <c r="K87" s="186">
        <v>0</v>
      </c>
      <c r="L87" s="186">
        <v>0</v>
      </c>
      <c r="M87" s="186">
        <v>0</v>
      </c>
      <c r="N87" s="229">
        <f t="shared" si="62"/>
        <v>0</v>
      </c>
      <c r="O87" s="229">
        <v>0</v>
      </c>
      <c r="P87" s="229">
        <v>0</v>
      </c>
      <c r="Q87" s="229">
        <v>0</v>
      </c>
      <c r="R87" s="217">
        <f t="shared" si="67"/>
        <v>0</v>
      </c>
      <c r="S87" s="217">
        <v>0</v>
      </c>
      <c r="T87" s="217">
        <v>0</v>
      </c>
      <c r="U87" s="217">
        <v>0</v>
      </c>
    </row>
    <row r="88" spans="1:21" ht="10.5" x14ac:dyDescent="0.15">
      <c r="A88" s="180" t="s">
        <v>913</v>
      </c>
      <c r="B88" s="186">
        <f t="shared" si="55"/>
        <v>0</v>
      </c>
      <c r="C88" s="186">
        <v>0</v>
      </c>
      <c r="D88" s="186">
        <v>0</v>
      </c>
      <c r="E88" s="186">
        <v>0</v>
      </c>
      <c r="F88" s="186">
        <f t="shared" si="56"/>
        <v>0</v>
      </c>
      <c r="G88" s="186">
        <v>0</v>
      </c>
      <c r="H88" s="186">
        <v>0</v>
      </c>
      <c r="I88" s="186">
        <v>0</v>
      </c>
      <c r="J88" s="186">
        <f t="shared" si="57"/>
        <v>0</v>
      </c>
      <c r="K88" s="186">
        <v>0</v>
      </c>
      <c r="L88" s="186">
        <v>0</v>
      </c>
      <c r="M88" s="186">
        <v>0</v>
      </c>
      <c r="N88" s="229">
        <f t="shared" si="62"/>
        <v>0</v>
      </c>
      <c r="O88" s="229">
        <v>0</v>
      </c>
      <c r="P88" s="229">
        <v>0</v>
      </c>
      <c r="Q88" s="229">
        <v>0</v>
      </c>
      <c r="R88" s="217">
        <f t="shared" si="67"/>
        <v>0</v>
      </c>
      <c r="S88" s="217">
        <v>0</v>
      </c>
      <c r="T88" s="217">
        <v>0</v>
      </c>
      <c r="U88" s="217">
        <v>0</v>
      </c>
    </row>
    <row r="89" spans="1:21" ht="10.5" x14ac:dyDescent="0.15">
      <c r="A89" s="180" t="s">
        <v>914</v>
      </c>
      <c r="B89" s="186">
        <f t="shared" si="55"/>
        <v>2185</v>
      </c>
      <c r="C89" s="186">
        <v>287</v>
      </c>
      <c r="D89" s="186">
        <v>1898</v>
      </c>
      <c r="E89" s="186">
        <v>0</v>
      </c>
      <c r="F89" s="186">
        <f t="shared" si="56"/>
        <v>2988</v>
      </c>
      <c r="G89" s="186">
        <v>0</v>
      </c>
      <c r="H89" s="186">
        <v>1766</v>
      </c>
      <c r="I89" s="186">
        <v>1222</v>
      </c>
      <c r="J89" s="186">
        <f t="shared" si="57"/>
        <v>3241</v>
      </c>
      <c r="K89" s="186">
        <v>0</v>
      </c>
      <c r="L89" s="186">
        <v>1881</v>
      </c>
      <c r="M89" s="186">
        <v>1360</v>
      </c>
      <c r="N89" s="229">
        <f t="shared" si="62"/>
        <v>4245</v>
      </c>
      <c r="O89" s="229">
        <v>408</v>
      </c>
      <c r="P89" s="229">
        <v>3837</v>
      </c>
      <c r="Q89" s="229">
        <v>0</v>
      </c>
      <c r="R89" s="217">
        <f t="shared" si="67"/>
        <v>3401</v>
      </c>
      <c r="S89" s="217">
        <v>284</v>
      </c>
      <c r="T89" s="217">
        <v>3117</v>
      </c>
      <c r="U89" s="217">
        <v>0</v>
      </c>
    </row>
    <row r="90" spans="1:21" ht="10.5" x14ac:dyDescent="0.15">
      <c r="A90" s="180" t="s">
        <v>915</v>
      </c>
      <c r="B90" s="186">
        <f t="shared" si="55"/>
        <v>305</v>
      </c>
      <c r="C90" s="186">
        <v>62</v>
      </c>
      <c r="D90" s="186">
        <v>241</v>
      </c>
      <c r="E90" s="186">
        <v>2</v>
      </c>
      <c r="F90" s="186">
        <f t="shared" si="56"/>
        <v>477</v>
      </c>
      <c r="G90" s="186">
        <v>6</v>
      </c>
      <c r="H90" s="186">
        <v>281</v>
      </c>
      <c r="I90" s="186">
        <v>190</v>
      </c>
      <c r="J90" s="186">
        <f t="shared" si="57"/>
        <v>567</v>
      </c>
      <c r="K90" s="186">
        <v>7</v>
      </c>
      <c r="L90" s="186">
        <v>310</v>
      </c>
      <c r="M90" s="186">
        <v>250</v>
      </c>
      <c r="N90" s="229">
        <f t="shared" si="62"/>
        <v>769</v>
      </c>
      <c r="O90" s="229">
        <v>163</v>
      </c>
      <c r="P90" s="229">
        <v>590</v>
      </c>
      <c r="Q90" s="229">
        <v>16</v>
      </c>
      <c r="R90" s="217">
        <f t="shared" si="67"/>
        <v>1246</v>
      </c>
      <c r="S90" s="217">
        <v>157</v>
      </c>
      <c r="T90" s="217">
        <v>1070</v>
      </c>
      <c r="U90" s="217">
        <v>19</v>
      </c>
    </row>
    <row r="91" spans="1:21" ht="10.5" x14ac:dyDescent="0.15">
      <c r="A91" s="180" t="s">
        <v>916</v>
      </c>
      <c r="B91" s="186">
        <f t="shared" si="55"/>
        <v>2829</v>
      </c>
      <c r="C91" s="186">
        <v>790</v>
      </c>
      <c r="D91" s="186">
        <v>1876</v>
      </c>
      <c r="E91" s="186">
        <v>163</v>
      </c>
      <c r="F91" s="186">
        <f t="shared" si="56"/>
        <v>2016</v>
      </c>
      <c r="G91" s="186">
        <v>109</v>
      </c>
      <c r="H91" s="186">
        <v>851</v>
      </c>
      <c r="I91" s="186">
        <v>1056</v>
      </c>
      <c r="J91" s="186">
        <f t="shared" si="57"/>
        <v>1989</v>
      </c>
      <c r="K91" s="186">
        <v>134</v>
      </c>
      <c r="L91" s="186">
        <v>793</v>
      </c>
      <c r="M91" s="186">
        <v>1062</v>
      </c>
      <c r="N91" s="229">
        <f t="shared" si="62"/>
        <v>7928</v>
      </c>
      <c r="O91" s="229">
        <v>994</v>
      </c>
      <c r="P91" s="229">
        <v>6174</v>
      </c>
      <c r="Q91" s="229">
        <v>760</v>
      </c>
      <c r="R91" s="217">
        <f t="shared" si="67"/>
        <v>1316</v>
      </c>
      <c r="S91" s="217">
        <v>75</v>
      </c>
      <c r="T91" s="217">
        <v>1180</v>
      </c>
      <c r="U91" s="217">
        <v>61</v>
      </c>
    </row>
    <row r="92" spans="1:21" ht="10.5" x14ac:dyDescent="0.15">
      <c r="A92" s="180" t="s">
        <v>917</v>
      </c>
      <c r="B92" s="186">
        <f t="shared" si="55"/>
        <v>3994</v>
      </c>
      <c r="C92" s="186">
        <v>2048</v>
      </c>
      <c r="D92" s="186">
        <v>1925</v>
      </c>
      <c r="E92" s="186">
        <v>21</v>
      </c>
      <c r="F92" s="186">
        <f t="shared" si="56"/>
        <v>4344</v>
      </c>
      <c r="G92" s="186">
        <v>71</v>
      </c>
      <c r="H92" s="186">
        <v>2173</v>
      </c>
      <c r="I92" s="186">
        <v>2100</v>
      </c>
      <c r="J92" s="186">
        <f t="shared" si="57"/>
        <v>5580</v>
      </c>
      <c r="K92" s="186">
        <v>895</v>
      </c>
      <c r="L92" s="186">
        <v>2098</v>
      </c>
      <c r="M92" s="186">
        <v>2587</v>
      </c>
      <c r="N92" s="229">
        <f t="shared" si="62"/>
        <v>6629</v>
      </c>
      <c r="O92" s="229">
        <v>1984</v>
      </c>
      <c r="P92" s="229">
        <v>2965</v>
      </c>
      <c r="Q92" s="229">
        <v>1680</v>
      </c>
      <c r="R92" s="217">
        <f t="shared" si="67"/>
        <v>5107</v>
      </c>
      <c r="S92" s="217">
        <v>1831</v>
      </c>
      <c r="T92" s="217">
        <v>2583</v>
      </c>
      <c r="U92" s="217">
        <v>693</v>
      </c>
    </row>
    <row r="93" spans="1:21" s="183" customFormat="1" ht="10.5" x14ac:dyDescent="0.15">
      <c r="A93" s="183" t="s">
        <v>18</v>
      </c>
      <c r="B93" s="184">
        <f>SUM(C93:E93)</f>
        <v>32341</v>
      </c>
      <c r="C93" s="184">
        <f>SUM(C94:C112)</f>
        <v>4221</v>
      </c>
      <c r="D93" s="184">
        <f t="shared" ref="D93:E93" si="68">SUM(D94:D112)</f>
        <v>24128</v>
      </c>
      <c r="E93" s="184">
        <f t="shared" si="68"/>
        <v>3992</v>
      </c>
      <c r="F93" s="184">
        <f>SUM(G93:I93)</f>
        <v>35994</v>
      </c>
      <c r="G93" s="184">
        <f>SUM(G94:G112)</f>
        <v>3450</v>
      </c>
      <c r="H93" s="184">
        <f t="shared" ref="H93:I93" si="69">SUM(H94:H112)</f>
        <v>18632</v>
      </c>
      <c r="I93" s="184">
        <f t="shared" si="69"/>
        <v>13912</v>
      </c>
      <c r="J93" s="184">
        <f>SUM(K93:M93)</f>
        <v>56620</v>
      </c>
      <c r="K93" s="184">
        <f>SUM(K94:K112)</f>
        <v>6612</v>
      </c>
      <c r="L93" s="184">
        <f t="shared" ref="L93:M93" si="70">SUM(L94:L112)</f>
        <v>26568</v>
      </c>
      <c r="M93" s="184">
        <f t="shared" si="70"/>
        <v>23440</v>
      </c>
      <c r="N93" s="232">
        <f>SUM(O93:Q93)</f>
        <v>52931</v>
      </c>
      <c r="O93" s="232">
        <f>SUM(O94:O112)</f>
        <v>7392</v>
      </c>
      <c r="P93" s="232">
        <f t="shared" ref="P93" si="71">SUM(P94:P112)</f>
        <v>40188</v>
      </c>
      <c r="Q93" s="232">
        <f>SUM(Q94:Q112)</f>
        <v>5351</v>
      </c>
      <c r="R93" s="236">
        <f t="shared" ref="R93:U93" si="72">SUM(R94:R112)</f>
        <v>73451</v>
      </c>
      <c r="S93" s="236">
        <f t="shared" si="72"/>
        <v>10718</v>
      </c>
      <c r="T93" s="236">
        <f t="shared" si="72"/>
        <v>55714</v>
      </c>
      <c r="U93" s="236">
        <f t="shared" si="72"/>
        <v>7019</v>
      </c>
    </row>
    <row r="94" spans="1:21" ht="10.5" x14ac:dyDescent="0.15">
      <c r="A94" s="180" t="s">
        <v>960</v>
      </c>
      <c r="B94" s="186">
        <f t="shared" si="55"/>
        <v>0</v>
      </c>
      <c r="C94" s="186">
        <v>0</v>
      </c>
      <c r="D94" s="186">
        <v>0</v>
      </c>
      <c r="E94" s="186">
        <v>0</v>
      </c>
      <c r="F94" s="186">
        <f t="shared" si="56"/>
        <v>0</v>
      </c>
      <c r="G94" s="186">
        <v>0</v>
      </c>
      <c r="H94" s="186">
        <v>0</v>
      </c>
      <c r="I94" s="186">
        <v>0</v>
      </c>
      <c r="J94" s="186">
        <f t="shared" si="57"/>
        <v>0</v>
      </c>
      <c r="K94" s="186">
        <v>0</v>
      </c>
      <c r="L94" s="186">
        <v>0</v>
      </c>
      <c r="M94" s="186">
        <v>0</v>
      </c>
      <c r="N94" s="229">
        <f>SUM(O94:Q94)</f>
        <v>0</v>
      </c>
      <c r="O94" s="229">
        <v>0</v>
      </c>
      <c r="P94" s="229">
        <v>0</v>
      </c>
      <c r="Q94" s="229">
        <v>0</v>
      </c>
      <c r="R94" s="217">
        <f>SUM(S94:U94)</f>
        <v>0</v>
      </c>
      <c r="S94" s="217">
        <v>0</v>
      </c>
      <c r="T94" s="217">
        <v>0</v>
      </c>
      <c r="U94" s="217">
        <v>0</v>
      </c>
    </row>
    <row r="95" spans="1:21" ht="10.5" x14ac:dyDescent="0.15">
      <c r="A95" s="180" t="s">
        <v>961</v>
      </c>
      <c r="B95" s="186">
        <f t="shared" si="55"/>
        <v>0</v>
      </c>
      <c r="C95" s="186">
        <v>0</v>
      </c>
      <c r="D95" s="186">
        <v>0</v>
      </c>
      <c r="E95" s="186">
        <v>0</v>
      </c>
      <c r="F95" s="186">
        <f t="shared" si="56"/>
        <v>0</v>
      </c>
      <c r="G95" s="186">
        <v>0</v>
      </c>
      <c r="H95" s="186">
        <v>0</v>
      </c>
      <c r="I95" s="186">
        <v>0</v>
      </c>
      <c r="J95" s="186">
        <f t="shared" si="57"/>
        <v>0</v>
      </c>
      <c r="K95" s="186">
        <v>0</v>
      </c>
      <c r="L95" s="186">
        <v>0</v>
      </c>
      <c r="M95" s="186">
        <v>0</v>
      </c>
      <c r="N95" s="229">
        <f>SUM(O95:Q95)</f>
        <v>0</v>
      </c>
      <c r="O95" s="229">
        <v>0</v>
      </c>
      <c r="P95" s="229">
        <v>0</v>
      </c>
      <c r="Q95" s="229">
        <v>0</v>
      </c>
      <c r="R95" s="217">
        <f t="shared" ref="R95:R112" si="73">SUM(S95:U95)</f>
        <v>0</v>
      </c>
      <c r="S95" s="217">
        <v>0</v>
      </c>
      <c r="T95" s="217">
        <v>0</v>
      </c>
      <c r="U95" s="217">
        <v>0</v>
      </c>
    </row>
    <row r="96" spans="1:21" ht="10.5" x14ac:dyDescent="0.15">
      <c r="A96" s="180" t="s">
        <v>920</v>
      </c>
      <c r="B96" s="186">
        <f t="shared" si="55"/>
        <v>328</v>
      </c>
      <c r="C96" s="186">
        <v>8</v>
      </c>
      <c r="D96" s="186">
        <v>320</v>
      </c>
      <c r="E96" s="186">
        <v>0</v>
      </c>
      <c r="F96" s="186">
        <f t="shared" si="56"/>
        <v>402</v>
      </c>
      <c r="G96" s="186">
        <v>16</v>
      </c>
      <c r="H96" s="186">
        <v>238</v>
      </c>
      <c r="I96" s="186">
        <v>148</v>
      </c>
      <c r="J96" s="186">
        <f t="shared" si="57"/>
        <v>1029</v>
      </c>
      <c r="K96" s="186">
        <v>7</v>
      </c>
      <c r="L96" s="186">
        <v>531</v>
      </c>
      <c r="M96" s="186">
        <v>491</v>
      </c>
      <c r="N96" s="229">
        <f>SUM(O96:Q96)</f>
        <v>1944</v>
      </c>
      <c r="O96" s="229">
        <v>148</v>
      </c>
      <c r="P96" s="229">
        <v>1784</v>
      </c>
      <c r="Q96" s="229">
        <v>12</v>
      </c>
      <c r="R96" s="217">
        <f t="shared" si="73"/>
        <v>4728</v>
      </c>
      <c r="S96" s="217">
        <v>183</v>
      </c>
      <c r="T96" s="217">
        <v>4545</v>
      </c>
      <c r="U96" s="217" t="s">
        <v>193</v>
      </c>
    </row>
    <row r="97" spans="1:21" ht="10.5" x14ac:dyDescent="0.15">
      <c r="A97" s="180" t="s">
        <v>921</v>
      </c>
      <c r="B97" s="186">
        <f t="shared" si="55"/>
        <v>12595</v>
      </c>
      <c r="C97" s="186">
        <v>774</v>
      </c>
      <c r="D97" s="186">
        <v>11242</v>
      </c>
      <c r="E97" s="186">
        <v>579</v>
      </c>
      <c r="F97" s="186">
        <f t="shared" si="56"/>
        <v>11717</v>
      </c>
      <c r="G97" s="186">
        <v>312</v>
      </c>
      <c r="H97" s="186">
        <v>6621</v>
      </c>
      <c r="I97" s="186">
        <v>4784</v>
      </c>
      <c r="J97" s="186">
        <f t="shared" si="57"/>
        <v>16510</v>
      </c>
      <c r="K97" s="186">
        <v>279</v>
      </c>
      <c r="L97" s="186">
        <v>8143</v>
      </c>
      <c r="M97" s="186">
        <v>8088</v>
      </c>
      <c r="N97" s="229">
        <f t="shared" si="62"/>
        <v>18012</v>
      </c>
      <c r="O97" s="229">
        <v>1638</v>
      </c>
      <c r="P97" s="229">
        <v>15704</v>
      </c>
      <c r="Q97" s="229">
        <v>670</v>
      </c>
      <c r="R97" s="217">
        <f t="shared" si="73"/>
        <v>23999</v>
      </c>
      <c r="S97" s="217">
        <v>2966</v>
      </c>
      <c r="T97" s="217">
        <v>19319</v>
      </c>
      <c r="U97" s="217">
        <v>1714</v>
      </c>
    </row>
    <row r="98" spans="1:21" ht="10.5" x14ac:dyDescent="0.15">
      <c r="A98" s="180" t="s">
        <v>922</v>
      </c>
      <c r="B98" s="186">
        <f t="shared" si="55"/>
        <v>1923</v>
      </c>
      <c r="C98" s="186">
        <v>333</v>
      </c>
      <c r="D98" s="186">
        <v>1576</v>
      </c>
      <c r="E98" s="186">
        <v>14</v>
      </c>
      <c r="F98" s="186">
        <f t="shared" si="56"/>
        <v>1633</v>
      </c>
      <c r="G98" s="186">
        <v>58</v>
      </c>
      <c r="H98" s="186">
        <v>949</v>
      </c>
      <c r="I98" s="186">
        <v>626</v>
      </c>
      <c r="J98" s="186">
        <f t="shared" si="57"/>
        <v>2986</v>
      </c>
      <c r="K98" s="186">
        <v>93</v>
      </c>
      <c r="L98" s="186">
        <v>1604</v>
      </c>
      <c r="M98" s="186">
        <v>1289</v>
      </c>
      <c r="N98" s="229">
        <f t="shared" si="62"/>
        <v>2123</v>
      </c>
      <c r="O98" s="229">
        <v>396</v>
      </c>
      <c r="P98" s="229">
        <v>1710</v>
      </c>
      <c r="Q98" s="229">
        <v>17</v>
      </c>
      <c r="R98" s="217">
        <f t="shared" si="73"/>
        <v>2737</v>
      </c>
      <c r="S98" s="217">
        <v>324</v>
      </c>
      <c r="T98" s="217">
        <v>2257</v>
      </c>
      <c r="U98" s="217">
        <v>156</v>
      </c>
    </row>
    <row r="99" spans="1:21" ht="10.5" x14ac:dyDescent="0.15">
      <c r="A99" s="180" t="s">
        <v>923</v>
      </c>
      <c r="B99" s="186">
        <f t="shared" si="55"/>
        <v>8382</v>
      </c>
      <c r="C99" s="186">
        <v>1716</v>
      </c>
      <c r="D99" s="186">
        <v>6652</v>
      </c>
      <c r="E99" s="186">
        <v>14</v>
      </c>
      <c r="F99" s="186">
        <f t="shared" si="56"/>
        <v>8071</v>
      </c>
      <c r="G99" s="186">
        <v>0</v>
      </c>
      <c r="H99" s="186">
        <v>4845</v>
      </c>
      <c r="I99" s="186">
        <v>3226</v>
      </c>
      <c r="J99" s="186">
        <f t="shared" si="57"/>
        <v>13967</v>
      </c>
      <c r="K99" s="186">
        <v>1</v>
      </c>
      <c r="L99" s="186">
        <v>8009</v>
      </c>
      <c r="M99" s="186">
        <v>5957</v>
      </c>
      <c r="N99" s="229">
        <f t="shared" si="62"/>
        <v>16230</v>
      </c>
      <c r="O99" s="229">
        <v>3504</v>
      </c>
      <c r="P99" s="229">
        <v>12547</v>
      </c>
      <c r="Q99" s="229">
        <v>179</v>
      </c>
      <c r="R99" s="217">
        <f t="shared" si="73"/>
        <v>26227</v>
      </c>
      <c r="S99" s="217">
        <v>5307</v>
      </c>
      <c r="T99" s="217">
        <v>19901</v>
      </c>
      <c r="U99" s="217">
        <v>1019</v>
      </c>
    </row>
    <row r="100" spans="1:21" ht="10.5" x14ac:dyDescent="0.15">
      <c r="A100" s="180" t="s">
        <v>924</v>
      </c>
      <c r="B100" s="186">
        <f t="shared" si="55"/>
        <v>0</v>
      </c>
      <c r="C100" s="186">
        <v>0</v>
      </c>
      <c r="D100" s="186">
        <v>0</v>
      </c>
      <c r="E100" s="186">
        <v>0</v>
      </c>
      <c r="F100" s="186">
        <f t="shared" si="56"/>
        <v>0</v>
      </c>
      <c r="G100" s="186">
        <v>0</v>
      </c>
      <c r="H100" s="186">
        <v>0</v>
      </c>
      <c r="I100" s="186">
        <v>0</v>
      </c>
      <c r="J100" s="186">
        <f t="shared" si="57"/>
        <v>0</v>
      </c>
      <c r="K100" s="186">
        <v>0</v>
      </c>
      <c r="L100" s="186">
        <v>0</v>
      </c>
      <c r="M100" s="186">
        <v>0</v>
      </c>
      <c r="N100" s="229">
        <f t="shared" si="62"/>
        <v>0</v>
      </c>
      <c r="O100" s="229">
        <v>0</v>
      </c>
      <c r="P100" s="229">
        <v>0</v>
      </c>
      <c r="Q100" s="229">
        <v>0</v>
      </c>
      <c r="R100" s="217">
        <f t="shared" si="73"/>
        <v>0</v>
      </c>
      <c r="S100" s="217">
        <v>0</v>
      </c>
      <c r="T100" s="217">
        <v>0</v>
      </c>
      <c r="U100" s="217">
        <v>0</v>
      </c>
    </row>
    <row r="101" spans="1:21" ht="10.5" x14ac:dyDescent="0.15">
      <c r="A101" s="180" t="s">
        <v>925</v>
      </c>
      <c r="B101" s="186">
        <f t="shared" si="55"/>
        <v>0</v>
      </c>
      <c r="C101" s="186">
        <v>0</v>
      </c>
      <c r="D101" s="186">
        <v>0</v>
      </c>
      <c r="E101" s="186">
        <v>0</v>
      </c>
      <c r="F101" s="186">
        <f t="shared" si="56"/>
        <v>0</v>
      </c>
      <c r="G101" s="186">
        <v>0</v>
      </c>
      <c r="H101" s="186">
        <v>0</v>
      </c>
      <c r="I101" s="186">
        <v>0</v>
      </c>
      <c r="J101" s="186">
        <f t="shared" si="57"/>
        <v>0</v>
      </c>
      <c r="K101" s="186">
        <v>0</v>
      </c>
      <c r="L101" s="186">
        <v>0</v>
      </c>
      <c r="M101" s="186">
        <v>0</v>
      </c>
      <c r="N101" s="229">
        <f t="shared" si="62"/>
        <v>0</v>
      </c>
      <c r="O101" s="229">
        <v>0</v>
      </c>
      <c r="P101" s="229">
        <v>0</v>
      </c>
      <c r="Q101" s="229">
        <v>0</v>
      </c>
      <c r="R101" s="217">
        <f t="shared" si="73"/>
        <v>0</v>
      </c>
      <c r="S101" s="217">
        <v>0</v>
      </c>
      <c r="T101" s="217">
        <v>0</v>
      </c>
      <c r="U101" s="217">
        <v>0</v>
      </c>
    </row>
    <row r="102" spans="1:21" ht="10.5" x14ac:dyDescent="0.15">
      <c r="A102" s="180" t="s">
        <v>926</v>
      </c>
      <c r="B102" s="186">
        <f t="shared" si="55"/>
        <v>1964</v>
      </c>
      <c r="C102" s="186">
        <v>295</v>
      </c>
      <c r="D102" s="186">
        <v>1005</v>
      </c>
      <c r="E102" s="186">
        <v>664</v>
      </c>
      <c r="F102" s="186">
        <f t="shared" si="56"/>
        <v>1979</v>
      </c>
      <c r="G102" s="186">
        <v>191</v>
      </c>
      <c r="H102" s="186">
        <v>1000</v>
      </c>
      <c r="I102" s="186">
        <v>788</v>
      </c>
      <c r="J102" s="186">
        <f t="shared" si="57"/>
        <v>1345</v>
      </c>
      <c r="K102" s="186">
        <v>94</v>
      </c>
      <c r="L102" s="186">
        <v>688</v>
      </c>
      <c r="M102" s="186">
        <v>563</v>
      </c>
      <c r="N102" s="229">
        <f t="shared" si="62"/>
        <v>2314</v>
      </c>
      <c r="O102" s="229">
        <v>361</v>
      </c>
      <c r="P102" s="229">
        <v>1629</v>
      </c>
      <c r="Q102" s="229">
        <v>324</v>
      </c>
      <c r="R102" s="217">
        <f t="shared" si="73"/>
        <v>3053</v>
      </c>
      <c r="S102" s="217">
        <v>330</v>
      </c>
      <c r="T102" s="217">
        <v>2466</v>
      </c>
      <c r="U102" s="217">
        <v>257</v>
      </c>
    </row>
    <row r="103" spans="1:21" ht="10.5" x14ac:dyDescent="0.15">
      <c r="A103" s="180" t="s">
        <v>927</v>
      </c>
      <c r="B103" s="186">
        <f t="shared" si="55"/>
        <v>515</v>
      </c>
      <c r="C103" s="186">
        <v>59</v>
      </c>
      <c r="D103" s="186">
        <v>434</v>
      </c>
      <c r="E103" s="186">
        <v>22</v>
      </c>
      <c r="F103" s="186">
        <f t="shared" si="56"/>
        <v>691</v>
      </c>
      <c r="G103" s="186">
        <v>11</v>
      </c>
      <c r="H103" s="186">
        <v>394</v>
      </c>
      <c r="I103" s="186">
        <v>286</v>
      </c>
      <c r="J103" s="186">
        <f t="shared" si="57"/>
        <v>1578</v>
      </c>
      <c r="K103" s="186">
        <v>78</v>
      </c>
      <c r="L103" s="186">
        <v>799</v>
      </c>
      <c r="M103" s="186">
        <v>701</v>
      </c>
      <c r="N103" s="229">
        <f t="shared" si="62"/>
        <v>2430</v>
      </c>
      <c r="O103" s="229">
        <v>420</v>
      </c>
      <c r="P103" s="229">
        <v>1935</v>
      </c>
      <c r="Q103" s="229">
        <v>75</v>
      </c>
      <c r="R103" s="217">
        <f t="shared" si="73"/>
        <v>2098</v>
      </c>
      <c r="S103" s="217">
        <v>292</v>
      </c>
      <c r="T103" s="217">
        <v>1580</v>
      </c>
      <c r="U103" s="217">
        <v>226</v>
      </c>
    </row>
    <row r="104" spans="1:21" ht="10.5" x14ac:dyDescent="0.15">
      <c r="A104" s="180" t="s">
        <v>977</v>
      </c>
      <c r="B104" s="186">
        <f t="shared" si="55"/>
        <v>0</v>
      </c>
      <c r="C104" s="186">
        <v>0</v>
      </c>
      <c r="D104" s="186">
        <v>0</v>
      </c>
      <c r="E104" s="186">
        <v>0</v>
      </c>
      <c r="F104" s="186">
        <f t="shared" si="56"/>
        <v>0</v>
      </c>
      <c r="G104" s="186">
        <v>0</v>
      </c>
      <c r="H104" s="186">
        <v>0</v>
      </c>
      <c r="I104" s="186">
        <v>0</v>
      </c>
      <c r="J104" s="186">
        <f t="shared" si="57"/>
        <v>0</v>
      </c>
      <c r="K104" s="186">
        <v>0</v>
      </c>
      <c r="L104" s="186">
        <v>0</v>
      </c>
      <c r="M104" s="186">
        <v>0</v>
      </c>
      <c r="N104" s="229">
        <f t="shared" si="62"/>
        <v>0</v>
      </c>
      <c r="O104" s="229">
        <v>0</v>
      </c>
      <c r="P104" s="229">
        <v>0</v>
      </c>
      <c r="Q104" s="229">
        <v>0</v>
      </c>
      <c r="R104" s="217">
        <f t="shared" si="73"/>
        <v>0</v>
      </c>
      <c r="S104" s="217">
        <v>0</v>
      </c>
      <c r="T104" s="217">
        <v>0</v>
      </c>
      <c r="U104" s="217">
        <v>0</v>
      </c>
    </row>
    <row r="105" spans="1:21" ht="10.5" x14ac:dyDescent="0.15">
      <c r="A105" s="180" t="s">
        <v>929</v>
      </c>
      <c r="B105" s="186">
        <f t="shared" si="55"/>
        <v>0</v>
      </c>
      <c r="C105" s="186">
        <v>0</v>
      </c>
      <c r="D105" s="186">
        <v>0</v>
      </c>
      <c r="E105" s="186">
        <v>0</v>
      </c>
      <c r="F105" s="186">
        <f t="shared" si="56"/>
        <v>0</v>
      </c>
      <c r="G105" s="186">
        <v>0</v>
      </c>
      <c r="H105" s="186">
        <v>0</v>
      </c>
      <c r="I105" s="186">
        <v>0</v>
      </c>
      <c r="J105" s="186">
        <f t="shared" si="57"/>
        <v>0</v>
      </c>
      <c r="K105" s="186">
        <v>0</v>
      </c>
      <c r="L105" s="186">
        <v>0</v>
      </c>
      <c r="M105" s="186">
        <v>0</v>
      </c>
      <c r="N105" s="229">
        <f t="shared" si="62"/>
        <v>0</v>
      </c>
      <c r="O105" s="229">
        <v>0</v>
      </c>
      <c r="P105" s="229">
        <v>0</v>
      </c>
      <c r="Q105" s="229">
        <v>0</v>
      </c>
      <c r="R105" s="217">
        <f t="shared" si="73"/>
        <v>0</v>
      </c>
      <c r="S105" s="217">
        <v>0</v>
      </c>
      <c r="T105" s="217">
        <v>0</v>
      </c>
      <c r="U105" s="217">
        <v>0</v>
      </c>
    </row>
    <row r="106" spans="1:21" ht="10.5" x14ac:dyDescent="0.15">
      <c r="A106" s="180" t="s">
        <v>930</v>
      </c>
      <c r="B106" s="186">
        <f t="shared" si="55"/>
        <v>0</v>
      </c>
      <c r="C106" s="186">
        <v>0</v>
      </c>
      <c r="D106" s="186">
        <v>0</v>
      </c>
      <c r="E106" s="186">
        <v>0</v>
      </c>
      <c r="F106" s="186">
        <f t="shared" si="56"/>
        <v>0</v>
      </c>
      <c r="G106" s="186">
        <v>0</v>
      </c>
      <c r="H106" s="186">
        <v>0</v>
      </c>
      <c r="I106" s="186">
        <v>0</v>
      </c>
      <c r="J106" s="186">
        <f t="shared" si="57"/>
        <v>0</v>
      </c>
      <c r="K106" s="186">
        <v>0</v>
      </c>
      <c r="L106" s="186">
        <v>0</v>
      </c>
      <c r="M106" s="186">
        <v>0</v>
      </c>
      <c r="N106" s="229">
        <f t="shared" si="62"/>
        <v>0</v>
      </c>
      <c r="O106" s="229">
        <v>0</v>
      </c>
      <c r="P106" s="229">
        <v>0</v>
      </c>
      <c r="Q106" s="229">
        <v>0</v>
      </c>
      <c r="R106" s="217">
        <f t="shared" si="73"/>
        <v>0</v>
      </c>
      <c r="S106" s="217">
        <v>0</v>
      </c>
      <c r="T106" s="217">
        <v>0</v>
      </c>
      <c r="U106" s="217">
        <v>0</v>
      </c>
    </row>
    <row r="107" spans="1:21" ht="10.5" x14ac:dyDescent="0.15">
      <c r="A107" s="180" t="s">
        <v>931</v>
      </c>
      <c r="B107" s="186">
        <f t="shared" si="55"/>
        <v>0</v>
      </c>
      <c r="C107" s="186">
        <v>0</v>
      </c>
      <c r="D107" s="186">
        <v>0</v>
      </c>
      <c r="E107" s="186">
        <v>0</v>
      </c>
      <c r="F107" s="186">
        <f t="shared" si="56"/>
        <v>0</v>
      </c>
      <c r="G107" s="186">
        <v>0</v>
      </c>
      <c r="H107" s="186">
        <v>0</v>
      </c>
      <c r="I107" s="186">
        <v>0</v>
      </c>
      <c r="J107" s="186">
        <f t="shared" si="57"/>
        <v>0</v>
      </c>
      <c r="K107" s="186">
        <v>0</v>
      </c>
      <c r="L107" s="186">
        <v>0</v>
      </c>
      <c r="M107" s="186">
        <v>0</v>
      </c>
      <c r="N107" s="229">
        <f t="shared" si="62"/>
        <v>0</v>
      </c>
      <c r="O107" s="229">
        <v>0</v>
      </c>
      <c r="P107" s="229">
        <v>0</v>
      </c>
      <c r="Q107" s="229">
        <v>0</v>
      </c>
      <c r="R107" s="217">
        <f t="shared" si="73"/>
        <v>0</v>
      </c>
      <c r="S107" s="217">
        <v>0</v>
      </c>
      <c r="T107" s="217">
        <v>0</v>
      </c>
      <c r="U107" s="217">
        <v>0</v>
      </c>
    </row>
    <row r="108" spans="1:21" ht="10.5" x14ac:dyDescent="0.15">
      <c r="A108" s="180" t="s">
        <v>932</v>
      </c>
      <c r="B108" s="186">
        <f t="shared" si="55"/>
        <v>4281</v>
      </c>
      <c r="C108" s="186">
        <v>277</v>
      </c>
      <c r="D108" s="186">
        <v>1332</v>
      </c>
      <c r="E108" s="186">
        <v>2672</v>
      </c>
      <c r="F108" s="186">
        <f t="shared" si="56"/>
        <v>9536</v>
      </c>
      <c r="G108" s="186">
        <v>2830</v>
      </c>
      <c r="H108" s="186">
        <v>3487</v>
      </c>
      <c r="I108" s="186">
        <v>3219</v>
      </c>
      <c r="J108" s="186">
        <f t="shared" si="57"/>
        <v>17440</v>
      </c>
      <c r="K108" s="186">
        <v>5977</v>
      </c>
      <c r="L108" s="186">
        <v>5901</v>
      </c>
      <c r="M108" s="186">
        <v>5562</v>
      </c>
      <c r="N108" s="229">
        <f t="shared" si="62"/>
        <v>8213</v>
      </c>
      <c r="O108" s="229">
        <v>621</v>
      </c>
      <c r="P108" s="229">
        <v>3688</v>
      </c>
      <c r="Q108" s="229">
        <v>3904</v>
      </c>
      <c r="R108" s="217">
        <f t="shared" si="73"/>
        <v>7716</v>
      </c>
      <c r="S108" s="217">
        <v>804</v>
      </c>
      <c r="T108" s="217">
        <v>3335</v>
      </c>
      <c r="U108" s="217">
        <v>3577</v>
      </c>
    </row>
    <row r="109" spans="1:21" ht="11.25" x14ac:dyDescent="0.15">
      <c r="A109" s="180" t="s">
        <v>933</v>
      </c>
      <c r="B109" s="186">
        <f t="shared" si="55"/>
        <v>1043</v>
      </c>
      <c r="C109" s="186">
        <v>337</v>
      </c>
      <c r="D109" s="186">
        <v>706</v>
      </c>
      <c r="E109" s="186">
        <v>0</v>
      </c>
      <c r="F109" s="186">
        <f t="shared" si="56"/>
        <v>726</v>
      </c>
      <c r="G109" s="186">
        <v>15</v>
      </c>
      <c r="H109" s="186">
        <v>415</v>
      </c>
      <c r="I109" s="186">
        <v>296</v>
      </c>
      <c r="J109" s="186">
        <f t="shared" si="57"/>
        <v>0</v>
      </c>
      <c r="K109" s="186">
        <v>0</v>
      </c>
      <c r="L109" s="186">
        <v>0</v>
      </c>
      <c r="M109" s="186">
        <v>0</v>
      </c>
      <c r="N109" s="229">
        <f t="shared" si="62"/>
        <v>0</v>
      </c>
      <c r="O109" s="229">
        <v>0</v>
      </c>
      <c r="P109" s="229">
        <v>0</v>
      </c>
      <c r="Q109" s="229">
        <v>0</v>
      </c>
      <c r="R109" s="217">
        <f t="shared" si="73"/>
        <v>0</v>
      </c>
      <c r="S109" s="217">
        <v>0</v>
      </c>
      <c r="T109" s="217">
        <v>0</v>
      </c>
      <c r="U109" s="217">
        <v>0</v>
      </c>
    </row>
    <row r="110" spans="1:21" ht="10.5" x14ac:dyDescent="0.15">
      <c r="A110" s="180" t="s">
        <v>934</v>
      </c>
      <c r="B110" s="186">
        <f t="shared" si="55"/>
        <v>1147</v>
      </c>
      <c r="C110" s="186">
        <v>405</v>
      </c>
      <c r="D110" s="186">
        <v>715</v>
      </c>
      <c r="E110" s="186">
        <v>27</v>
      </c>
      <c r="F110" s="186">
        <f t="shared" si="56"/>
        <v>1096</v>
      </c>
      <c r="G110" s="186">
        <v>17</v>
      </c>
      <c r="H110" s="186">
        <v>597</v>
      </c>
      <c r="I110" s="186">
        <v>482</v>
      </c>
      <c r="J110" s="186">
        <f t="shared" si="57"/>
        <v>1470</v>
      </c>
      <c r="K110" s="186">
        <v>67</v>
      </c>
      <c r="L110" s="186">
        <v>705</v>
      </c>
      <c r="M110" s="186">
        <v>698</v>
      </c>
      <c r="N110" s="229">
        <f t="shared" si="62"/>
        <v>1552</v>
      </c>
      <c r="O110" s="229">
        <v>304</v>
      </c>
      <c r="P110" s="229">
        <v>1079</v>
      </c>
      <c r="Q110" s="229">
        <v>169</v>
      </c>
      <c r="R110" s="217">
        <f t="shared" si="73"/>
        <v>2519</v>
      </c>
      <c r="S110" s="217">
        <v>470</v>
      </c>
      <c r="T110" s="217">
        <v>1979</v>
      </c>
      <c r="U110" s="217">
        <v>70</v>
      </c>
    </row>
    <row r="111" spans="1:21" ht="10.5" x14ac:dyDescent="0.15">
      <c r="A111" s="180" t="s">
        <v>935</v>
      </c>
      <c r="B111" s="186">
        <f t="shared" si="55"/>
        <v>0</v>
      </c>
      <c r="C111" s="186">
        <v>0</v>
      </c>
      <c r="D111" s="186">
        <v>0</v>
      </c>
      <c r="E111" s="186">
        <v>0</v>
      </c>
      <c r="F111" s="186">
        <f t="shared" si="56"/>
        <v>0</v>
      </c>
      <c r="G111" s="186">
        <v>0</v>
      </c>
      <c r="H111" s="186">
        <v>0</v>
      </c>
      <c r="I111" s="186">
        <v>0</v>
      </c>
      <c r="J111" s="186">
        <f t="shared" si="57"/>
        <v>0</v>
      </c>
      <c r="K111" s="186">
        <v>0</v>
      </c>
      <c r="L111" s="186">
        <v>0</v>
      </c>
      <c r="M111" s="186">
        <v>0</v>
      </c>
      <c r="N111" s="229">
        <f t="shared" si="62"/>
        <v>0</v>
      </c>
      <c r="O111" s="229">
        <v>0</v>
      </c>
      <c r="P111" s="229">
        <v>0</v>
      </c>
      <c r="Q111" s="229">
        <v>0</v>
      </c>
      <c r="R111" s="217">
        <f t="shared" si="73"/>
        <v>0</v>
      </c>
      <c r="S111" s="217">
        <v>0</v>
      </c>
      <c r="T111" s="217">
        <v>0</v>
      </c>
      <c r="U111" s="217">
        <v>0</v>
      </c>
    </row>
    <row r="112" spans="1:21" ht="11.25" x14ac:dyDescent="0.15">
      <c r="A112" s="180" t="s">
        <v>936</v>
      </c>
      <c r="B112" s="186">
        <f t="shared" si="55"/>
        <v>163</v>
      </c>
      <c r="C112" s="186">
        <v>17</v>
      </c>
      <c r="D112" s="186">
        <v>146</v>
      </c>
      <c r="E112" s="186">
        <v>0</v>
      </c>
      <c r="F112" s="186">
        <f t="shared" si="56"/>
        <v>143</v>
      </c>
      <c r="G112" s="186">
        <v>0</v>
      </c>
      <c r="H112" s="186">
        <v>86</v>
      </c>
      <c r="I112" s="186">
        <v>57</v>
      </c>
      <c r="J112" s="186">
        <f t="shared" si="57"/>
        <v>295</v>
      </c>
      <c r="K112" s="186">
        <v>16</v>
      </c>
      <c r="L112" s="186">
        <v>188</v>
      </c>
      <c r="M112" s="186">
        <v>91</v>
      </c>
      <c r="N112" s="229">
        <f t="shared" si="62"/>
        <v>113</v>
      </c>
      <c r="O112" s="229">
        <v>0</v>
      </c>
      <c r="P112" s="229">
        <v>112</v>
      </c>
      <c r="Q112" s="229">
        <v>1</v>
      </c>
      <c r="R112" s="217">
        <f t="shared" si="73"/>
        <v>374</v>
      </c>
      <c r="S112" s="217">
        <v>42</v>
      </c>
      <c r="T112" s="217">
        <v>332</v>
      </c>
      <c r="U112" s="217" t="s">
        <v>193</v>
      </c>
    </row>
    <row r="113" spans="1:21" s="183" customFormat="1" ht="10.5" x14ac:dyDescent="0.15">
      <c r="A113" s="183" t="s">
        <v>19</v>
      </c>
      <c r="B113" s="184">
        <f>SUM(C113:E113)</f>
        <v>289370</v>
      </c>
      <c r="C113" s="184">
        <f>SUM(C114:C124)</f>
        <v>23602</v>
      </c>
      <c r="D113" s="184">
        <f t="shared" ref="D113:E113" si="74">SUM(D114:D124)</f>
        <v>234631</v>
      </c>
      <c r="E113" s="184">
        <f t="shared" si="74"/>
        <v>31137</v>
      </c>
      <c r="F113" s="184">
        <f>SUM(G113:I113)</f>
        <v>337973</v>
      </c>
      <c r="G113" s="184">
        <f>SUM(G114:G124)</f>
        <v>35698</v>
      </c>
      <c r="H113" s="184">
        <f t="shared" ref="H113:I113" si="75">SUM(H114:H124)</f>
        <v>152986</v>
      </c>
      <c r="I113" s="184">
        <f t="shared" si="75"/>
        <v>149289</v>
      </c>
      <c r="J113" s="184">
        <f>SUM(K113:M113)</f>
        <v>382023</v>
      </c>
      <c r="K113" s="184">
        <f>SUM(K114:K124)</f>
        <v>43465</v>
      </c>
      <c r="L113" s="184">
        <f t="shared" ref="L113:M113" si="76">SUM(L114:L124)</f>
        <v>170367</v>
      </c>
      <c r="M113" s="184">
        <f t="shared" si="76"/>
        <v>168191</v>
      </c>
      <c r="N113" s="232">
        <f>SUM(O113:Q113)</f>
        <v>382943</v>
      </c>
      <c r="O113" s="232">
        <f>SUM(O114:O124)</f>
        <v>27416</v>
      </c>
      <c r="P113" s="232">
        <f>SUM(P114:P124)</f>
        <v>299379</v>
      </c>
      <c r="Q113" s="232">
        <f>SUM(Q114:Q124)</f>
        <v>56148</v>
      </c>
      <c r="R113" s="236">
        <f t="shared" ref="R113:U113" si="77">SUM(R114:R124)</f>
        <v>409541</v>
      </c>
      <c r="S113" s="236">
        <f t="shared" si="77"/>
        <v>28983</v>
      </c>
      <c r="T113" s="236">
        <f t="shared" si="77"/>
        <v>324382</v>
      </c>
      <c r="U113" s="236">
        <f t="shared" si="77"/>
        <v>56176</v>
      </c>
    </row>
    <row r="114" spans="1:21" ht="10.5" x14ac:dyDescent="0.15">
      <c r="A114" s="180" t="s">
        <v>962</v>
      </c>
      <c r="B114" s="186">
        <f t="shared" si="55"/>
        <v>15666</v>
      </c>
      <c r="C114" s="186">
        <v>176</v>
      </c>
      <c r="D114" s="186">
        <v>10603</v>
      </c>
      <c r="E114" s="186">
        <v>4887</v>
      </c>
      <c r="F114" s="186">
        <f t="shared" si="56"/>
        <v>28715</v>
      </c>
      <c r="G114" s="186">
        <v>6451</v>
      </c>
      <c r="H114" s="186">
        <v>11560</v>
      </c>
      <c r="I114" s="186">
        <v>10704</v>
      </c>
      <c r="J114" s="186">
        <f t="shared" si="57"/>
        <v>29510</v>
      </c>
      <c r="K114" s="186">
        <v>6778</v>
      </c>
      <c r="L114" s="186">
        <v>11948</v>
      </c>
      <c r="M114" s="186">
        <v>10784</v>
      </c>
      <c r="N114" s="229">
        <f t="shared" si="62"/>
        <v>28316</v>
      </c>
      <c r="O114" s="229">
        <v>533</v>
      </c>
      <c r="P114" s="229">
        <v>18756</v>
      </c>
      <c r="Q114" s="229">
        <v>9027</v>
      </c>
      <c r="R114" s="217">
        <f>SUM(S114:U114)</f>
        <v>29577</v>
      </c>
      <c r="S114" s="217">
        <v>546</v>
      </c>
      <c r="T114" s="217">
        <v>20805</v>
      </c>
      <c r="U114" s="217">
        <v>8226</v>
      </c>
    </row>
    <row r="115" spans="1:21" ht="10.5" x14ac:dyDescent="0.15">
      <c r="A115" s="180" t="s">
        <v>938</v>
      </c>
      <c r="B115" s="186">
        <f t="shared" si="55"/>
        <v>0</v>
      </c>
      <c r="C115" s="186">
        <v>0</v>
      </c>
      <c r="D115" s="186">
        <v>0</v>
      </c>
      <c r="E115" s="186">
        <v>0</v>
      </c>
      <c r="F115" s="186">
        <f t="shared" si="56"/>
        <v>0</v>
      </c>
      <c r="G115" s="186">
        <v>0</v>
      </c>
      <c r="H115" s="186">
        <v>0</v>
      </c>
      <c r="I115" s="186">
        <v>0</v>
      </c>
      <c r="J115" s="186">
        <f t="shared" si="57"/>
        <v>0</v>
      </c>
      <c r="K115" s="186">
        <v>0</v>
      </c>
      <c r="L115" s="186">
        <v>0</v>
      </c>
      <c r="M115" s="186">
        <v>0</v>
      </c>
      <c r="N115" s="229">
        <f>SUM(O115:Q115)</f>
        <v>0</v>
      </c>
      <c r="O115" s="229">
        <v>0</v>
      </c>
      <c r="P115" s="229">
        <v>0</v>
      </c>
      <c r="Q115" s="229">
        <v>0</v>
      </c>
      <c r="R115" s="217">
        <f t="shared" ref="R115:R124" si="78">SUM(S115:U115)</f>
        <v>0</v>
      </c>
      <c r="S115" s="217">
        <v>0</v>
      </c>
      <c r="T115" s="217">
        <v>0</v>
      </c>
      <c r="U115" s="217">
        <v>0</v>
      </c>
    </row>
    <row r="116" spans="1:21" ht="10.5" x14ac:dyDescent="0.15">
      <c r="A116" s="180" t="s">
        <v>939</v>
      </c>
      <c r="B116" s="186">
        <f t="shared" si="55"/>
        <v>5728</v>
      </c>
      <c r="C116" s="186">
        <v>113</v>
      </c>
      <c r="D116" s="186">
        <v>3205</v>
      </c>
      <c r="E116" s="186">
        <v>2410</v>
      </c>
      <c r="F116" s="186">
        <f t="shared" si="56"/>
        <v>9344</v>
      </c>
      <c r="G116" s="186">
        <v>2739</v>
      </c>
      <c r="H116" s="186">
        <v>3365</v>
      </c>
      <c r="I116" s="186">
        <v>3240</v>
      </c>
      <c r="J116" s="186">
        <f t="shared" si="57"/>
        <v>14102</v>
      </c>
      <c r="K116" s="186">
        <v>3943</v>
      </c>
      <c r="L116" s="186">
        <v>5121</v>
      </c>
      <c r="M116" s="186">
        <v>5038</v>
      </c>
      <c r="N116" s="229">
        <f>SUM(O116:Q116)</f>
        <v>7543</v>
      </c>
      <c r="O116" s="229">
        <v>313</v>
      </c>
      <c r="P116" s="229">
        <v>4505</v>
      </c>
      <c r="Q116" s="229">
        <v>2725</v>
      </c>
      <c r="R116" s="217">
        <f t="shared" si="78"/>
        <v>8333</v>
      </c>
      <c r="S116" s="217">
        <v>593</v>
      </c>
      <c r="T116" s="217">
        <v>5102</v>
      </c>
      <c r="U116" s="217">
        <v>2638</v>
      </c>
    </row>
    <row r="117" spans="1:21" ht="10.5" x14ac:dyDescent="0.15">
      <c r="A117" s="180" t="s">
        <v>940</v>
      </c>
      <c r="B117" s="186">
        <f t="shared" si="55"/>
        <v>1604</v>
      </c>
      <c r="C117" s="186">
        <v>246</v>
      </c>
      <c r="D117" s="186">
        <v>1298</v>
      </c>
      <c r="E117" s="186">
        <v>60</v>
      </c>
      <c r="F117" s="186">
        <f t="shared" si="56"/>
        <v>1534</v>
      </c>
      <c r="G117" s="186">
        <v>39</v>
      </c>
      <c r="H117" s="186">
        <v>795</v>
      </c>
      <c r="I117" s="186">
        <v>700</v>
      </c>
      <c r="J117" s="186">
        <f t="shared" si="57"/>
        <v>1861</v>
      </c>
      <c r="K117" s="186">
        <v>34</v>
      </c>
      <c r="L117" s="186">
        <v>957</v>
      </c>
      <c r="M117" s="186">
        <v>870</v>
      </c>
      <c r="N117" s="229">
        <f>SUM(O117:Q117)</f>
        <v>1936</v>
      </c>
      <c r="O117" s="229">
        <v>240</v>
      </c>
      <c r="P117" s="229">
        <v>1650</v>
      </c>
      <c r="Q117" s="229">
        <v>46</v>
      </c>
      <c r="R117" s="217">
        <f t="shared" si="78"/>
        <v>2269</v>
      </c>
      <c r="S117" s="217">
        <v>305</v>
      </c>
      <c r="T117" s="217">
        <v>1845</v>
      </c>
      <c r="U117" s="217">
        <v>119</v>
      </c>
    </row>
    <row r="118" spans="1:21" ht="10.5" x14ac:dyDescent="0.15">
      <c r="A118" s="180" t="s">
        <v>941</v>
      </c>
      <c r="B118" s="186">
        <f t="shared" si="55"/>
        <v>145148</v>
      </c>
      <c r="C118" s="186">
        <v>7430</v>
      </c>
      <c r="D118" s="186">
        <v>133873</v>
      </c>
      <c r="E118" s="186">
        <v>3845</v>
      </c>
      <c r="F118" s="186">
        <f t="shared" si="56"/>
        <v>148410</v>
      </c>
      <c r="G118" s="186">
        <v>5157</v>
      </c>
      <c r="H118" s="186">
        <v>74150</v>
      </c>
      <c r="I118" s="186">
        <v>69103</v>
      </c>
      <c r="J118" s="186">
        <f t="shared" si="57"/>
        <v>178920</v>
      </c>
      <c r="K118" s="186">
        <v>8888</v>
      </c>
      <c r="L118" s="186">
        <v>86285</v>
      </c>
      <c r="M118" s="186">
        <v>83747</v>
      </c>
      <c r="N118" s="229">
        <f>SUM(O118:Q118)</f>
        <v>197503</v>
      </c>
      <c r="O118" s="229">
        <v>10100</v>
      </c>
      <c r="P118" s="229">
        <v>166583</v>
      </c>
      <c r="Q118" s="229">
        <v>20820</v>
      </c>
      <c r="R118" s="217">
        <f t="shared" si="78"/>
        <v>211886</v>
      </c>
      <c r="S118" s="217">
        <v>10090</v>
      </c>
      <c r="T118" s="217">
        <v>181141</v>
      </c>
      <c r="U118" s="217">
        <v>20655</v>
      </c>
    </row>
    <row r="119" spans="1:21" ht="10.5" x14ac:dyDescent="0.15">
      <c r="A119" s="180" t="s">
        <v>942</v>
      </c>
      <c r="B119" s="186">
        <f t="shared" si="55"/>
        <v>636</v>
      </c>
      <c r="C119" s="186">
        <v>39</v>
      </c>
      <c r="D119" s="186">
        <v>452</v>
      </c>
      <c r="E119" s="186">
        <v>145</v>
      </c>
      <c r="F119" s="186">
        <f t="shared" si="56"/>
        <v>931</v>
      </c>
      <c r="G119" s="186">
        <v>151</v>
      </c>
      <c r="H119" s="186">
        <v>370</v>
      </c>
      <c r="I119" s="186">
        <v>410</v>
      </c>
      <c r="J119" s="186">
        <f t="shared" si="57"/>
        <v>1268</v>
      </c>
      <c r="K119" s="186">
        <v>309</v>
      </c>
      <c r="L119" s="186">
        <v>440</v>
      </c>
      <c r="M119" s="186">
        <v>519</v>
      </c>
      <c r="N119" s="229">
        <f t="shared" si="62"/>
        <v>1013</v>
      </c>
      <c r="O119" s="229">
        <v>36</v>
      </c>
      <c r="P119" s="229">
        <v>576</v>
      </c>
      <c r="Q119" s="229">
        <v>401</v>
      </c>
      <c r="R119" s="217">
        <f t="shared" si="78"/>
        <v>1270</v>
      </c>
      <c r="S119" s="217">
        <v>49</v>
      </c>
      <c r="T119" s="217">
        <v>890</v>
      </c>
      <c r="U119" s="217">
        <v>331</v>
      </c>
    </row>
    <row r="120" spans="1:21" ht="10.5" x14ac:dyDescent="0.15">
      <c r="A120" s="180" t="s">
        <v>943</v>
      </c>
      <c r="B120" s="186">
        <f t="shared" si="55"/>
        <v>7841</v>
      </c>
      <c r="C120" s="186">
        <v>2004</v>
      </c>
      <c r="D120" s="186">
        <v>5751</v>
      </c>
      <c r="E120" s="186">
        <v>86</v>
      </c>
      <c r="F120" s="186">
        <f t="shared" si="56"/>
        <v>7686</v>
      </c>
      <c r="G120" s="186">
        <v>177</v>
      </c>
      <c r="H120" s="186">
        <v>4488</v>
      </c>
      <c r="I120" s="186">
        <v>3021</v>
      </c>
      <c r="J120" s="186">
        <f t="shared" si="57"/>
        <v>9149</v>
      </c>
      <c r="K120" s="186">
        <v>1665</v>
      </c>
      <c r="L120" s="186">
        <v>4363</v>
      </c>
      <c r="M120" s="186">
        <v>3121</v>
      </c>
      <c r="N120" s="229">
        <f>SUM(O120:Q120)</f>
        <v>7540</v>
      </c>
      <c r="O120" s="229">
        <v>1855</v>
      </c>
      <c r="P120" s="229">
        <v>5429</v>
      </c>
      <c r="Q120" s="229">
        <v>256</v>
      </c>
      <c r="R120" s="217">
        <f t="shared" si="78"/>
        <v>3481</v>
      </c>
      <c r="S120" s="217">
        <v>754</v>
      </c>
      <c r="T120" s="217">
        <v>2520</v>
      </c>
      <c r="U120" s="217">
        <v>207</v>
      </c>
    </row>
    <row r="121" spans="1:21" ht="10.5" x14ac:dyDescent="0.15">
      <c r="A121" s="180" t="s">
        <v>944</v>
      </c>
      <c r="B121" s="186">
        <f t="shared" si="55"/>
        <v>14281</v>
      </c>
      <c r="C121" s="186">
        <v>4867</v>
      </c>
      <c r="D121" s="186">
        <v>9120</v>
      </c>
      <c r="E121" s="186">
        <v>294</v>
      </c>
      <c r="F121" s="186">
        <f t="shared" si="56"/>
        <v>13462</v>
      </c>
      <c r="G121" s="186">
        <v>177</v>
      </c>
      <c r="H121" s="186">
        <v>7107</v>
      </c>
      <c r="I121" s="186">
        <v>6178</v>
      </c>
      <c r="J121" s="186">
        <f t="shared" si="57"/>
        <v>11225</v>
      </c>
      <c r="K121" s="186">
        <v>160</v>
      </c>
      <c r="L121" s="186">
        <v>5935</v>
      </c>
      <c r="M121" s="186">
        <v>5130</v>
      </c>
      <c r="N121" s="229">
        <f>SUM(O121:Q121)</f>
        <v>8358</v>
      </c>
      <c r="O121" s="229">
        <v>2101</v>
      </c>
      <c r="P121" s="229">
        <v>5408</v>
      </c>
      <c r="Q121" s="229">
        <v>849</v>
      </c>
      <c r="R121" s="217">
        <f t="shared" si="78"/>
        <v>10601</v>
      </c>
      <c r="S121" s="217">
        <v>3041</v>
      </c>
      <c r="T121" s="217">
        <v>7350</v>
      </c>
      <c r="U121" s="217">
        <v>210</v>
      </c>
    </row>
    <row r="122" spans="1:21" ht="10.5" x14ac:dyDescent="0.15">
      <c r="A122" s="180" t="s">
        <v>945</v>
      </c>
      <c r="B122" s="186">
        <f t="shared" si="55"/>
        <v>20013</v>
      </c>
      <c r="C122" s="186">
        <v>898</v>
      </c>
      <c r="D122" s="186">
        <v>12573</v>
      </c>
      <c r="E122" s="186">
        <v>6542</v>
      </c>
      <c r="F122" s="186">
        <f t="shared" si="56"/>
        <v>29728</v>
      </c>
      <c r="G122" s="186">
        <v>7525</v>
      </c>
      <c r="H122" s="186">
        <v>11005</v>
      </c>
      <c r="I122" s="186">
        <v>11198</v>
      </c>
      <c r="J122" s="186">
        <f t="shared" si="57"/>
        <v>31779</v>
      </c>
      <c r="K122" s="186">
        <v>7554</v>
      </c>
      <c r="L122" s="186">
        <v>11671</v>
      </c>
      <c r="M122" s="186">
        <v>12554</v>
      </c>
      <c r="N122" s="229">
        <f>SUM(O122:Q122)</f>
        <v>28917</v>
      </c>
      <c r="O122" s="229">
        <v>1331</v>
      </c>
      <c r="P122" s="229">
        <v>19751</v>
      </c>
      <c r="Q122" s="229">
        <v>7835</v>
      </c>
      <c r="R122" s="217">
        <f t="shared" si="78"/>
        <v>31291</v>
      </c>
      <c r="S122" s="217">
        <v>1539</v>
      </c>
      <c r="T122" s="217">
        <v>21879</v>
      </c>
      <c r="U122" s="217">
        <v>7873</v>
      </c>
    </row>
    <row r="123" spans="1:21" ht="10.5" x14ac:dyDescent="0.15">
      <c r="A123" s="180" t="s">
        <v>946</v>
      </c>
      <c r="B123" s="186">
        <f t="shared" si="55"/>
        <v>0</v>
      </c>
      <c r="C123" s="186">
        <v>0</v>
      </c>
      <c r="D123" s="186">
        <v>0</v>
      </c>
      <c r="E123" s="186">
        <v>0</v>
      </c>
      <c r="F123" s="186">
        <f t="shared" si="56"/>
        <v>0</v>
      </c>
      <c r="G123" s="186">
        <v>0</v>
      </c>
      <c r="H123" s="186">
        <v>0</v>
      </c>
      <c r="I123" s="186">
        <v>0</v>
      </c>
      <c r="J123" s="186">
        <f t="shared" si="57"/>
        <v>0</v>
      </c>
      <c r="K123" s="186">
        <v>0</v>
      </c>
      <c r="L123" s="186">
        <v>0</v>
      </c>
      <c r="M123" s="186">
        <v>0</v>
      </c>
      <c r="N123" s="229">
        <f>SUM(O123:Q123)</f>
        <v>0</v>
      </c>
      <c r="O123" s="229">
        <v>0</v>
      </c>
      <c r="P123" s="229">
        <v>0</v>
      </c>
      <c r="Q123" s="229">
        <v>0</v>
      </c>
      <c r="R123" s="217">
        <f t="shared" si="78"/>
        <v>0</v>
      </c>
      <c r="S123" s="217">
        <v>0</v>
      </c>
      <c r="T123" s="217">
        <v>0</v>
      </c>
      <c r="U123" s="217">
        <v>0</v>
      </c>
    </row>
    <row r="124" spans="1:21" ht="10.5" x14ac:dyDescent="0.15">
      <c r="A124" s="180" t="s">
        <v>947</v>
      </c>
      <c r="B124" s="186">
        <f t="shared" si="55"/>
        <v>78453</v>
      </c>
      <c r="C124" s="186">
        <v>7829</v>
      </c>
      <c r="D124" s="186">
        <v>57756</v>
      </c>
      <c r="E124" s="186">
        <v>12868</v>
      </c>
      <c r="F124" s="186">
        <f t="shared" si="56"/>
        <v>98163</v>
      </c>
      <c r="G124" s="186">
        <v>13282</v>
      </c>
      <c r="H124" s="186">
        <v>40146</v>
      </c>
      <c r="I124" s="186">
        <v>44735</v>
      </c>
      <c r="J124" s="186">
        <f t="shared" si="57"/>
        <v>104209</v>
      </c>
      <c r="K124" s="186">
        <v>14134</v>
      </c>
      <c r="L124" s="186">
        <v>43647</v>
      </c>
      <c r="M124" s="186">
        <v>46428</v>
      </c>
      <c r="N124" s="229">
        <f>SUM(O124:Q124)</f>
        <v>101817</v>
      </c>
      <c r="O124" s="229">
        <v>10907</v>
      </c>
      <c r="P124" s="229">
        <v>76721</v>
      </c>
      <c r="Q124" s="229">
        <v>14189</v>
      </c>
      <c r="R124" s="217">
        <f t="shared" si="78"/>
        <v>110833</v>
      </c>
      <c r="S124" s="217">
        <v>12066</v>
      </c>
      <c r="T124" s="217">
        <v>82850</v>
      </c>
      <c r="U124" s="217">
        <v>15917</v>
      </c>
    </row>
    <row r="125" spans="1:21" ht="10.5" customHeight="1" x14ac:dyDescent="0.25"/>
    <row r="126" spans="1:21" ht="15" customHeight="1" x14ac:dyDescent="0.15">
      <c r="A126" s="2518" t="s">
        <v>970</v>
      </c>
      <c r="B126" s="2518"/>
      <c r="C126" s="2518"/>
      <c r="D126" s="2518"/>
      <c r="E126" s="2518"/>
      <c r="F126" s="2518"/>
      <c r="G126" s="2518"/>
      <c r="H126" s="2518"/>
      <c r="I126" s="2518"/>
      <c r="J126" s="2518"/>
      <c r="K126" s="2518"/>
      <c r="L126" s="2518"/>
      <c r="M126" s="2518"/>
      <c r="N126" s="2518"/>
      <c r="O126" s="2518"/>
      <c r="P126" s="2518"/>
      <c r="Q126" s="2518"/>
      <c r="R126" s="2518"/>
      <c r="S126" s="2518"/>
      <c r="T126" s="2518"/>
      <c r="U126" s="2518"/>
    </row>
    <row r="127" spans="1:21" ht="14.25" customHeight="1" x14ac:dyDescent="0.15">
      <c r="A127" s="2518" t="s">
        <v>964</v>
      </c>
      <c r="B127" s="2518"/>
      <c r="C127" s="2518"/>
      <c r="D127" s="2518"/>
      <c r="E127" s="2518"/>
      <c r="F127" s="2518"/>
      <c r="G127" s="2518"/>
      <c r="H127" s="2518"/>
      <c r="I127" s="2518"/>
      <c r="J127" s="2518"/>
      <c r="K127" s="2518"/>
      <c r="L127" s="2518"/>
      <c r="M127" s="2518"/>
      <c r="N127" s="2518"/>
      <c r="O127" s="2518"/>
      <c r="P127" s="2518"/>
      <c r="Q127" s="2518"/>
      <c r="R127" s="2518"/>
      <c r="S127" s="2518"/>
      <c r="T127" s="2518"/>
      <c r="U127" s="2518"/>
    </row>
    <row r="128" spans="1:21" ht="14.25" customHeight="1" x14ac:dyDescent="0.15">
      <c r="A128" s="2486" t="s">
        <v>978</v>
      </c>
      <c r="B128" s="2486"/>
      <c r="C128" s="2486"/>
      <c r="D128" s="2486"/>
      <c r="E128" s="2486"/>
      <c r="F128" s="2486"/>
      <c r="G128" s="2486"/>
      <c r="H128" s="2486"/>
      <c r="I128" s="2486"/>
      <c r="J128" s="2486"/>
      <c r="K128" s="2486"/>
      <c r="L128" s="2486"/>
      <c r="M128" s="2486"/>
      <c r="N128" s="2486"/>
      <c r="O128" s="2486"/>
      <c r="P128" s="2486"/>
      <c r="Q128" s="2486"/>
      <c r="R128" s="2486"/>
      <c r="S128" s="2486"/>
      <c r="T128" s="2486"/>
      <c r="U128" s="2486"/>
    </row>
    <row r="129" spans="1:21" ht="15" customHeight="1" x14ac:dyDescent="0.15">
      <c r="A129" s="2518" t="s">
        <v>460</v>
      </c>
      <c r="B129" s="2518"/>
      <c r="C129" s="2518"/>
      <c r="D129" s="2518"/>
      <c r="E129" s="2518"/>
      <c r="F129" s="2518"/>
      <c r="G129" s="2518"/>
      <c r="H129" s="2518"/>
      <c r="I129" s="2518"/>
      <c r="J129" s="2518"/>
      <c r="K129" s="2518"/>
      <c r="L129" s="2518"/>
      <c r="M129" s="2518"/>
      <c r="N129" s="2518"/>
      <c r="O129" s="2518"/>
      <c r="P129" s="2518"/>
      <c r="Q129" s="2518"/>
      <c r="R129" s="2518"/>
      <c r="S129" s="2518"/>
      <c r="T129" s="2518"/>
      <c r="U129" s="2518"/>
    </row>
    <row r="130" spans="1:21" ht="15" customHeight="1" x14ac:dyDescent="0.15">
      <c r="A130" s="2518" t="s">
        <v>456</v>
      </c>
      <c r="B130" s="2518"/>
      <c r="C130" s="2518"/>
      <c r="D130" s="2518"/>
      <c r="E130" s="2518"/>
      <c r="F130" s="2518"/>
      <c r="G130" s="2518"/>
      <c r="H130" s="2518"/>
      <c r="I130" s="2518"/>
      <c r="J130" s="2518"/>
      <c r="K130" s="2518"/>
      <c r="L130" s="2518"/>
      <c r="M130" s="2518"/>
      <c r="N130" s="2518"/>
      <c r="O130" s="2518"/>
      <c r="P130" s="2518"/>
      <c r="Q130" s="2518"/>
      <c r="R130" s="2518"/>
      <c r="S130" s="2518"/>
      <c r="T130" s="2518"/>
      <c r="U130" s="2518"/>
    </row>
  </sheetData>
  <mergeCells count="13">
    <mergeCell ref="A126:U126"/>
    <mergeCell ref="A127:U127"/>
    <mergeCell ref="A128:U128"/>
    <mergeCell ref="A129:U129"/>
    <mergeCell ref="A130:U130"/>
    <mergeCell ref="A2:U2"/>
    <mergeCell ref="A3:L3"/>
    <mergeCell ref="A4:A5"/>
    <mergeCell ref="B4:E4"/>
    <mergeCell ref="F4:I4"/>
    <mergeCell ref="J4:M4"/>
    <mergeCell ref="N4:Q4"/>
    <mergeCell ref="R4:U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F128"/>
  <sheetViews>
    <sheetView zoomScaleNormal="100" workbookViewId="0">
      <selection activeCell="A2" sqref="A2:F2"/>
    </sheetView>
  </sheetViews>
  <sheetFormatPr baseColWidth="10" defaultRowHeight="15" x14ac:dyDescent="0.25"/>
  <cols>
    <col min="1" max="1" width="37.7109375" style="179" bestFit="1" customWidth="1"/>
    <col min="2" max="5" width="11.42578125" style="180"/>
    <col min="6" max="6" width="11.5703125" customWidth="1"/>
    <col min="7" max="7" width="5.5703125" style="180" customWidth="1"/>
    <col min="8" max="16384" width="11.42578125" style="180"/>
  </cols>
  <sheetData>
    <row r="2" spans="1:6" s="183" customFormat="1" ht="35.25" customHeight="1" x14ac:dyDescent="0.15">
      <c r="A2" s="2519" t="s">
        <v>979</v>
      </c>
      <c r="B2" s="2519"/>
      <c r="C2" s="2519"/>
      <c r="D2" s="2519"/>
      <c r="E2" s="2519"/>
      <c r="F2" s="2520"/>
    </row>
    <row r="3" spans="1:6" ht="5.25" customHeight="1" x14ac:dyDescent="0.15">
      <c r="F3" s="234"/>
    </row>
    <row r="4" spans="1:6" ht="17.25" customHeight="1" x14ac:dyDescent="0.15">
      <c r="A4" s="2521" t="s">
        <v>844</v>
      </c>
      <c r="B4" s="2522" t="s">
        <v>2</v>
      </c>
      <c r="C4" s="2523"/>
      <c r="D4" s="2523"/>
      <c r="E4" s="2523"/>
      <c r="F4" s="2524"/>
    </row>
    <row r="5" spans="1:6" ht="18" customHeight="1" x14ac:dyDescent="0.15">
      <c r="A5" s="2521"/>
      <c r="B5" s="181">
        <v>2011</v>
      </c>
      <c r="C5" s="181">
        <v>2012</v>
      </c>
      <c r="D5" s="181">
        <v>2013</v>
      </c>
      <c r="E5" s="181">
        <v>2014</v>
      </c>
      <c r="F5" s="181">
        <v>2015</v>
      </c>
    </row>
    <row r="6" spans="1:6" s="183" customFormat="1" ht="10.5" x14ac:dyDescent="0.15">
      <c r="A6" s="191" t="s">
        <v>141</v>
      </c>
      <c r="B6" s="184">
        <f t="shared" ref="B6:F6" si="0">SUM(B7+B12+B16+B22+B26+B31+B40+B43+B47+B56+B64+B78+B81+B93+B113)</f>
        <v>1871</v>
      </c>
      <c r="C6" s="184">
        <f t="shared" si="0"/>
        <v>1676</v>
      </c>
      <c r="D6" s="184">
        <f t="shared" si="0"/>
        <v>2256</v>
      </c>
      <c r="E6" s="184">
        <f t="shared" si="0"/>
        <v>1741</v>
      </c>
      <c r="F6" s="88">
        <f t="shared" si="0"/>
        <v>9256</v>
      </c>
    </row>
    <row r="7" spans="1:6" s="183" customFormat="1" ht="10.5" x14ac:dyDescent="0.15">
      <c r="A7" s="191" t="s">
        <v>5</v>
      </c>
      <c r="B7" s="184">
        <f t="shared" ref="B7:F7" si="1">SUM(B8:B11)</f>
        <v>0</v>
      </c>
      <c r="C7" s="184">
        <f t="shared" si="1"/>
        <v>0</v>
      </c>
      <c r="D7" s="184">
        <f t="shared" si="1"/>
        <v>0</v>
      </c>
      <c r="E7" s="184">
        <f t="shared" si="1"/>
        <v>0</v>
      </c>
      <c r="F7" s="88">
        <f t="shared" si="1"/>
        <v>1147</v>
      </c>
    </row>
    <row r="8" spans="1:6" ht="10.5" x14ac:dyDescent="0.15">
      <c r="A8" s="179" t="s">
        <v>845</v>
      </c>
      <c r="B8" s="186">
        <v>0</v>
      </c>
      <c r="C8" s="186">
        <v>0</v>
      </c>
      <c r="D8" s="186">
        <v>0</v>
      </c>
      <c r="E8" s="186">
        <v>0</v>
      </c>
      <c r="F8" s="20">
        <v>1147</v>
      </c>
    </row>
    <row r="9" spans="1:6" ht="10.5" x14ac:dyDescent="0.15">
      <c r="A9" s="179" t="s">
        <v>846</v>
      </c>
      <c r="B9" s="186">
        <v>0</v>
      </c>
      <c r="C9" s="186">
        <v>0</v>
      </c>
      <c r="D9" s="186">
        <v>0</v>
      </c>
      <c r="E9" s="186">
        <v>0</v>
      </c>
      <c r="F9" s="20">
        <v>0</v>
      </c>
    </row>
    <row r="10" spans="1:6" ht="10.5" x14ac:dyDescent="0.15">
      <c r="A10" s="179" t="s">
        <v>847</v>
      </c>
      <c r="B10" s="186">
        <v>0</v>
      </c>
      <c r="C10" s="186">
        <v>0</v>
      </c>
      <c r="D10" s="186">
        <v>0</v>
      </c>
      <c r="E10" s="186">
        <v>0</v>
      </c>
      <c r="F10" s="20">
        <v>0</v>
      </c>
    </row>
    <row r="11" spans="1:6" ht="10.5" x14ac:dyDescent="0.15">
      <c r="A11" s="179" t="s">
        <v>848</v>
      </c>
      <c r="B11" s="186">
        <v>0</v>
      </c>
      <c r="C11" s="186">
        <v>0</v>
      </c>
      <c r="D11" s="186">
        <v>0</v>
      </c>
      <c r="E11" s="186">
        <v>0</v>
      </c>
      <c r="F11" s="20">
        <v>0</v>
      </c>
    </row>
    <row r="12" spans="1:6" s="183" customFormat="1" ht="10.5" x14ac:dyDescent="0.15">
      <c r="A12" s="191" t="s">
        <v>6</v>
      </c>
      <c r="B12" s="184">
        <f t="shared" ref="B12:F12" si="2">SUM(B13:B15)</f>
        <v>1</v>
      </c>
      <c r="C12" s="184">
        <f t="shared" si="2"/>
        <v>0</v>
      </c>
      <c r="D12" s="184">
        <f t="shared" si="2"/>
        <v>2</v>
      </c>
      <c r="E12" s="184">
        <f t="shared" si="2"/>
        <v>0</v>
      </c>
      <c r="F12" s="88">
        <f t="shared" si="2"/>
        <v>34</v>
      </c>
    </row>
    <row r="13" spans="1:6" ht="10.5" x14ac:dyDescent="0.15">
      <c r="A13" s="179" t="s">
        <v>849</v>
      </c>
      <c r="B13" s="186">
        <v>0</v>
      </c>
      <c r="C13" s="186">
        <v>0</v>
      </c>
      <c r="D13" s="186">
        <v>0</v>
      </c>
      <c r="E13" s="186">
        <v>0</v>
      </c>
      <c r="F13" s="20">
        <v>0</v>
      </c>
    </row>
    <row r="14" spans="1:6" ht="10.5" x14ac:dyDescent="0.15">
      <c r="A14" s="179" t="s">
        <v>850</v>
      </c>
      <c r="B14" s="186">
        <v>0</v>
      </c>
      <c r="C14" s="186">
        <v>0</v>
      </c>
      <c r="D14" s="186">
        <v>0</v>
      </c>
      <c r="E14" s="186">
        <v>0</v>
      </c>
      <c r="F14" s="20">
        <v>0</v>
      </c>
    </row>
    <row r="15" spans="1:6" ht="10.5" x14ac:dyDescent="0.15">
      <c r="A15" s="179" t="s">
        <v>851</v>
      </c>
      <c r="B15" s="186">
        <v>1</v>
      </c>
      <c r="C15" s="186">
        <v>0</v>
      </c>
      <c r="D15" s="186">
        <v>2</v>
      </c>
      <c r="E15" s="186">
        <v>0</v>
      </c>
      <c r="F15" s="20">
        <v>34</v>
      </c>
    </row>
    <row r="16" spans="1:6" s="183" customFormat="1" ht="10.5" x14ac:dyDescent="0.15">
      <c r="A16" s="191" t="s">
        <v>7</v>
      </c>
      <c r="B16" s="184">
        <f t="shared" ref="B16:F16" si="3">SUM(B17:B21)</f>
        <v>162</v>
      </c>
      <c r="C16" s="184">
        <f t="shared" si="3"/>
        <v>135</v>
      </c>
      <c r="D16" s="184">
        <f t="shared" si="3"/>
        <v>277</v>
      </c>
      <c r="E16" s="184">
        <f t="shared" si="3"/>
        <v>216</v>
      </c>
      <c r="F16" s="88">
        <f t="shared" si="3"/>
        <v>295</v>
      </c>
    </row>
    <row r="17" spans="1:6" ht="10.5" x14ac:dyDescent="0.15">
      <c r="A17" s="179" t="s">
        <v>852</v>
      </c>
      <c r="B17" s="186">
        <v>0</v>
      </c>
      <c r="C17" s="186">
        <v>0</v>
      </c>
      <c r="D17" s="186">
        <v>0</v>
      </c>
      <c r="E17" s="186">
        <v>0</v>
      </c>
      <c r="F17" s="20">
        <v>0</v>
      </c>
    </row>
    <row r="18" spans="1:6" ht="10.5" x14ac:dyDescent="0.15">
      <c r="A18" s="179" t="s">
        <v>853</v>
      </c>
      <c r="B18" s="186">
        <v>0</v>
      </c>
      <c r="C18" s="186">
        <v>0</v>
      </c>
      <c r="D18" s="186">
        <v>0</v>
      </c>
      <c r="E18" s="186">
        <v>0</v>
      </c>
      <c r="F18" s="20">
        <v>0</v>
      </c>
    </row>
    <row r="19" spans="1:6" ht="10.5" x14ac:dyDescent="0.15">
      <c r="A19" s="179" t="s">
        <v>854</v>
      </c>
      <c r="B19" s="186">
        <v>33</v>
      </c>
      <c r="C19" s="186">
        <v>0</v>
      </c>
      <c r="D19" s="186">
        <v>0</v>
      </c>
      <c r="E19" s="196">
        <v>2</v>
      </c>
      <c r="F19" s="241">
        <v>18</v>
      </c>
    </row>
    <row r="20" spans="1:6" ht="10.5" x14ac:dyDescent="0.15">
      <c r="A20" s="179" t="s">
        <v>954</v>
      </c>
      <c r="B20" s="186">
        <v>0</v>
      </c>
      <c r="C20" s="186">
        <v>0</v>
      </c>
      <c r="D20" s="186">
        <v>0</v>
      </c>
      <c r="E20" s="186">
        <v>0</v>
      </c>
      <c r="F20" s="20">
        <v>0</v>
      </c>
    </row>
    <row r="21" spans="1:6" ht="10.5" x14ac:dyDescent="0.15">
      <c r="A21" s="179" t="s">
        <v>856</v>
      </c>
      <c r="B21" s="186">
        <v>129</v>
      </c>
      <c r="C21" s="186">
        <v>135</v>
      </c>
      <c r="D21" s="186">
        <v>277</v>
      </c>
      <c r="E21" s="196">
        <v>214</v>
      </c>
      <c r="F21" s="241">
        <v>277</v>
      </c>
    </row>
    <row r="22" spans="1:6" s="183" customFormat="1" ht="10.5" x14ac:dyDescent="0.15">
      <c r="A22" s="191" t="s">
        <v>8</v>
      </c>
      <c r="B22" s="184">
        <f t="shared" ref="B22:F22" si="4">SUM(B23:B25)</f>
        <v>0</v>
      </c>
      <c r="C22" s="184">
        <f t="shared" si="4"/>
        <v>0</v>
      </c>
      <c r="D22" s="184">
        <f t="shared" si="4"/>
        <v>0</v>
      </c>
      <c r="E22" s="184">
        <f t="shared" si="4"/>
        <v>38</v>
      </c>
      <c r="F22" s="88">
        <f t="shared" si="4"/>
        <v>2</v>
      </c>
    </row>
    <row r="23" spans="1:6" ht="10.5" x14ac:dyDescent="0.15">
      <c r="A23" s="179" t="s">
        <v>857</v>
      </c>
      <c r="B23" s="186">
        <v>0</v>
      </c>
      <c r="C23" s="186">
        <v>0</v>
      </c>
      <c r="D23" s="186">
        <v>0</v>
      </c>
      <c r="E23" s="186">
        <v>0</v>
      </c>
      <c r="F23" s="20">
        <v>0</v>
      </c>
    </row>
    <row r="24" spans="1:6" ht="10.5" x14ac:dyDescent="0.15">
      <c r="A24" s="179" t="s">
        <v>858</v>
      </c>
      <c r="B24" s="186">
        <v>0</v>
      </c>
      <c r="C24" s="186">
        <v>0</v>
      </c>
      <c r="D24" s="186">
        <v>0</v>
      </c>
      <c r="E24" s="180">
        <v>36</v>
      </c>
      <c r="F24" s="20">
        <v>2</v>
      </c>
    </row>
    <row r="25" spans="1:6" ht="10.5" x14ac:dyDescent="0.15">
      <c r="A25" s="179" t="s">
        <v>859</v>
      </c>
      <c r="B25" s="186">
        <v>0</v>
      </c>
      <c r="C25" s="186">
        <v>0</v>
      </c>
      <c r="D25" s="186">
        <v>0</v>
      </c>
      <c r="E25" s="180">
        <v>2</v>
      </c>
      <c r="F25" s="20">
        <v>0</v>
      </c>
    </row>
    <row r="26" spans="1:6" s="183" customFormat="1" ht="10.5" x14ac:dyDescent="0.15">
      <c r="A26" s="191" t="s">
        <v>9</v>
      </c>
      <c r="B26" s="184">
        <f t="shared" ref="B26:E26" si="5">SUM(B27:B30)</f>
        <v>23</v>
      </c>
      <c r="C26" s="184">
        <f t="shared" si="5"/>
        <v>0</v>
      </c>
      <c r="D26" s="184">
        <f t="shared" si="5"/>
        <v>52</v>
      </c>
      <c r="E26" s="184">
        <f t="shared" si="5"/>
        <v>13</v>
      </c>
      <c r="F26" s="88">
        <v>97</v>
      </c>
    </row>
    <row r="27" spans="1:6" ht="10.5" x14ac:dyDescent="0.15">
      <c r="A27" s="179" t="s">
        <v>860</v>
      </c>
      <c r="B27" s="186">
        <v>21</v>
      </c>
      <c r="C27" s="186">
        <v>0</v>
      </c>
      <c r="D27" s="186">
        <v>0</v>
      </c>
      <c r="E27" s="180">
        <v>10</v>
      </c>
      <c r="F27" s="20">
        <v>10</v>
      </c>
    </row>
    <row r="28" spans="1:6" ht="10.5" x14ac:dyDescent="0.15">
      <c r="A28" s="179" t="s">
        <v>861</v>
      </c>
      <c r="B28" s="186">
        <v>0</v>
      </c>
      <c r="C28" s="186">
        <v>0</v>
      </c>
      <c r="D28" s="186">
        <v>52</v>
      </c>
      <c r="E28" s="180">
        <v>3</v>
      </c>
      <c r="F28" s="20">
        <v>86</v>
      </c>
    </row>
    <row r="29" spans="1:6" ht="10.5" x14ac:dyDescent="0.15">
      <c r="A29" s="179" t="s">
        <v>862</v>
      </c>
      <c r="B29" s="186">
        <v>1</v>
      </c>
      <c r="C29" s="186">
        <v>0</v>
      </c>
      <c r="D29" s="186">
        <v>0</v>
      </c>
      <c r="E29" s="186">
        <v>0</v>
      </c>
      <c r="F29" s="20">
        <v>0</v>
      </c>
    </row>
    <row r="30" spans="1:6" ht="10.5" x14ac:dyDescent="0.15">
      <c r="A30" s="179" t="s">
        <v>863</v>
      </c>
      <c r="B30" s="186">
        <v>1</v>
      </c>
      <c r="C30" s="186">
        <v>0</v>
      </c>
      <c r="D30" s="186">
        <v>0</v>
      </c>
      <c r="E30" s="186">
        <v>0</v>
      </c>
      <c r="F30" s="20">
        <v>1</v>
      </c>
    </row>
    <row r="31" spans="1:6" s="183" customFormat="1" ht="10.5" x14ac:dyDescent="0.15">
      <c r="A31" s="191" t="s">
        <v>10</v>
      </c>
      <c r="B31" s="184">
        <f t="shared" ref="B31:F31" si="6">SUM(B32:B39)</f>
        <v>144</v>
      </c>
      <c r="C31" s="184">
        <f t="shared" si="6"/>
        <v>188</v>
      </c>
      <c r="D31" s="184">
        <f t="shared" si="6"/>
        <v>223</v>
      </c>
      <c r="E31" s="184">
        <f t="shared" si="6"/>
        <v>257</v>
      </c>
      <c r="F31" s="88">
        <f t="shared" si="6"/>
        <v>285</v>
      </c>
    </row>
    <row r="32" spans="1:6" ht="10.5" x14ac:dyDescent="0.15">
      <c r="A32" s="179" t="s">
        <v>864</v>
      </c>
      <c r="B32" s="186">
        <v>5</v>
      </c>
      <c r="C32" s="186">
        <v>2</v>
      </c>
      <c r="D32" s="186">
        <v>3</v>
      </c>
      <c r="E32" s="186">
        <v>0</v>
      </c>
      <c r="F32" s="20">
        <v>2</v>
      </c>
    </row>
    <row r="33" spans="1:6" ht="10.5" x14ac:dyDescent="0.15">
      <c r="A33" s="179" t="s">
        <v>865</v>
      </c>
      <c r="B33" s="186">
        <v>0</v>
      </c>
      <c r="C33" s="186">
        <v>0</v>
      </c>
      <c r="D33" s="186">
        <v>0</v>
      </c>
      <c r="E33" s="186">
        <v>0</v>
      </c>
      <c r="F33" s="20">
        <v>0</v>
      </c>
    </row>
    <row r="34" spans="1:6" ht="10.5" x14ac:dyDescent="0.15">
      <c r="A34" s="179" t="s">
        <v>866</v>
      </c>
      <c r="B34" s="186">
        <v>0</v>
      </c>
      <c r="C34" s="186">
        <v>0</v>
      </c>
      <c r="D34" s="186">
        <v>0</v>
      </c>
      <c r="E34" s="186">
        <v>0</v>
      </c>
      <c r="F34" s="20">
        <v>0</v>
      </c>
    </row>
    <row r="35" spans="1:6" ht="10.5" x14ac:dyDescent="0.15">
      <c r="A35" s="179" t="s">
        <v>867</v>
      </c>
      <c r="B35" s="186">
        <v>46</v>
      </c>
      <c r="C35" s="186">
        <v>42</v>
      </c>
      <c r="D35" s="186">
        <v>48</v>
      </c>
      <c r="E35" s="180">
        <v>57</v>
      </c>
      <c r="F35" s="20">
        <v>98</v>
      </c>
    </row>
    <row r="36" spans="1:6" ht="10.5" x14ac:dyDescent="0.15">
      <c r="A36" s="179" t="s">
        <v>868</v>
      </c>
      <c r="B36" s="186">
        <v>0</v>
      </c>
      <c r="C36" s="186">
        <v>18</v>
      </c>
      <c r="D36" s="186">
        <v>0</v>
      </c>
      <c r="E36" s="186">
        <v>0</v>
      </c>
      <c r="F36" s="20">
        <v>0</v>
      </c>
    </row>
    <row r="37" spans="1:6" ht="10.5" x14ac:dyDescent="0.15">
      <c r="A37" s="179" t="s">
        <v>869</v>
      </c>
      <c r="B37" s="186">
        <v>0</v>
      </c>
      <c r="C37" s="186">
        <v>0</v>
      </c>
      <c r="D37" s="186">
        <v>0</v>
      </c>
      <c r="E37" s="186">
        <v>0</v>
      </c>
      <c r="F37" s="20">
        <v>0</v>
      </c>
    </row>
    <row r="38" spans="1:6" ht="11.25" x14ac:dyDescent="0.15">
      <c r="A38" s="179" t="s">
        <v>955</v>
      </c>
      <c r="B38" s="186">
        <v>93</v>
      </c>
      <c r="C38" s="186">
        <v>125</v>
      </c>
      <c r="D38" s="186">
        <v>172</v>
      </c>
      <c r="E38" s="180">
        <v>199</v>
      </c>
      <c r="F38" s="20">
        <v>185</v>
      </c>
    </row>
    <row r="39" spans="1:6" ht="10.5" x14ac:dyDescent="0.15">
      <c r="A39" s="179" t="s">
        <v>871</v>
      </c>
      <c r="B39" s="186">
        <v>0</v>
      </c>
      <c r="C39" s="186">
        <v>1</v>
      </c>
      <c r="D39" s="186">
        <v>0</v>
      </c>
      <c r="E39" s="180">
        <v>1</v>
      </c>
      <c r="F39" s="20">
        <v>0</v>
      </c>
    </row>
    <row r="40" spans="1:6" s="183" customFormat="1" ht="10.5" x14ac:dyDescent="0.15">
      <c r="A40" s="191" t="s">
        <v>11</v>
      </c>
      <c r="B40" s="184">
        <f t="shared" ref="B40:F40" si="7">SUM(B41:B42)</f>
        <v>72</v>
      </c>
      <c r="C40" s="184">
        <f t="shared" si="7"/>
        <v>98</v>
      </c>
      <c r="D40" s="184">
        <f t="shared" si="7"/>
        <v>86</v>
      </c>
      <c r="E40" s="184">
        <f t="shared" si="7"/>
        <v>8</v>
      </c>
      <c r="F40" s="88">
        <f t="shared" si="7"/>
        <v>135</v>
      </c>
    </row>
    <row r="41" spans="1:6" ht="10.5" x14ac:dyDescent="0.15">
      <c r="A41" s="179" t="s">
        <v>872</v>
      </c>
      <c r="B41" s="186">
        <v>72</v>
      </c>
      <c r="C41" s="186">
        <v>90</v>
      </c>
      <c r="D41" s="186">
        <v>86</v>
      </c>
      <c r="E41" s="180">
        <v>2</v>
      </c>
      <c r="F41" s="20">
        <v>131</v>
      </c>
    </row>
    <row r="42" spans="1:6" ht="10.5" x14ac:dyDescent="0.15">
      <c r="A42" s="179" t="s">
        <v>873</v>
      </c>
      <c r="B42" s="186">
        <v>0</v>
      </c>
      <c r="C42" s="186">
        <v>8</v>
      </c>
      <c r="D42" s="186">
        <v>0</v>
      </c>
      <c r="E42" s="180">
        <v>6</v>
      </c>
      <c r="F42" s="20">
        <v>4</v>
      </c>
    </row>
    <row r="43" spans="1:6" s="183" customFormat="1" ht="10.5" x14ac:dyDescent="0.15">
      <c r="A43" s="191" t="s">
        <v>12</v>
      </c>
      <c r="B43" s="184">
        <f t="shared" ref="B43:F43" si="8">SUM(B44:B46)</f>
        <v>47</v>
      </c>
      <c r="C43" s="184">
        <f t="shared" si="8"/>
        <v>21</v>
      </c>
      <c r="D43" s="184">
        <f t="shared" si="8"/>
        <v>78</v>
      </c>
      <c r="E43" s="184">
        <f t="shared" si="8"/>
        <v>115</v>
      </c>
      <c r="F43" s="88">
        <f t="shared" si="8"/>
        <v>113</v>
      </c>
    </row>
    <row r="44" spans="1:6" ht="10.5" x14ac:dyDescent="0.15">
      <c r="A44" s="179" t="s">
        <v>874</v>
      </c>
      <c r="B44" s="186">
        <v>0</v>
      </c>
      <c r="C44" s="186">
        <v>0</v>
      </c>
      <c r="D44" s="186">
        <v>0</v>
      </c>
      <c r="E44" s="186">
        <v>0</v>
      </c>
      <c r="F44" s="20">
        <v>0</v>
      </c>
    </row>
    <row r="45" spans="1:6" ht="10.5" x14ac:dyDescent="0.15">
      <c r="A45" s="179" t="s">
        <v>875</v>
      </c>
      <c r="B45" s="186">
        <v>47</v>
      </c>
      <c r="C45" s="186">
        <v>21</v>
      </c>
      <c r="D45" s="186">
        <v>78</v>
      </c>
      <c r="E45" s="180">
        <v>115</v>
      </c>
      <c r="F45" s="20">
        <v>113</v>
      </c>
    </row>
    <row r="46" spans="1:6" ht="10.5" x14ac:dyDescent="0.15">
      <c r="A46" s="179" t="s">
        <v>876</v>
      </c>
      <c r="B46" s="186">
        <v>0</v>
      </c>
      <c r="C46" s="186">
        <v>0</v>
      </c>
      <c r="D46" s="186">
        <v>0</v>
      </c>
      <c r="E46" s="186">
        <v>0</v>
      </c>
      <c r="F46" s="20">
        <v>0</v>
      </c>
    </row>
    <row r="47" spans="1:6" s="183" customFormat="1" ht="10.5" x14ac:dyDescent="0.15">
      <c r="A47" s="191" t="s">
        <v>13</v>
      </c>
      <c r="B47" s="184">
        <f t="shared" ref="B47:F47" si="9">SUM(B48:B55)</f>
        <v>63</v>
      </c>
      <c r="C47" s="184">
        <f t="shared" si="9"/>
        <v>111</v>
      </c>
      <c r="D47" s="184">
        <f t="shared" si="9"/>
        <v>50</v>
      </c>
      <c r="E47" s="184">
        <f t="shared" si="9"/>
        <v>31</v>
      </c>
      <c r="F47" s="88">
        <f t="shared" si="9"/>
        <v>39</v>
      </c>
    </row>
    <row r="48" spans="1:6" ht="10.5" x14ac:dyDescent="0.15">
      <c r="A48" s="179" t="s">
        <v>877</v>
      </c>
      <c r="B48" s="186">
        <v>16</v>
      </c>
      <c r="C48" s="186">
        <v>25</v>
      </c>
      <c r="D48" s="186">
        <v>2</v>
      </c>
      <c r="E48" s="180">
        <v>1</v>
      </c>
      <c r="F48" s="20">
        <v>13</v>
      </c>
    </row>
    <row r="49" spans="1:6" ht="10.5" x14ac:dyDescent="0.15">
      <c r="A49" s="179" t="s">
        <v>878</v>
      </c>
      <c r="B49" s="186">
        <v>2</v>
      </c>
      <c r="C49" s="186">
        <v>13</v>
      </c>
      <c r="D49" s="186">
        <v>8</v>
      </c>
      <c r="E49" s="186">
        <v>0</v>
      </c>
      <c r="F49" s="20">
        <v>1</v>
      </c>
    </row>
    <row r="50" spans="1:6" ht="10.5" x14ac:dyDescent="0.15">
      <c r="A50" s="179" t="s">
        <v>879</v>
      </c>
      <c r="B50" s="186">
        <v>0</v>
      </c>
      <c r="C50" s="186">
        <v>0</v>
      </c>
      <c r="D50" s="186">
        <v>4</v>
      </c>
      <c r="E50" s="186">
        <v>0</v>
      </c>
      <c r="F50" s="20">
        <v>0</v>
      </c>
    </row>
    <row r="51" spans="1:6" ht="10.5" x14ac:dyDescent="0.15">
      <c r="A51" s="179" t="s">
        <v>880</v>
      </c>
      <c r="B51" s="186">
        <v>0</v>
      </c>
      <c r="C51" s="186">
        <v>0</v>
      </c>
      <c r="D51" s="186">
        <v>0</v>
      </c>
      <c r="E51" s="186">
        <v>0</v>
      </c>
      <c r="F51" s="20">
        <v>2</v>
      </c>
    </row>
    <row r="52" spans="1:6" ht="10.5" x14ac:dyDescent="0.15">
      <c r="A52" s="179" t="s">
        <v>881</v>
      </c>
      <c r="B52" s="186">
        <v>0</v>
      </c>
      <c r="C52" s="186">
        <v>0</v>
      </c>
      <c r="D52" s="186">
        <v>2</v>
      </c>
      <c r="E52" s="186">
        <v>0</v>
      </c>
      <c r="F52" s="20">
        <v>0</v>
      </c>
    </row>
    <row r="53" spans="1:6" ht="10.5" x14ac:dyDescent="0.15">
      <c r="A53" s="179" t="s">
        <v>882</v>
      </c>
      <c r="B53" s="186">
        <v>1</v>
      </c>
      <c r="C53" s="186">
        <v>1</v>
      </c>
      <c r="D53" s="186">
        <v>2</v>
      </c>
      <c r="E53" s="186">
        <v>0</v>
      </c>
      <c r="F53" s="20">
        <v>0</v>
      </c>
    </row>
    <row r="54" spans="1:6" ht="10.5" x14ac:dyDescent="0.15">
      <c r="A54" s="179" t="s">
        <v>883</v>
      </c>
      <c r="B54" s="186">
        <v>0</v>
      </c>
      <c r="C54" s="186">
        <v>0</v>
      </c>
      <c r="D54" s="186">
        <v>0</v>
      </c>
      <c r="E54" s="186">
        <v>0</v>
      </c>
      <c r="F54" s="20">
        <v>0</v>
      </c>
    </row>
    <row r="55" spans="1:6" ht="10.5" x14ac:dyDescent="0.15">
      <c r="A55" s="179" t="s">
        <v>958</v>
      </c>
      <c r="B55" s="186">
        <v>44</v>
      </c>
      <c r="C55" s="186">
        <v>72</v>
      </c>
      <c r="D55" s="186">
        <v>32</v>
      </c>
      <c r="E55" s="180">
        <v>30</v>
      </c>
      <c r="F55" s="20">
        <v>23</v>
      </c>
    </row>
    <row r="56" spans="1:6" s="183" customFormat="1" ht="10.5" x14ac:dyDescent="0.15">
      <c r="A56" s="191" t="s">
        <v>14</v>
      </c>
      <c r="B56" s="184">
        <f t="shared" ref="B56:F56" si="10">SUM(B57:B63)</f>
        <v>4</v>
      </c>
      <c r="C56" s="184">
        <f t="shared" si="10"/>
        <v>1</v>
      </c>
      <c r="D56" s="184">
        <f t="shared" si="10"/>
        <v>71</v>
      </c>
      <c r="E56" s="184">
        <f t="shared" si="10"/>
        <v>36</v>
      </c>
      <c r="F56" s="88">
        <f t="shared" si="10"/>
        <v>841</v>
      </c>
    </row>
    <row r="57" spans="1:6" ht="10.5" x14ac:dyDescent="0.15">
      <c r="A57" s="179" t="s">
        <v>885</v>
      </c>
      <c r="B57" s="186">
        <v>0</v>
      </c>
      <c r="C57" s="186">
        <v>0</v>
      </c>
      <c r="D57" s="186">
        <v>1</v>
      </c>
      <c r="E57" s="186">
        <v>0</v>
      </c>
      <c r="F57" s="20">
        <v>1</v>
      </c>
    </row>
    <row r="58" spans="1:6" ht="10.5" x14ac:dyDescent="0.15">
      <c r="A58" s="179" t="s">
        <v>886</v>
      </c>
      <c r="B58" s="186">
        <v>0</v>
      </c>
      <c r="C58" s="186">
        <v>0</v>
      </c>
      <c r="D58" s="186">
        <v>0</v>
      </c>
      <c r="E58" s="186">
        <v>0</v>
      </c>
      <c r="F58" s="20">
        <v>0</v>
      </c>
    </row>
    <row r="59" spans="1:6" ht="10.5" x14ac:dyDescent="0.15">
      <c r="A59" s="179" t="s">
        <v>959</v>
      </c>
      <c r="B59" s="186">
        <v>0</v>
      </c>
      <c r="C59" s="186">
        <v>0</v>
      </c>
      <c r="D59" s="186">
        <v>0</v>
      </c>
      <c r="E59" s="186">
        <v>0</v>
      </c>
      <c r="F59" s="20">
        <v>830</v>
      </c>
    </row>
    <row r="60" spans="1:6" ht="10.5" x14ac:dyDescent="0.15">
      <c r="A60" s="179" t="s">
        <v>888</v>
      </c>
      <c r="B60" s="186">
        <v>1</v>
      </c>
      <c r="C60" s="186">
        <v>0</v>
      </c>
      <c r="D60" s="186">
        <v>0</v>
      </c>
      <c r="E60" s="186">
        <v>0</v>
      </c>
      <c r="F60" s="20">
        <v>0</v>
      </c>
    </row>
    <row r="61" spans="1:6" ht="10.5" x14ac:dyDescent="0.15">
      <c r="A61" s="179" t="s">
        <v>889</v>
      </c>
      <c r="B61" s="186">
        <v>0</v>
      </c>
      <c r="C61" s="186">
        <v>0</v>
      </c>
      <c r="D61" s="186">
        <v>0</v>
      </c>
      <c r="E61" s="186">
        <v>0</v>
      </c>
      <c r="F61" s="20">
        <v>0</v>
      </c>
    </row>
    <row r="62" spans="1:6" ht="10.5" x14ac:dyDescent="0.15">
      <c r="A62" s="179" t="s">
        <v>890</v>
      </c>
      <c r="B62" s="186">
        <v>3</v>
      </c>
      <c r="C62" s="186">
        <v>1</v>
      </c>
      <c r="D62" s="186">
        <v>70</v>
      </c>
      <c r="E62" s="180">
        <v>36</v>
      </c>
      <c r="F62" s="20">
        <v>10</v>
      </c>
    </row>
    <row r="63" spans="1:6" ht="10.5" x14ac:dyDescent="0.15">
      <c r="A63" s="179" t="s">
        <v>891</v>
      </c>
      <c r="B63" s="186">
        <v>0</v>
      </c>
      <c r="C63" s="186">
        <v>0</v>
      </c>
      <c r="D63" s="186">
        <v>0</v>
      </c>
      <c r="E63" s="186">
        <v>0</v>
      </c>
      <c r="F63" s="20">
        <v>0</v>
      </c>
    </row>
    <row r="64" spans="1:6" s="183" customFormat="1" ht="10.5" x14ac:dyDescent="0.15">
      <c r="A64" s="191" t="s">
        <v>15</v>
      </c>
      <c r="B64" s="184">
        <f t="shared" ref="B64:F64" si="11">SUM(B65:B77)</f>
        <v>244</v>
      </c>
      <c r="C64" s="184">
        <f t="shared" si="11"/>
        <v>187</v>
      </c>
      <c r="D64" s="184">
        <f t="shared" si="11"/>
        <v>542</v>
      </c>
      <c r="E64" s="184">
        <f t="shared" si="11"/>
        <v>168</v>
      </c>
      <c r="F64" s="88">
        <f t="shared" si="11"/>
        <v>5341</v>
      </c>
    </row>
    <row r="65" spans="1:6" ht="10.5" x14ac:dyDescent="0.15">
      <c r="A65" s="179" t="s">
        <v>892</v>
      </c>
      <c r="B65" s="186">
        <v>17</v>
      </c>
      <c r="C65" s="186">
        <v>9</v>
      </c>
      <c r="D65" s="186">
        <v>0</v>
      </c>
      <c r="E65" s="180">
        <v>18</v>
      </c>
      <c r="F65" s="20">
        <v>1226</v>
      </c>
    </row>
    <row r="66" spans="1:6" ht="10.5" x14ac:dyDescent="0.15">
      <c r="A66" s="179" t="s">
        <v>893</v>
      </c>
      <c r="B66" s="186">
        <v>2</v>
      </c>
      <c r="C66" s="186">
        <v>6</v>
      </c>
      <c r="D66" s="186">
        <v>23</v>
      </c>
      <c r="E66" s="180">
        <v>5</v>
      </c>
      <c r="F66" s="20">
        <v>220</v>
      </c>
    </row>
    <row r="67" spans="1:6" ht="10.5" x14ac:dyDescent="0.15">
      <c r="A67" s="179" t="s">
        <v>894</v>
      </c>
      <c r="B67" s="186">
        <v>0</v>
      </c>
      <c r="C67" s="186">
        <v>0</v>
      </c>
      <c r="D67" s="186">
        <v>2</v>
      </c>
      <c r="E67" s="180">
        <v>35</v>
      </c>
      <c r="F67" s="20">
        <v>121</v>
      </c>
    </row>
    <row r="68" spans="1:6" ht="10.5" x14ac:dyDescent="0.15">
      <c r="A68" s="179" t="s">
        <v>895</v>
      </c>
      <c r="B68" s="186">
        <v>0</v>
      </c>
      <c r="C68" s="186">
        <v>0</v>
      </c>
      <c r="D68" s="186">
        <v>22</v>
      </c>
      <c r="E68" s="180">
        <v>22</v>
      </c>
      <c r="F68" s="20">
        <v>64</v>
      </c>
    </row>
    <row r="69" spans="1:6" ht="10.5" x14ac:dyDescent="0.15">
      <c r="A69" s="179" t="s">
        <v>896</v>
      </c>
      <c r="B69" s="186">
        <v>0</v>
      </c>
      <c r="C69" s="186">
        <v>0</v>
      </c>
      <c r="D69" s="186">
        <v>0</v>
      </c>
      <c r="E69" s="186">
        <v>0</v>
      </c>
      <c r="F69" s="20">
        <v>1354</v>
      </c>
    </row>
    <row r="70" spans="1:6" ht="10.5" x14ac:dyDescent="0.15">
      <c r="A70" s="179" t="s">
        <v>897</v>
      </c>
      <c r="B70" s="186">
        <v>0</v>
      </c>
      <c r="C70" s="186">
        <v>0</v>
      </c>
      <c r="D70" s="186">
        <v>0</v>
      </c>
      <c r="E70" s="186">
        <v>0</v>
      </c>
      <c r="F70" s="20">
        <v>0</v>
      </c>
    </row>
    <row r="71" spans="1:6" ht="10.5" x14ac:dyDescent="0.15">
      <c r="A71" s="179" t="s">
        <v>898</v>
      </c>
      <c r="B71" s="186">
        <v>0</v>
      </c>
      <c r="C71" s="186">
        <v>0</v>
      </c>
      <c r="D71" s="186">
        <v>0</v>
      </c>
      <c r="E71" s="186">
        <v>0</v>
      </c>
      <c r="F71" s="20">
        <v>0</v>
      </c>
    </row>
    <row r="72" spans="1:6" ht="10.5" x14ac:dyDescent="0.15">
      <c r="A72" s="179" t="s">
        <v>899</v>
      </c>
      <c r="B72" s="186">
        <v>48</v>
      </c>
      <c r="C72" s="186">
        <v>0</v>
      </c>
      <c r="D72" s="186">
        <v>0</v>
      </c>
      <c r="E72" s="186">
        <v>0</v>
      </c>
      <c r="F72" s="20">
        <v>0</v>
      </c>
    </row>
    <row r="73" spans="1:6" ht="10.5" x14ac:dyDescent="0.15">
      <c r="A73" s="179" t="s">
        <v>900</v>
      </c>
      <c r="B73" s="186">
        <v>0</v>
      </c>
      <c r="C73" s="186">
        <v>0</v>
      </c>
      <c r="D73" s="186">
        <v>0</v>
      </c>
      <c r="E73" s="186">
        <v>0</v>
      </c>
      <c r="F73" s="20">
        <v>17</v>
      </c>
    </row>
    <row r="74" spans="1:6" ht="10.5" x14ac:dyDescent="0.15">
      <c r="A74" s="179" t="s">
        <v>901</v>
      </c>
      <c r="B74" s="186">
        <v>0</v>
      </c>
      <c r="C74" s="186">
        <v>0</v>
      </c>
      <c r="D74" s="186">
        <v>0</v>
      </c>
      <c r="E74" s="186">
        <v>0</v>
      </c>
      <c r="F74" s="20">
        <v>0</v>
      </c>
    </row>
    <row r="75" spans="1:6" ht="10.5" x14ac:dyDescent="0.15">
      <c r="A75" s="179" t="s">
        <v>902</v>
      </c>
      <c r="B75" s="186">
        <v>0</v>
      </c>
      <c r="C75" s="186">
        <v>0</v>
      </c>
      <c r="D75" s="186">
        <v>1</v>
      </c>
      <c r="E75" s="186">
        <v>0</v>
      </c>
      <c r="F75" s="20">
        <v>56</v>
      </c>
    </row>
    <row r="76" spans="1:6" ht="10.5" x14ac:dyDescent="0.15">
      <c r="A76" s="179" t="s">
        <v>903</v>
      </c>
      <c r="B76" s="186">
        <v>2</v>
      </c>
      <c r="C76" s="186">
        <v>7</v>
      </c>
      <c r="D76" s="186">
        <v>13</v>
      </c>
      <c r="E76" s="180">
        <v>10</v>
      </c>
      <c r="F76" s="20">
        <v>252</v>
      </c>
    </row>
    <row r="77" spans="1:6" ht="10.5" x14ac:dyDescent="0.15">
      <c r="A77" s="179" t="s">
        <v>904</v>
      </c>
      <c r="B77" s="186">
        <v>175</v>
      </c>
      <c r="C77" s="186">
        <v>165</v>
      </c>
      <c r="D77" s="186">
        <v>481</v>
      </c>
      <c r="E77" s="180">
        <v>78</v>
      </c>
      <c r="F77" s="20">
        <v>2031</v>
      </c>
    </row>
    <row r="78" spans="1:6" s="183" customFormat="1" ht="10.5" x14ac:dyDescent="0.15">
      <c r="A78" s="191" t="s">
        <v>16</v>
      </c>
      <c r="B78" s="184">
        <f t="shared" ref="B78:F78" si="12">SUM(B79:B80)</f>
        <v>0</v>
      </c>
      <c r="C78" s="184">
        <f t="shared" si="12"/>
        <v>0</v>
      </c>
      <c r="D78" s="184">
        <f t="shared" si="12"/>
        <v>1</v>
      </c>
      <c r="E78" s="184">
        <f t="shared" si="12"/>
        <v>0</v>
      </c>
      <c r="F78" s="88">
        <f t="shared" si="12"/>
        <v>15</v>
      </c>
    </row>
    <row r="79" spans="1:6" ht="10.5" x14ac:dyDescent="0.15">
      <c r="A79" s="179" t="s">
        <v>905</v>
      </c>
      <c r="B79" s="186">
        <v>0</v>
      </c>
      <c r="C79" s="186">
        <v>0</v>
      </c>
      <c r="D79" s="186">
        <v>0</v>
      </c>
      <c r="E79" s="186">
        <v>0</v>
      </c>
      <c r="F79" s="20">
        <v>1</v>
      </c>
    </row>
    <row r="80" spans="1:6" ht="10.5" x14ac:dyDescent="0.15">
      <c r="A80" s="179" t="s">
        <v>906</v>
      </c>
      <c r="B80" s="186">
        <v>0</v>
      </c>
      <c r="C80" s="186">
        <v>0</v>
      </c>
      <c r="D80" s="186">
        <v>1</v>
      </c>
      <c r="E80" s="186">
        <v>0</v>
      </c>
      <c r="F80" s="20">
        <v>14</v>
      </c>
    </row>
    <row r="81" spans="1:6" s="183" customFormat="1" ht="10.5" x14ac:dyDescent="0.15">
      <c r="A81" s="191" t="s">
        <v>17</v>
      </c>
      <c r="B81" s="184">
        <f t="shared" ref="B81:F81" si="13">SUM(B82:B92)</f>
        <v>488</v>
      </c>
      <c r="C81" s="184">
        <f t="shared" si="13"/>
        <v>439</v>
      </c>
      <c r="D81" s="184">
        <f t="shared" si="13"/>
        <v>193</v>
      </c>
      <c r="E81" s="184">
        <f t="shared" si="13"/>
        <v>89</v>
      </c>
      <c r="F81" s="88">
        <f t="shared" si="13"/>
        <v>107</v>
      </c>
    </row>
    <row r="82" spans="1:6" ht="10.5" x14ac:dyDescent="0.15">
      <c r="A82" s="179" t="s">
        <v>907</v>
      </c>
      <c r="B82" s="186">
        <v>0</v>
      </c>
      <c r="C82" s="186">
        <v>53</v>
      </c>
      <c r="D82" s="186">
        <v>8</v>
      </c>
      <c r="E82" s="180">
        <v>29</v>
      </c>
      <c r="F82" s="20">
        <v>47</v>
      </c>
    </row>
    <row r="83" spans="1:6" ht="10.5" x14ac:dyDescent="0.15">
      <c r="A83" s="179" t="s">
        <v>908</v>
      </c>
      <c r="B83" s="186">
        <v>61</v>
      </c>
      <c r="C83" s="186">
        <v>18</v>
      </c>
      <c r="D83" s="186">
        <v>1</v>
      </c>
      <c r="E83" s="180">
        <v>17</v>
      </c>
      <c r="F83" s="20">
        <v>16</v>
      </c>
    </row>
    <row r="84" spans="1:6" ht="10.5" x14ac:dyDescent="0.15">
      <c r="A84" s="179" t="s">
        <v>909</v>
      </c>
      <c r="B84" s="186">
        <v>427</v>
      </c>
      <c r="C84" s="186">
        <v>367</v>
      </c>
      <c r="D84" s="186">
        <v>184</v>
      </c>
      <c r="E84" s="180">
        <v>41</v>
      </c>
      <c r="F84" s="20">
        <v>40</v>
      </c>
    </row>
    <row r="85" spans="1:6" ht="10.5" x14ac:dyDescent="0.15">
      <c r="A85" s="179" t="s">
        <v>910</v>
      </c>
      <c r="B85" s="186">
        <v>0</v>
      </c>
      <c r="C85" s="186">
        <v>0</v>
      </c>
      <c r="D85" s="186">
        <v>0</v>
      </c>
      <c r="E85" s="186">
        <v>0</v>
      </c>
      <c r="F85" s="20">
        <v>0</v>
      </c>
    </row>
    <row r="86" spans="1:6" ht="10.5" x14ac:dyDescent="0.15">
      <c r="A86" s="179" t="s">
        <v>911</v>
      </c>
      <c r="B86" s="186">
        <v>0</v>
      </c>
      <c r="C86" s="186">
        <v>0</v>
      </c>
      <c r="D86" s="186">
        <v>0</v>
      </c>
      <c r="E86" s="186">
        <v>0</v>
      </c>
      <c r="F86" s="20">
        <v>0</v>
      </c>
    </row>
    <row r="87" spans="1:6" ht="10.5" x14ac:dyDescent="0.15">
      <c r="A87" s="179" t="s">
        <v>912</v>
      </c>
      <c r="B87" s="186">
        <v>0</v>
      </c>
      <c r="C87" s="186">
        <v>0</v>
      </c>
      <c r="D87" s="186">
        <v>0</v>
      </c>
      <c r="E87" s="186">
        <v>0</v>
      </c>
      <c r="F87" s="20">
        <v>0</v>
      </c>
    </row>
    <row r="88" spans="1:6" ht="10.5" x14ac:dyDescent="0.15">
      <c r="A88" s="179" t="s">
        <v>913</v>
      </c>
      <c r="B88" s="186">
        <v>0</v>
      </c>
      <c r="C88" s="186">
        <v>0</v>
      </c>
      <c r="D88" s="186">
        <v>0</v>
      </c>
      <c r="E88" s="186">
        <v>0</v>
      </c>
      <c r="F88" s="20">
        <v>0</v>
      </c>
    </row>
    <row r="89" spans="1:6" ht="10.5" x14ac:dyDescent="0.15">
      <c r="A89" s="179" t="s">
        <v>914</v>
      </c>
      <c r="B89" s="186">
        <v>0</v>
      </c>
      <c r="C89" s="186">
        <v>0</v>
      </c>
      <c r="D89" s="186">
        <v>0</v>
      </c>
      <c r="E89" s="186">
        <v>0</v>
      </c>
      <c r="F89" s="20">
        <v>0</v>
      </c>
    </row>
    <row r="90" spans="1:6" ht="10.5" x14ac:dyDescent="0.15">
      <c r="A90" s="179" t="s">
        <v>915</v>
      </c>
      <c r="B90" s="186">
        <v>0</v>
      </c>
      <c r="C90" s="186">
        <v>1</v>
      </c>
      <c r="D90" s="186">
        <v>0</v>
      </c>
      <c r="E90" s="180">
        <v>2</v>
      </c>
      <c r="F90" s="20">
        <v>4</v>
      </c>
    </row>
    <row r="91" spans="1:6" ht="10.5" x14ac:dyDescent="0.15">
      <c r="A91" s="179" t="s">
        <v>916</v>
      </c>
      <c r="B91" s="186">
        <v>0</v>
      </c>
      <c r="C91" s="186">
        <v>0</v>
      </c>
      <c r="D91" s="186">
        <v>0</v>
      </c>
      <c r="E91" s="186">
        <v>0</v>
      </c>
      <c r="F91" s="20">
        <v>0</v>
      </c>
    </row>
    <row r="92" spans="1:6" ht="10.5" x14ac:dyDescent="0.15">
      <c r="A92" s="179" t="s">
        <v>917</v>
      </c>
      <c r="B92" s="186">
        <v>0</v>
      </c>
      <c r="C92" s="186">
        <v>0</v>
      </c>
      <c r="D92" s="186">
        <v>0</v>
      </c>
      <c r="E92" s="186">
        <v>0</v>
      </c>
      <c r="F92" s="20">
        <v>0</v>
      </c>
    </row>
    <row r="93" spans="1:6" s="183" customFormat="1" ht="10.5" x14ac:dyDescent="0.15">
      <c r="A93" s="191" t="s">
        <v>18</v>
      </c>
      <c r="B93" s="184">
        <f t="shared" ref="B93:F93" si="14">SUM(B94:B112)</f>
        <v>19</v>
      </c>
      <c r="C93" s="184">
        <f t="shared" si="14"/>
        <v>10</v>
      </c>
      <c r="D93" s="184">
        <f t="shared" si="14"/>
        <v>84</v>
      </c>
      <c r="E93" s="184">
        <f t="shared" si="14"/>
        <v>99</v>
      </c>
      <c r="F93" s="88">
        <f t="shared" si="14"/>
        <v>70</v>
      </c>
    </row>
    <row r="94" spans="1:6" ht="10.5" x14ac:dyDescent="0.15">
      <c r="A94" s="179" t="s">
        <v>960</v>
      </c>
      <c r="B94" s="186">
        <v>0</v>
      </c>
      <c r="C94" s="186">
        <v>0</v>
      </c>
      <c r="D94" s="186">
        <v>0</v>
      </c>
      <c r="E94" s="186">
        <v>0</v>
      </c>
      <c r="F94" s="20">
        <v>0</v>
      </c>
    </row>
    <row r="95" spans="1:6" ht="10.5" x14ac:dyDescent="0.15">
      <c r="A95" s="179" t="s">
        <v>961</v>
      </c>
      <c r="B95" s="186">
        <v>0</v>
      </c>
      <c r="C95" s="186">
        <v>0</v>
      </c>
      <c r="D95" s="186">
        <v>0</v>
      </c>
      <c r="E95" s="186">
        <v>0</v>
      </c>
      <c r="F95" s="20">
        <v>0</v>
      </c>
    </row>
    <row r="96" spans="1:6" ht="10.5" x14ac:dyDescent="0.15">
      <c r="A96" s="179" t="s">
        <v>920</v>
      </c>
      <c r="B96" s="186">
        <v>0</v>
      </c>
      <c r="C96" s="186">
        <v>0</v>
      </c>
      <c r="D96" s="186">
        <v>0</v>
      </c>
      <c r="E96" s="186">
        <v>0</v>
      </c>
      <c r="F96" s="20">
        <v>0</v>
      </c>
    </row>
    <row r="97" spans="1:6" ht="10.5" x14ac:dyDescent="0.15">
      <c r="A97" s="179" t="s">
        <v>921</v>
      </c>
      <c r="B97" s="186">
        <v>4</v>
      </c>
      <c r="C97" s="186">
        <v>0</v>
      </c>
      <c r="D97" s="186">
        <v>2</v>
      </c>
      <c r="E97" s="180">
        <v>8</v>
      </c>
      <c r="F97" s="20">
        <v>26</v>
      </c>
    </row>
    <row r="98" spans="1:6" ht="10.5" x14ac:dyDescent="0.15">
      <c r="A98" s="179" t="s">
        <v>922</v>
      </c>
      <c r="B98" s="186">
        <v>0</v>
      </c>
      <c r="C98" s="186">
        <v>0</v>
      </c>
      <c r="D98" s="186">
        <v>0</v>
      </c>
      <c r="E98" s="180">
        <v>1</v>
      </c>
      <c r="F98" s="20">
        <v>0</v>
      </c>
    </row>
    <row r="99" spans="1:6" ht="10.5" x14ac:dyDescent="0.15">
      <c r="A99" s="179" t="s">
        <v>923</v>
      </c>
      <c r="B99" s="186">
        <v>0</v>
      </c>
      <c r="C99" s="186">
        <v>10</v>
      </c>
      <c r="D99" s="186">
        <v>13</v>
      </c>
      <c r="E99" s="180">
        <v>58</v>
      </c>
      <c r="F99" s="20">
        <v>23</v>
      </c>
    </row>
    <row r="100" spans="1:6" ht="10.5" x14ac:dyDescent="0.15">
      <c r="A100" s="179" t="s">
        <v>924</v>
      </c>
      <c r="B100" s="186">
        <v>0</v>
      </c>
      <c r="C100" s="186">
        <v>0</v>
      </c>
      <c r="D100" s="186">
        <v>0</v>
      </c>
      <c r="E100" s="186">
        <v>0</v>
      </c>
      <c r="F100" s="20">
        <v>0</v>
      </c>
    </row>
    <row r="101" spans="1:6" ht="10.5" x14ac:dyDescent="0.15">
      <c r="A101" s="179" t="s">
        <v>925</v>
      </c>
      <c r="B101" s="186">
        <v>0</v>
      </c>
      <c r="C101" s="186">
        <v>0</v>
      </c>
      <c r="D101" s="186">
        <v>0</v>
      </c>
      <c r="E101" s="186">
        <v>0</v>
      </c>
      <c r="F101" s="20">
        <v>0</v>
      </c>
    </row>
    <row r="102" spans="1:6" ht="10.5" x14ac:dyDescent="0.15">
      <c r="A102" s="179" t="s">
        <v>926</v>
      </c>
      <c r="B102" s="186">
        <v>0</v>
      </c>
      <c r="C102" s="186">
        <v>0</v>
      </c>
      <c r="D102" s="186">
        <v>0</v>
      </c>
      <c r="E102" s="186">
        <v>0</v>
      </c>
      <c r="F102" s="20">
        <v>0</v>
      </c>
    </row>
    <row r="103" spans="1:6" ht="10.5" x14ac:dyDescent="0.15">
      <c r="A103" s="179" t="s">
        <v>927</v>
      </c>
      <c r="B103" s="186">
        <v>1</v>
      </c>
      <c r="C103" s="186">
        <v>0</v>
      </c>
      <c r="D103" s="186">
        <v>0</v>
      </c>
      <c r="E103" s="180">
        <v>1</v>
      </c>
      <c r="F103" s="20">
        <v>0</v>
      </c>
    </row>
    <row r="104" spans="1:6" ht="10.5" x14ac:dyDescent="0.15">
      <c r="A104" s="179" t="s">
        <v>928</v>
      </c>
      <c r="B104" s="186">
        <v>0</v>
      </c>
      <c r="C104" s="186">
        <v>0</v>
      </c>
      <c r="D104" s="186">
        <v>0</v>
      </c>
      <c r="E104" s="186">
        <v>0</v>
      </c>
      <c r="F104" s="20">
        <v>0</v>
      </c>
    </row>
    <row r="105" spans="1:6" ht="10.5" x14ac:dyDescent="0.15">
      <c r="A105" s="179" t="s">
        <v>929</v>
      </c>
      <c r="B105" s="186">
        <v>0</v>
      </c>
      <c r="C105" s="186">
        <v>0</v>
      </c>
      <c r="D105" s="186">
        <v>0</v>
      </c>
      <c r="E105" s="186">
        <v>0</v>
      </c>
      <c r="F105" s="20">
        <v>0</v>
      </c>
    </row>
    <row r="106" spans="1:6" ht="10.5" x14ac:dyDescent="0.15">
      <c r="A106" s="179" t="s">
        <v>930</v>
      </c>
      <c r="B106" s="186">
        <v>0</v>
      </c>
      <c r="C106" s="186">
        <v>0</v>
      </c>
      <c r="D106" s="186">
        <v>0</v>
      </c>
      <c r="E106" s="186">
        <v>0</v>
      </c>
      <c r="F106" s="20">
        <v>0</v>
      </c>
    </row>
    <row r="107" spans="1:6" ht="10.5" x14ac:dyDescent="0.15">
      <c r="A107" s="179" t="s">
        <v>931</v>
      </c>
      <c r="B107" s="186">
        <v>0</v>
      </c>
      <c r="C107" s="186">
        <v>0</v>
      </c>
      <c r="D107" s="186">
        <v>0</v>
      </c>
      <c r="E107" s="186">
        <v>0</v>
      </c>
      <c r="F107" s="20">
        <v>0</v>
      </c>
    </row>
    <row r="108" spans="1:6" ht="10.5" x14ac:dyDescent="0.15">
      <c r="A108" s="179" t="s">
        <v>932</v>
      </c>
      <c r="B108" s="186">
        <v>14</v>
      </c>
      <c r="C108" s="186">
        <v>0</v>
      </c>
      <c r="D108" s="186">
        <v>69</v>
      </c>
      <c r="E108" s="180">
        <v>31</v>
      </c>
      <c r="F108" s="20">
        <v>21</v>
      </c>
    </row>
    <row r="109" spans="1:6" ht="11.25" x14ac:dyDescent="0.15">
      <c r="A109" s="179" t="s">
        <v>933</v>
      </c>
      <c r="B109" s="186">
        <v>0</v>
      </c>
      <c r="C109" s="186">
        <v>0</v>
      </c>
      <c r="D109" s="186">
        <v>0</v>
      </c>
      <c r="E109" s="186">
        <v>0</v>
      </c>
      <c r="F109" s="20">
        <v>0</v>
      </c>
    </row>
    <row r="110" spans="1:6" ht="10.5" x14ac:dyDescent="0.15">
      <c r="A110" s="179" t="s">
        <v>934</v>
      </c>
      <c r="B110" s="186">
        <v>0</v>
      </c>
      <c r="C110" s="186">
        <v>0</v>
      </c>
      <c r="D110" s="186">
        <v>0</v>
      </c>
      <c r="E110" s="186">
        <v>0</v>
      </c>
      <c r="F110" s="20">
        <v>0</v>
      </c>
    </row>
    <row r="111" spans="1:6" ht="10.5" x14ac:dyDescent="0.15">
      <c r="A111" s="179" t="s">
        <v>935</v>
      </c>
      <c r="B111" s="186">
        <v>0</v>
      </c>
      <c r="C111" s="186">
        <v>0</v>
      </c>
      <c r="D111" s="186">
        <v>0</v>
      </c>
      <c r="E111" s="186">
        <v>0</v>
      </c>
      <c r="F111" s="20">
        <v>0</v>
      </c>
    </row>
    <row r="112" spans="1:6" ht="12" customHeight="1" x14ac:dyDescent="0.15">
      <c r="A112" s="179" t="s">
        <v>936</v>
      </c>
      <c r="B112" s="186">
        <v>0</v>
      </c>
      <c r="C112" s="186">
        <v>0</v>
      </c>
      <c r="D112" s="186">
        <v>0</v>
      </c>
      <c r="E112" s="186">
        <v>0</v>
      </c>
      <c r="F112" s="20">
        <v>0</v>
      </c>
    </row>
    <row r="113" spans="1:6" s="183" customFormat="1" ht="10.5" x14ac:dyDescent="0.15">
      <c r="A113" s="191" t="s">
        <v>19</v>
      </c>
      <c r="B113" s="184">
        <f t="shared" ref="B113:F113" si="15">SUM(B114:B124)</f>
        <v>604</v>
      </c>
      <c r="C113" s="184">
        <f t="shared" si="15"/>
        <v>486</v>
      </c>
      <c r="D113" s="184">
        <f t="shared" si="15"/>
        <v>597</v>
      </c>
      <c r="E113" s="184">
        <f t="shared" si="15"/>
        <v>671</v>
      </c>
      <c r="F113" s="88">
        <f t="shared" si="15"/>
        <v>735</v>
      </c>
    </row>
    <row r="114" spans="1:6" ht="10.5" x14ac:dyDescent="0.15">
      <c r="A114" s="179" t="s">
        <v>962</v>
      </c>
      <c r="B114" s="186">
        <v>34</v>
      </c>
      <c r="C114" s="186">
        <v>23</v>
      </c>
      <c r="D114" s="186">
        <v>23</v>
      </c>
      <c r="E114" s="180">
        <v>30</v>
      </c>
      <c r="F114" s="20">
        <v>37</v>
      </c>
    </row>
    <row r="115" spans="1:6" ht="10.5" x14ac:dyDescent="0.15">
      <c r="A115" s="179" t="s">
        <v>938</v>
      </c>
      <c r="B115" s="186">
        <v>0</v>
      </c>
      <c r="C115" s="186">
        <v>0</v>
      </c>
      <c r="D115" s="186">
        <v>0</v>
      </c>
      <c r="E115" s="186">
        <v>0</v>
      </c>
      <c r="F115" s="20">
        <v>0</v>
      </c>
    </row>
    <row r="116" spans="1:6" ht="10.5" x14ac:dyDescent="0.15">
      <c r="A116" s="179" t="s">
        <v>939</v>
      </c>
      <c r="B116" s="186">
        <v>0</v>
      </c>
      <c r="C116" s="186">
        <v>0</v>
      </c>
      <c r="D116" s="186">
        <v>0</v>
      </c>
      <c r="E116" s="186">
        <v>0</v>
      </c>
      <c r="F116" s="20">
        <v>0</v>
      </c>
    </row>
    <row r="117" spans="1:6" ht="10.5" x14ac:dyDescent="0.15">
      <c r="A117" s="179" t="s">
        <v>940</v>
      </c>
      <c r="B117" s="186">
        <v>0</v>
      </c>
      <c r="C117" s="186">
        <v>1</v>
      </c>
      <c r="D117" s="186">
        <v>0</v>
      </c>
      <c r="E117" s="186">
        <v>0</v>
      </c>
      <c r="F117" s="20">
        <v>0</v>
      </c>
    </row>
    <row r="118" spans="1:6" ht="10.5" x14ac:dyDescent="0.15">
      <c r="A118" s="179" t="s">
        <v>941</v>
      </c>
      <c r="B118" s="186">
        <v>30</v>
      </c>
      <c r="C118" s="186">
        <v>31</v>
      </c>
      <c r="D118" s="186">
        <v>18</v>
      </c>
      <c r="E118" s="180">
        <v>48</v>
      </c>
      <c r="F118" s="20">
        <v>41</v>
      </c>
    </row>
    <row r="119" spans="1:6" ht="10.5" x14ac:dyDescent="0.15">
      <c r="A119" s="179" t="s">
        <v>942</v>
      </c>
      <c r="B119" s="186">
        <v>0</v>
      </c>
      <c r="C119" s="186">
        <v>0</v>
      </c>
      <c r="D119" s="186">
        <v>0</v>
      </c>
      <c r="E119" s="186">
        <v>0</v>
      </c>
      <c r="F119" s="20">
        <v>0</v>
      </c>
    </row>
    <row r="120" spans="1:6" ht="10.5" x14ac:dyDescent="0.15">
      <c r="A120" s="179" t="s">
        <v>943</v>
      </c>
      <c r="B120" s="186">
        <v>0</v>
      </c>
      <c r="C120" s="186">
        <v>1</v>
      </c>
      <c r="D120" s="186">
        <v>0</v>
      </c>
      <c r="E120" s="180">
        <v>5</v>
      </c>
      <c r="F120" s="20">
        <v>0</v>
      </c>
    </row>
    <row r="121" spans="1:6" ht="10.5" x14ac:dyDescent="0.15">
      <c r="A121" s="179" t="s">
        <v>944</v>
      </c>
      <c r="B121" s="186">
        <v>4</v>
      </c>
      <c r="C121" s="186">
        <v>4</v>
      </c>
      <c r="D121" s="186">
        <v>0</v>
      </c>
      <c r="E121" s="180">
        <v>1</v>
      </c>
      <c r="F121" s="20">
        <v>0</v>
      </c>
    </row>
    <row r="122" spans="1:6" ht="10.5" x14ac:dyDescent="0.15">
      <c r="A122" s="179" t="s">
        <v>945</v>
      </c>
      <c r="B122" s="186">
        <v>84</v>
      </c>
      <c r="C122" s="186">
        <v>60</v>
      </c>
      <c r="D122" s="186">
        <v>137</v>
      </c>
      <c r="E122" s="180">
        <v>44</v>
      </c>
      <c r="F122" s="20">
        <v>5</v>
      </c>
    </row>
    <row r="123" spans="1:6" ht="10.5" x14ac:dyDescent="0.15">
      <c r="A123" s="179" t="s">
        <v>946</v>
      </c>
      <c r="B123" s="186">
        <v>0</v>
      </c>
      <c r="C123" s="186">
        <v>0</v>
      </c>
      <c r="D123" s="186">
        <v>0</v>
      </c>
      <c r="E123" s="186">
        <v>0</v>
      </c>
      <c r="F123" s="20">
        <v>0</v>
      </c>
    </row>
    <row r="124" spans="1:6" ht="10.5" x14ac:dyDescent="0.15">
      <c r="A124" s="179" t="s">
        <v>947</v>
      </c>
      <c r="B124" s="186">
        <v>452</v>
      </c>
      <c r="C124" s="186">
        <v>366</v>
      </c>
      <c r="D124" s="186">
        <v>419</v>
      </c>
      <c r="E124" s="180">
        <v>543</v>
      </c>
      <c r="F124" s="20">
        <v>652</v>
      </c>
    </row>
    <row r="125" spans="1:6" ht="9" customHeight="1" x14ac:dyDescent="0.15">
      <c r="F125" s="180"/>
    </row>
    <row r="126" spans="1:6" ht="15" customHeight="1" x14ac:dyDescent="0.15">
      <c r="A126" s="179" t="s">
        <v>980</v>
      </c>
      <c r="F126" s="180"/>
    </row>
    <row r="127" spans="1:6" ht="10.5" x14ac:dyDescent="0.15">
      <c r="A127" s="242" t="s">
        <v>964</v>
      </c>
      <c r="B127" s="243"/>
      <c r="C127" s="243"/>
      <c r="D127" s="243"/>
      <c r="E127" s="243"/>
      <c r="F127" s="180"/>
    </row>
    <row r="128" spans="1:6" ht="10.5" x14ac:dyDescent="0.15">
      <c r="A128" s="242" t="s">
        <v>456</v>
      </c>
      <c r="B128" s="243"/>
      <c r="C128" s="243"/>
      <c r="D128" s="243"/>
      <c r="E128" s="243"/>
      <c r="F128" s="180"/>
    </row>
  </sheetData>
  <mergeCells count="3">
    <mergeCell ref="A2:F2"/>
    <mergeCell ref="A4:A5"/>
    <mergeCell ref="B4:F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G26"/>
  <sheetViews>
    <sheetView zoomScaleNormal="100" workbookViewId="0">
      <selection activeCell="I13" sqref="I13"/>
    </sheetView>
  </sheetViews>
  <sheetFormatPr baseColWidth="10" defaultRowHeight="10.5" x14ac:dyDescent="0.15"/>
  <cols>
    <col min="1" max="1" width="23.28515625" style="6" customWidth="1"/>
    <col min="2" max="2" width="11.42578125" style="6"/>
    <col min="3" max="5" width="14.28515625" style="6" customWidth="1"/>
    <col min="6" max="16384" width="11.42578125" style="6"/>
  </cols>
  <sheetData>
    <row r="1" spans="1:5" ht="11.25" customHeight="1" x14ac:dyDescent="0.15">
      <c r="A1" s="244"/>
    </row>
    <row r="2" spans="1:5" ht="41.25" customHeight="1" x14ac:dyDescent="0.15">
      <c r="A2" s="2525" t="s">
        <v>981</v>
      </c>
      <c r="B2" s="2525"/>
      <c r="C2" s="2525"/>
      <c r="D2" s="2525"/>
      <c r="E2" s="2525"/>
    </row>
    <row r="3" spans="1:5" ht="11.25" customHeight="1" x14ac:dyDescent="0.15">
      <c r="A3" s="2526"/>
      <c r="B3" s="2526"/>
      <c r="C3" s="2526"/>
      <c r="D3" s="2526"/>
      <c r="E3" s="2526"/>
    </row>
    <row r="4" spans="1:5" ht="15" customHeight="1" x14ac:dyDescent="0.15">
      <c r="A4" s="2325" t="s">
        <v>982</v>
      </c>
      <c r="B4" s="2527" t="s">
        <v>69</v>
      </c>
      <c r="C4" s="2528" t="s">
        <v>983</v>
      </c>
      <c r="D4" s="2528"/>
      <c r="E4" s="2527" t="s">
        <v>984</v>
      </c>
    </row>
    <row r="5" spans="1:5" ht="25.5" customHeight="1" x14ac:dyDescent="0.15">
      <c r="A5" s="2325"/>
      <c r="B5" s="2527"/>
      <c r="C5" s="245" t="s">
        <v>985</v>
      </c>
      <c r="D5" s="245" t="s">
        <v>986</v>
      </c>
      <c r="E5" s="2527"/>
    </row>
    <row r="6" spans="1:5" ht="15" customHeight="1" x14ac:dyDescent="0.15">
      <c r="A6" s="246" t="s">
        <v>141</v>
      </c>
      <c r="B6" s="247">
        <f>SUM(C6:D6)</f>
        <v>20</v>
      </c>
      <c r="C6" s="247">
        <f>SUM(C7:C21)</f>
        <v>12</v>
      </c>
      <c r="D6" s="247">
        <f>SUM(D7:D21)</f>
        <v>8</v>
      </c>
      <c r="E6" s="247">
        <f>SUM(E7:E21)</f>
        <v>11</v>
      </c>
    </row>
    <row r="7" spans="1:5" ht="15" customHeight="1" x14ac:dyDescent="0.15">
      <c r="A7" s="6" t="s">
        <v>5</v>
      </c>
      <c r="B7" s="247">
        <f t="shared" ref="B7:B21" si="0">SUM(C7:D7)</f>
        <v>0</v>
      </c>
      <c r="C7" s="248">
        <v>0</v>
      </c>
      <c r="D7" s="248">
        <v>0</v>
      </c>
      <c r="E7" s="248">
        <v>0</v>
      </c>
    </row>
    <row r="8" spans="1:5" ht="15" customHeight="1" x14ac:dyDescent="0.15">
      <c r="A8" s="6" t="s">
        <v>6</v>
      </c>
      <c r="B8" s="247">
        <f t="shared" si="0"/>
        <v>2</v>
      </c>
      <c r="C8" s="248">
        <v>2</v>
      </c>
      <c r="D8" s="248">
        <v>0</v>
      </c>
      <c r="E8" s="248">
        <v>0</v>
      </c>
    </row>
    <row r="9" spans="1:5" ht="15" customHeight="1" x14ac:dyDescent="0.15">
      <c r="A9" s="6" t="s">
        <v>7</v>
      </c>
      <c r="B9" s="247">
        <f t="shared" si="0"/>
        <v>1</v>
      </c>
      <c r="C9" s="248">
        <v>0</v>
      </c>
      <c r="D9" s="248">
        <v>1</v>
      </c>
      <c r="E9" s="248">
        <v>1</v>
      </c>
    </row>
    <row r="10" spans="1:5" ht="15" customHeight="1" x14ac:dyDescent="0.15">
      <c r="A10" s="6" t="s">
        <v>8</v>
      </c>
      <c r="B10" s="247">
        <f t="shared" si="0"/>
        <v>1</v>
      </c>
      <c r="C10" s="248">
        <v>1</v>
      </c>
      <c r="D10" s="248">
        <v>0</v>
      </c>
      <c r="E10" s="248">
        <v>0</v>
      </c>
    </row>
    <row r="11" spans="1:5" ht="15" customHeight="1" x14ac:dyDescent="0.15">
      <c r="A11" s="6" t="s">
        <v>9</v>
      </c>
      <c r="B11" s="247">
        <f t="shared" si="0"/>
        <v>0</v>
      </c>
      <c r="C11" s="248">
        <v>0</v>
      </c>
      <c r="D11" s="248">
        <v>0</v>
      </c>
      <c r="E11" s="248">
        <v>0</v>
      </c>
    </row>
    <row r="12" spans="1:5" ht="15" customHeight="1" x14ac:dyDescent="0.15">
      <c r="A12" s="6" t="s">
        <v>10</v>
      </c>
      <c r="B12" s="247">
        <f t="shared" si="0"/>
        <v>4</v>
      </c>
      <c r="C12" s="248">
        <v>2</v>
      </c>
      <c r="D12" s="248">
        <v>2</v>
      </c>
      <c r="E12" s="248">
        <v>2</v>
      </c>
    </row>
    <row r="13" spans="1:5" ht="15" customHeight="1" x14ac:dyDescent="0.15">
      <c r="A13" s="6" t="s">
        <v>11</v>
      </c>
      <c r="B13" s="247">
        <f t="shared" si="0"/>
        <v>7</v>
      </c>
      <c r="C13" s="248">
        <v>5</v>
      </c>
      <c r="D13" s="248">
        <v>2</v>
      </c>
      <c r="E13" s="248">
        <v>2</v>
      </c>
    </row>
    <row r="14" spans="1:5" ht="15" customHeight="1" x14ac:dyDescent="0.15">
      <c r="A14" s="6" t="s">
        <v>12</v>
      </c>
      <c r="B14" s="247">
        <f t="shared" si="0"/>
        <v>1</v>
      </c>
      <c r="C14" s="248">
        <v>1</v>
      </c>
      <c r="D14" s="248">
        <v>0</v>
      </c>
      <c r="E14" s="248">
        <v>0</v>
      </c>
    </row>
    <row r="15" spans="1:5" ht="15" customHeight="1" x14ac:dyDescent="0.15">
      <c r="A15" s="6" t="s">
        <v>13</v>
      </c>
      <c r="B15" s="247">
        <f t="shared" si="0"/>
        <v>1</v>
      </c>
      <c r="C15" s="248">
        <v>0</v>
      </c>
      <c r="D15" s="248">
        <v>1</v>
      </c>
      <c r="E15" s="248">
        <v>3</v>
      </c>
    </row>
    <row r="16" spans="1:5" ht="15" customHeight="1" x14ac:dyDescent="0.15">
      <c r="A16" s="6" t="s">
        <v>14</v>
      </c>
      <c r="B16" s="247">
        <f t="shared" si="0"/>
        <v>0</v>
      </c>
      <c r="C16" s="248">
        <v>0</v>
      </c>
      <c r="D16" s="248">
        <v>0</v>
      </c>
      <c r="E16" s="248">
        <v>0</v>
      </c>
    </row>
    <row r="17" spans="1:7" ht="15" customHeight="1" x14ac:dyDescent="0.15">
      <c r="A17" s="6" t="s">
        <v>15</v>
      </c>
      <c r="B17" s="247">
        <f t="shared" si="0"/>
        <v>1</v>
      </c>
      <c r="C17" s="248">
        <v>1</v>
      </c>
      <c r="D17" s="248">
        <v>0</v>
      </c>
      <c r="E17" s="248">
        <v>0</v>
      </c>
    </row>
    <row r="18" spans="1:7" ht="15" customHeight="1" x14ac:dyDescent="0.15">
      <c r="A18" s="6" t="s">
        <v>16</v>
      </c>
      <c r="B18" s="247">
        <f t="shared" si="0"/>
        <v>1</v>
      </c>
      <c r="C18" s="248">
        <v>0</v>
      </c>
      <c r="D18" s="248">
        <v>1</v>
      </c>
      <c r="E18" s="248">
        <v>2</v>
      </c>
    </row>
    <row r="19" spans="1:7" ht="15" customHeight="1" x14ac:dyDescent="0.15">
      <c r="A19" s="6" t="s">
        <v>17</v>
      </c>
      <c r="B19" s="247">
        <f t="shared" si="0"/>
        <v>1</v>
      </c>
      <c r="C19" s="248">
        <v>0</v>
      </c>
      <c r="D19" s="248">
        <v>1</v>
      </c>
      <c r="E19" s="248">
        <v>1</v>
      </c>
    </row>
    <row r="20" spans="1:7" ht="15" customHeight="1" x14ac:dyDescent="0.15">
      <c r="A20" s="6" t="s">
        <v>18</v>
      </c>
      <c r="B20" s="247">
        <f t="shared" si="0"/>
        <v>0</v>
      </c>
      <c r="C20" s="248">
        <v>0</v>
      </c>
      <c r="D20" s="248">
        <v>0</v>
      </c>
      <c r="E20" s="248">
        <v>0</v>
      </c>
    </row>
    <row r="21" spans="1:7" ht="15" customHeight="1" x14ac:dyDescent="0.15">
      <c r="A21" s="6" t="s">
        <v>19</v>
      </c>
      <c r="B21" s="247">
        <f t="shared" si="0"/>
        <v>0</v>
      </c>
      <c r="C21" s="248">
        <v>0</v>
      </c>
      <c r="D21" s="248">
        <v>0</v>
      </c>
      <c r="E21" s="248">
        <v>0</v>
      </c>
    </row>
    <row r="22" spans="1:7" ht="11.25" customHeight="1" x14ac:dyDescent="0.15"/>
    <row r="23" spans="1:7" ht="15" customHeight="1" x14ac:dyDescent="0.15">
      <c r="A23" s="6" t="s">
        <v>20</v>
      </c>
    </row>
    <row r="24" spans="1:7" ht="15" customHeight="1" x14ac:dyDescent="0.15">
      <c r="A24" s="249" t="s">
        <v>987</v>
      </c>
      <c r="B24" s="249"/>
      <c r="C24" s="249"/>
      <c r="D24" s="249"/>
      <c r="E24" s="249"/>
      <c r="F24" s="249"/>
      <c r="G24" s="249"/>
    </row>
    <row r="25" spans="1:7" ht="15" customHeight="1" x14ac:dyDescent="0.15">
      <c r="A25" s="250"/>
      <c r="B25" s="250"/>
      <c r="C25" s="250"/>
      <c r="D25" s="250"/>
      <c r="E25" s="250"/>
    </row>
    <row r="26" spans="1:7" ht="12.75" customHeight="1" x14ac:dyDescent="0.15">
      <c r="B26" s="251"/>
      <c r="C26" s="251"/>
      <c r="D26" s="251"/>
      <c r="E26" s="251"/>
      <c r="F26" s="251"/>
      <c r="G26" s="251"/>
    </row>
  </sheetData>
  <mergeCells count="6">
    <mergeCell ref="A2:E2"/>
    <mergeCell ref="A3:E3"/>
    <mergeCell ref="A4:A5"/>
    <mergeCell ref="B4:B5"/>
    <mergeCell ref="C4:D4"/>
    <mergeCell ref="E4:E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J25"/>
  <sheetViews>
    <sheetView zoomScaleNormal="100" workbookViewId="0">
      <selection activeCell="A23" sqref="A23:J23"/>
    </sheetView>
  </sheetViews>
  <sheetFormatPr baseColWidth="10" defaultRowHeight="10.5" x14ac:dyDescent="0.15"/>
  <cols>
    <col min="1" max="1" width="22.7109375" style="1" customWidth="1"/>
    <col min="2" max="2" width="13.85546875" style="1" customWidth="1"/>
    <col min="3" max="3" width="14.42578125" style="1" bestFit="1" customWidth="1"/>
    <col min="4" max="4" width="12" style="1" customWidth="1"/>
    <col min="5" max="5" width="10.7109375" style="1" customWidth="1"/>
    <col min="6" max="6" width="10" style="1" bestFit="1" customWidth="1"/>
    <col min="7" max="7" width="14" style="1" bestFit="1" customWidth="1"/>
    <col min="8" max="8" width="11.42578125" style="1" customWidth="1"/>
    <col min="9" max="9" width="10.5703125" style="1" customWidth="1"/>
    <col min="10" max="10" width="10" style="1" bestFit="1" customWidth="1"/>
    <col min="11" max="16384" width="11.42578125" style="1"/>
  </cols>
  <sheetData>
    <row r="1" spans="1:10" ht="15" customHeight="1" x14ac:dyDescent="0.15">
      <c r="A1" s="12"/>
    </row>
    <row r="2" spans="1:10" ht="24.75" customHeight="1" x14ac:dyDescent="0.15">
      <c r="A2" s="2313" t="s">
        <v>988</v>
      </c>
      <c r="B2" s="2313"/>
      <c r="C2" s="2313"/>
      <c r="D2" s="2313"/>
      <c r="E2" s="2313"/>
      <c r="F2" s="2313"/>
      <c r="G2" s="2313"/>
      <c r="H2" s="2313"/>
      <c r="I2" s="2313"/>
      <c r="J2" s="2313"/>
    </row>
    <row r="3" spans="1:10" ht="7.5" customHeight="1" x14ac:dyDescent="0.15">
      <c r="A3" s="2526"/>
      <c r="B3" s="2526"/>
      <c r="C3" s="2526"/>
      <c r="D3" s="2526"/>
      <c r="E3" s="2526"/>
      <c r="F3" s="2526"/>
      <c r="G3" s="2526"/>
      <c r="H3" s="2526"/>
      <c r="I3" s="2526"/>
      <c r="J3" s="2526"/>
    </row>
    <row r="4" spans="1:10" ht="15" customHeight="1" x14ac:dyDescent="0.15">
      <c r="A4" s="2325" t="s">
        <v>1</v>
      </c>
      <c r="B4" s="2325" t="s">
        <v>989</v>
      </c>
      <c r="C4" s="2325" t="s">
        <v>984</v>
      </c>
      <c r="D4" s="2325"/>
      <c r="E4" s="2325"/>
      <c r="F4" s="2325"/>
      <c r="G4" s="2325"/>
      <c r="H4" s="2325"/>
      <c r="I4" s="2325"/>
      <c r="J4" s="2325"/>
    </row>
    <row r="5" spans="1:10" ht="20.25" customHeight="1" x14ac:dyDescent="0.15">
      <c r="A5" s="2325"/>
      <c r="B5" s="2325"/>
      <c r="C5" s="2325" t="s">
        <v>990</v>
      </c>
      <c r="D5" s="2325" t="s">
        <v>966</v>
      </c>
      <c r="E5" s="2325"/>
      <c r="F5" s="2325"/>
      <c r="G5" s="2325" t="s">
        <v>991</v>
      </c>
      <c r="H5" s="2325" t="s">
        <v>967</v>
      </c>
      <c r="I5" s="2325"/>
      <c r="J5" s="2325"/>
    </row>
    <row r="6" spans="1:10" ht="39" customHeight="1" x14ac:dyDescent="0.15">
      <c r="A6" s="2325"/>
      <c r="B6" s="2325"/>
      <c r="C6" s="2325"/>
      <c r="D6" s="37" t="s">
        <v>992</v>
      </c>
      <c r="E6" s="37" t="s">
        <v>993</v>
      </c>
      <c r="F6" s="37" t="s">
        <v>994</v>
      </c>
      <c r="G6" s="2325"/>
      <c r="H6" s="37" t="s">
        <v>992</v>
      </c>
      <c r="I6" s="37" t="s">
        <v>993</v>
      </c>
      <c r="J6" s="37" t="s">
        <v>994</v>
      </c>
    </row>
    <row r="7" spans="1:10" s="30" customFormat="1" ht="15" customHeight="1" x14ac:dyDescent="0.15">
      <c r="A7" s="30" t="s">
        <v>141</v>
      </c>
      <c r="B7" s="52">
        <f t="shared" ref="B7:G7" si="0">SUM(B8:B22)</f>
        <v>11</v>
      </c>
      <c r="C7" s="52">
        <f t="shared" si="0"/>
        <v>10</v>
      </c>
      <c r="D7" s="52">
        <f>SUM(D8:D22)</f>
        <v>5</v>
      </c>
      <c r="E7" s="52">
        <f>SUM(E8:E22)</f>
        <v>3</v>
      </c>
      <c r="F7" s="52">
        <f>SUM(F8:F22)</f>
        <v>2</v>
      </c>
      <c r="G7" s="52">
        <f t="shared" si="0"/>
        <v>1</v>
      </c>
      <c r="H7" s="52">
        <f>SUM(H8:H22)</f>
        <v>1</v>
      </c>
      <c r="I7" s="52">
        <f>SUM(I8:I22)</f>
        <v>0</v>
      </c>
      <c r="J7" s="52">
        <f>SUM(J8:J22)</f>
        <v>0</v>
      </c>
    </row>
    <row r="8" spans="1:10" ht="15" customHeight="1" x14ac:dyDescent="0.15">
      <c r="A8" s="1" t="s">
        <v>5</v>
      </c>
      <c r="B8" s="32">
        <f>+C8+G8</f>
        <v>0</v>
      </c>
      <c r="C8" s="32">
        <f>SUM(D8:F8)</f>
        <v>0</v>
      </c>
      <c r="D8" s="248">
        <v>0</v>
      </c>
      <c r="E8" s="248">
        <v>0</v>
      </c>
      <c r="F8" s="248">
        <v>0</v>
      </c>
      <c r="G8" s="32">
        <f>SUM(H8:J8)</f>
        <v>0</v>
      </c>
      <c r="H8" s="248">
        <v>0</v>
      </c>
      <c r="I8" s="248">
        <v>0</v>
      </c>
      <c r="J8" s="248">
        <v>0</v>
      </c>
    </row>
    <row r="9" spans="1:10" ht="15" customHeight="1" x14ac:dyDescent="0.15">
      <c r="A9" s="1" t="s">
        <v>6</v>
      </c>
      <c r="B9" s="32">
        <f t="shared" ref="B9:B22" si="1">+C9+G9</f>
        <v>0</v>
      </c>
      <c r="C9" s="32">
        <f t="shared" ref="C9:C22" si="2">SUM(D9:F9)</f>
        <v>0</v>
      </c>
      <c r="D9" s="248">
        <v>0</v>
      </c>
      <c r="E9" s="248">
        <v>0</v>
      </c>
      <c r="F9" s="248">
        <v>0</v>
      </c>
      <c r="G9" s="32">
        <f t="shared" ref="G9:G22" si="3">SUM(H9:J9)</f>
        <v>0</v>
      </c>
      <c r="H9" s="248">
        <v>0</v>
      </c>
      <c r="I9" s="248">
        <v>0</v>
      </c>
      <c r="J9" s="248">
        <v>0</v>
      </c>
    </row>
    <row r="10" spans="1:10" ht="15" customHeight="1" x14ac:dyDescent="0.15">
      <c r="A10" s="1" t="s">
        <v>7</v>
      </c>
      <c r="B10" s="32">
        <f t="shared" si="1"/>
        <v>1</v>
      </c>
      <c r="C10" s="32">
        <f t="shared" si="2"/>
        <v>1</v>
      </c>
      <c r="D10" s="248">
        <v>0</v>
      </c>
      <c r="E10" s="248">
        <v>0</v>
      </c>
      <c r="F10" s="248">
        <v>1</v>
      </c>
      <c r="G10" s="32">
        <f t="shared" si="3"/>
        <v>0</v>
      </c>
      <c r="H10" s="248">
        <v>0</v>
      </c>
      <c r="I10" s="248">
        <v>0</v>
      </c>
      <c r="J10" s="248">
        <v>0</v>
      </c>
    </row>
    <row r="11" spans="1:10" ht="15" customHeight="1" x14ac:dyDescent="0.15">
      <c r="A11" s="1" t="s">
        <v>8</v>
      </c>
      <c r="B11" s="32">
        <f t="shared" si="1"/>
        <v>0</v>
      </c>
      <c r="C11" s="32">
        <f t="shared" si="2"/>
        <v>0</v>
      </c>
      <c r="D11" s="248">
        <v>0</v>
      </c>
      <c r="E11" s="248">
        <v>0</v>
      </c>
      <c r="F11" s="248">
        <v>0</v>
      </c>
      <c r="G11" s="32">
        <f t="shared" si="3"/>
        <v>0</v>
      </c>
      <c r="H11" s="248">
        <v>0</v>
      </c>
      <c r="I11" s="248">
        <v>0</v>
      </c>
      <c r="J11" s="248">
        <v>0</v>
      </c>
    </row>
    <row r="12" spans="1:10" ht="15" customHeight="1" x14ac:dyDescent="0.15">
      <c r="A12" s="1" t="s">
        <v>9</v>
      </c>
      <c r="B12" s="32">
        <f t="shared" si="1"/>
        <v>0</v>
      </c>
      <c r="C12" s="32">
        <f t="shared" si="2"/>
        <v>0</v>
      </c>
      <c r="D12" s="248">
        <v>0</v>
      </c>
      <c r="E12" s="248">
        <v>0</v>
      </c>
      <c r="F12" s="248">
        <v>0</v>
      </c>
      <c r="G12" s="32">
        <f t="shared" si="3"/>
        <v>0</v>
      </c>
      <c r="H12" s="248">
        <v>0</v>
      </c>
      <c r="I12" s="248">
        <v>0</v>
      </c>
      <c r="J12" s="248">
        <v>0</v>
      </c>
    </row>
    <row r="13" spans="1:10" ht="15" customHeight="1" x14ac:dyDescent="0.15">
      <c r="A13" s="1" t="s">
        <v>10</v>
      </c>
      <c r="B13" s="32">
        <f t="shared" si="1"/>
        <v>2</v>
      </c>
      <c r="C13" s="32">
        <f t="shared" si="2"/>
        <v>1</v>
      </c>
      <c r="D13" s="248">
        <v>0</v>
      </c>
      <c r="E13" s="248">
        <v>0</v>
      </c>
      <c r="F13" s="248">
        <v>1</v>
      </c>
      <c r="G13" s="32">
        <f t="shared" si="3"/>
        <v>1</v>
      </c>
      <c r="H13" s="248">
        <v>1</v>
      </c>
      <c r="I13" s="248">
        <v>0</v>
      </c>
      <c r="J13" s="248">
        <v>0</v>
      </c>
    </row>
    <row r="14" spans="1:10" ht="15" customHeight="1" x14ac:dyDescent="0.15">
      <c r="A14" s="1" t="s">
        <v>11</v>
      </c>
      <c r="B14" s="32">
        <f t="shared" si="1"/>
        <v>2</v>
      </c>
      <c r="C14" s="32">
        <f t="shared" si="2"/>
        <v>2</v>
      </c>
      <c r="D14" s="248">
        <v>0</v>
      </c>
      <c r="E14" s="248">
        <v>2</v>
      </c>
      <c r="F14" s="248">
        <v>0</v>
      </c>
      <c r="G14" s="32">
        <f t="shared" si="3"/>
        <v>0</v>
      </c>
      <c r="H14" s="248">
        <v>0</v>
      </c>
      <c r="I14" s="248">
        <v>0</v>
      </c>
      <c r="J14" s="248">
        <v>0</v>
      </c>
    </row>
    <row r="15" spans="1:10" ht="15" customHeight="1" x14ac:dyDescent="0.15">
      <c r="A15" s="1" t="s">
        <v>12</v>
      </c>
      <c r="B15" s="32">
        <f t="shared" si="1"/>
        <v>0</v>
      </c>
      <c r="C15" s="32">
        <f t="shared" si="2"/>
        <v>0</v>
      </c>
      <c r="D15" s="248">
        <v>0</v>
      </c>
      <c r="E15" s="248">
        <v>0</v>
      </c>
      <c r="F15" s="248">
        <v>0</v>
      </c>
      <c r="G15" s="32">
        <f t="shared" si="3"/>
        <v>0</v>
      </c>
      <c r="H15" s="248">
        <v>0</v>
      </c>
      <c r="I15" s="248">
        <v>0</v>
      </c>
      <c r="J15" s="248">
        <v>0</v>
      </c>
    </row>
    <row r="16" spans="1:10" ht="15" customHeight="1" x14ac:dyDescent="0.15">
      <c r="A16" s="1" t="s">
        <v>13</v>
      </c>
      <c r="B16" s="32">
        <f t="shared" si="1"/>
        <v>3</v>
      </c>
      <c r="C16" s="32">
        <f t="shared" si="2"/>
        <v>3</v>
      </c>
      <c r="D16" s="248">
        <v>3</v>
      </c>
      <c r="E16" s="248">
        <v>0</v>
      </c>
      <c r="F16" s="248">
        <v>0</v>
      </c>
      <c r="G16" s="32">
        <f t="shared" si="3"/>
        <v>0</v>
      </c>
      <c r="H16" s="248">
        <v>0</v>
      </c>
      <c r="I16" s="248">
        <v>0</v>
      </c>
      <c r="J16" s="248">
        <v>0</v>
      </c>
    </row>
    <row r="17" spans="1:10" ht="15" customHeight="1" x14ac:dyDescent="0.15">
      <c r="A17" s="1" t="s">
        <v>14</v>
      </c>
      <c r="B17" s="32">
        <f t="shared" si="1"/>
        <v>0</v>
      </c>
      <c r="C17" s="32">
        <f t="shared" si="2"/>
        <v>0</v>
      </c>
      <c r="D17" s="248">
        <v>0</v>
      </c>
      <c r="E17" s="248">
        <v>0</v>
      </c>
      <c r="F17" s="248">
        <v>0</v>
      </c>
      <c r="G17" s="32">
        <f t="shared" si="3"/>
        <v>0</v>
      </c>
      <c r="H17" s="248">
        <v>0</v>
      </c>
      <c r="I17" s="248">
        <v>0</v>
      </c>
      <c r="J17" s="248">
        <v>0</v>
      </c>
    </row>
    <row r="18" spans="1:10" ht="15" customHeight="1" x14ac:dyDescent="0.15">
      <c r="A18" s="1" t="s">
        <v>15</v>
      </c>
      <c r="B18" s="32">
        <f t="shared" si="1"/>
        <v>0</v>
      </c>
      <c r="C18" s="32">
        <f t="shared" si="2"/>
        <v>0</v>
      </c>
      <c r="D18" s="248">
        <v>0</v>
      </c>
      <c r="E18" s="248">
        <v>0</v>
      </c>
      <c r="F18" s="248">
        <v>0</v>
      </c>
      <c r="G18" s="32">
        <f t="shared" si="3"/>
        <v>0</v>
      </c>
      <c r="H18" s="248">
        <v>0</v>
      </c>
      <c r="I18" s="248">
        <v>0</v>
      </c>
      <c r="J18" s="248">
        <v>0</v>
      </c>
    </row>
    <row r="19" spans="1:10" ht="15" customHeight="1" x14ac:dyDescent="0.15">
      <c r="A19" s="1" t="s">
        <v>16</v>
      </c>
      <c r="B19" s="32">
        <f t="shared" si="1"/>
        <v>2</v>
      </c>
      <c r="C19" s="32">
        <f t="shared" si="2"/>
        <v>2</v>
      </c>
      <c r="D19" s="248">
        <v>2</v>
      </c>
      <c r="E19" s="248">
        <v>0</v>
      </c>
      <c r="F19" s="248">
        <v>0</v>
      </c>
      <c r="G19" s="32">
        <f t="shared" si="3"/>
        <v>0</v>
      </c>
      <c r="H19" s="248">
        <v>0</v>
      </c>
      <c r="I19" s="248">
        <v>0</v>
      </c>
      <c r="J19" s="248">
        <v>0</v>
      </c>
    </row>
    <row r="20" spans="1:10" ht="15" customHeight="1" x14ac:dyDescent="0.15">
      <c r="A20" s="1" t="s">
        <v>17</v>
      </c>
      <c r="B20" s="32">
        <f t="shared" si="1"/>
        <v>1</v>
      </c>
      <c r="C20" s="32">
        <f t="shared" si="2"/>
        <v>1</v>
      </c>
      <c r="D20" s="248">
        <v>0</v>
      </c>
      <c r="E20" s="248">
        <v>1</v>
      </c>
      <c r="F20" s="248">
        <v>0</v>
      </c>
      <c r="G20" s="32">
        <f t="shared" si="3"/>
        <v>0</v>
      </c>
      <c r="H20" s="248">
        <v>0</v>
      </c>
      <c r="I20" s="248">
        <v>0</v>
      </c>
      <c r="J20" s="248">
        <v>0</v>
      </c>
    </row>
    <row r="21" spans="1:10" ht="15" customHeight="1" x14ac:dyDescent="0.15">
      <c r="A21" s="1" t="s">
        <v>18</v>
      </c>
      <c r="B21" s="32">
        <f t="shared" si="1"/>
        <v>0</v>
      </c>
      <c r="C21" s="32">
        <f t="shared" si="2"/>
        <v>0</v>
      </c>
      <c r="D21" s="248">
        <v>0</v>
      </c>
      <c r="E21" s="248">
        <v>0</v>
      </c>
      <c r="F21" s="248">
        <v>0</v>
      </c>
      <c r="G21" s="32">
        <f t="shared" si="3"/>
        <v>0</v>
      </c>
      <c r="H21" s="248">
        <v>0</v>
      </c>
      <c r="I21" s="248">
        <v>0</v>
      </c>
      <c r="J21" s="248">
        <v>0</v>
      </c>
    </row>
    <row r="22" spans="1:10" ht="15" customHeight="1" x14ac:dyDescent="0.15">
      <c r="A22" s="1" t="s">
        <v>19</v>
      </c>
      <c r="B22" s="32">
        <f t="shared" si="1"/>
        <v>0</v>
      </c>
      <c r="C22" s="32">
        <f t="shared" si="2"/>
        <v>0</v>
      </c>
      <c r="D22" s="248">
        <v>0</v>
      </c>
      <c r="E22" s="248">
        <v>0</v>
      </c>
      <c r="F22" s="248">
        <v>0</v>
      </c>
      <c r="G22" s="32">
        <f t="shared" si="3"/>
        <v>0</v>
      </c>
      <c r="H22" s="248">
        <v>0</v>
      </c>
      <c r="I22" s="248">
        <v>0</v>
      </c>
      <c r="J22" s="248">
        <v>0</v>
      </c>
    </row>
    <row r="23" spans="1:10" ht="11.25" customHeight="1" x14ac:dyDescent="0.15">
      <c r="A23" s="2529"/>
      <c r="B23" s="2529"/>
      <c r="C23" s="2529"/>
      <c r="D23" s="2529"/>
      <c r="E23" s="2529"/>
      <c r="F23" s="2529"/>
      <c r="G23" s="2529"/>
      <c r="H23" s="2529"/>
      <c r="I23" s="2529"/>
      <c r="J23" s="2529"/>
    </row>
    <row r="24" spans="1:10" ht="15" customHeight="1" x14ac:dyDescent="0.15">
      <c r="A24" s="1" t="s">
        <v>20</v>
      </c>
      <c r="C24" s="92"/>
      <c r="D24" s="92"/>
      <c r="E24" s="92"/>
      <c r="F24" s="92"/>
      <c r="G24" s="92"/>
    </row>
    <row r="25" spans="1:10" ht="15" customHeight="1" x14ac:dyDescent="0.15">
      <c r="A25" s="2315" t="s">
        <v>987</v>
      </c>
      <c r="B25" s="2315"/>
      <c r="C25" s="2315"/>
      <c r="D25" s="2315"/>
      <c r="E25" s="2315"/>
      <c r="F25" s="2315"/>
      <c r="G25" s="2315"/>
      <c r="H25" s="2315"/>
      <c r="I25" s="2315"/>
      <c r="J25" s="2315"/>
    </row>
  </sheetData>
  <mergeCells count="11">
    <mergeCell ref="A23:J23"/>
    <mergeCell ref="A25:J25"/>
    <mergeCell ref="A2:J2"/>
    <mergeCell ref="A3:J3"/>
    <mergeCell ref="A4:A6"/>
    <mergeCell ref="B4:B6"/>
    <mergeCell ref="C4:J4"/>
    <mergeCell ref="C5:C6"/>
    <mergeCell ref="D5:F5"/>
    <mergeCell ref="G5:G6"/>
    <mergeCell ref="H5:J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C188"/>
  <sheetViews>
    <sheetView workbookViewId="0">
      <selection activeCell="A2" sqref="A2:B2"/>
    </sheetView>
  </sheetViews>
  <sheetFormatPr baseColWidth="10" defaultRowHeight="10.5" x14ac:dyDescent="0.15"/>
  <cols>
    <col min="1" max="1" width="25.5703125" style="211" customWidth="1"/>
    <col min="2" max="2" width="28.7109375" style="211" customWidth="1"/>
    <col min="3" max="3" width="2.42578125" style="211" customWidth="1"/>
    <col min="4" max="16384" width="11.42578125" style="196"/>
  </cols>
  <sheetData>
    <row r="2" spans="1:3" ht="54" customHeight="1" x14ac:dyDescent="0.15">
      <c r="A2" s="2530" t="s">
        <v>4346</v>
      </c>
      <c r="B2" s="2530"/>
      <c r="C2" s="252"/>
    </row>
    <row r="3" spans="1:3" ht="56.25" customHeight="1" x14ac:dyDescent="0.15">
      <c r="A3" s="253" t="s">
        <v>995</v>
      </c>
      <c r="B3" s="254" t="s">
        <v>996</v>
      </c>
      <c r="C3" s="255"/>
    </row>
    <row r="4" spans="1:3" x14ac:dyDescent="0.15">
      <c r="A4" s="256" t="s">
        <v>141</v>
      </c>
      <c r="B4" s="257">
        <f>SUM(B5:B19)</f>
        <v>23</v>
      </c>
      <c r="C4" s="257"/>
    </row>
    <row r="5" spans="1:3" x14ac:dyDescent="0.15">
      <c r="A5" s="256" t="s">
        <v>5</v>
      </c>
      <c r="B5" s="258">
        <v>3</v>
      </c>
      <c r="C5" s="258"/>
    </row>
    <row r="6" spans="1:3" x14ac:dyDescent="0.15">
      <c r="A6" s="256" t="s">
        <v>6</v>
      </c>
      <c r="B6" s="258">
        <v>1</v>
      </c>
      <c r="C6" s="258"/>
    </row>
    <row r="7" spans="1:3" x14ac:dyDescent="0.15">
      <c r="A7" s="256" t="s">
        <v>7</v>
      </c>
      <c r="B7" s="258">
        <v>2</v>
      </c>
      <c r="C7" s="258"/>
    </row>
    <row r="8" spans="1:3" x14ac:dyDescent="0.15">
      <c r="A8" s="256" t="s">
        <v>8</v>
      </c>
      <c r="B8" s="258">
        <v>4</v>
      </c>
      <c r="C8" s="258"/>
    </row>
    <row r="9" spans="1:3" x14ac:dyDescent="0.15">
      <c r="A9" s="256" t="s">
        <v>9</v>
      </c>
      <c r="B9" s="258">
        <v>0</v>
      </c>
      <c r="C9" s="258"/>
    </row>
    <row r="10" spans="1:3" x14ac:dyDescent="0.15">
      <c r="A10" s="256" t="s">
        <v>10</v>
      </c>
      <c r="B10" s="258">
        <v>8</v>
      </c>
      <c r="C10" s="258"/>
    </row>
    <row r="11" spans="1:3" x14ac:dyDescent="0.15">
      <c r="A11" s="256" t="s">
        <v>11</v>
      </c>
      <c r="B11" s="258">
        <v>5</v>
      </c>
      <c r="C11" s="258"/>
    </row>
    <row r="12" spans="1:3" x14ac:dyDescent="0.15">
      <c r="A12" s="256" t="s">
        <v>12</v>
      </c>
      <c r="B12" s="258">
        <v>0</v>
      </c>
      <c r="C12" s="258"/>
    </row>
    <row r="13" spans="1:3" x14ac:dyDescent="0.15">
      <c r="A13" s="256" t="s">
        <v>13</v>
      </c>
      <c r="B13" s="258">
        <v>0</v>
      </c>
      <c r="C13" s="258"/>
    </row>
    <row r="14" spans="1:3" x14ac:dyDescent="0.15">
      <c r="A14" s="256" t="s">
        <v>14</v>
      </c>
      <c r="B14" s="258">
        <v>0</v>
      </c>
      <c r="C14" s="258"/>
    </row>
    <row r="15" spans="1:3" x14ac:dyDescent="0.15">
      <c r="A15" s="256" t="s">
        <v>15</v>
      </c>
      <c r="B15" s="258">
        <v>0</v>
      </c>
      <c r="C15" s="258"/>
    </row>
    <row r="16" spans="1:3" x14ac:dyDescent="0.15">
      <c r="A16" s="256" t="s">
        <v>16</v>
      </c>
      <c r="B16" s="258">
        <v>0</v>
      </c>
      <c r="C16" s="258"/>
    </row>
    <row r="17" spans="1:3" x14ac:dyDescent="0.15">
      <c r="A17" s="256" t="s">
        <v>17</v>
      </c>
      <c r="B17" s="258">
        <v>0</v>
      </c>
      <c r="C17" s="258"/>
    </row>
    <row r="18" spans="1:3" x14ac:dyDescent="0.15">
      <c r="A18" s="256" t="s">
        <v>18</v>
      </c>
      <c r="B18" s="258">
        <v>0</v>
      </c>
      <c r="C18" s="258"/>
    </row>
    <row r="19" spans="1:3" x14ac:dyDescent="0.15">
      <c r="A19" s="256" t="s">
        <v>19</v>
      </c>
      <c r="B19" s="258">
        <v>0</v>
      </c>
      <c r="C19" s="258"/>
    </row>
    <row r="20" spans="1:3" ht="11.25" customHeight="1" x14ac:dyDescent="0.15">
      <c r="A20" s="196"/>
      <c r="B20" s="196"/>
      <c r="C20" s="196"/>
    </row>
    <row r="21" spans="1:3" ht="11.25" customHeight="1" x14ac:dyDescent="0.15">
      <c r="A21" s="259" t="s">
        <v>20</v>
      </c>
      <c r="B21" s="260"/>
      <c r="C21" s="260"/>
    </row>
    <row r="22" spans="1:3" ht="10.5" customHeight="1" x14ac:dyDescent="0.15">
      <c r="A22" s="2531" t="s">
        <v>997</v>
      </c>
      <c r="B22" s="2531"/>
      <c r="C22" s="261"/>
    </row>
    <row r="23" spans="1:3" ht="10.5" customHeight="1" x14ac:dyDescent="0.15"/>
    <row r="24" spans="1:3" ht="10.5" customHeight="1" x14ac:dyDescent="0.15"/>
    <row r="33" s="196" customFormat="1" x14ac:dyDescent="0.15"/>
    <row r="34" s="196" customFormat="1" x14ac:dyDescent="0.15"/>
    <row r="35" s="196" customFormat="1" x14ac:dyDescent="0.15"/>
    <row r="36" s="196" customFormat="1" x14ac:dyDescent="0.15"/>
    <row r="37" s="196" customFormat="1" x14ac:dyDescent="0.15"/>
    <row r="38" s="196" customFormat="1" x14ac:dyDescent="0.15"/>
    <row r="39" s="196" customFormat="1" x14ac:dyDescent="0.15"/>
    <row r="40" s="196" customFormat="1" x14ac:dyDescent="0.15"/>
    <row r="41" s="196" customFormat="1" x14ac:dyDescent="0.15"/>
    <row r="42" s="196" customFormat="1" x14ac:dyDescent="0.15"/>
    <row r="43" s="196" customFormat="1" x14ac:dyDescent="0.15"/>
    <row r="44" s="196" customFormat="1" x14ac:dyDescent="0.15"/>
    <row r="45" s="196" customFormat="1" x14ac:dyDescent="0.15"/>
    <row r="46" s="196" customFormat="1" x14ac:dyDescent="0.15"/>
    <row r="47" s="196" customFormat="1" x14ac:dyDescent="0.15"/>
    <row r="48" s="196" customFormat="1" x14ac:dyDescent="0.15"/>
    <row r="49" s="196" customFormat="1" x14ac:dyDescent="0.15"/>
    <row r="50" s="196" customFormat="1" x14ac:dyDescent="0.15"/>
    <row r="51" s="196" customFormat="1" x14ac:dyDescent="0.15"/>
    <row r="52" s="196" customFormat="1" x14ac:dyDescent="0.15"/>
    <row r="53" s="196" customFormat="1" x14ac:dyDescent="0.15"/>
    <row r="54" s="196" customFormat="1" x14ac:dyDescent="0.15"/>
    <row r="55" s="196" customFormat="1" x14ac:dyDescent="0.15"/>
    <row r="56" s="196" customFormat="1" x14ac:dyDescent="0.15"/>
    <row r="57" s="196" customFormat="1" x14ac:dyDescent="0.15"/>
    <row r="58" s="196" customFormat="1" x14ac:dyDescent="0.15"/>
    <row r="59" s="196" customFormat="1" x14ac:dyDescent="0.15"/>
    <row r="60" s="196" customFormat="1" x14ac:dyDescent="0.15"/>
    <row r="61" s="196" customFormat="1" x14ac:dyDescent="0.15"/>
    <row r="62" s="196" customFormat="1" x14ac:dyDescent="0.15"/>
    <row r="63" s="196" customFormat="1" x14ac:dyDescent="0.15"/>
    <row r="64" s="196" customFormat="1" x14ac:dyDescent="0.15"/>
    <row r="65" s="196" customFormat="1" x14ac:dyDescent="0.15"/>
    <row r="66" s="196" customFormat="1" x14ac:dyDescent="0.15"/>
    <row r="67" s="196" customFormat="1" x14ac:dyDescent="0.15"/>
    <row r="68" s="196" customFormat="1" x14ac:dyDescent="0.15"/>
    <row r="69" s="196" customFormat="1" x14ac:dyDescent="0.15"/>
    <row r="70" s="196" customFormat="1" x14ac:dyDescent="0.15"/>
    <row r="71" s="196" customFormat="1" x14ac:dyDescent="0.15"/>
    <row r="72" s="196" customFormat="1" x14ac:dyDescent="0.15"/>
    <row r="73" s="196" customFormat="1" x14ac:dyDescent="0.15"/>
    <row r="74" s="196" customFormat="1" x14ac:dyDescent="0.15"/>
    <row r="75" s="196" customFormat="1" x14ac:dyDescent="0.15"/>
    <row r="76" s="196" customFormat="1" x14ac:dyDescent="0.15"/>
    <row r="77" s="196" customFormat="1" x14ac:dyDescent="0.15"/>
    <row r="78" s="196" customFormat="1" x14ac:dyDescent="0.15"/>
    <row r="79" s="196" customFormat="1" x14ac:dyDescent="0.15"/>
    <row r="80" s="196" customFormat="1" x14ac:dyDescent="0.15"/>
    <row r="81" s="196" customFormat="1" x14ac:dyDescent="0.15"/>
    <row r="82" s="196" customFormat="1" x14ac:dyDescent="0.15"/>
    <row r="83" s="196" customFormat="1" x14ac:dyDescent="0.15"/>
    <row r="84" s="196" customFormat="1" x14ac:dyDescent="0.15"/>
    <row r="85" s="196" customFormat="1" x14ac:dyDescent="0.15"/>
    <row r="86" s="196" customFormat="1" x14ac:dyDescent="0.15"/>
    <row r="87" s="196" customFormat="1" x14ac:dyDescent="0.15"/>
    <row r="88" s="196" customFormat="1" ht="10.5" customHeight="1" x14ac:dyDescent="0.15"/>
    <row r="89" s="196" customFormat="1" ht="10.5" customHeight="1" x14ac:dyDescent="0.15"/>
    <row r="90" s="196" customFormat="1" x14ac:dyDescent="0.15"/>
    <row r="91" s="196" customFormat="1" ht="10.5" customHeight="1" x14ac:dyDescent="0.15"/>
    <row r="92" s="196" customFormat="1" x14ac:dyDescent="0.15"/>
    <row r="93" s="196" customFormat="1" x14ac:dyDescent="0.15"/>
    <row r="94" s="196" customFormat="1" x14ac:dyDescent="0.15"/>
    <row r="95" s="196" customFormat="1" x14ac:dyDescent="0.15"/>
    <row r="96" s="196" customFormat="1" x14ac:dyDescent="0.15"/>
    <row r="97" s="196" customFormat="1" x14ac:dyDescent="0.15"/>
    <row r="98" s="196" customFormat="1" x14ac:dyDescent="0.15"/>
    <row r="99" s="196" customFormat="1" x14ac:dyDescent="0.15"/>
    <row r="100" s="196" customFormat="1" ht="10.5" customHeight="1" x14ac:dyDescent="0.15"/>
    <row r="101" s="196" customFormat="1" x14ac:dyDescent="0.15"/>
    <row r="102" s="196" customFormat="1" x14ac:dyDescent="0.15"/>
    <row r="103" s="196" customFormat="1" ht="10.5" customHeight="1" x14ac:dyDescent="0.15"/>
    <row r="104" s="196" customFormat="1" x14ac:dyDescent="0.15"/>
    <row r="105" s="196" customFormat="1" x14ac:dyDescent="0.15"/>
    <row r="106" s="196" customFormat="1" x14ac:dyDescent="0.15"/>
    <row r="107" s="196" customFormat="1" x14ac:dyDescent="0.15"/>
    <row r="108" s="196" customFormat="1" x14ac:dyDescent="0.15"/>
    <row r="109" s="196" customFormat="1" x14ac:dyDescent="0.15"/>
    <row r="110" s="196" customFormat="1" x14ac:dyDescent="0.15"/>
    <row r="111" s="196" customFormat="1" x14ac:dyDescent="0.15"/>
    <row r="112" s="196" customFormat="1" x14ac:dyDescent="0.15"/>
    <row r="113" s="196" customFormat="1" x14ac:dyDescent="0.15"/>
    <row r="114" s="196" customFormat="1" x14ac:dyDescent="0.15"/>
    <row r="115" s="196" customFormat="1" x14ac:dyDescent="0.15"/>
    <row r="116" s="196" customFormat="1" x14ac:dyDescent="0.15"/>
    <row r="117" s="196" customFormat="1" x14ac:dyDescent="0.15"/>
    <row r="118" s="196" customFormat="1" x14ac:dyDescent="0.15"/>
    <row r="119" s="196" customFormat="1" x14ac:dyDescent="0.15"/>
    <row r="120" s="196" customFormat="1" x14ac:dyDescent="0.15"/>
    <row r="121" s="196" customFormat="1" x14ac:dyDescent="0.15"/>
    <row r="122" s="196" customFormat="1" x14ac:dyDescent="0.15"/>
    <row r="123" s="196" customFormat="1" x14ac:dyDescent="0.15"/>
    <row r="124" s="196" customFormat="1" x14ac:dyDescent="0.15"/>
    <row r="125" s="196" customFormat="1" x14ac:dyDescent="0.15"/>
    <row r="126" s="196" customFormat="1" x14ac:dyDescent="0.15"/>
    <row r="127" s="196" customFormat="1" x14ac:dyDescent="0.15"/>
    <row r="128" s="196" customFormat="1" x14ac:dyDescent="0.15"/>
    <row r="129" s="196" customFormat="1" x14ac:dyDescent="0.15"/>
    <row r="130" s="196" customFormat="1" x14ac:dyDescent="0.15"/>
    <row r="131" s="196" customFormat="1" x14ac:dyDescent="0.15"/>
    <row r="132" s="196" customFormat="1" x14ac:dyDescent="0.15"/>
    <row r="133" s="196" customFormat="1" x14ac:dyDescent="0.15"/>
    <row r="134" s="196" customFormat="1" x14ac:dyDescent="0.15"/>
    <row r="135" s="196" customFormat="1" x14ac:dyDescent="0.15"/>
    <row r="136" s="196" customFormat="1" x14ac:dyDescent="0.15"/>
    <row r="137" s="196" customFormat="1" x14ac:dyDescent="0.15"/>
    <row r="138" s="196" customFormat="1" x14ac:dyDescent="0.15"/>
    <row r="139" s="196" customFormat="1" x14ac:dyDescent="0.15"/>
    <row r="140" s="196" customFormat="1" x14ac:dyDescent="0.15"/>
    <row r="141" s="196" customFormat="1" x14ac:dyDescent="0.15"/>
    <row r="142" s="196" customFormat="1" x14ac:dyDescent="0.15"/>
    <row r="143" s="196" customFormat="1" x14ac:dyDescent="0.15"/>
    <row r="144" s="196" customFormat="1" x14ac:dyDescent="0.15"/>
    <row r="145" s="196" customFormat="1" x14ac:dyDescent="0.15"/>
    <row r="146" s="196" customFormat="1" x14ac:dyDescent="0.15"/>
    <row r="147" s="196" customFormat="1" x14ac:dyDescent="0.15"/>
    <row r="148" s="196" customFormat="1" x14ac:dyDescent="0.15"/>
    <row r="149" s="196" customFormat="1" x14ac:dyDescent="0.15"/>
    <row r="150" s="196" customFormat="1" x14ac:dyDescent="0.15"/>
    <row r="151" s="196" customFormat="1" x14ac:dyDescent="0.15"/>
    <row r="152" s="196" customFormat="1" x14ac:dyDescent="0.15"/>
    <row r="153" s="196" customFormat="1" x14ac:dyDescent="0.15"/>
    <row r="154" s="196" customFormat="1" x14ac:dyDescent="0.15"/>
    <row r="155" s="196" customFormat="1" x14ac:dyDescent="0.15"/>
    <row r="156" s="196" customFormat="1" x14ac:dyDescent="0.15"/>
    <row r="157" s="196" customFormat="1" x14ac:dyDescent="0.15"/>
    <row r="158" s="196" customFormat="1" x14ac:dyDescent="0.15"/>
    <row r="159" s="196" customFormat="1" x14ac:dyDescent="0.15"/>
    <row r="160" s="196" customFormat="1" x14ac:dyDescent="0.15"/>
    <row r="161" s="196" customFormat="1" x14ac:dyDescent="0.15"/>
    <row r="162" s="196" customFormat="1" x14ac:dyDescent="0.15"/>
    <row r="163" s="196" customFormat="1" x14ac:dyDescent="0.15"/>
    <row r="164" s="196" customFormat="1" x14ac:dyDescent="0.15"/>
    <row r="165" s="196" customFormat="1" x14ac:dyDescent="0.15"/>
    <row r="166" s="196" customFormat="1" x14ac:dyDescent="0.15"/>
    <row r="167" s="196" customFormat="1" x14ac:dyDescent="0.15"/>
    <row r="168" s="196" customFormat="1" x14ac:dyDescent="0.15"/>
    <row r="169" s="196" customFormat="1" x14ac:dyDescent="0.15"/>
    <row r="170" s="196" customFormat="1" x14ac:dyDescent="0.15"/>
    <row r="171" s="196" customFormat="1" x14ac:dyDescent="0.15"/>
    <row r="172" s="196" customFormat="1" x14ac:dyDescent="0.15"/>
    <row r="173" s="196" customFormat="1" x14ac:dyDescent="0.15"/>
    <row r="174" s="196" customFormat="1" x14ac:dyDescent="0.15"/>
    <row r="175" s="196" customFormat="1" x14ac:dyDescent="0.15"/>
    <row r="176" s="196" customFormat="1" x14ac:dyDescent="0.15"/>
    <row r="177" s="196" customFormat="1" x14ac:dyDescent="0.15"/>
    <row r="178" s="196" customFormat="1" x14ac:dyDescent="0.15"/>
    <row r="179" s="196" customFormat="1" x14ac:dyDescent="0.15"/>
    <row r="180" s="196" customFormat="1" x14ac:dyDescent="0.15"/>
    <row r="181" s="196" customFormat="1" x14ac:dyDescent="0.15"/>
    <row r="182" s="196" customFormat="1" x14ac:dyDescent="0.15"/>
    <row r="183" s="196" customFormat="1" x14ac:dyDescent="0.15"/>
    <row r="184" s="196" customFormat="1" x14ac:dyDescent="0.15"/>
    <row r="185" s="196" customFormat="1" x14ac:dyDescent="0.15"/>
    <row r="186" s="196" customFormat="1" ht="10.5" customHeight="1" x14ac:dyDescent="0.15"/>
    <row r="187" s="196" customFormat="1" x14ac:dyDescent="0.15"/>
    <row r="188" s="196" customFormat="1" ht="10.5" customHeight="1" x14ac:dyDescent="0.15"/>
  </sheetData>
  <mergeCells count="2">
    <mergeCell ref="A2:B2"/>
    <mergeCell ref="A22:B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G10"/>
  <sheetViews>
    <sheetView workbookViewId="0"/>
  </sheetViews>
  <sheetFormatPr baseColWidth="10" defaultColWidth="11.42578125" defaultRowHeight="10.5" x14ac:dyDescent="0.15"/>
  <cols>
    <col min="1" max="1" width="19.42578125" style="1" customWidth="1"/>
    <col min="2" max="5" width="11.42578125" style="1"/>
    <col min="6" max="6" width="11.5703125" style="1" bestFit="1" customWidth="1"/>
    <col min="7" max="7" width="11.5703125" style="1" customWidth="1"/>
    <col min="8" max="16384" width="11.42578125" style="1"/>
  </cols>
  <sheetData>
    <row r="2" spans="1:7" s="29" customFormat="1" ht="32.25" customHeight="1" x14ac:dyDescent="0.15">
      <c r="A2" s="2313" t="s">
        <v>48</v>
      </c>
      <c r="B2" s="2313"/>
      <c r="C2" s="2313"/>
      <c r="D2" s="2313"/>
      <c r="E2" s="2313"/>
      <c r="F2" s="2313"/>
      <c r="G2" s="43"/>
    </row>
    <row r="3" spans="1:7" ht="11.25" customHeight="1" x14ac:dyDescent="0.15">
      <c r="A3" s="2305"/>
      <c r="B3" s="2305"/>
      <c r="C3" s="2305"/>
      <c r="D3" s="2305"/>
      <c r="E3" s="2305"/>
      <c r="F3" s="2305"/>
      <c r="G3" s="44"/>
    </row>
    <row r="4" spans="1:7" ht="10.5" customHeight="1" x14ac:dyDescent="0.15">
      <c r="A4" s="2306" t="s">
        <v>49</v>
      </c>
      <c r="B4" s="2306" t="s">
        <v>2</v>
      </c>
      <c r="C4" s="2306"/>
      <c r="D4" s="2306"/>
      <c r="E4" s="2306"/>
      <c r="F4" s="2306"/>
      <c r="G4" s="45"/>
    </row>
    <row r="5" spans="1:7" ht="10.5" customHeight="1" x14ac:dyDescent="0.15">
      <c r="A5" s="2306"/>
      <c r="B5" s="2">
        <v>2011</v>
      </c>
      <c r="C5" s="2">
        <v>2012</v>
      </c>
      <c r="D5" s="2">
        <v>2013</v>
      </c>
      <c r="E5" s="2">
        <v>2014</v>
      </c>
      <c r="F5" s="2">
        <v>2015</v>
      </c>
      <c r="G5" s="45"/>
    </row>
    <row r="6" spans="1:7" ht="31.5" x14ac:dyDescent="0.15">
      <c r="A6" s="46" t="s">
        <v>50</v>
      </c>
      <c r="B6" s="47">
        <v>273811</v>
      </c>
      <c r="C6" s="47">
        <v>276682</v>
      </c>
      <c r="D6" s="47">
        <v>448245</v>
      </c>
      <c r="E6" s="48">
        <v>496555</v>
      </c>
      <c r="F6" s="17">
        <v>534003</v>
      </c>
      <c r="G6" s="17"/>
    </row>
    <row r="7" spans="1:7" ht="11.25" customHeight="1" x14ac:dyDescent="0.15">
      <c r="A7" s="2303"/>
      <c r="B7" s="2303"/>
      <c r="C7" s="2303"/>
      <c r="D7" s="2303"/>
      <c r="E7" s="2303"/>
      <c r="F7" s="2303"/>
      <c r="G7" s="49"/>
    </row>
    <row r="8" spans="1:7" ht="11.25" customHeight="1" x14ac:dyDescent="0.15">
      <c r="A8" s="2303" t="s">
        <v>21</v>
      </c>
      <c r="B8" s="2303"/>
      <c r="C8" s="2303"/>
      <c r="D8" s="2303"/>
      <c r="E8" s="2303"/>
      <c r="F8" s="2303"/>
    </row>
    <row r="10" spans="1:7" x14ac:dyDescent="0.15">
      <c r="F10" s="50"/>
    </row>
  </sheetData>
  <mergeCells count="6">
    <mergeCell ref="A8:F8"/>
    <mergeCell ref="A2:F2"/>
    <mergeCell ref="A3:F3"/>
    <mergeCell ref="A4:A5"/>
    <mergeCell ref="B4:F4"/>
    <mergeCell ref="A7:F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B188"/>
  <sheetViews>
    <sheetView workbookViewId="0">
      <selection activeCell="A2" sqref="A2:B2"/>
    </sheetView>
  </sheetViews>
  <sheetFormatPr baseColWidth="10" defaultRowHeight="10.5" x14ac:dyDescent="0.15"/>
  <cols>
    <col min="1" max="1" width="28.7109375" style="211" customWidth="1"/>
    <col min="2" max="2" width="21.7109375" style="211" customWidth="1"/>
    <col min="3" max="16384" width="11.42578125" style="196"/>
  </cols>
  <sheetData>
    <row r="2" spans="1:2" ht="54" customHeight="1" x14ac:dyDescent="0.15">
      <c r="A2" s="2530" t="s">
        <v>4347</v>
      </c>
      <c r="B2" s="2530"/>
    </row>
    <row r="3" spans="1:2" ht="56.25" customHeight="1" x14ac:dyDescent="0.15">
      <c r="A3" s="253" t="s">
        <v>998</v>
      </c>
      <c r="B3" s="254" t="s">
        <v>996</v>
      </c>
    </row>
    <row r="4" spans="1:2" x14ac:dyDescent="0.15">
      <c r="A4" s="256" t="s">
        <v>141</v>
      </c>
      <c r="B4" s="257">
        <f>SUM(B5:B18)</f>
        <v>23</v>
      </c>
    </row>
    <row r="5" spans="1:2" x14ac:dyDescent="0.15">
      <c r="A5" s="262" t="s">
        <v>999</v>
      </c>
      <c r="B5" s="258">
        <v>1</v>
      </c>
    </row>
    <row r="6" spans="1:2" x14ac:dyDescent="0.15">
      <c r="A6" s="262" t="s">
        <v>1000</v>
      </c>
      <c r="B6" s="258">
        <v>3</v>
      </c>
    </row>
    <row r="7" spans="1:2" x14ac:dyDescent="0.15">
      <c r="A7" s="262" t="s">
        <v>1001</v>
      </c>
      <c r="B7" s="258">
        <v>0</v>
      </c>
    </row>
    <row r="8" spans="1:2" x14ac:dyDescent="0.15">
      <c r="A8" s="262" t="s">
        <v>1002</v>
      </c>
      <c r="B8" s="258">
        <v>0</v>
      </c>
    </row>
    <row r="9" spans="1:2" x14ac:dyDescent="0.15">
      <c r="A9" s="262" t="s">
        <v>1003</v>
      </c>
      <c r="B9" s="258">
        <v>0</v>
      </c>
    </row>
    <row r="10" spans="1:2" x14ac:dyDescent="0.15">
      <c r="A10" s="262" t="s">
        <v>1004</v>
      </c>
      <c r="B10" s="258">
        <v>2</v>
      </c>
    </row>
    <row r="11" spans="1:2" x14ac:dyDescent="0.15">
      <c r="A11" s="262" t="s">
        <v>1005</v>
      </c>
      <c r="B11" s="258">
        <v>1</v>
      </c>
    </row>
    <row r="12" spans="1:2" x14ac:dyDescent="0.15">
      <c r="A12" s="262" t="s">
        <v>26</v>
      </c>
      <c r="B12" s="258">
        <v>0</v>
      </c>
    </row>
    <row r="13" spans="1:2" x14ac:dyDescent="0.15">
      <c r="A13" s="262" t="s">
        <v>1006</v>
      </c>
      <c r="B13" s="258">
        <v>0</v>
      </c>
    </row>
    <row r="14" spans="1:2" x14ac:dyDescent="0.15">
      <c r="A14" s="262" t="s">
        <v>1007</v>
      </c>
      <c r="B14" s="258">
        <v>1</v>
      </c>
    </row>
    <row r="15" spans="1:2" x14ac:dyDescent="0.15">
      <c r="A15" s="262" t="s">
        <v>1008</v>
      </c>
      <c r="B15" s="258">
        <v>0</v>
      </c>
    </row>
    <row r="16" spans="1:2" x14ac:dyDescent="0.15">
      <c r="A16" s="262" t="s">
        <v>1009</v>
      </c>
      <c r="B16" s="258">
        <v>0</v>
      </c>
    </row>
    <row r="17" spans="1:2" ht="11.25" x14ac:dyDescent="0.15">
      <c r="A17" s="262" t="s">
        <v>1010</v>
      </c>
      <c r="B17" s="258">
        <v>6</v>
      </c>
    </row>
    <row r="18" spans="1:2" ht="11.25" x14ac:dyDescent="0.15">
      <c r="A18" s="262" t="s">
        <v>1011</v>
      </c>
      <c r="B18" s="258">
        <v>9</v>
      </c>
    </row>
    <row r="19" spans="1:2" x14ac:dyDescent="0.15">
      <c r="A19" s="262"/>
      <c r="B19" s="263"/>
    </row>
    <row r="20" spans="1:2" x14ac:dyDescent="0.15">
      <c r="A20" s="2532" t="s">
        <v>1012</v>
      </c>
      <c r="B20" s="2532"/>
    </row>
    <row r="21" spans="1:2" x14ac:dyDescent="0.15">
      <c r="A21" s="2533" t="s">
        <v>1013</v>
      </c>
      <c r="B21" s="2533"/>
    </row>
    <row r="22" spans="1:2" ht="10.5" customHeight="1" x14ac:dyDescent="0.15">
      <c r="A22" s="2533" t="s">
        <v>20</v>
      </c>
      <c r="B22" s="2533"/>
    </row>
    <row r="23" spans="1:2" x14ac:dyDescent="0.15">
      <c r="A23" s="2533" t="s">
        <v>997</v>
      </c>
      <c r="B23" s="2533"/>
    </row>
    <row r="24" spans="1:2" ht="10.5" customHeight="1" x14ac:dyDescent="0.15"/>
    <row r="33" spans="1:2" x14ac:dyDescent="0.15">
      <c r="A33" s="196"/>
      <c r="B33" s="196"/>
    </row>
    <row r="34" spans="1:2" x14ac:dyDescent="0.15">
      <c r="A34" s="196"/>
      <c r="B34" s="196"/>
    </row>
    <row r="35" spans="1:2" x14ac:dyDescent="0.15">
      <c r="A35" s="196"/>
      <c r="B35" s="196"/>
    </row>
    <row r="36" spans="1:2" x14ac:dyDescent="0.15">
      <c r="A36" s="196"/>
      <c r="B36" s="196"/>
    </row>
    <row r="37" spans="1:2" x14ac:dyDescent="0.15">
      <c r="A37" s="196"/>
      <c r="B37" s="196"/>
    </row>
    <row r="38" spans="1:2" x14ac:dyDescent="0.15">
      <c r="A38" s="196"/>
      <c r="B38" s="196"/>
    </row>
    <row r="39" spans="1:2" x14ac:dyDescent="0.15">
      <c r="A39" s="196"/>
      <c r="B39" s="196"/>
    </row>
    <row r="40" spans="1:2" x14ac:dyDescent="0.15">
      <c r="A40" s="196"/>
      <c r="B40" s="196"/>
    </row>
    <row r="41" spans="1:2" x14ac:dyDescent="0.15">
      <c r="A41" s="196"/>
      <c r="B41" s="196"/>
    </row>
    <row r="42" spans="1:2" x14ac:dyDescent="0.15">
      <c r="A42" s="196"/>
      <c r="B42" s="196"/>
    </row>
    <row r="43" spans="1:2" x14ac:dyDescent="0.15">
      <c r="A43" s="196"/>
      <c r="B43" s="196"/>
    </row>
    <row r="44" spans="1:2" x14ac:dyDescent="0.15">
      <c r="A44" s="196"/>
      <c r="B44" s="196"/>
    </row>
    <row r="45" spans="1:2" x14ac:dyDescent="0.15">
      <c r="A45" s="196"/>
      <c r="B45" s="196"/>
    </row>
    <row r="46" spans="1:2" x14ac:dyDescent="0.15">
      <c r="A46" s="196"/>
      <c r="B46" s="196"/>
    </row>
    <row r="47" spans="1:2" x14ac:dyDescent="0.15">
      <c r="A47" s="196"/>
      <c r="B47" s="196"/>
    </row>
    <row r="48" spans="1:2" x14ac:dyDescent="0.15">
      <c r="A48" s="196"/>
      <c r="B48" s="196"/>
    </row>
    <row r="49" spans="1:2" x14ac:dyDescent="0.15">
      <c r="A49" s="196"/>
      <c r="B49" s="196"/>
    </row>
    <row r="50" spans="1:2" x14ac:dyDescent="0.15">
      <c r="A50" s="196"/>
      <c r="B50" s="196"/>
    </row>
    <row r="51" spans="1:2" x14ac:dyDescent="0.15">
      <c r="A51" s="196"/>
      <c r="B51" s="196"/>
    </row>
    <row r="52" spans="1:2" x14ac:dyDescent="0.15">
      <c r="A52" s="196"/>
      <c r="B52" s="196"/>
    </row>
    <row r="53" spans="1:2" x14ac:dyDescent="0.15">
      <c r="A53" s="196"/>
      <c r="B53" s="196"/>
    </row>
    <row r="54" spans="1:2" x14ac:dyDescent="0.15">
      <c r="A54" s="196"/>
      <c r="B54" s="196"/>
    </row>
    <row r="55" spans="1:2" x14ac:dyDescent="0.15">
      <c r="A55" s="196"/>
      <c r="B55" s="196"/>
    </row>
    <row r="56" spans="1:2" x14ac:dyDescent="0.15">
      <c r="A56" s="196"/>
      <c r="B56" s="196"/>
    </row>
    <row r="57" spans="1:2" x14ac:dyDescent="0.15">
      <c r="A57" s="196"/>
      <c r="B57" s="196"/>
    </row>
    <row r="58" spans="1:2" x14ac:dyDescent="0.15">
      <c r="A58" s="196"/>
      <c r="B58" s="196"/>
    </row>
    <row r="59" spans="1:2" x14ac:dyDescent="0.15">
      <c r="A59" s="196"/>
      <c r="B59" s="196"/>
    </row>
    <row r="60" spans="1:2" x14ac:dyDescent="0.15">
      <c r="A60" s="196"/>
      <c r="B60" s="196"/>
    </row>
    <row r="61" spans="1:2" x14ac:dyDescent="0.15">
      <c r="A61" s="196"/>
      <c r="B61" s="196"/>
    </row>
    <row r="62" spans="1:2" x14ac:dyDescent="0.15">
      <c r="A62" s="196"/>
      <c r="B62" s="196"/>
    </row>
    <row r="63" spans="1:2" x14ac:dyDescent="0.15">
      <c r="A63" s="196"/>
      <c r="B63" s="196"/>
    </row>
    <row r="64" spans="1:2" x14ac:dyDescent="0.15">
      <c r="A64" s="196"/>
      <c r="B64" s="196"/>
    </row>
    <row r="65" spans="1:2" x14ac:dyDescent="0.15">
      <c r="A65" s="196"/>
      <c r="B65" s="196"/>
    </row>
    <row r="66" spans="1:2" x14ac:dyDescent="0.15">
      <c r="A66" s="196"/>
      <c r="B66" s="196"/>
    </row>
    <row r="67" spans="1:2" x14ac:dyDescent="0.15">
      <c r="A67" s="196"/>
      <c r="B67" s="196"/>
    </row>
    <row r="68" spans="1:2" x14ac:dyDescent="0.15">
      <c r="A68" s="196"/>
      <c r="B68" s="196"/>
    </row>
    <row r="69" spans="1:2" x14ac:dyDescent="0.15">
      <c r="A69" s="196"/>
      <c r="B69" s="196"/>
    </row>
    <row r="70" spans="1:2" x14ac:dyDescent="0.15">
      <c r="A70" s="196"/>
      <c r="B70" s="196"/>
    </row>
    <row r="71" spans="1:2" x14ac:dyDescent="0.15">
      <c r="A71" s="196"/>
      <c r="B71" s="196"/>
    </row>
    <row r="72" spans="1:2" x14ac:dyDescent="0.15">
      <c r="A72" s="196"/>
      <c r="B72" s="196"/>
    </row>
    <row r="73" spans="1:2" x14ac:dyDescent="0.15">
      <c r="A73" s="196"/>
      <c r="B73" s="196"/>
    </row>
    <row r="74" spans="1:2" x14ac:dyDescent="0.15">
      <c r="A74" s="196"/>
      <c r="B74" s="196"/>
    </row>
    <row r="75" spans="1:2" x14ac:dyDescent="0.15">
      <c r="A75" s="196"/>
      <c r="B75" s="196"/>
    </row>
    <row r="76" spans="1:2" x14ac:dyDescent="0.15">
      <c r="A76" s="196"/>
      <c r="B76" s="196"/>
    </row>
    <row r="77" spans="1:2" x14ac:dyDescent="0.15">
      <c r="A77" s="196"/>
      <c r="B77" s="196"/>
    </row>
    <row r="78" spans="1:2" x14ac:dyDescent="0.15">
      <c r="A78" s="196"/>
      <c r="B78" s="196"/>
    </row>
    <row r="79" spans="1:2" x14ac:dyDescent="0.15">
      <c r="A79" s="196"/>
      <c r="B79" s="196"/>
    </row>
    <row r="80" spans="1:2" x14ac:dyDescent="0.15">
      <c r="A80" s="196"/>
      <c r="B80" s="196"/>
    </row>
    <row r="81" spans="1:2" x14ac:dyDescent="0.15">
      <c r="A81" s="196"/>
      <c r="B81" s="196"/>
    </row>
    <row r="82" spans="1:2" x14ac:dyDescent="0.15">
      <c r="A82" s="196"/>
      <c r="B82" s="196"/>
    </row>
    <row r="83" spans="1:2" x14ac:dyDescent="0.15">
      <c r="A83" s="196"/>
      <c r="B83" s="196"/>
    </row>
    <row r="84" spans="1:2" x14ac:dyDescent="0.15">
      <c r="A84" s="196"/>
      <c r="B84" s="196"/>
    </row>
    <row r="85" spans="1:2" x14ac:dyDescent="0.15">
      <c r="A85" s="196"/>
      <c r="B85" s="196"/>
    </row>
    <row r="86" spans="1:2" x14ac:dyDescent="0.15">
      <c r="A86" s="196"/>
      <c r="B86" s="196"/>
    </row>
    <row r="87" spans="1:2" x14ac:dyDescent="0.15">
      <c r="A87" s="196"/>
      <c r="B87" s="196"/>
    </row>
    <row r="88" spans="1:2" ht="10.5" customHeight="1" x14ac:dyDescent="0.15">
      <c r="A88" s="196"/>
      <c r="B88" s="196"/>
    </row>
    <row r="89" spans="1:2" ht="10.5" customHeight="1" x14ac:dyDescent="0.15">
      <c r="A89" s="196"/>
      <c r="B89" s="196"/>
    </row>
    <row r="90" spans="1:2" x14ac:dyDescent="0.15">
      <c r="A90" s="196"/>
      <c r="B90" s="196"/>
    </row>
    <row r="91" spans="1:2" ht="10.5" customHeight="1" x14ac:dyDescent="0.15">
      <c r="A91" s="196"/>
      <c r="B91" s="196"/>
    </row>
    <row r="92" spans="1:2" x14ac:dyDescent="0.15">
      <c r="A92" s="196"/>
      <c r="B92" s="196"/>
    </row>
    <row r="93" spans="1:2" x14ac:dyDescent="0.15">
      <c r="A93" s="196"/>
      <c r="B93" s="196"/>
    </row>
    <row r="94" spans="1:2" x14ac:dyDescent="0.15">
      <c r="A94" s="196"/>
      <c r="B94" s="196"/>
    </row>
    <row r="95" spans="1:2" x14ac:dyDescent="0.15">
      <c r="A95" s="196"/>
      <c r="B95" s="196"/>
    </row>
    <row r="96" spans="1:2" x14ac:dyDescent="0.15">
      <c r="A96" s="196"/>
      <c r="B96" s="196"/>
    </row>
    <row r="97" spans="1:2" x14ac:dyDescent="0.15">
      <c r="A97" s="196"/>
      <c r="B97" s="196"/>
    </row>
    <row r="98" spans="1:2" x14ac:dyDescent="0.15">
      <c r="A98" s="196"/>
      <c r="B98" s="196"/>
    </row>
    <row r="99" spans="1:2" x14ac:dyDescent="0.15">
      <c r="A99" s="196"/>
      <c r="B99" s="196"/>
    </row>
    <row r="100" spans="1:2" ht="10.5" customHeight="1" x14ac:dyDescent="0.15">
      <c r="A100" s="196"/>
      <c r="B100" s="196"/>
    </row>
    <row r="101" spans="1:2" x14ac:dyDescent="0.15">
      <c r="A101" s="196"/>
      <c r="B101" s="196"/>
    </row>
    <row r="102" spans="1:2" x14ac:dyDescent="0.15">
      <c r="A102" s="196"/>
      <c r="B102" s="196"/>
    </row>
    <row r="103" spans="1:2" ht="10.5" customHeight="1" x14ac:dyDescent="0.15">
      <c r="A103" s="196"/>
      <c r="B103" s="196"/>
    </row>
    <row r="104" spans="1:2" x14ac:dyDescent="0.15">
      <c r="A104" s="196"/>
      <c r="B104" s="196"/>
    </row>
    <row r="105" spans="1:2" x14ac:dyDescent="0.15">
      <c r="A105" s="196"/>
      <c r="B105" s="196"/>
    </row>
    <row r="106" spans="1:2" x14ac:dyDescent="0.15">
      <c r="A106" s="196"/>
      <c r="B106" s="196"/>
    </row>
    <row r="107" spans="1:2" x14ac:dyDescent="0.15">
      <c r="A107" s="196"/>
      <c r="B107" s="196"/>
    </row>
    <row r="108" spans="1:2" x14ac:dyDescent="0.15">
      <c r="A108" s="196"/>
      <c r="B108" s="196"/>
    </row>
    <row r="109" spans="1:2" x14ac:dyDescent="0.15">
      <c r="A109" s="196"/>
      <c r="B109" s="196"/>
    </row>
    <row r="110" spans="1:2" x14ac:dyDescent="0.15">
      <c r="A110" s="196"/>
      <c r="B110" s="196"/>
    </row>
    <row r="111" spans="1:2" x14ac:dyDescent="0.15">
      <c r="A111" s="196"/>
      <c r="B111" s="196"/>
    </row>
    <row r="112" spans="1:2" x14ac:dyDescent="0.15">
      <c r="A112" s="196"/>
      <c r="B112" s="196"/>
    </row>
    <row r="113" spans="1:2" x14ac:dyDescent="0.15">
      <c r="A113" s="196"/>
      <c r="B113" s="196"/>
    </row>
    <row r="114" spans="1:2" x14ac:dyDescent="0.15">
      <c r="A114" s="196"/>
      <c r="B114" s="196"/>
    </row>
    <row r="115" spans="1:2" x14ac:dyDescent="0.15">
      <c r="A115" s="196"/>
      <c r="B115" s="196"/>
    </row>
    <row r="116" spans="1:2" x14ac:dyDescent="0.15">
      <c r="A116" s="196"/>
      <c r="B116" s="196"/>
    </row>
    <row r="117" spans="1:2" x14ac:dyDescent="0.15">
      <c r="A117" s="196"/>
      <c r="B117" s="196"/>
    </row>
    <row r="118" spans="1:2" x14ac:dyDescent="0.15">
      <c r="A118" s="196"/>
      <c r="B118" s="196"/>
    </row>
    <row r="119" spans="1:2" x14ac:dyDescent="0.15">
      <c r="A119" s="196"/>
      <c r="B119" s="196"/>
    </row>
    <row r="120" spans="1:2" x14ac:dyDescent="0.15">
      <c r="A120" s="196"/>
      <c r="B120" s="196"/>
    </row>
    <row r="121" spans="1:2" x14ac:dyDescent="0.15">
      <c r="A121" s="196"/>
      <c r="B121" s="196"/>
    </row>
    <row r="122" spans="1:2" x14ac:dyDescent="0.15">
      <c r="A122" s="196"/>
      <c r="B122" s="196"/>
    </row>
    <row r="123" spans="1:2" x14ac:dyDescent="0.15">
      <c r="A123" s="196"/>
      <c r="B123" s="196"/>
    </row>
    <row r="124" spans="1:2" x14ac:dyDescent="0.15">
      <c r="A124" s="196"/>
      <c r="B124" s="196"/>
    </row>
    <row r="125" spans="1:2" x14ac:dyDescent="0.15">
      <c r="A125" s="196"/>
      <c r="B125" s="196"/>
    </row>
    <row r="126" spans="1:2" x14ac:dyDescent="0.15">
      <c r="A126" s="196"/>
      <c r="B126" s="196"/>
    </row>
    <row r="127" spans="1:2" x14ac:dyDescent="0.15">
      <c r="A127" s="196"/>
      <c r="B127" s="196"/>
    </row>
    <row r="128" spans="1:2" x14ac:dyDescent="0.15">
      <c r="A128" s="196"/>
      <c r="B128" s="196"/>
    </row>
    <row r="129" spans="1:2" x14ac:dyDescent="0.15">
      <c r="A129" s="196"/>
      <c r="B129" s="196"/>
    </row>
    <row r="130" spans="1:2" x14ac:dyDescent="0.15">
      <c r="A130" s="196"/>
      <c r="B130" s="196"/>
    </row>
    <row r="131" spans="1:2" x14ac:dyDescent="0.15">
      <c r="A131" s="196"/>
      <c r="B131" s="196"/>
    </row>
    <row r="132" spans="1:2" x14ac:dyDescent="0.15">
      <c r="A132" s="196"/>
      <c r="B132" s="196"/>
    </row>
    <row r="133" spans="1:2" x14ac:dyDescent="0.15">
      <c r="A133" s="196"/>
      <c r="B133" s="196"/>
    </row>
    <row r="134" spans="1:2" x14ac:dyDescent="0.15">
      <c r="A134" s="196"/>
      <c r="B134" s="196"/>
    </row>
    <row r="135" spans="1:2" x14ac:dyDescent="0.15">
      <c r="A135" s="196"/>
      <c r="B135" s="196"/>
    </row>
    <row r="136" spans="1:2" x14ac:dyDescent="0.15">
      <c r="A136" s="196"/>
      <c r="B136" s="196"/>
    </row>
    <row r="137" spans="1:2" x14ac:dyDescent="0.15">
      <c r="A137" s="196"/>
      <c r="B137" s="196"/>
    </row>
    <row r="138" spans="1:2" x14ac:dyDescent="0.15">
      <c r="A138" s="196"/>
      <c r="B138" s="196"/>
    </row>
    <row r="139" spans="1:2" x14ac:dyDescent="0.15">
      <c r="A139" s="196"/>
      <c r="B139" s="196"/>
    </row>
    <row r="140" spans="1:2" x14ac:dyDescent="0.15">
      <c r="A140" s="196"/>
      <c r="B140" s="196"/>
    </row>
    <row r="141" spans="1:2" x14ac:dyDescent="0.15">
      <c r="A141" s="196"/>
      <c r="B141" s="196"/>
    </row>
    <row r="142" spans="1:2" x14ac:dyDescent="0.15">
      <c r="A142" s="196"/>
      <c r="B142" s="196"/>
    </row>
    <row r="143" spans="1:2" x14ac:dyDescent="0.15">
      <c r="A143" s="196"/>
      <c r="B143" s="196"/>
    </row>
    <row r="144" spans="1:2" x14ac:dyDescent="0.15">
      <c r="A144" s="196"/>
      <c r="B144" s="196"/>
    </row>
    <row r="145" spans="1:2" x14ac:dyDescent="0.15">
      <c r="A145" s="196"/>
      <c r="B145" s="196"/>
    </row>
    <row r="146" spans="1:2" x14ac:dyDescent="0.15">
      <c r="A146" s="196"/>
      <c r="B146" s="196"/>
    </row>
    <row r="147" spans="1:2" x14ac:dyDescent="0.15">
      <c r="A147" s="196"/>
      <c r="B147" s="196"/>
    </row>
    <row r="148" spans="1:2" x14ac:dyDescent="0.15">
      <c r="A148" s="196"/>
      <c r="B148" s="196"/>
    </row>
    <row r="149" spans="1:2" x14ac:dyDescent="0.15">
      <c r="A149" s="196"/>
      <c r="B149" s="196"/>
    </row>
    <row r="150" spans="1:2" x14ac:dyDescent="0.15">
      <c r="A150" s="196"/>
      <c r="B150" s="196"/>
    </row>
    <row r="151" spans="1:2" x14ac:dyDescent="0.15">
      <c r="A151" s="196"/>
      <c r="B151" s="196"/>
    </row>
    <row r="152" spans="1:2" x14ac:dyDescent="0.15">
      <c r="A152" s="196"/>
      <c r="B152" s="196"/>
    </row>
    <row r="153" spans="1:2" x14ac:dyDescent="0.15">
      <c r="A153" s="196"/>
      <c r="B153" s="196"/>
    </row>
    <row r="154" spans="1:2" x14ac:dyDescent="0.15">
      <c r="A154" s="196"/>
      <c r="B154" s="196"/>
    </row>
    <row r="155" spans="1:2" x14ac:dyDescent="0.15">
      <c r="A155" s="196"/>
      <c r="B155" s="196"/>
    </row>
    <row r="156" spans="1:2" x14ac:dyDescent="0.15">
      <c r="A156" s="196"/>
      <c r="B156" s="196"/>
    </row>
    <row r="157" spans="1:2" x14ac:dyDescent="0.15">
      <c r="A157" s="196"/>
      <c r="B157" s="196"/>
    </row>
    <row r="158" spans="1:2" x14ac:dyDescent="0.15">
      <c r="A158" s="196"/>
      <c r="B158" s="196"/>
    </row>
    <row r="159" spans="1:2" x14ac:dyDescent="0.15">
      <c r="A159" s="196"/>
      <c r="B159" s="196"/>
    </row>
    <row r="160" spans="1:2" x14ac:dyDescent="0.15">
      <c r="A160" s="196"/>
      <c r="B160" s="196"/>
    </row>
    <row r="161" spans="1:2" x14ac:dyDescent="0.15">
      <c r="A161" s="196"/>
      <c r="B161" s="196"/>
    </row>
    <row r="162" spans="1:2" x14ac:dyDescent="0.15">
      <c r="A162" s="196"/>
      <c r="B162" s="196"/>
    </row>
    <row r="163" spans="1:2" x14ac:dyDescent="0.15">
      <c r="A163" s="196"/>
      <c r="B163" s="196"/>
    </row>
    <row r="164" spans="1:2" x14ac:dyDescent="0.15">
      <c r="A164" s="196"/>
      <c r="B164" s="196"/>
    </row>
    <row r="165" spans="1:2" x14ac:dyDescent="0.15">
      <c r="A165" s="196"/>
      <c r="B165" s="196"/>
    </row>
    <row r="166" spans="1:2" x14ac:dyDescent="0.15">
      <c r="A166" s="196"/>
      <c r="B166" s="196"/>
    </row>
    <row r="167" spans="1:2" x14ac:dyDescent="0.15">
      <c r="A167" s="196"/>
      <c r="B167" s="196"/>
    </row>
    <row r="168" spans="1:2" x14ac:dyDescent="0.15">
      <c r="A168" s="196"/>
      <c r="B168" s="196"/>
    </row>
    <row r="169" spans="1:2" x14ac:dyDescent="0.15">
      <c r="A169" s="196"/>
      <c r="B169" s="196"/>
    </row>
    <row r="170" spans="1:2" x14ac:dyDescent="0.15">
      <c r="A170" s="196"/>
      <c r="B170" s="196"/>
    </row>
    <row r="171" spans="1:2" x14ac:dyDescent="0.15">
      <c r="A171" s="196"/>
      <c r="B171" s="196"/>
    </row>
    <row r="172" spans="1:2" x14ac:dyDescent="0.15">
      <c r="A172" s="196"/>
      <c r="B172" s="196"/>
    </row>
    <row r="173" spans="1:2" x14ac:dyDescent="0.15">
      <c r="A173" s="196"/>
      <c r="B173" s="196"/>
    </row>
    <row r="174" spans="1:2" x14ac:dyDescent="0.15">
      <c r="A174" s="196"/>
      <c r="B174" s="196"/>
    </row>
    <row r="175" spans="1:2" x14ac:dyDescent="0.15">
      <c r="A175" s="196"/>
      <c r="B175" s="196"/>
    </row>
    <row r="176" spans="1:2" x14ac:dyDescent="0.15">
      <c r="A176" s="196"/>
      <c r="B176" s="196"/>
    </row>
    <row r="177" spans="1:2" x14ac:dyDescent="0.15">
      <c r="A177" s="196"/>
      <c r="B177" s="196"/>
    </row>
    <row r="178" spans="1:2" x14ac:dyDescent="0.15">
      <c r="A178" s="196"/>
      <c r="B178" s="196"/>
    </row>
    <row r="179" spans="1:2" x14ac:dyDescent="0.15">
      <c r="A179" s="196"/>
      <c r="B179" s="196"/>
    </row>
    <row r="180" spans="1:2" x14ac:dyDescent="0.15">
      <c r="A180" s="196"/>
      <c r="B180" s="196"/>
    </row>
    <row r="181" spans="1:2" x14ac:dyDescent="0.15">
      <c r="A181" s="196"/>
      <c r="B181" s="196"/>
    </row>
    <row r="182" spans="1:2" x14ac:dyDescent="0.15">
      <c r="A182" s="196"/>
      <c r="B182" s="196"/>
    </row>
    <row r="183" spans="1:2" x14ac:dyDescent="0.15">
      <c r="A183" s="196"/>
      <c r="B183" s="196"/>
    </row>
    <row r="184" spans="1:2" x14ac:dyDescent="0.15">
      <c r="A184" s="196"/>
      <c r="B184" s="196"/>
    </row>
    <row r="185" spans="1:2" x14ac:dyDescent="0.15">
      <c r="A185" s="196"/>
      <c r="B185" s="196"/>
    </row>
    <row r="186" spans="1:2" ht="10.5" customHeight="1" x14ac:dyDescent="0.15">
      <c r="A186" s="196"/>
      <c r="B186" s="196"/>
    </row>
    <row r="187" spans="1:2" x14ac:dyDescent="0.15">
      <c r="A187" s="196"/>
      <c r="B187" s="196"/>
    </row>
    <row r="188" spans="1:2" ht="10.5" customHeight="1" x14ac:dyDescent="0.15">
      <c r="A188" s="196"/>
      <c r="B188" s="196"/>
    </row>
  </sheetData>
  <mergeCells count="5">
    <mergeCell ref="A2:B2"/>
    <mergeCell ref="A20:B20"/>
    <mergeCell ref="A21:B21"/>
    <mergeCell ref="A22:B22"/>
    <mergeCell ref="A23:B2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B189"/>
  <sheetViews>
    <sheetView workbookViewId="0">
      <selection activeCell="A2" sqref="A2:B2"/>
    </sheetView>
  </sheetViews>
  <sheetFormatPr baseColWidth="10" defaultRowHeight="10.5" x14ac:dyDescent="0.15"/>
  <cols>
    <col min="1" max="1" width="32.140625" style="211" customWidth="1"/>
    <col min="2" max="2" width="35.7109375" style="211" customWidth="1"/>
    <col min="3" max="16384" width="11.42578125" style="196"/>
  </cols>
  <sheetData>
    <row r="2" spans="1:2" ht="43.5" customHeight="1" x14ac:dyDescent="0.15">
      <c r="A2" s="2530" t="s">
        <v>4348</v>
      </c>
      <c r="B2" s="2530"/>
    </row>
    <row r="3" spans="1:2" s="1999" customFormat="1" ht="15" customHeight="1" x14ac:dyDescent="0.15">
      <c r="A3" s="2007"/>
      <c r="B3" s="2007"/>
    </row>
    <row r="4" spans="1:2" ht="56.25" customHeight="1" x14ac:dyDescent="0.15">
      <c r="A4" s="253" t="s">
        <v>1014</v>
      </c>
      <c r="B4" s="254" t="s">
        <v>996</v>
      </c>
    </row>
    <row r="5" spans="1:2" x14ac:dyDescent="0.15">
      <c r="A5" s="256" t="s">
        <v>141</v>
      </c>
      <c r="B5" s="257">
        <f>SUM(B6,B9,B12,B15,B19,B21,B27,B40,B44)</f>
        <v>23</v>
      </c>
    </row>
    <row r="6" spans="1:2" x14ac:dyDescent="0.15">
      <c r="A6" s="256" t="s">
        <v>5</v>
      </c>
      <c r="B6" s="257">
        <f>SUM(B7:B8)</f>
        <v>3</v>
      </c>
    </row>
    <row r="7" spans="1:2" x14ac:dyDescent="0.15">
      <c r="A7" s="262" t="s">
        <v>1015</v>
      </c>
      <c r="B7" s="258">
        <v>1</v>
      </c>
    </row>
    <row r="8" spans="1:2" x14ac:dyDescent="0.15">
      <c r="A8" s="262" t="s">
        <v>696</v>
      </c>
      <c r="B8" s="258">
        <v>2</v>
      </c>
    </row>
    <row r="9" spans="1:2" x14ac:dyDescent="0.15">
      <c r="A9" s="256" t="s">
        <v>6</v>
      </c>
      <c r="B9" s="257">
        <f>SUM(B10:B11)</f>
        <v>1</v>
      </c>
    </row>
    <row r="10" spans="1:2" x14ac:dyDescent="0.15">
      <c r="A10" s="262" t="s">
        <v>1016</v>
      </c>
      <c r="B10" s="258">
        <v>1</v>
      </c>
    </row>
    <row r="11" spans="1:2" x14ac:dyDescent="0.15">
      <c r="A11" s="262" t="s">
        <v>1017</v>
      </c>
      <c r="B11" s="258">
        <v>0</v>
      </c>
    </row>
    <row r="12" spans="1:2" x14ac:dyDescent="0.15">
      <c r="A12" s="256" t="s">
        <v>7</v>
      </c>
      <c r="B12" s="257">
        <f>SUM(B13:B14)</f>
        <v>2</v>
      </c>
    </row>
    <row r="13" spans="1:2" x14ac:dyDescent="0.15">
      <c r="A13" s="262" t="s">
        <v>1018</v>
      </c>
      <c r="B13" s="258">
        <v>1</v>
      </c>
    </row>
    <row r="14" spans="1:2" x14ac:dyDescent="0.15">
      <c r="A14" s="262" t="s">
        <v>1019</v>
      </c>
      <c r="B14" s="258">
        <v>1</v>
      </c>
    </row>
    <row r="15" spans="1:2" x14ac:dyDescent="0.15">
      <c r="A15" s="256" t="s">
        <v>8</v>
      </c>
      <c r="B15" s="257">
        <f>SUM(B16:B18)</f>
        <v>4</v>
      </c>
    </row>
    <row r="16" spans="1:2" x14ac:dyDescent="0.15">
      <c r="A16" s="262" t="s">
        <v>1020</v>
      </c>
      <c r="B16" s="258">
        <v>1</v>
      </c>
    </row>
    <row r="17" spans="1:2" x14ac:dyDescent="0.15">
      <c r="A17" s="262" t="s">
        <v>1021</v>
      </c>
      <c r="B17" s="258">
        <v>2</v>
      </c>
    </row>
    <row r="18" spans="1:2" ht="11.25" x14ac:dyDescent="0.15">
      <c r="A18" s="262" t="s">
        <v>1022</v>
      </c>
      <c r="B18" s="258">
        <v>1</v>
      </c>
    </row>
    <row r="19" spans="1:2" x14ac:dyDescent="0.15">
      <c r="A19" s="256" t="s">
        <v>9</v>
      </c>
      <c r="B19" s="257">
        <f>SUM(B20)</f>
        <v>0</v>
      </c>
    </row>
    <row r="20" spans="1:2" x14ac:dyDescent="0.15">
      <c r="A20" s="262" t="s">
        <v>1023</v>
      </c>
      <c r="B20" s="258">
        <v>0</v>
      </c>
    </row>
    <row r="21" spans="1:2" ht="11.25" customHeight="1" x14ac:dyDescent="0.15">
      <c r="A21" s="256" t="s">
        <v>10</v>
      </c>
      <c r="B21" s="257">
        <f>SUM(B22:B26)</f>
        <v>8</v>
      </c>
    </row>
    <row r="22" spans="1:2" ht="11.25" customHeight="1" x14ac:dyDescent="0.15">
      <c r="A22" s="262" t="s">
        <v>1024</v>
      </c>
      <c r="B22" s="258">
        <v>0</v>
      </c>
    </row>
    <row r="23" spans="1:2" ht="10.5" customHeight="1" x14ac:dyDescent="0.15">
      <c r="A23" s="262" t="s">
        <v>508</v>
      </c>
      <c r="B23" s="258">
        <v>1</v>
      </c>
    </row>
    <row r="24" spans="1:2" ht="10.5" customHeight="1" x14ac:dyDescent="0.15">
      <c r="A24" s="262" t="s">
        <v>1025</v>
      </c>
      <c r="B24" s="258">
        <v>0</v>
      </c>
    </row>
    <row r="25" spans="1:2" ht="10.5" customHeight="1" x14ac:dyDescent="0.15">
      <c r="A25" s="262" t="s">
        <v>601</v>
      </c>
      <c r="B25" s="258">
        <v>1</v>
      </c>
    </row>
    <row r="26" spans="1:2" x14ac:dyDescent="0.15">
      <c r="A26" s="262" t="s">
        <v>511</v>
      </c>
      <c r="B26" s="258">
        <v>6</v>
      </c>
    </row>
    <row r="27" spans="1:2" x14ac:dyDescent="0.15">
      <c r="A27" s="256" t="s">
        <v>11</v>
      </c>
      <c r="B27" s="257">
        <f>SUM(B28:B39)</f>
        <v>5</v>
      </c>
    </row>
    <row r="28" spans="1:2" x14ac:dyDescent="0.15">
      <c r="A28" s="262" t="s">
        <v>1024</v>
      </c>
      <c r="B28" s="258">
        <v>0</v>
      </c>
    </row>
    <row r="29" spans="1:2" x14ac:dyDescent="0.15">
      <c r="A29" s="262" t="s">
        <v>10</v>
      </c>
      <c r="B29" s="258">
        <v>0</v>
      </c>
    </row>
    <row r="30" spans="1:2" x14ac:dyDescent="0.15">
      <c r="A30" s="262" t="s">
        <v>1025</v>
      </c>
      <c r="B30" s="258">
        <v>0</v>
      </c>
    </row>
    <row r="31" spans="1:2" x14ac:dyDescent="0.15">
      <c r="A31" s="262" t="s">
        <v>709</v>
      </c>
      <c r="B31" s="258">
        <v>0</v>
      </c>
    </row>
    <row r="32" spans="1:2" x14ac:dyDescent="0.15">
      <c r="A32" s="262" t="s">
        <v>1026</v>
      </c>
      <c r="B32" s="258">
        <v>1</v>
      </c>
    </row>
    <row r="33" spans="1:2" x14ac:dyDescent="0.15">
      <c r="A33" s="262" t="s">
        <v>1027</v>
      </c>
      <c r="B33" s="258">
        <v>2</v>
      </c>
    </row>
    <row r="34" spans="1:2" x14ac:dyDescent="0.15">
      <c r="A34" s="262" t="s">
        <v>1028</v>
      </c>
      <c r="B34" s="258">
        <v>0</v>
      </c>
    </row>
    <row r="35" spans="1:2" x14ac:dyDescent="0.15">
      <c r="A35" s="262" t="s">
        <v>1029</v>
      </c>
      <c r="B35" s="258">
        <v>0</v>
      </c>
    </row>
    <row r="36" spans="1:2" x14ac:dyDescent="0.15">
      <c r="A36" s="262" t="s">
        <v>1030</v>
      </c>
      <c r="B36" s="258">
        <v>0</v>
      </c>
    </row>
    <row r="37" spans="1:2" x14ac:dyDescent="0.15">
      <c r="A37" s="262" t="s">
        <v>1031</v>
      </c>
      <c r="B37" s="258">
        <v>1</v>
      </c>
    </row>
    <row r="38" spans="1:2" x14ac:dyDescent="0.15">
      <c r="A38" s="262" t="s">
        <v>1032</v>
      </c>
      <c r="B38" s="258">
        <v>0</v>
      </c>
    </row>
    <row r="39" spans="1:2" x14ac:dyDescent="0.15">
      <c r="A39" s="262" t="s">
        <v>1033</v>
      </c>
      <c r="B39" s="258">
        <v>1</v>
      </c>
    </row>
    <row r="40" spans="1:2" x14ac:dyDescent="0.15">
      <c r="A40" s="256" t="s">
        <v>13</v>
      </c>
      <c r="B40" s="257">
        <f>SUM(B41:B43)</f>
        <v>0</v>
      </c>
    </row>
    <row r="41" spans="1:2" x14ac:dyDescent="0.15">
      <c r="A41" s="262" t="s">
        <v>10</v>
      </c>
      <c r="B41" s="258">
        <v>0</v>
      </c>
    </row>
    <row r="42" spans="1:2" x14ac:dyDescent="0.15">
      <c r="A42" s="262" t="s">
        <v>623</v>
      </c>
      <c r="B42" s="258">
        <v>0</v>
      </c>
    </row>
    <row r="43" spans="1:2" x14ac:dyDescent="0.15">
      <c r="A43" s="262" t="s">
        <v>624</v>
      </c>
      <c r="B43" s="258">
        <v>0</v>
      </c>
    </row>
    <row r="44" spans="1:2" x14ac:dyDescent="0.15">
      <c r="A44" s="256" t="s">
        <v>14</v>
      </c>
      <c r="B44" s="257">
        <f>SUM(B45)</f>
        <v>0</v>
      </c>
    </row>
    <row r="45" spans="1:2" x14ac:dyDescent="0.15">
      <c r="A45" s="262" t="s">
        <v>641</v>
      </c>
      <c r="B45" s="258">
        <v>0</v>
      </c>
    </row>
    <row r="47" spans="1:2" x14ac:dyDescent="0.15">
      <c r="A47" s="179" t="s">
        <v>1034</v>
      </c>
    </row>
    <row r="48" spans="1:2" x14ac:dyDescent="0.15">
      <c r="A48" s="179" t="s">
        <v>20</v>
      </c>
    </row>
    <row r="49" spans="1:2" ht="22.5" customHeight="1" x14ac:dyDescent="0.15">
      <c r="A49" s="2534" t="s">
        <v>997</v>
      </c>
      <c r="B49" s="2534"/>
    </row>
    <row r="50" spans="1:2" x14ac:dyDescent="0.15">
      <c r="A50" s="196"/>
      <c r="B50" s="196"/>
    </row>
    <row r="51" spans="1:2" x14ac:dyDescent="0.15">
      <c r="A51" s="196"/>
      <c r="B51" s="196"/>
    </row>
    <row r="52" spans="1:2" x14ac:dyDescent="0.15">
      <c r="A52" s="196"/>
      <c r="B52" s="196"/>
    </row>
    <row r="53" spans="1:2" x14ac:dyDescent="0.15">
      <c r="A53" s="196"/>
      <c r="B53" s="196"/>
    </row>
    <row r="54" spans="1:2" x14ac:dyDescent="0.15">
      <c r="A54" s="196"/>
      <c r="B54" s="196"/>
    </row>
    <row r="55" spans="1:2" x14ac:dyDescent="0.15">
      <c r="A55" s="196"/>
      <c r="B55" s="196"/>
    </row>
    <row r="56" spans="1:2" x14ac:dyDescent="0.15">
      <c r="A56" s="196"/>
      <c r="B56" s="196"/>
    </row>
    <row r="57" spans="1:2" x14ac:dyDescent="0.15">
      <c r="A57" s="196"/>
      <c r="B57" s="196"/>
    </row>
    <row r="58" spans="1:2" x14ac:dyDescent="0.15">
      <c r="A58" s="196"/>
      <c r="B58" s="196"/>
    </row>
    <row r="59" spans="1:2" x14ac:dyDescent="0.15">
      <c r="A59" s="196"/>
      <c r="B59" s="196"/>
    </row>
    <row r="60" spans="1:2" x14ac:dyDescent="0.15">
      <c r="A60" s="196"/>
      <c r="B60" s="196"/>
    </row>
    <row r="61" spans="1:2" x14ac:dyDescent="0.15">
      <c r="A61" s="196"/>
      <c r="B61" s="196"/>
    </row>
    <row r="62" spans="1:2" x14ac:dyDescent="0.15">
      <c r="A62" s="196"/>
      <c r="B62" s="196"/>
    </row>
    <row r="63" spans="1:2" x14ac:dyDescent="0.15">
      <c r="A63" s="196"/>
      <c r="B63" s="196"/>
    </row>
    <row r="64" spans="1:2" x14ac:dyDescent="0.15">
      <c r="A64" s="196"/>
      <c r="B64" s="196"/>
    </row>
    <row r="65" spans="1:2" x14ac:dyDescent="0.15">
      <c r="A65" s="196"/>
      <c r="B65" s="196"/>
    </row>
    <row r="66" spans="1:2" x14ac:dyDescent="0.15">
      <c r="A66" s="196"/>
      <c r="B66" s="196"/>
    </row>
    <row r="67" spans="1:2" x14ac:dyDescent="0.15">
      <c r="A67" s="196"/>
      <c r="B67" s="196"/>
    </row>
    <row r="68" spans="1:2" x14ac:dyDescent="0.15">
      <c r="A68" s="196"/>
      <c r="B68" s="196"/>
    </row>
    <row r="69" spans="1:2" x14ac:dyDescent="0.15">
      <c r="A69" s="196"/>
      <c r="B69" s="196"/>
    </row>
    <row r="70" spans="1:2" x14ac:dyDescent="0.15">
      <c r="A70" s="196"/>
      <c r="B70" s="196"/>
    </row>
    <row r="71" spans="1:2" x14ac:dyDescent="0.15">
      <c r="A71" s="196"/>
      <c r="B71" s="196"/>
    </row>
    <row r="72" spans="1:2" x14ac:dyDescent="0.15">
      <c r="A72" s="196"/>
      <c r="B72" s="196"/>
    </row>
    <row r="73" spans="1:2" x14ac:dyDescent="0.15">
      <c r="A73" s="196"/>
      <c r="B73" s="196"/>
    </row>
    <row r="74" spans="1:2" x14ac:dyDescent="0.15">
      <c r="A74" s="196"/>
      <c r="B74" s="196"/>
    </row>
    <row r="75" spans="1:2" x14ac:dyDescent="0.15">
      <c r="A75" s="196"/>
      <c r="B75" s="196"/>
    </row>
    <row r="76" spans="1:2" x14ac:dyDescent="0.15">
      <c r="A76" s="196"/>
      <c r="B76" s="196"/>
    </row>
    <row r="77" spans="1:2" x14ac:dyDescent="0.15">
      <c r="A77" s="196"/>
      <c r="B77" s="196"/>
    </row>
    <row r="78" spans="1:2" x14ac:dyDescent="0.15">
      <c r="A78" s="196"/>
      <c r="B78" s="196"/>
    </row>
    <row r="79" spans="1:2" x14ac:dyDescent="0.15">
      <c r="A79" s="196"/>
      <c r="B79" s="196"/>
    </row>
    <row r="80" spans="1:2" x14ac:dyDescent="0.15">
      <c r="A80" s="196"/>
      <c r="B80" s="196"/>
    </row>
    <row r="81" spans="1:2" x14ac:dyDescent="0.15">
      <c r="A81" s="196"/>
      <c r="B81" s="196"/>
    </row>
    <row r="82" spans="1:2" x14ac:dyDescent="0.15">
      <c r="A82" s="196"/>
      <c r="B82" s="196"/>
    </row>
    <row r="83" spans="1:2" x14ac:dyDescent="0.15">
      <c r="A83" s="196"/>
      <c r="B83" s="196"/>
    </row>
    <row r="84" spans="1:2" x14ac:dyDescent="0.15">
      <c r="A84" s="196"/>
      <c r="B84" s="196"/>
    </row>
    <row r="85" spans="1:2" x14ac:dyDescent="0.15">
      <c r="A85" s="196"/>
      <c r="B85" s="196"/>
    </row>
    <row r="86" spans="1:2" x14ac:dyDescent="0.15">
      <c r="A86" s="196"/>
      <c r="B86" s="196"/>
    </row>
    <row r="87" spans="1:2" x14ac:dyDescent="0.15">
      <c r="A87" s="196"/>
      <c r="B87" s="196"/>
    </row>
    <row r="88" spans="1:2" x14ac:dyDescent="0.15">
      <c r="A88" s="196"/>
      <c r="B88" s="196"/>
    </row>
    <row r="89" spans="1:2" ht="10.5" customHeight="1" x14ac:dyDescent="0.15">
      <c r="A89" s="196"/>
      <c r="B89" s="196"/>
    </row>
    <row r="90" spans="1:2" ht="10.5" customHeight="1" x14ac:dyDescent="0.15">
      <c r="A90" s="196"/>
      <c r="B90" s="196"/>
    </row>
    <row r="91" spans="1:2" x14ac:dyDescent="0.15">
      <c r="A91" s="196"/>
      <c r="B91" s="196"/>
    </row>
    <row r="92" spans="1:2" ht="10.5" customHeight="1" x14ac:dyDescent="0.15">
      <c r="A92" s="196"/>
      <c r="B92" s="196"/>
    </row>
    <row r="93" spans="1:2" x14ac:dyDescent="0.15">
      <c r="A93" s="196"/>
      <c r="B93" s="196"/>
    </row>
    <row r="94" spans="1:2" x14ac:dyDescent="0.15">
      <c r="A94" s="196"/>
      <c r="B94" s="196"/>
    </row>
    <row r="95" spans="1:2" x14ac:dyDescent="0.15">
      <c r="A95" s="196"/>
      <c r="B95" s="196"/>
    </row>
    <row r="96" spans="1:2" x14ac:dyDescent="0.15">
      <c r="A96" s="196"/>
      <c r="B96" s="196"/>
    </row>
    <row r="97" spans="1:2" x14ac:dyDescent="0.15">
      <c r="A97" s="196"/>
      <c r="B97" s="196"/>
    </row>
    <row r="98" spans="1:2" x14ac:dyDescent="0.15">
      <c r="A98" s="196"/>
      <c r="B98" s="196"/>
    </row>
    <row r="99" spans="1:2" x14ac:dyDescent="0.15">
      <c r="A99" s="196"/>
      <c r="B99" s="196"/>
    </row>
    <row r="100" spans="1:2" x14ac:dyDescent="0.15">
      <c r="A100" s="196"/>
      <c r="B100" s="196"/>
    </row>
    <row r="101" spans="1:2" ht="10.5" customHeight="1" x14ac:dyDescent="0.15">
      <c r="A101" s="196"/>
      <c r="B101" s="196"/>
    </row>
    <row r="102" spans="1:2" x14ac:dyDescent="0.15">
      <c r="A102" s="196"/>
      <c r="B102" s="196"/>
    </row>
    <row r="103" spans="1:2" x14ac:dyDescent="0.15">
      <c r="A103" s="196"/>
      <c r="B103" s="196"/>
    </row>
    <row r="104" spans="1:2" ht="10.5" customHeight="1" x14ac:dyDescent="0.15">
      <c r="A104" s="196"/>
      <c r="B104" s="196"/>
    </row>
    <row r="105" spans="1:2" x14ac:dyDescent="0.15">
      <c r="A105" s="196"/>
      <c r="B105" s="196"/>
    </row>
    <row r="106" spans="1:2" x14ac:dyDescent="0.15">
      <c r="A106" s="196"/>
      <c r="B106" s="196"/>
    </row>
    <row r="107" spans="1:2" x14ac:dyDescent="0.15">
      <c r="A107" s="196"/>
      <c r="B107" s="196"/>
    </row>
    <row r="108" spans="1:2" x14ac:dyDescent="0.15">
      <c r="A108" s="196"/>
      <c r="B108" s="196"/>
    </row>
    <row r="109" spans="1:2" x14ac:dyDescent="0.15">
      <c r="A109" s="196"/>
      <c r="B109" s="196"/>
    </row>
    <row r="110" spans="1:2" x14ac:dyDescent="0.15">
      <c r="A110" s="196"/>
      <c r="B110" s="196"/>
    </row>
    <row r="111" spans="1:2" x14ac:dyDescent="0.15">
      <c r="A111" s="196"/>
      <c r="B111" s="196"/>
    </row>
    <row r="112" spans="1:2" x14ac:dyDescent="0.15">
      <c r="A112" s="196"/>
      <c r="B112" s="196"/>
    </row>
    <row r="113" spans="1:2" x14ac:dyDescent="0.15">
      <c r="A113" s="196"/>
      <c r="B113" s="196"/>
    </row>
    <row r="114" spans="1:2" x14ac:dyDescent="0.15">
      <c r="A114" s="196"/>
      <c r="B114" s="196"/>
    </row>
    <row r="115" spans="1:2" x14ac:dyDescent="0.15">
      <c r="A115" s="196"/>
      <c r="B115" s="196"/>
    </row>
    <row r="116" spans="1:2" x14ac:dyDescent="0.15">
      <c r="A116" s="196"/>
      <c r="B116" s="196"/>
    </row>
    <row r="117" spans="1:2" x14ac:dyDescent="0.15">
      <c r="A117" s="196"/>
      <c r="B117" s="196"/>
    </row>
    <row r="118" spans="1:2" x14ac:dyDescent="0.15">
      <c r="A118" s="196"/>
      <c r="B118" s="196"/>
    </row>
    <row r="119" spans="1:2" x14ac:dyDescent="0.15">
      <c r="A119" s="196"/>
      <c r="B119" s="196"/>
    </row>
    <row r="120" spans="1:2" x14ac:dyDescent="0.15">
      <c r="A120" s="196"/>
      <c r="B120" s="196"/>
    </row>
    <row r="121" spans="1:2" x14ac:dyDescent="0.15">
      <c r="A121" s="196"/>
      <c r="B121" s="196"/>
    </row>
    <row r="122" spans="1:2" x14ac:dyDescent="0.15">
      <c r="A122" s="196"/>
      <c r="B122" s="196"/>
    </row>
    <row r="123" spans="1:2" x14ac:dyDescent="0.15">
      <c r="A123" s="196"/>
      <c r="B123" s="196"/>
    </row>
    <row r="124" spans="1:2" x14ac:dyDescent="0.15">
      <c r="A124" s="196"/>
      <c r="B124" s="196"/>
    </row>
    <row r="125" spans="1:2" x14ac:dyDescent="0.15">
      <c r="A125" s="196"/>
      <c r="B125" s="196"/>
    </row>
    <row r="126" spans="1:2" x14ac:dyDescent="0.15">
      <c r="A126" s="196"/>
      <c r="B126" s="196"/>
    </row>
    <row r="127" spans="1:2" x14ac:dyDescent="0.15">
      <c r="A127" s="196"/>
      <c r="B127" s="196"/>
    </row>
    <row r="128" spans="1:2" x14ac:dyDescent="0.15">
      <c r="A128" s="196"/>
      <c r="B128" s="196"/>
    </row>
    <row r="129" spans="1:2" x14ac:dyDescent="0.15">
      <c r="A129" s="196"/>
      <c r="B129" s="196"/>
    </row>
    <row r="130" spans="1:2" x14ac:dyDescent="0.15">
      <c r="A130" s="196"/>
      <c r="B130" s="196"/>
    </row>
    <row r="131" spans="1:2" x14ac:dyDescent="0.15">
      <c r="A131" s="196"/>
      <c r="B131" s="196"/>
    </row>
    <row r="132" spans="1:2" x14ac:dyDescent="0.15">
      <c r="A132" s="196"/>
      <c r="B132" s="196"/>
    </row>
    <row r="133" spans="1:2" x14ac:dyDescent="0.15">
      <c r="A133" s="196"/>
      <c r="B133" s="196"/>
    </row>
    <row r="134" spans="1:2" x14ac:dyDescent="0.15">
      <c r="A134" s="196"/>
      <c r="B134" s="196"/>
    </row>
    <row r="135" spans="1:2" x14ac:dyDescent="0.15">
      <c r="A135" s="196"/>
      <c r="B135" s="196"/>
    </row>
    <row r="136" spans="1:2" x14ac:dyDescent="0.15">
      <c r="A136" s="196"/>
      <c r="B136" s="196"/>
    </row>
    <row r="137" spans="1:2" x14ac:dyDescent="0.15">
      <c r="A137" s="196"/>
      <c r="B137" s="196"/>
    </row>
    <row r="138" spans="1:2" x14ac:dyDescent="0.15">
      <c r="A138" s="196"/>
      <c r="B138" s="196"/>
    </row>
    <row r="139" spans="1:2" x14ac:dyDescent="0.15">
      <c r="A139" s="196"/>
      <c r="B139" s="196"/>
    </row>
    <row r="140" spans="1:2" x14ac:dyDescent="0.15">
      <c r="A140" s="196"/>
      <c r="B140" s="196"/>
    </row>
    <row r="141" spans="1:2" x14ac:dyDescent="0.15">
      <c r="A141" s="196"/>
      <c r="B141" s="196"/>
    </row>
    <row r="142" spans="1:2" x14ac:dyDescent="0.15">
      <c r="A142" s="196"/>
      <c r="B142" s="196"/>
    </row>
    <row r="143" spans="1:2" x14ac:dyDescent="0.15">
      <c r="A143" s="196"/>
      <c r="B143" s="196"/>
    </row>
    <row r="144" spans="1:2" x14ac:dyDescent="0.15">
      <c r="A144" s="196"/>
      <c r="B144" s="196"/>
    </row>
    <row r="145" spans="1:2" x14ac:dyDescent="0.15">
      <c r="A145" s="196"/>
      <c r="B145" s="196"/>
    </row>
    <row r="146" spans="1:2" x14ac:dyDescent="0.15">
      <c r="A146" s="196"/>
      <c r="B146" s="196"/>
    </row>
    <row r="147" spans="1:2" x14ac:dyDescent="0.15">
      <c r="A147" s="196"/>
      <c r="B147" s="196"/>
    </row>
    <row r="148" spans="1:2" x14ac:dyDescent="0.15">
      <c r="A148" s="196"/>
      <c r="B148" s="196"/>
    </row>
    <row r="149" spans="1:2" x14ac:dyDescent="0.15">
      <c r="A149" s="196"/>
      <c r="B149" s="196"/>
    </row>
    <row r="150" spans="1:2" x14ac:dyDescent="0.15">
      <c r="A150" s="196"/>
      <c r="B150" s="196"/>
    </row>
    <row r="151" spans="1:2" x14ac:dyDescent="0.15">
      <c r="A151" s="196"/>
      <c r="B151" s="196"/>
    </row>
    <row r="152" spans="1:2" x14ac:dyDescent="0.15">
      <c r="A152" s="196"/>
      <c r="B152" s="196"/>
    </row>
    <row r="153" spans="1:2" x14ac:dyDescent="0.15">
      <c r="A153" s="196"/>
      <c r="B153" s="196"/>
    </row>
    <row r="154" spans="1:2" x14ac:dyDescent="0.15">
      <c r="A154" s="196"/>
      <c r="B154" s="196"/>
    </row>
    <row r="155" spans="1:2" x14ac:dyDescent="0.15">
      <c r="A155" s="196"/>
      <c r="B155" s="196"/>
    </row>
    <row r="156" spans="1:2" x14ac:dyDescent="0.15">
      <c r="A156" s="196"/>
      <c r="B156" s="196"/>
    </row>
    <row r="157" spans="1:2" x14ac:dyDescent="0.15">
      <c r="A157" s="196"/>
      <c r="B157" s="196"/>
    </row>
    <row r="158" spans="1:2" x14ac:dyDescent="0.15">
      <c r="A158" s="196"/>
      <c r="B158" s="196"/>
    </row>
    <row r="159" spans="1:2" x14ac:dyDescent="0.15">
      <c r="A159" s="196"/>
      <c r="B159" s="196"/>
    </row>
    <row r="160" spans="1:2" x14ac:dyDescent="0.15">
      <c r="A160" s="196"/>
      <c r="B160" s="196"/>
    </row>
    <row r="161" spans="1:2" x14ac:dyDescent="0.15">
      <c r="A161" s="196"/>
      <c r="B161" s="196"/>
    </row>
    <row r="162" spans="1:2" x14ac:dyDescent="0.15">
      <c r="A162" s="196"/>
      <c r="B162" s="196"/>
    </row>
    <row r="163" spans="1:2" x14ac:dyDescent="0.15">
      <c r="A163" s="196"/>
      <c r="B163" s="196"/>
    </row>
    <row r="164" spans="1:2" x14ac:dyDescent="0.15">
      <c r="A164" s="196"/>
      <c r="B164" s="196"/>
    </row>
    <row r="165" spans="1:2" x14ac:dyDescent="0.15">
      <c r="A165" s="196"/>
      <c r="B165" s="196"/>
    </row>
    <row r="166" spans="1:2" x14ac:dyDescent="0.15">
      <c r="A166" s="196"/>
      <c r="B166" s="196"/>
    </row>
    <row r="167" spans="1:2" x14ac:dyDescent="0.15">
      <c r="A167" s="196"/>
      <c r="B167" s="196"/>
    </row>
    <row r="168" spans="1:2" x14ac:dyDescent="0.15">
      <c r="A168" s="196"/>
      <c r="B168" s="196"/>
    </row>
    <row r="169" spans="1:2" x14ac:dyDescent="0.15">
      <c r="A169" s="196"/>
      <c r="B169" s="196"/>
    </row>
    <row r="170" spans="1:2" x14ac:dyDescent="0.15">
      <c r="A170" s="196"/>
      <c r="B170" s="196"/>
    </row>
    <row r="171" spans="1:2" x14ac:dyDescent="0.15">
      <c r="A171" s="196"/>
      <c r="B171" s="196"/>
    </row>
    <row r="172" spans="1:2" x14ac:dyDescent="0.15">
      <c r="A172" s="196"/>
      <c r="B172" s="196"/>
    </row>
    <row r="173" spans="1:2" x14ac:dyDescent="0.15">
      <c r="A173" s="196"/>
      <c r="B173" s="196"/>
    </row>
    <row r="174" spans="1:2" x14ac:dyDescent="0.15">
      <c r="A174" s="196"/>
      <c r="B174" s="196"/>
    </row>
    <row r="175" spans="1:2" x14ac:dyDescent="0.15">
      <c r="A175" s="196"/>
      <c r="B175" s="196"/>
    </row>
    <row r="176" spans="1:2" x14ac:dyDescent="0.15">
      <c r="A176" s="196"/>
      <c r="B176" s="196"/>
    </row>
    <row r="177" spans="1:2" x14ac:dyDescent="0.15">
      <c r="A177" s="196"/>
      <c r="B177" s="196"/>
    </row>
    <row r="178" spans="1:2" x14ac:dyDescent="0.15">
      <c r="A178" s="196"/>
      <c r="B178" s="196"/>
    </row>
    <row r="179" spans="1:2" x14ac:dyDescent="0.15">
      <c r="A179" s="196"/>
      <c r="B179" s="196"/>
    </row>
    <row r="180" spans="1:2" x14ac:dyDescent="0.15">
      <c r="A180" s="196"/>
      <c r="B180" s="196"/>
    </row>
    <row r="181" spans="1:2" x14ac:dyDescent="0.15">
      <c r="A181" s="196"/>
      <c r="B181" s="196"/>
    </row>
    <row r="182" spans="1:2" x14ac:dyDescent="0.15">
      <c r="A182" s="196"/>
      <c r="B182" s="196"/>
    </row>
    <row r="183" spans="1:2" x14ac:dyDescent="0.15">
      <c r="A183" s="196"/>
      <c r="B183" s="196"/>
    </row>
    <row r="184" spans="1:2" x14ac:dyDescent="0.15">
      <c r="A184" s="196"/>
      <c r="B184" s="196"/>
    </row>
    <row r="185" spans="1:2" x14ac:dyDescent="0.15">
      <c r="A185" s="196"/>
      <c r="B185" s="196"/>
    </row>
    <row r="186" spans="1:2" x14ac:dyDescent="0.15">
      <c r="A186" s="196"/>
      <c r="B186" s="196"/>
    </row>
    <row r="187" spans="1:2" ht="10.5" customHeight="1" x14ac:dyDescent="0.15">
      <c r="A187" s="196"/>
      <c r="B187" s="196"/>
    </row>
    <row r="188" spans="1:2" x14ac:dyDescent="0.15">
      <c r="A188" s="196"/>
      <c r="B188" s="196"/>
    </row>
    <row r="189" spans="1:2" ht="10.5" customHeight="1" x14ac:dyDescent="0.15">
      <c r="A189" s="196"/>
      <c r="B189" s="196"/>
    </row>
  </sheetData>
  <mergeCells count="2">
    <mergeCell ref="A2:B2"/>
    <mergeCell ref="A49:B4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B188"/>
  <sheetViews>
    <sheetView workbookViewId="0">
      <selection activeCell="A2" sqref="A2:B2"/>
    </sheetView>
  </sheetViews>
  <sheetFormatPr baseColWidth="10" defaultRowHeight="10.5" x14ac:dyDescent="0.15"/>
  <cols>
    <col min="1" max="1" width="46.140625" style="196" customWidth="1"/>
    <col min="2" max="2" width="32.140625" style="196" customWidth="1"/>
    <col min="3" max="16384" width="11.42578125" style="196"/>
  </cols>
  <sheetData>
    <row r="2" spans="1:2" ht="54" customHeight="1" x14ac:dyDescent="0.15">
      <c r="A2" s="2530" t="s">
        <v>4349</v>
      </c>
      <c r="B2" s="2537"/>
    </row>
    <row r="3" spans="1:2" ht="56.25" customHeight="1" x14ac:dyDescent="0.15">
      <c r="A3" s="253" t="s">
        <v>1035</v>
      </c>
      <c r="B3" s="254" t="s">
        <v>1036</v>
      </c>
    </row>
    <row r="4" spans="1:2" x14ac:dyDescent="0.15">
      <c r="A4" s="256" t="s">
        <v>141</v>
      </c>
      <c r="B4" s="257">
        <v>42</v>
      </c>
    </row>
    <row r="5" spans="1:2" x14ac:dyDescent="0.15">
      <c r="A5" s="256" t="s">
        <v>5</v>
      </c>
      <c r="B5" s="264">
        <v>4</v>
      </c>
    </row>
    <row r="6" spans="1:2" x14ac:dyDescent="0.15">
      <c r="A6" s="261" t="s">
        <v>1037</v>
      </c>
      <c r="B6" s="258">
        <v>1</v>
      </c>
    </row>
    <row r="7" spans="1:2" x14ac:dyDescent="0.15">
      <c r="A7" s="261" t="s">
        <v>1015</v>
      </c>
      <c r="B7" s="258">
        <v>1</v>
      </c>
    </row>
    <row r="8" spans="1:2" x14ac:dyDescent="0.15">
      <c r="A8" s="261" t="s">
        <v>696</v>
      </c>
      <c r="B8" s="258">
        <v>2</v>
      </c>
    </row>
    <row r="9" spans="1:2" x14ac:dyDescent="0.15">
      <c r="A9" s="256" t="s">
        <v>6</v>
      </c>
      <c r="B9" s="257">
        <v>0</v>
      </c>
    </row>
    <row r="10" spans="1:2" x14ac:dyDescent="0.15">
      <c r="A10" s="262" t="s">
        <v>1037</v>
      </c>
      <c r="B10" s="258">
        <v>0</v>
      </c>
    </row>
    <row r="11" spans="1:2" x14ac:dyDescent="0.15">
      <c r="A11" s="262" t="s">
        <v>490</v>
      </c>
      <c r="B11" s="258">
        <v>0</v>
      </c>
    </row>
    <row r="12" spans="1:2" x14ac:dyDescent="0.15">
      <c r="A12" s="262" t="s">
        <v>1038</v>
      </c>
      <c r="B12" s="258">
        <v>0</v>
      </c>
    </row>
    <row r="13" spans="1:2" x14ac:dyDescent="0.15">
      <c r="A13" s="256" t="s">
        <v>7</v>
      </c>
      <c r="B13" s="257">
        <v>5</v>
      </c>
    </row>
    <row r="14" spans="1:2" x14ac:dyDescent="0.15">
      <c r="A14" s="262" t="s">
        <v>1018</v>
      </c>
      <c r="B14" s="258">
        <v>2</v>
      </c>
    </row>
    <row r="15" spans="1:2" x14ac:dyDescent="0.15">
      <c r="A15" s="262" t="s">
        <v>590</v>
      </c>
      <c r="B15" s="258">
        <v>3</v>
      </c>
    </row>
    <row r="16" spans="1:2" x14ac:dyDescent="0.15">
      <c r="A16" s="262" t="s">
        <v>7</v>
      </c>
      <c r="B16" s="258">
        <v>0</v>
      </c>
    </row>
    <row r="17" spans="1:2" x14ac:dyDescent="0.15">
      <c r="A17" s="262" t="s">
        <v>1026</v>
      </c>
      <c r="B17" s="258">
        <v>0</v>
      </c>
    </row>
    <row r="18" spans="1:2" ht="11.25" x14ac:dyDescent="0.15">
      <c r="A18" s="262" t="s">
        <v>1011</v>
      </c>
      <c r="B18" s="258">
        <v>0</v>
      </c>
    </row>
    <row r="19" spans="1:2" x14ac:dyDescent="0.15">
      <c r="A19" s="256" t="s">
        <v>8</v>
      </c>
      <c r="B19" s="257">
        <v>0</v>
      </c>
    </row>
    <row r="20" spans="1:2" ht="11.25" customHeight="1" x14ac:dyDescent="0.15">
      <c r="A20" s="256" t="s">
        <v>9</v>
      </c>
      <c r="B20" s="257">
        <v>0</v>
      </c>
    </row>
    <row r="21" spans="1:2" ht="11.25" customHeight="1" x14ac:dyDescent="0.15">
      <c r="A21" s="262" t="s">
        <v>9</v>
      </c>
      <c r="B21" s="258">
        <v>0</v>
      </c>
    </row>
    <row r="22" spans="1:2" ht="10.5" customHeight="1" x14ac:dyDescent="0.15">
      <c r="A22" s="256" t="s">
        <v>10</v>
      </c>
      <c r="B22" s="257">
        <v>3</v>
      </c>
    </row>
    <row r="23" spans="1:2" ht="10.5" customHeight="1" x14ac:dyDescent="0.15">
      <c r="A23" s="262" t="s">
        <v>598</v>
      </c>
      <c r="B23" s="258">
        <v>0</v>
      </c>
    </row>
    <row r="24" spans="1:2" ht="10.5" customHeight="1" x14ac:dyDescent="0.15">
      <c r="A24" s="262" t="s">
        <v>508</v>
      </c>
      <c r="B24" s="258">
        <v>0</v>
      </c>
    </row>
    <row r="25" spans="1:2" x14ac:dyDescent="0.15">
      <c r="A25" s="262" t="s">
        <v>10</v>
      </c>
      <c r="B25" s="258">
        <v>1</v>
      </c>
    </row>
    <row r="26" spans="1:2" x14ac:dyDescent="0.15">
      <c r="A26" s="262" t="s">
        <v>1025</v>
      </c>
      <c r="B26" s="258">
        <v>0</v>
      </c>
    </row>
    <row r="27" spans="1:2" x14ac:dyDescent="0.15">
      <c r="A27" s="262" t="s">
        <v>1039</v>
      </c>
      <c r="B27" s="258">
        <v>0</v>
      </c>
    </row>
    <row r="28" spans="1:2" x14ac:dyDescent="0.15">
      <c r="A28" s="262" t="s">
        <v>601</v>
      </c>
      <c r="B28" s="258">
        <v>0</v>
      </c>
    </row>
    <row r="29" spans="1:2" x14ac:dyDescent="0.15">
      <c r="A29" s="262" t="s">
        <v>1040</v>
      </c>
      <c r="B29" s="258">
        <v>0</v>
      </c>
    </row>
    <row r="30" spans="1:2" x14ac:dyDescent="0.15">
      <c r="A30" s="262" t="s">
        <v>511</v>
      </c>
      <c r="B30" s="258">
        <v>2</v>
      </c>
    </row>
    <row r="31" spans="1:2" x14ac:dyDescent="0.15">
      <c r="A31" s="262" t="s">
        <v>1041</v>
      </c>
      <c r="B31" s="258">
        <v>0</v>
      </c>
    </row>
    <row r="32" spans="1:2" x14ac:dyDescent="0.15">
      <c r="A32" s="262" t="s">
        <v>1026</v>
      </c>
      <c r="B32" s="258">
        <v>0</v>
      </c>
    </row>
    <row r="33" spans="1:2" ht="11.25" x14ac:dyDescent="0.15">
      <c r="A33" s="262" t="s">
        <v>1011</v>
      </c>
      <c r="B33" s="258">
        <v>0</v>
      </c>
    </row>
    <row r="34" spans="1:2" x14ac:dyDescent="0.15">
      <c r="A34" s="256" t="s">
        <v>11</v>
      </c>
      <c r="B34" s="257">
        <v>16</v>
      </c>
    </row>
    <row r="35" spans="1:2" x14ac:dyDescent="0.15">
      <c r="A35" s="262" t="s">
        <v>1042</v>
      </c>
      <c r="B35" s="258">
        <v>1</v>
      </c>
    </row>
    <row r="36" spans="1:2" x14ac:dyDescent="0.15">
      <c r="A36" s="262" t="s">
        <v>1025</v>
      </c>
      <c r="B36" s="258">
        <v>0</v>
      </c>
    </row>
    <row r="37" spans="1:2" x14ac:dyDescent="0.15">
      <c r="A37" s="262" t="s">
        <v>1043</v>
      </c>
      <c r="B37" s="258">
        <v>2</v>
      </c>
    </row>
    <row r="38" spans="1:2" x14ac:dyDescent="0.15">
      <c r="A38" s="262" t="s">
        <v>601</v>
      </c>
      <c r="B38" s="258">
        <v>0</v>
      </c>
    </row>
    <row r="39" spans="1:2" x14ac:dyDescent="0.15">
      <c r="A39" s="262" t="s">
        <v>1044</v>
      </c>
      <c r="B39" s="258">
        <v>0</v>
      </c>
    </row>
    <row r="40" spans="1:2" x14ac:dyDescent="0.15">
      <c r="A40" s="262" t="s">
        <v>1045</v>
      </c>
      <c r="B40" s="258">
        <v>1</v>
      </c>
    </row>
    <row r="41" spans="1:2" x14ac:dyDescent="0.15">
      <c r="A41" s="262" t="s">
        <v>1026</v>
      </c>
      <c r="B41" s="258">
        <v>5</v>
      </c>
    </row>
    <row r="42" spans="1:2" x14ac:dyDescent="0.15">
      <c r="A42" s="262" t="s">
        <v>1046</v>
      </c>
      <c r="B42" s="258">
        <v>0</v>
      </c>
    </row>
    <row r="43" spans="1:2" x14ac:dyDescent="0.15">
      <c r="A43" s="262" t="s">
        <v>1027</v>
      </c>
      <c r="B43" s="258">
        <v>0</v>
      </c>
    </row>
    <row r="44" spans="1:2" x14ac:dyDescent="0.15">
      <c r="A44" s="262" t="s">
        <v>1028</v>
      </c>
      <c r="B44" s="258">
        <v>0</v>
      </c>
    </row>
    <row r="45" spans="1:2" x14ac:dyDescent="0.15">
      <c r="A45" s="262" t="s">
        <v>1047</v>
      </c>
      <c r="B45" s="258">
        <v>0</v>
      </c>
    </row>
    <row r="46" spans="1:2" x14ac:dyDescent="0.15">
      <c r="A46" s="262" t="s">
        <v>1048</v>
      </c>
      <c r="B46" s="258">
        <v>0</v>
      </c>
    </row>
    <row r="47" spans="1:2" x14ac:dyDescent="0.15">
      <c r="A47" s="262" t="s">
        <v>1049</v>
      </c>
      <c r="B47" s="258">
        <v>1</v>
      </c>
    </row>
    <row r="48" spans="1:2" x14ac:dyDescent="0.15">
      <c r="A48" s="262" t="s">
        <v>1029</v>
      </c>
      <c r="B48" s="258">
        <v>0</v>
      </c>
    </row>
    <row r="49" spans="1:2" x14ac:dyDescent="0.15">
      <c r="A49" s="262" t="s">
        <v>1050</v>
      </c>
      <c r="B49" s="258">
        <v>0</v>
      </c>
    </row>
    <row r="50" spans="1:2" x14ac:dyDescent="0.15">
      <c r="A50" s="262" t="s">
        <v>1051</v>
      </c>
      <c r="B50" s="258">
        <v>0</v>
      </c>
    </row>
    <row r="51" spans="1:2" x14ac:dyDescent="0.15">
      <c r="A51" s="262" t="s">
        <v>1052</v>
      </c>
      <c r="B51" s="258">
        <v>0</v>
      </c>
    </row>
    <row r="52" spans="1:2" x14ac:dyDescent="0.15">
      <c r="A52" s="262" t="s">
        <v>1053</v>
      </c>
      <c r="B52" s="258">
        <v>0</v>
      </c>
    </row>
    <row r="53" spans="1:2" x14ac:dyDescent="0.15">
      <c r="A53" s="262" t="s">
        <v>1054</v>
      </c>
      <c r="B53" s="258">
        <v>1</v>
      </c>
    </row>
    <row r="54" spans="1:2" x14ac:dyDescent="0.15">
      <c r="A54" s="262" t="s">
        <v>1031</v>
      </c>
      <c r="B54" s="258">
        <v>1</v>
      </c>
    </row>
    <row r="55" spans="1:2" x14ac:dyDescent="0.15">
      <c r="A55" s="262" t="s">
        <v>1055</v>
      </c>
      <c r="B55" s="258">
        <v>0</v>
      </c>
    </row>
    <row r="56" spans="1:2" x14ac:dyDescent="0.15">
      <c r="A56" s="262" t="s">
        <v>1056</v>
      </c>
      <c r="B56" s="258">
        <v>0</v>
      </c>
    </row>
    <row r="57" spans="1:2" x14ac:dyDescent="0.15">
      <c r="A57" s="262" t="s">
        <v>1057</v>
      </c>
      <c r="B57" s="258">
        <v>0</v>
      </c>
    </row>
    <row r="58" spans="1:2" x14ac:dyDescent="0.15">
      <c r="A58" s="262" t="s">
        <v>1058</v>
      </c>
      <c r="B58" s="258">
        <v>0</v>
      </c>
    </row>
    <row r="59" spans="1:2" x14ac:dyDescent="0.15">
      <c r="A59" s="262" t="s">
        <v>1032</v>
      </c>
      <c r="B59" s="258">
        <v>0</v>
      </c>
    </row>
    <row r="60" spans="1:2" x14ac:dyDescent="0.15">
      <c r="A60" s="262" t="s">
        <v>1059</v>
      </c>
      <c r="B60" s="258">
        <v>0</v>
      </c>
    </row>
    <row r="61" spans="1:2" x14ac:dyDescent="0.15">
      <c r="A61" s="262" t="s">
        <v>1060</v>
      </c>
      <c r="B61" s="258">
        <v>0</v>
      </c>
    </row>
    <row r="62" spans="1:2" x14ac:dyDescent="0.15">
      <c r="A62" s="262" t="s">
        <v>1061</v>
      </c>
      <c r="B62" s="258">
        <v>1</v>
      </c>
    </row>
    <row r="63" spans="1:2" x14ac:dyDescent="0.15">
      <c r="A63" s="262" t="s">
        <v>606</v>
      </c>
      <c r="B63" s="258">
        <v>0</v>
      </c>
    </row>
    <row r="64" spans="1:2" ht="11.25" x14ac:dyDescent="0.15">
      <c r="A64" s="262" t="s">
        <v>1011</v>
      </c>
      <c r="B64" s="258">
        <v>3</v>
      </c>
    </row>
    <row r="65" spans="1:2" x14ac:dyDescent="0.15">
      <c r="A65" s="256" t="s">
        <v>12</v>
      </c>
      <c r="B65" s="257">
        <v>0</v>
      </c>
    </row>
    <row r="66" spans="1:2" x14ac:dyDescent="0.15">
      <c r="A66" s="262" t="s">
        <v>609</v>
      </c>
      <c r="B66" s="258">
        <v>0</v>
      </c>
    </row>
    <row r="67" spans="1:2" x14ac:dyDescent="0.15">
      <c r="A67" s="262" t="s">
        <v>1062</v>
      </c>
      <c r="B67" s="258">
        <v>0</v>
      </c>
    </row>
    <row r="68" spans="1:2" x14ac:dyDescent="0.15">
      <c r="A68" s="256" t="s">
        <v>13</v>
      </c>
      <c r="B68" s="257">
        <v>1</v>
      </c>
    </row>
    <row r="69" spans="1:2" x14ac:dyDescent="0.15">
      <c r="A69" s="262" t="s">
        <v>614</v>
      </c>
      <c r="B69" s="258">
        <v>1</v>
      </c>
    </row>
    <row r="70" spans="1:2" x14ac:dyDescent="0.15">
      <c r="A70" s="256" t="s">
        <v>14</v>
      </c>
      <c r="B70" s="257">
        <v>0</v>
      </c>
    </row>
    <row r="71" spans="1:2" x14ac:dyDescent="0.15">
      <c r="A71" s="262" t="s">
        <v>1063</v>
      </c>
      <c r="B71" s="258">
        <v>0</v>
      </c>
    </row>
    <row r="72" spans="1:2" x14ac:dyDescent="0.15">
      <c r="A72" s="262" t="s">
        <v>1064</v>
      </c>
      <c r="B72" s="258">
        <v>0</v>
      </c>
    </row>
    <row r="73" spans="1:2" x14ac:dyDescent="0.15">
      <c r="A73" s="262" t="s">
        <v>641</v>
      </c>
      <c r="B73" s="258">
        <v>0</v>
      </c>
    </row>
    <row r="74" spans="1:2" ht="11.25" x14ac:dyDescent="0.15">
      <c r="A74" s="262" t="s">
        <v>1011</v>
      </c>
      <c r="B74" s="258">
        <v>0</v>
      </c>
    </row>
    <row r="75" spans="1:2" x14ac:dyDescent="0.15">
      <c r="A75" s="256" t="s">
        <v>15</v>
      </c>
      <c r="B75" s="257">
        <v>0</v>
      </c>
    </row>
    <row r="76" spans="1:2" x14ac:dyDescent="0.15">
      <c r="A76" s="262" t="s">
        <v>644</v>
      </c>
      <c r="B76" s="258">
        <v>0</v>
      </c>
    </row>
    <row r="77" spans="1:2" x14ac:dyDescent="0.15">
      <c r="A77" s="262" t="s">
        <v>1065</v>
      </c>
      <c r="B77" s="258">
        <v>0</v>
      </c>
    </row>
    <row r="78" spans="1:2" x14ac:dyDescent="0.15">
      <c r="A78" s="262" t="s">
        <v>1066</v>
      </c>
      <c r="B78" s="258">
        <v>0</v>
      </c>
    </row>
    <row r="79" spans="1:2" x14ac:dyDescent="0.15">
      <c r="A79" s="262" t="s">
        <v>709</v>
      </c>
      <c r="B79" s="258">
        <v>0</v>
      </c>
    </row>
    <row r="80" spans="1:2" x14ac:dyDescent="0.15">
      <c r="A80" s="262" t="s">
        <v>1067</v>
      </c>
      <c r="B80" s="258">
        <v>0</v>
      </c>
    </row>
    <row r="81" spans="1:2" ht="11.25" x14ac:dyDescent="0.15">
      <c r="A81" s="262" t="s">
        <v>1011</v>
      </c>
      <c r="B81" s="258">
        <v>0</v>
      </c>
    </row>
    <row r="82" spans="1:2" x14ac:dyDescent="0.15">
      <c r="A82" s="256" t="s">
        <v>16</v>
      </c>
      <c r="B82" s="257">
        <v>12</v>
      </c>
    </row>
    <row r="83" spans="1:2" x14ac:dyDescent="0.15">
      <c r="A83" s="262" t="s">
        <v>711</v>
      </c>
      <c r="B83" s="258">
        <v>3</v>
      </c>
    </row>
    <row r="84" spans="1:2" x14ac:dyDescent="0.15">
      <c r="A84" s="262" t="s">
        <v>1068</v>
      </c>
      <c r="B84" s="258">
        <v>2</v>
      </c>
    </row>
    <row r="85" spans="1:2" x14ac:dyDescent="0.15">
      <c r="A85" s="262" t="s">
        <v>713</v>
      </c>
      <c r="B85" s="258">
        <v>1</v>
      </c>
    </row>
    <row r="86" spans="1:2" x14ac:dyDescent="0.15">
      <c r="A86" s="262" t="s">
        <v>655</v>
      </c>
      <c r="B86" s="258">
        <v>3</v>
      </c>
    </row>
    <row r="87" spans="1:2" x14ac:dyDescent="0.15">
      <c r="A87" s="262" t="s">
        <v>1069</v>
      </c>
      <c r="B87" s="258">
        <v>1</v>
      </c>
    </row>
    <row r="88" spans="1:2" ht="10.5" customHeight="1" x14ac:dyDescent="0.15">
      <c r="A88" s="262" t="s">
        <v>1070</v>
      </c>
      <c r="B88" s="258">
        <v>2</v>
      </c>
    </row>
    <row r="89" spans="1:2" ht="10.5" customHeight="1" x14ac:dyDescent="0.15">
      <c r="A89" s="256" t="s">
        <v>17</v>
      </c>
      <c r="B89" s="257">
        <v>0</v>
      </c>
    </row>
    <row r="90" spans="1:2" x14ac:dyDescent="0.15">
      <c r="A90" s="262" t="s">
        <v>1068</v>
      </c>
      <c r="B90" s="258">
        <v>0</v>
      </c>
    </row>
    <row r="91" spans="1:2" ht="10.5" customHeight="1" x14ac:dyDescent="0.15">
      <c r="A91" s="262" t="s">
        <v>1071</v>
      </c>
      <c r="B91" s="258">
        <v>0</v>
      </c>
    </row>
    <row r="92" spans="1:2" x14ac:dyDescent="0.15">
      <c r="A92" s="256" t="s">
        <v>18</v>
      </c>
      <c r="B92" s="257">
        <v>1</v>
      </c>
    </row>
    <row r="93" spans="1:2" x14ac:dyDescent="0.15">
      <c r="A93" s="262" t="s">
        <v>665</v>
      </c>
      <c r="B93" s="258">
        <v>0</v>
      </c>
    </row>
    <row r="94" spans="1:2" ht="11.25" x14ac:dyDescent="0.15">
      <c r="A94" s="262" t="s">
        <v>1011</v>
      </c>
      <c r="B94" s="258">
        <v>1</v>
      </c>
    </row>
    <row r="95" spans="1:2" x14ac:dyDescent="0.15">
      <c r="A95" s="256" t="s">
        <v>19</v>
      </c>
      <c r="B95" s="257">
        <v>0</v>
      </c>
    </row>
    <row r="96" spans="1:2" x14ac:dyDescent="0.15">
      <c r="A96" s="262" t="s">
        <v>1072</v>
      </c>
      <c r="B96" s="258">
        <v>0</v>
      </c>
    </row>
    <row r="97" spans="1:2" x14ac:dyDescent="0.15">
      <c r="A97" s="262" t="s">
        <v>691</v>
      </c>
      <c r="B97" s="258">
        <v>0</v>
      </c>
    </row>
    <row r="98" spans="1:2" ht="11.25" x14ac:dyDescent="0.15">
      <c r="A98" s="262" t="s">
        <v>1011</v>
      </c>
      <c r="B98" s="258">
        <v>0</v>
      </c>
    </row>
    <row r="99" spans="1:2" x14ac:dyDescent="0.15">
      <c r="A99" s="2533"/>
      <c r="B99" s="2538"/>
    </row>
    <row r="100" spans="1:2" x14ac:dyDescent="0.15">
      <c r="A100" s="2539" t="s">
        <v>1073</v>
      </c>
      <c r="B100" s="2536"/>
    </row>
    <row r="101" spans="1:2" x14ac:dyDescent="0.15">
      <c r="A101" s="2539" t="s">
        <v>1074</v>
      </c>
      <c r="B101" s="2539"/>
    </row>
    <row r="102" spans="1:2" x14ac:dyDescent="0.15">
      <c r="A102" s="2540" t="s">
        <v>20</v>
      </c>
      <c r="B102" s="2541"/>
    </row>
    <row r="103" spans="1:2" x14ac:dyDescent="0.15">
      <c r="A103" s="2535" t="s">
        <v>1075</v>
      </c>
      <c r="B103" s="2536"/>
    </row>
    <row r="186" ht="10.5" customHeight="1" x14ac:dyDescent="0.15"/>
    <row r="188" ht="10.5" customHeight="1" x14ac:dyDescent="0.15"/>
  </sheetData>
  <mergeCells count="6">
    <mergeCell ref="A103:B103"/>
    <mergeCell ref="A2:B2"/>
    <mergeCell ref="A99:B99"/>
    <mergeCell ref="A100:B100"/>
    <mergeCell ref="A101:B101"/>
    <mergeCell ref="A102:B10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B189"/>
  <sheetViews>
    <sheetView workbookViewId="0">
      <selection activeCell="E6" sqref="E6"/>
    </sheetView>
  </sheetViews>
  <sheetFormatPr baseColWidth="10" defaultRowHeight="10.5" x14ac:dyDescent="0.15"/>
  <cols>
    <col min="1" max="1" width="26.5703125" style="196" customWidth="1"/>
    <col min="2" max="2" width="22.7109375" style="196" customWidth="1"/>
    <col min="3" max="16384" width="11.42578125" style="196"/>
  </cols>
  <sheetData>
    <row r="2" spans="1:2" ht="54" customHeight="1" x14ac:dyDescent="0.15">
      <c r="A2" s="2530" t="s">
        <v>4195</v>
      </c>
      <c r="B2" s="2530"/>
    </row>
    <row r="3" spans="1:2" s="1999" customFormat="1" ht="11.25" customHeight="1" x14ac:dyDescent="0.15">
      <c r="A3" s="2007"/>
      <c r="B3" s="2007"/>
    </row>
    <row r="4" spans="1:2" ht="56.25" customHeight="1" x14ac:dyDescent="0.15">
      <c r="A4" s="266" t="s">
        <v>1076</v>
      </c>
      <c r="B4" s="254" t="s">
        <v>1036</v>
      </c>
    </row>
    <row r="5" spans="1:2" x14ac:dyDescent="0.15">
      <c r="A5" s="256" t="s">
        <v>141</v>
      </c>
      <c r="B5" s="257">
        <v>42</v>
      </c>
    </row>
    <row r="6" spans="1:2" x14ac:dyDescent="0.15">
      <c r="A6" s="256" t="s">
        <v>5</v>
      </c>
      <c r="B6" s="257">
        <v>4</v>
      </c>
    </row>
    <row r="7" spans="1:2" x14ac:dyDescent="0.15">
      <c r="A7" s="262" t="s">
        <v>1000</v>
      </c>
      <c r="B7" s="257">
        <v>3</v>
      </c>
    </row>
    <row r="8" spans="1:2" x14ac:dyDescent="0.15">
      <c r="A8" s="262" t="s">
        <v>1001</v>
      </c>
      <c r="B8" s="257">
        <v>0</v>
      </c>
    </row>
    <row r="9" spans="1:2" x14ac:dyDescent="0.15">
      <c r="A9" s="262" t="s">
        <v>1077</v>
      </c>
      <c r="B9" s="257">
        <v>0</v>
      </c>
    </row>
    <row r="10" spans="1:2" x14ac:dyDescent="0.15">
      <c r="A10" s="262" t="s">
        <v>1008</v>
      </c>
      <c r="B10" s="257">
        <v>0</v>
      </c>
    </row>
    <row r="11" spans="1:2" ht="11.25" x14ac:dyDescent="0.15">
      <c r="A11" s="262" t="s">
        <v>1010</v>
      </c>
      <c r="B11" s="257">
        <v>0</v>
      </c>
    </row>
    <row r="12" spans="1:2" ht="11.25" x14ac:dyDescent="0.15">
      <c r="A12" s="262" t="s">
        <v>1011</v>
      </c>
      <c r="B12" s="257">
        <v>1</v>
      </c>
    </row>
    <row r="13" spans="1:2" x14ac:dyDescent="0.15">
      <c r="A13" s="256" t="s">
        <v>6</v>
      </c>
      <c r="B13" s="257">
        <v>0</v>
      </c>
    </row>
    <row r="14" spans="1:2" x14ac:dyDescent="0.15">
      <c r="A14" s="262" t="s">
        <v>1078</v>
      </c>
      <c r="B14" s="257">
        <v>0</v>
      </c>
    </row>
    <row r="15" spans="1:2" x14ac:dyDescent="0.15">
      <c r="A15" s="262" t="s">
        <v>1079</v>
      </c>
      <c r="B15" s="257">
        <v>0</v>
      </c>
    </row>
    <row r="16" spans="1:2" x14ac:dyDescent="0.15">
      <c r="A16" s="262" t="s">
        <v>1007</v>
      </c>
      <c r="B16" s="257">
        <v>0</v>
      </c>
    </row>
    <row r="17" spans="1:2" x14ac:dyDescent="0.15">
      <c r="A17" s="262" t="s">
        <v>1005</v>
      </c>
      <c r="B17" s="257">
        <v>0</v>
      </c>
    </row>
    <row r="18" spans="1:2" x14ac:dyDescent="0.15">
      <c r="A18" s="262" t="s">
        <v>1080</v>
      </c>
      <c r="B18" s="257">
        <v>0</v>
      </c>
    </row>
    <row r="19" spans="1:2" x14ac:dyDescent="0.15">
      <c r="A19" s="262" t="s">
        <v>1008</v>
      </c>
      <c r="B19" s="257">
        <v>0</v>
      </c>
    </row>
    <row r="20" spans="1:2" x14ac:dyDescent="0.15">
      <c r="A20" s="262" t="s">
        <v>1081</v>
      </c>
      <c r="B20" s="257">
        <v>0</v>
      </c>
    </row>
    <row r="21" spans="1:2" ht="11.25" customHeight="1" x14ac:dyDescent="0.15">
      <c r="A21" s="262" t="s">
        <v>1010</v>
      </c>
      <c r="B21" s="257">
        <v>0</v>
      </c>
    </row>
    <row r="22" spans="1:2" ht="11.25" customHeight="1" x14ac:dyDescent="0.15">
      <c r="A22" s="262" t="s">
        <v>1011</v>
      </c>
      <c r="B22" s="257">
        <v>0</v>
      </c>
    </row>
    <row r="23" spans="1:2" ht="10.5" customHeight="1" x14ac:dyDescent="0.15">
      <c r="A23" s="256" t="s">
        <v>7</v>
      </c>
      <c r="B23" s="257">
        <v>5</v>
      </c>
    </row>
    <row r="24" spans="1:2" ht="10.5" customHeight="1" x14ac:dyDescent="0.15">
      <c r="A24" s="262" t="s">
        <v>999</v>
      </c>
      <c r="B24" s="257">
        <v>2</v>
      </c>
    </row>
    <row r="25" spans="1:2" ht="10.5" customHeight="1" x14ac:dyDescent="0.15">
      <c r="A25" s="262" t="s">
        <v>1000</v>
      </c>
      <c r="B25" s="257">
        <v>2</v>
      </c>
    </row>
    <row r="26" spans="1:2" x14ac:dyDescent="0.15">
      <c r="A26" s="262" t="s">
        <v>1082</v>
      </c>
      <c r="B26" s="257">
        <v>0</v>
      </c>
    </row>
    <row r="27" spans="1:2" x14ac:dyDescent="0.15">
      <c r="A27" s="262" t="s">
        <v>1005</v>
      </c>
      <c r="B27" s="257">
        <v>0</v>
      </c>
    </row>
    <row r="28" spans="1:2" ht="11.25" x14ac:dyDescent="0.15">
      <c r="A28" s="262" t="s">
        <v>1010</v>
      </c>
      <c r="B28" s="257">
        <v>1</v>
      </c>
    </row>
    <row r="29" spans="1:2" ht="11.25" x14ac:dyDescent="0.15">
      <c r="A29" s="262" t="s">
        <v>1011</v>
      </c>
      <c r="B29" s="257">
        <v>0</v>
      </c>
    </row>
    <row r="30" spans="1:2" x14ac:dyDescent="0.15">
      <c r="A30" s="256" t="s">
        <v>8</v>
      </c>
      <c r="B30" s="257">
        <v>0</v>
      </c>
    </row>
    <row r="31" spans="1:2" x14ac:dyDescent="0.15">
      <c r="A31" s="256" t="s">
        <v>9</v>
      </c>
      <c r="B31" s="257">
        <v>0</v>
      </c>
    </row>
    <row r="32" spans="1:2" x14ac:dyDescent="0.15">
      <c r="A32" s="262" t="s">
        <v>1083</v>
      </c>
      <c r="B32" s="257">
        <v>0</v>
      </c>
    </row>
    <row r="33" spans="1:2" x14ac:dyDescent="0.15">
      <c r="A33" s="256" t="s">
        <v>10</v>
      </c>
      <c r="B33" s="257">
        <v>3</v>
      </c>
    </row>
    <row r="34" spans="1:2" x14ac:dyDescent="0.15">
      <c r="A34" s="262" t="s">
        <v>1082</v>
      </c>
      <c r="B34" s="257">
        <v>0</v>
      </c>
    </row>
    <row r="35" spans="1:2" x14ac:dyDescent="0.15">
      <c r="A35" s="262" t="s">
        <v>1084</v>
      </c>
      <c r="B35" s="257">
        <v>0</v>
      </c>
    </row>
    <row r="36" spans="1:2" x14ac:dyDescent="0.15">
      <c r="A36" s="262" t="s">
        <v>1005</v>
      </c>
      <c r="B36" s="257">
        <v>0</v>
      </c>
    </row>
    <row r="37" spans="1:2" x14ac:dyDescent="0.15">
      <c r="A37" s="262" t="s">
        <v>1008</v>
      </c>
      <c r="B37" s="257">
        <v>0</v>
      </c>
    </row>
    <row r="38" spans="1:2" x14ac:dyDescent="0.15">
      <c r="A38" s="262" t="s">
        <v>1081</v>
      </c>
      <c r="B38" s="257">
        <v>0</v>
      </c>
    </row>
    <row r="39" spans="1:2" ht="11.25" x14ac:dyDescent="0.15">
      <c r="A39" s="262" t="s">
        <v>1010</v>
      </c>
      <c r="B39" s="257">
        <v>2</v>
      </c>
    </row>
    <row r="40" spans="1:2" ht="11.25" x14ac:dyDescent="0.15">
      <c r="A40" s="262" t="s">
        <v>1011</v>
      </c>
      <c r="B40" s="257">
        <v>1</v>
      </c>
    </row>
    <row r="41" spans="1:2" x14ac:dyDescent="0.15">
      <c r="A41" s="256" t="s">
        <v>11</v>
      </c>
      <c r="B41" s="257">
        <v>16</v>
      </c>
    </row>
    <row r="42" spans="1:2" x14ac:dyDescent="0.15">
      <c r="A42" s="262" t="s">
        <v>1085</v>
      </c>
      <c r="B42" s="257">
        <v>0</v>
      </c>
    </row>
    <row r="43" spans="1:2" x14ac:dyDescent="0.15">
      <c r="A43" s="262" t="s">
        <v>1000</v>
      </c>
      <c r="B43" s="257">
        <v>1</v>
      </c>
    </row>
    <row r="44" spans="1:2" x14ac:dyDescent="0.15">
      <c r="A44" s="262" t="s">
        <v>1001</v>
      </c>
      <c r="B44" s="257">
        <v>0</v>
      </c>
    </row>
    <row r="45" spans="1:2" x14ac:dyDescent="0.15">
      <c r="A45" s="262" t="s">
        <v>1082</v>
      </c>
      <c r="B45" s="257">
        <v>0</v>
      </c>
    </row>
    <row r="46" spans="1:2" x14ac:dyDescent="0.15">
      <c r="A46" s="262" t="s">
        <v>1086</v>
      </c>
      <c r="B46" s="257">
        <v>0</v>
      </c>
    </row>
    <row r="47" spans="1:2" x14ac:dyDescent="0.15">
      <c r="A47" s="262" t="s">
        <v>1007</v>
      </c>
      <c r="B47" s="257">
        <v>0</v>
      </c>
    </row>
    <row r="48" spans="1:2" x14ac:dyDescent="0.15">
      <c r="A48" s="262" t="s">
        <v>1002</v>
      </c>
      <c r="B48" s="257">
        <v>0</v>
      </c>
    </row>
    <row r="49" spans="1:2" x14ac:dyDescent="0.15">
      <c r="A49" s="262" t="s">
        <v>1005</v>
      </c>
      <c r="B49" s="257">
        <v>1</v>
      </c>
    </row>
    <row r="50" spans="1:2" x14ac:dyDescent="0.15">
      <c r="A50" s="262" t="s">
        <v>1080</v>
      </c>
      <c r="B50" s="257">
        <v>0</v>
      </c>
    </row>
    <row r="51" spans="1:2" x14ac:dyDescent="0.15">
      <c r="A51" s="262" t="s">
        <v>1008</v>
      </c>
      <c r="B51" s="257">
        <v>0</v>
      </c>
    </row>
    <row r="52" spans="1:2" x14ac:dyDescent="0.15">
      <c r="A52" s="262" t="s">
        <v>26</v>
      </c>
      <c r="B52" s="257">
        <v>0</v>
      </c>
    </row>
    <row r="53" spans="1:2" x14ac:dyDescent="0.15">
      <c r="A53" s="262" t="s">
        <v>1003</v>
      </c>
      <c r="B53" s="257">
        <v>0</v>
      </c>
    </row>
    <row r="54" spans="1:2" x14ac:dyDescent="0.15">
      <c r="A54" s="262" t="s">
        <v>1004</v>
      </c>
      <c r="B54" s="257">
        <v>1</v>
      </c>
    </row>
    <row r="55" spans="1:2" x14ac:dyDescent="0.15">
      <c r="A55" s="262" t="s">
        <v>1081</v>
      </c>
      <c r="B55" s="257">
        <v>0</v>
      </c>
    </row>
    <row r="56" spans="1:2" x14ac:dyDescent="0.15">
      <c r="A56" s="262" t="s">
        <v>1087</v>
      </c>
      <c r="B56" s="257">
        <v>0</v>
      </c>
    </row>
    <row r="57" spans="1:2" ht="11.25" x14ac:dyDescent="0.15">
      <c r="A57" s="262" t="s">
        <v>1010</v>
      </c>
      <c r="B57" s="257">
        <v>1</v>
      </c>
    </row>
    <row r="58" spans="1:2" ht="11.25" x14ac:dyDescent="0.15">
      <c r="A58" s="262" t="s">
        <v>1011</v>
      </c>
      <c r="B58" s="257">
        <v>12</v>
      </c>
    </row>
    <row r="59" spans="1:2" x14ac:dyDescent="0.15">
      <c r="A59" s="256" t="s">
        <v>12</v>
      </c>
      <c r="B59" s="257">
        <v>0</v>
      </c>
    </row>
    <row r="60" spans="1:2" x14ac:dyDescent="0.15">
      <c r="A60" s="262" t="s">
        <v>1082</v>
      </c>
      <c r="B60" s="257">
        <v>0</v>
      </c>
    </row>
    <row r="61" spans="1:2" ht="11.25" x14ac:dyDescent="0.15">
      <c r="A61" s="262" t="s">
        <v>1011</v>
      </c>
      <c r="B61" s="257">
        <v>0</v>
      </c>
    </row>
    <row r="62" spans="1:2" x14ac:dyDescent="0.15">
      <c r="A62" s="256" t="s">
        <v>13</v>
      </c>
      <c r="B62" s="257">
        <v>1</v>
      </c>
    </row>
    <row r="63" spans="1:2" ht="11.25" x14ac:dyDescent="0.15">
      <c r="A63" s="262" t="s">
        <v>1011</v>
      </c>
      <c r="B63" s="257">
        <v>1</v>
      </c>
    </row>
    <row r="64" spans="1:2" x14ac:dyDescent="0.15">
      <c r="A64" s="256" t="s">
        <v>14</v>
      </c>
      <c r="B64" s="257">
        <v>0</v>
      </c>
    </row>
    <row r="65" spans="1:2" x14ac:dyDescent="0.15">
      <c r="A65" s="262" t="s">
        <v>1088</v>
      </c>
      <c r="B65" s="257">
        <v>0</v>
      </c>
    </row>
    <row r="66" spans="1:2" x14ac:dyDescent="0.15">
      <c r="A66" s="262" t="s">
        <v>1082</v>
      </c>
      <c r="B66" s="257">
        <v>0</v>
      </c>
    </row>
    <row r="67" spans="1:2" ht="11.25" x14ac:dyDescent="0.15">
      <c r="A67" s="262" t="s">
        <v>1010</v>
      </c>
      <c r="B67" s="257">
        <v>0</v>
      </c>
    </row>
    <row r="68" spans="1:2" ht="11.25" x14ac:dyDescent="0.15">
      <c r="A68" s="262" t="s">
        <v>1011</v>
      </c>
      <c r="B68" s="257">
        <v>0</v>
      </c>
    </row>
    <row r="69" spans="1:2" x14ac:dyDescent="0.15">
      <c r="A69" s="256" t="s">
        <v>15</v>
      </c>
      <c r="B69" s="257">
        <v>0</v>
      </c>
    </row>
    <row r="70" spans="1:2" x14ac:dyDescent="0.15">
      <c r="A70" s="262" t="s">
        <v>1001</v>
      </c>
      <c r="B70" s="257">
        <v>0</v>
      </c>
    </row>
    <row r="71" spans="1:2" x14ac:dyDescent="0.15">
      <c r="A71" s="262" t="s">
        <v>1082</v>
      </c>
      <c r="B71" s="257">
        <v>0</v>
      </c>
    </row>
    <row r="72" spans="1:2" x14ac:dyDescent="0.15">
      <c r="A72" s="262" t="s">
        <v>1005</v>
      </c>
      <c r="B72" s="257">
        <v>0</v>
      </c>
    </row>
    <row r="73" spans="1:2" x14ac:dyDescent="0.15">
      <c r="A73" s="262" t="s">
        <v>1081</v>
      </c>
      <c r="B73" s="257">
        <v>0</v>
      </c>
    </row>
    <row r="74" spans="1:2" ht="11.25" x14ac:dyDescent="0.15">
      <c r="A74" s="262" t="s">
        <v>1011</v>
      </c>
      <c r="B74" s="257">
        <v>0</v>
      </c>
    </row>
    <row r="75" spans="1:2" x14ac:dyDescent="0.15">
      <c r="A75" s="256" t="s">
        <v>16</v>
      </c>
      <c r="B75" s="257">
        <v>12</v>
      </c>
    </row>
    <row r="76" spans="1:2" x14ac:dyDescent="0.15">
      <c r="A76" s="262" t="s">
        <v>1005</v>
      </c>
      <c r="B76" s="257">
        <v>1</v>
      </c>
    </row>
    <row r="77" spans="1:2" ht="11.25" x14ac:dyDescent="0.15">
      <c r="A77" s="262" t="s">
        <v>1011</v>
      </c>
      <c r="B77" s="257">
        <v>11</v>
      </c>
    </row>
    <row r="78" spans="1:2" x14ac:dyDescent="0.15">
      <c r="A78" s="256" t="s">
        <v>17</v>
      </c>
      <c r="B78" s="257">
        <v>0</v>
      </c>
    </row>
    <row r="79" spans="1:2" x14ac:dyDescent="0.15">
      <c r="A79" s="262" t="s">
        <v>1082</v>
      </c>
      <c r="B79" s="257">
        <v>0</v>
      </c>
    </row>
    <row r="80" spans="1:2" ht="11.25" x14ac:dyDescent="0.15">
      <c r="A80" s="262" t="s">
        <v>1011</v>
      </c>
      <c r="B80" s="257">
        <v>0</v>
      </c>
    </row>
    <row r="81" spans="1:2" x14ac:dyDescent="0.15">
      <c r="A81" s="256" t="s">
        <v>18</v>
      </c>
      <c r="B81" s="257">
        <v>1</v>
      </c>
    </row>
    <row r="82" spans="1:2" ht="11.25" x14ac:dyDescent="0.15">
      <c r="A82" s="262" t="s">
        <v>1011</v>
      </c>
      <c r="B82" s="257">
        <v>1</v>
      </c>
    </row>
    <row r="83" spans="1:2" x14ac:dyDescent="0.15">
      <c r="A83" s="256" t="s">
        <v>19</v>
      </c>
      <c r="B83" s="257">
        <v>0</v>
      </c>
    </row>
    <row r="84" spans="1:2" x14ac:dyDescent="0.15">
      <c r="A84" s="262" t="s">
        <v>1082</v>
      </c>
      <c r="B84" s="257">
        <v>0</v>
      </c>
    </row>
    <row r="85" spans="1:2" x14ac:dyDescent="0.15">
      <c r="A85" s="262" t="s">
        <v>1005</v>
      </c>
      <c r="B85" s="257">
        <v>0</v>
      </c>
    </row>
    <row r="86" spans="1:2" x14ac:dyDescent="0.15">
      <c r="A86" s="262" t="s">
        <v>1003</v>
      </c>
      <c r="B86" s="257">
        <v>0</v>
      </c>
    </row>
    <row r="87" spans="1:2" ht="11.25" x14ac:dyDescent="0.15">
      <c r="A87" s="262" t="s">
        <v>1011</v>
      </c>
      <c r="B87" s="257">
        <v>0</v>
      </c>
    </row>
    <row r="88" spans="1:2" x14ac:dyDescent="0.15">
      <c r="A88" s="262"/>
      <c r="B88" s="262"/>
    </row>
    <row r="89" spans="1:2" x14ac:dyDescent="0.15">
      <c r="A89" s="2531" t="s">
        <v>1012</v>
      </c>
      <c r="B89" s="2531"/>
    </row>
    <row r="90" spans="1:2" x14ac:dyDescent="0.15">
      <c r="A90" s="2531" t="s">
        <v>1089</v>
      </c>
      <c r="B90" s="2531"/>
    </row>
    <row r="91" spans="1:2" x14ac:dyDescent="0.15">
      <c r="A91" s="2542" t="s">
        <v>20</v>
      </c>
      <c r="B91" s="2542"/>
    </row>
    <row r="92" spans="1:2" x14ac:dyDescent="0.15">
      <c r="A92" s="2531" t="s">
        <v>1075</v>
      </c>
      <c r="B92" s="2531"/>
    </row>
    <row r="101" ht="10.5" customHeight="1" x14ac:dyDescent="0.15"/>
    <row r="104" ht="10.5" customHeight="1" x14ac:dyDescent="0.15"/>
    <row r="187" ht="10.5" customHeight="1" x14ac:dyDescent="0.15"/>
    <row r="189" ht="10.5" customHeight="1" x14ac:dyDescent="0.15"/>
  </sheetData>
  <mergeCells count="5">
    <mergeCell ref="A2:B2"/>
    <mergeCell ref="A89:B89"/>
    <mergeCell ref="A90:B90"/>
    <mergeCell ref="A91:B91"/>
    <mergeCell ref="A92:B92"/>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D187"/>
  <sheetViews>
    <sheetView workbookViewId="0">
      <selection activeCell="J16" sqref="J16"/>
    </sheetView>
  </sheetViews>
  <sheetFormatPr baseColWidth="10" defaultRowHeight="10.5" x14ac:dyDescent="0.15"/>
  <cols>
    <col min="1" max="1" width="13.85546875" style="196" customWidth="1"/>
    <col min="2" max="16384" width="11.42578125" style="196"/>
  </cols>
  <sheetData>
    <row r="2" spans="1:4" ht="57.75" customHeight="1" x14ac:dyDescent="0.15">
      <c r="A2" s="2530" t="s">
        <v>4196</v>
      </c>
      <c r="B2" s="2530"/>
      <c r="C2" s="2530"/>
      <c r="D2" s="2530"/>
    </row>
    <row r="3" spans="1:4" ht="56.25" customHeight="1" x14ac:dyDescent="0.15">
      <c r="A3" s="2488" t="s">
        <v>1090</v>
      </c>
      <c r="B3" s="2488" t="s">
        <v>1036</v>
      </c>
      <c r="C3" s="2488"/>
      <c r="D3" s="2488"/>
    </row>
    <row r="4" spans="1:4" x14ac:dyDescent="0.15">
      <c r="A4" s="2488"/>
      <c r="B4" s="2296" t="s">
        <v>141</v>
      </c>
      <c r="C4" s="2296" t="s">
        <v>966</v>
      </c>
      <c r="D4" s="2296" t="s">
        <v>967</v>
      </c>
    </row>
    <row r="5" spans="1:4" x14ac:dyDescent="0.15">
      <c r="A5" s="267" t="s">
        <v>141</v>
      </c>
      <c r="B5" s="267">
        <f>SUM(B6:B20)</f>
        <v>22</v>
      </c>
      <c r="C5" s="267">
        <v>14</v>
      </c>
      <c r="D5" s="267">
        <v>8</v>
      </c>
    </row>
    <row r="6" spans="1:4" x14ac:dyDescent="0.15">
      <c r="A6" s="267" t="s">
        <v>5</v>
      </c>
      <c r="B6" s="196">
        <v>8</v>
      </c>
      <c r="C6" s="196">
        <v>4</v>
      </c>
      <c r="D6" s="196">
        <v>4</v>
      </c>
    </row>
    <row r="7" spans="1:4" x14ac:dyDescent="0.15">
      <c r="A7" s="267" t="s">
        <v>6</v>
      </c>
      <c r="B7" s="196">
        <v>0</v>
      </c>
      <c r="C7" s="196">
        <v>0</v>
      </c>
      <c r="D7" s="196">
        <v>0</v>
      </c>
    </row>
    <row r="8" spans="1:4" x14ac:dyDescent="0.15">
      <c r="A8" s="267" t="s">
        <v>7</v>
      </c>
      <c r="B8" s="196">
        <v>2</v>
      </c>
      <c r="C8" s="196">
        <v>2</v>
      </c>
      <c r="D8" s="196">
        <v>0</v>
      </c>
    </row>
    <row r="9" spans="1:4" x14ac:dyDescent="0.15">
      <c r="A9" s="267" t="s">
        <v>8</v>
      </c>
      <c r="B9" s="196">
        <v>1</v>
      </c>
      <c r="C9" s="196">
        <v>1</v>
      </c>
      <c r="D9" s="196">
        <v>0</v>
      </c>
    </row>
    <row r="10" spans="1:4" x14ac:dyDescent="0.15">
      <c r="A10" s="267" t="s">
        <v>9</v>
      </c>
      <c r="B10" s="196">
        <v>0</v>
      </c>
      <c r="C10" s="196">
        <v>0</v>
      </c>
      <c r="D10" s="196">
        <v>0</v>
      </c>
    </row>
    <row r="11" spans="1:4" x14ac:dyDescent="0.15">
      <c r="A11" s="267" t="s">
        <v>10</v>
      </c>
      <c r="B11" s="196">
        <v>1</v>
      </c>
      <c r="C11" s="196">
        <v>0</v>
      </c>
      <c r="D11" s="196">
        <v>1</v>
      </c>
    </row>
    <row r="12" spans="1:4" x14ac:dyDescent="0.15">
      <c r="A12" s="267" t="s">
        <v>11</v>
      </c>
      <c r="B12" s="196">
        <v>4</v>
      </c>
      <c r="C12" s="196">
        <v>4</v>
      </c>
      <c r="D12" s="196">
        <v>0</v>
      </c>
    </row>
    <row r="13" spans="1:4" x14ac:dyDescent="0.15">
      <c r="A13" s="267" t="s">
        <v>12</v>
      </c>
      <c r="B13" s="196">
        <v>0</v>
      </c>
      <c r="C13" s="196">
        <v>0</v>
      </c>
      <c r="D13" s="196">
        <v>0</v>
      </c>
    </row>
    <row r="14" spans="1:4" x14ac:dyDescent="0.15">
      <c r="A14" s="267" t="s">
        <v>13</v>
      </c>
      <c r="B14" s="196">
        <v>0</v>
      </c>
      <c r="C14" s="196">
        <v>0</v>
      </c>
      <c r="D14" s="196">
        <v>0</v>
      </c>
    </row>
    <row r="15" spans="1:4" x14ac:dyDescent="0.15">
      <c r="A15" s="267" t="s">
        <v>14</v>
      </c>
      <c r="B15" s="196">
        <v>0</v>
      </c>
      <c r="C15" s="196">
        <v>0</v>
      </c>
      <c r="D15" s="196">
        <v>0</v>
      </c>
    </row>
    <row r="16" spans="1:4" x14ac:dyDescent="0.15">
      <c r="A16" s="267" t="s">
        <v>15</v>
      </c>
      <c r="B16" s="196">
        <v>0</v>
      </c>
      <c r="C16" s="196">
        <v>0</v>
      </c>
      <c r="D16" s="196">
        <v>0</v>
      </c>
    </row>
    <row r="17" spans="1:4" x14ac:dyDescent="0.15">
      <c r="A17" s="267" t="s">
        <v>16</v>
      </c>
      <c r="B17" s="196">
        <v>5</v>
      </c>
      <c r="C17" s="196">
        <v>2</v>
      </c>
      <c r="D17" s="196">
        <v>3</v>
      </c>
    </row>
    <row r="18" spans="1:4" x14ac:dyDescent="0.15">
      <c r="A18" s="267" t="s">
        <v>17</v>
      </c>
      <c r="B18" s="196">
        <v>0</v>
      </c>
      <c r="C18" s="196">
        <v>0</v>
      </c>
      <c r="D18" s="196">
        <v>0</v>
      </c>
    </row>
    <row r="19" spans="1:4" x14ac:dyDescent="0.15">
      <c r="A19" s="267" t="s">
        <v>18</v>
      </c>
      <c r="B19" s="196">
        <v>1</v>
      </c>
      <c r="C19" s="196">
        <v>1</v>
      </c>
      <c r="D19" s="196">
        <v>0</v>
      </c>
    </row>
    <row r="20" spans="1:4" ht="11.25" customHeight="1" x14ac:dyDescent="0.15">
      <c r="A20" s="267" t="s">
        <v>19</v>
      </c>
      <c r="B20" s="196">
        <v>0</v>
      </c>
      <c r="C20" s="196">
        <v>0</v>
      </c>
      <c r="D20" s="196">
        <v>0</v>
      </c>
    </row>
    <row r="21" spans="1:4" ht="11.25" customHeight="1" x14ac:dyDescent="0.15"/>
    <row r="22" spans="1:4" ht="10.5" customHeight="1" x14ac:dyDescent="0.15">
      <c r="A22" s="180" t="s">
        <v>1075</v>
      </c>
    </row>
    <row r="23" spans="1:4" ht="10.5" customHeight="1" x14ac:dyDescent="0.15"/>
    <row r="87" ht="10.5" customHeight="1" x14ac:dyDescent="0.15"/>
    <row r="88" ht="10.5" customHeight="1" x14ac:dyDescent="0.15"/>
    <row r="90" ht="10.5" customHeight="1" x14ac:dyDescent="0.15"/>
    <row r="99" ht="10.5" customHeight="1" x14ac:dyDescent="0.15"/>
    <row r="102" ht="10.5" customHeight="1" x14ac:dyDescent="0.15"/>
    <row r="185" ht="10.5" customHeight="1" x14ac:dyDescent="0.15"/>
    <row r="187" ht="10.5" customHeight="1" x14ac:dyDescent="0.15"/>
  </sheetData>
  <mergeCells count="3">
    <mergeCell ref="A2:D2"/>
    <mergeCell ref="A3:A4"/>
    <mergeCell ref="B3:D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I189"/>
  <sheetViews>
    <sheetView workbookViewId="0">
      <selection activeCell="B4" sqref="B4:I4"/>
    </sheetView>
  </sheetViews>
  <sheetFormatPr baseColWidth="10" defaultRowHeight="10.5" x14ac:dyDescent="0.15"/>
  <cols>
    <col min="1" max="1" width="13.7109375" style="196" customWidth="1"/>
    <col min="2" max="16384" width="11.42578125" style="196"/>
  </cols>
  <sheetData>
    <row r="2" spans="1:9" ht="22.5" customHeight="1" x14ac:dyDescent="0.15">
      <c r="A2" s="2530" t="s">
        <v>4197</v>
      </c>
      <c r="B2" s="2530"/>
      <c r="C2" s="2530"/>
      <c r="D2" s="2530"/>
      <c r="E2" s="2530"/>
      <c r="F2" s="2530"/>
      <c r="G2" s="2530"/>
      <c r="H2" s="2530"/>
      <c r="I2" s="2530"/>
    </row>
    <row r="3" spans="1:9" s="1999" customFormat="1" ht="11.25" customHeight="1" x14ac:dyDescent="0.15">
      <c r="A3" s="2007"/>
      <c r="B3" s="2007"/>
      <c r="C3" s="2007"/>
      <c r="D3" s="2007"/>
      <c r="E3" s="2007"/>
      <c r="F3" s="2007"/>
      <c r="G3" s="2007"/>
      <c r="H3" s="2007"/>
      <c r="I3" s="2007"/>
    </row>
    <row r="4" spans="1:9" ht="56.25" customHeight="1" x14ac:dyDescent="0.15">
      <c r="A4" s="2543" t="s">
        <v>1</v>
      </c>
      <c r="B4" s="2543" t="s">
        <v>1036</v>
      </c>
      <c r="C4" s="2543"/>
      <c r="D4" s="2543"/>
      <c r="E4" s="2543"/>
      <c r="F4" s="2543"/>
      <c r="G4" s="2543"/>
      <c r="H4" s="2543"/>
      <c r="I4" s="2543"/>
    </row>
    <row r="5" spans="1:9" ht="21" x14ac:dyDescent="0.15">
      <c r="A5" s="2543"/>
      <c r="B5" s="253" t="s">
        <v>141</v>
      </c>
      <c r="C5" s="253" t="s">
        <v>1091</v>
      </c>
      <c r="D5" s="253" t="s">
        <v>1092</v>
      </c>
      <c r="E5" s="253" t="s">
        <v>1093</v>
      </c>
      <c r="F5" s="253" t="s">
        <v>1094</v>
      </c>
      <c r="G5" s="253" t="s">
        <v>1095</v>
      </c>
      <c r="H5" s="253" t="s">
        <v>1096</v>
      </c>
      <c r="I5" s="253" t="s">
        <v>1097</v>
      </c>
    </row>
    <row r="6" spans="1:9" x14ac:dyDescent="0.15">
      <c r="A6" s="256" t="s">
        <v>141</v>
      </c>
      <c r="B6" s="257">
        <f t="shared" ref="B6:B21" si="0">SUM(C6:I6)</f>
        <v>22</v>
      </c>
      <c r="C6" s="257">
        <f>SUM(C7:C21)</f>
        <v>0</v>
      </c>
      <c r="D6" s="257">
        <f t="shared" ref="D6:I6" si="1">SUM(D7:D21)</f>
        <v>0</v>
      </c>
      <c r="E6" s="257">
        <f t="shared" si="1"/>
        <v>0</v>
      </c>
      <c r="F6" s="257">
        <f t="shared" si="1"/>
        <v>2</v>
      </c>
      <c r="G6" s="257">
        <f t="shared" si="1"/>
        <v>4</v>
      </c>
      <c r="H6" s="257">
        <f t="shared" si="1"/>
        <v>9</v>
      </c>
      <c r="I6" s="257">
        <f t="shared" si="1"/>
        <v>7</v>
      </c>
    </row>
    <row r="7" spans="1:9" ht="21" x14ac:dyDescent="0.15">
      <c r="A7" s="256" t="s">
        <v>5</v>
      </c>
      <c r="B7" s="257">
        <f t="shared" si="0"/>
        <v>8</v>
      </c>
      <c r="C7" s="258">
        <v>0</v>
      </c>
      <c r="D7" s="258">
        <v>0</v>
      </c>
      <c r="E7" s="258">
        <v>0</v>
      </c>
      <c r="F7" s="258">
        <v>0</v>
      </c>
      <c r="G7" s="258">
        <v>1</v>
      </c>
      <c r="H7" s="258">
        <v>3</v>
      </c>
      <c r="I7" s="258">
        <v>4</v>
      </c>
    </row>
    <row r="8" spans="1:9" x14ac:dyDescent="0.15">
      <c r="A8" s="256" t="s">
        <v>6</v>
      </c>
      <c r="B8" s="257">
        <f t="shared" si="0"/>
        <v>0</v>
      </c>
      <c r="C8" s="258">
        <v>0</v>
      </c>
      <c r="D8" s="258">
        <v>0</v>
      </c>
      <c r="E8" s="258">
        <v>0</v>
      </c>
      <c r="F8" s="258">
        <v>0</v>
      </c>
      <c r="G8" s="258">
        <v>0</v>
      </c>
      <c r="H8" s="258">
        <v>0</v>
      </c>
      <c r="I8" s="258">
        <v>0</v>
      </c>
    </row>
    <row r="9" spans="1:9" x14ac:dyDescent="0.15">
      <c r="A9" s="256" t="s">
        <v>7</v>
      </c>
      <c r="B9" s="257">
        <f t="shared" si="0"/>
        <v>2</v>
      </c>
      <c r="C9" s="258">
        <v>0</v>
      </c>
      <c r="D9" s="258">
        <v>0</v>
      </c>
      <c r="E9" s="258">
        <v>0</v>
      </c>
      <c r="F9" s="258">
        <v>0</v>
      </c>
      <c r="G9" s="258">
        <v>1</v>
      </c>
      <c r="H9" s="258">
        <v>1</v>
      </c>
      <c r="I9" s="258">
        <v>0</v>
      </c>
    </row>
    <row r="10" spans="1:9" x14ac:dyDescent="0.15">
      <c r="A10" s="256" t="s">
        <v>8</v>
      </c>
      <c r="B10" s="257">
        <f t="shared" si="0"/>
        <v>1</v>
      </c>
      <c r="C10" s="258">
        <v>0</v>
      </c>
      <c r="D10" s="258">
        <v>0</v>
      </c>
      <c r="E10" s="258">
        <v>0</v>
      </c>
      <c r="F10" s="258">
        <v>0</v>
      </c>
      <c r="G10" s="258">
        <v>0</v>
      </c>
      <c r="H10" s="258">
        <v>0</v>
      </c>
      <c r="I10" s="258">
        <v>1</v>
      </c>
    </row>
    <row r="11" spans="1:9" x14ac:dyDescent="0.15">
      <c r="A11" s="256" t="s">
        <v>9</v>
      </c>
      <c r="B11" s="257">
        <f t="shared" si="0"/>
        <v>0</v>
      </c>
      <c r="C11" s="258">
        <v>0</v>
      </c>
      <c r="D11" s="258">
        <v>0</v>
      </c>
      <c r="E11" s="258">
        <v>0</v>
      </c>
      <c r="F11" s="258">
        <v>0</v>
      </c>
      <c r="G11" s="258">
        <v>0</v>
      </c>
      <c r="H11" s="258">
        <v>0</v>
      </c>
      <c r="I11" s="258">
        <v>0</v>
      </c>
    </row>
    <row r="12" spans="1:9" x14ac:dyDescent="0.15">
      <c r="A12" s="256" t="s">
        <v>10</v>
      </c>
      <c r="B12" s="257">
        <f t="shared" si="0"/>
        <v>1</v>
      </c>
      <c r="C12" s="258">
        <v>0</v>
      </c>
      <c r="D12" s="258">
        <v>0</v>
      </c>
      <c r="E12" s="258">
        <v>0</v>
      </c>
      <c r="F12" s="258">
        <v>0</v>
      </c>
      <c r="G12" s="258">
        <v>1</v>
      </c>
      <c r="H12" s="258">
        <v>0</v>
      </c>
      <c r="I12" s="258">
        <v>0</v>
      </c>
    </row>
    <row r="13" spans="1:9" ht="21" x14ac:dyDescent="0.15">
      <c r="A13" s="256" t="s">
        <v>11</v>
      </c>
      <c r="B13" s="257">
        <f t="shared" si="0"/>
        <v>4</v>
      </c>
      <c r="C13" s="258">
        <v>0</v>
      </c>
      <c r="D13" s="258">
        <v>0</v>
      </c>
      <c r="E13" s="258">
        <v>0</v>
      </c>
      <c r="F13" s="258">
        <v>1</v>
      </c>
      <c r="G13" s="258">
        <v>1</v>
      </c>
      <c r="H13" s="258">
        <v>1</v>
      </c>
      <c r="I13" s="258">
        <v>1</v>
      </c>
    </row>
    <row r="14" spans="1:9" x14ac:dyDescent="0.15">
      <c r="A14" s="256" t="s">
        <v>12</v>
      </c>
      <c r="B14" s="257">
        <f t="shared" si="0"/>
        <v>0</v>
      </c>
      <c r="C14" s="258">
        <v>0</v>
      </c>
      <c r="D14" s="258">
        <v>0</v>
      </c>
      <c r="E14" s="258">
        <v>0</v>
      </c>
      <c r="F14" s="258">
        <v>0</v>
      </c>
      <c r="G14" s="258">
        <v>0</v>
      </c>
      <c r="H14" s="258">
        <v>0</v>
      </c>
      <c r="I14" s="258">
        <v>0</v>
      </c>
    </row>
    <row r="15" spans="1:9" x14ac:dyDescent="0.15">
      <c r="A15" s="256" t="s">
        <v>13</v>
      </c>
      <c r="B15" s="257">
        <f t="shared" si="0"/>
        <v>0</v>
      </c>
      <c r="C15" s="258">
        <v>0</v>
      </c>
      <c r="D15" s="258">
        <v>0</v>
      </c>
      <c r="E15" s="258">
        <v>0</v>
      </c>
      <c r="F15" s="258">
        <v>0</v>
      </c>
      <c r="G15" s="258">
        <v>0</v>
      </c>
      <c r="H15" s="258">
        <v>0</v>
      </c>
      <c r="I15" s="258">
        <v>0</v>
      </c>
    </row>
    <row r="16" spans="1:9" x14ac:dyDescent="0.15">
      <c r="A16" s="256" t="s">
        <v>14</v>
      </c>
      <c r="B16" s="257">
        <f t="shared" si="0"/>
        <v>0</v>
      </c>
      <c r="C16" s="258">
        <v>0</v>
      </c>
      <c r="D16" s="258">
        <v>0</v>
      </c>
      <c r="E16" s="258">
        <v>0</v>
      </c>
      <c r="F16" s="258">
        <v>0</v>
      </c>
      <c r="G16" s="258">
        <v>0</v>
      </c>
      <c r="H16" s="258">
        <v>0</v>
      </c>
      <c r="I16" s="258">
        <v>0</v>
      </c>
    </row>
    <row r="17" spans="1:9" x14ac:dyDescent="0.15">
      <c r="A17" s="256" t="s">
        <v>15</v>
      </c>
      <c r="B17" s="257">
        <f t="shared" si="0"/>
        <v>0</v>
      </c>
      <c r="C17" s="258">
        <v>0</v>
      </c>
      <c r="D17" s="258">
        <v>0</v>
      </c>
      <c r="E17" s="258">
        <v>0</v>
      </c>
      <c r="F17" s="258">
        <v>0</v>
      </c>
      <c r="G17" s="258">
        <v>0</v>
      </c>
      <c r="H17" s="258">
        <v>0</v>
      </c>
      <c r="I17" s="258">
        <v>0</v>
      </c>
    </row>
    <row r="18" spans="1:9" x14ac:dyDescent="0.15">
      <c r="A18" s="256" t="s">
        <v>16</v>
      </c>
      <c r="B18" s="257">
        <f t="shared" si="0"/>
        <v>5</v>
      </c>
      <c r="C18" s="258">
        <v>0</v>
      </c>
      <c r="D18" s="258">
        <v>0</v>
      </c>
      <c r="E18" s="258">
        <v>0</v>
      </c>
      <c r="F18" s="258">
        <v>1</v>
      </c>
      <c r="G18" s="258">
        <v>0</v>
      </c>
      <c r="H18" s="258">
        <v>4</v>
      </c>
      <c r="I18" s="258">
        <v>0</v>
      </c>
    </row>
    <row r="19" spans="1:9" x14ac:dyDescent="0.15">
      <c r="A19" s="256" t="s">
        <v>17</v>
      </c>
      <c r="B19" s="257">
        <f t="shared" si="0"/>
        <v>0</v>
      </c>
      <c r="C19" s="258">
        <v>0</v>
      </c>
      <c r="D19" s="258">
        <v>0</v>
      </c>
      <c r="E19" s="258">
        <v>0</v>
      </c>
      <c r="F19" s="258">
        <v>0</v>
      </c>
      <c r="G19" s="258">
        <v>0</v>
      </c>
      <c r="H19" s="258">
        <v>0</v>
      </c>
      <c r="I19" s="258">
        <v>0</v>
      </c>
    </row>
    <row r="20" spans="1:9" x14ac:dyDescent="0.15">
      <c r="A20" s="256" t="s">
        <v>18</v>
      </c>
      <c r="B20" s="257">
        <f t="shared" si="0"/>
        <v>1</v>
      </c>
      <c r="C20" s="258">
        <v>0</v>
      </c>
      <c r="D20" s="258">
        <v>0</v>
      </c>
      <c r="E20" s="258">
        <v>0</v>
      </c>
      <c r="F20" s="258">
        <v>0</v>
      </c>
      <c r="G20" s="258">
        <v>0</v>
      </c>
      <c r="H20" s="258">
        <v>0</v>
      </c>
      <c r="I20" s="258">
        <v>1</v>
      </c>
    </row>
    <row r="21" spans="1:9" ht="11.25" customHeight="1" x14ac:dyDescent="0.15">
      <c r="A21" s="256" t="s">
        <v>19</v>
      </c>
      <c r="B21" s="257">
        <f t="shared" si="0"/>
        <v>0</v>
      </c>
      <c r="C21" s="258">
        <v>0</v>
      </c>
      <c r="D21" s="258">
        <v>0</v>
      </c>
      <c r="E21" s="258">
        <v>0</v>
      </c>
      <c r="F21" s="258">
        <v>0</v>
      </c>
      <c r="G21" s="258">
        <v>0</v>
      </c>
      <c r="H21" s="258">
        <v>0</v>
      </c>
      <c r="I21" s="258">
        <v>0</v>
      </c>
    </row>
    <row r="22" spans="1:9" s="1986" customFormat="1" ht="11.25" customHeight="1" x14ac:dyDescent="0.15"/>
    <row r="23" spans="1:9" s="1986" customFormat="1" ht="10.5" customHeight="1" x14ac:dyDescent="0.15">
      <c r="A23" s="2017" t="s">
        <v>20</v>
      </c>
    </row>
    <row r="24" spans="1:9" s="1986" customFormat="1" ht="10.5" customHeight="1" x14ac:dyDescent="0.15">
      <c r="A24" s="2018" t="s">
        <v>1075</v>
      </c>
    </row>
    <row r="25" spans="1:9" s="1986" customFormat="1" ht="10.5" customHeight="1" x14ac:dyDescent="0.15"/>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3">
    <mergeCell ref="A2:I2"/>
    <mergeCell ref="A4:A5"/>
    <mergeCell ref="B4:I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2:D189"/>
  <sheetViews>
    <sheetView workbookViewId="0">
      <selection activeCell="A24" sqref="A24:D24"/>
    </sheetView>
  </sheetViews>
  <sheetFormatPr baseColWidth="10" defaultRowHeight="10.5" x14ac:dyDescent="0.15"/>
  <cols>
    <col min="1" max="1" width="21.42578125" style="196" customWidth="1"/>
    <col min="2" max="4" width="15" style="196" customWidth="1"/>
    <col min="5" max="16384" width="11.42578125" style="196"/>
  </cols>
  <sheetData>
    <row r="2" spans="1:4" ht="47.25" customHeight="1" x14ac:dyDescent="0.15">
      <c r="A2" s="2539" t="s">
        <v>4350</v>
      </c>
      <c r="B2" s="2539"/>
      <c r="C2" s="2539"/>
      <c r="D2" s="2539"/>
    </row>
    <row r="3" spans="1:4" s="2295" customFormat="1" ht="10.5" customHeight="1" x14ac:dyDescent="0.15">
      <c r="A3" s="2294"/>
      <c r="B3" s="2294"/>
      <c r="C3" s="2294"/>
      <c r="D3" s="2294"/>
    </row>
    <row r="4" spans="1:4" ht="56.25" customHeight="1" x14ac:dyDescent="0.15">
      <c r="A4" s="2543" t="s">
        <v>1098</v>
      </c>
      <c r="B4" s="2543" t="s">
        <v>1036</v>
      </c>
      <c r="C4" s="2543"/>
      <c r="D4" s="2543"/>
    </row>
    <row r="5" spans="1:4" x14ac:dyDescent="0.15">
      <c r="A5" s="2543"/>
      <c r="B5" s="253" t="s">
        <v>141</v>
      </c>
      <c r="C5" s="253" t="s">
        <v>952</v>
      </c>
      <c r="D5" s="253" t="s">
        <v>953</v>
      </c>
    </row>
    <row r="6" spans="1:4" x14ac:dyDescent="0.15">
      <c r="A6" s="268" t="s">
        <v>141</v>
      </c>
      <c r="B6" s="257">
        <f>SUM(B7:B21)</f>
        <v>22</v>
      </c>
      <c r="C6" s="257">
        <f>SUM(C7:C21)</f>
        <v>19</v>
      </c>
      <c r="D6" s="257">
        <f>SUM(D7:D21)</f>
        <v>3</v>
      </c>
    </row>
    <row r="7" spans="1:4" x14ac:dyDescent="0.15">
      <c r="A7" s="267" t="s">
        <v>5</v>
      </c>
      <c r="B7" s="257">
        <f t="shared" ref="B7:B21" si="0">SUM(C7:D7)</f>
        <v>8</v>
      </c>
      <c r="C7" s="258">
        <v>7</v>
      </c>
      <c r="D7" s="258">
        <v>1</v>
      </c>
    </row>
    <row r="8" spans="1:4" x14ac:dyDescent="0.15">
      <c r="A8" s="267" t="s">
        <v>6</v>
      </c>
      <c r="B8" s="257">
        <f t="shared" si="0"/>
        <v>0</v>
      </c>
      <c r="C8" s="258">
        <v>0</v>
      </c>
      <c r="D8" s="258">
        <v>0</v>
      </c>
    </row>
    <row r="9" spans="1:4" x14ac:dyDescent="0.15">
      <c r="A9" s="267" t="s">
        <v>7</v>
      </c>
      <c r="B9" s="257">
        <f t="shared" si="0"/>
        <v>2</v>
      </c>
      <c r="C9" s="269">
        <v>0</v>
      </c>
      <c r="D9" s="269">
        <v>2</v>
      </c>
    </row>
    <row r="10" spans="1:4" x14ac:dyDescent="0.15">
      <c r="A10" s="267" t="s">
        <v>8</v>
      </c>
      <c r="B10" s="257">
        <f t="shared" si="0"/>
        <v>1</v>
      </c>
      <c r="C10" s="258">
        <v>1</v>
      </c>
      <c r="D10" s="258">
        <v>0</v>
      </c>
    </row>
    <row r="11" spans="1:4" x14ac:dyDescent="0.15">
      <c r="A11" s="267" t="s">
        <v>9</v>
      </c>
      <c r="B11" s="257">
        <f t="shared" si="0"/>
        <v>0</v>
      </c>
      <c r="C11" s="258">
        <v>0</v>
      </c>
      <c r="D11" s="258">
        <v>0</v>
      </c>
    </row>
    <row r="12" spans="1:4" x14ac:dyDescent="0.15">
      <c r="A12" s="267" t="s">
        <v>10</v>
      </c>
      <c r="B12" s="257">
        <f t="shared" si="0"/>
        <v>1</v>
      </c>
      <c r="C12" s="258">
        <v>1</v>
      </c>
      <c r="D12" s="258">
        <v>0</v>
      </c>
    </row>
    <row r="13" spans="1:4" x14ac:dyDescent="0.15">
      <c r="A13" s="267" t="s">
        <v>11</v>
      </c>
      <c r="B13" s="257">
        <f t="shared" si="0"/>
        <v>4</v>
      </c>
      <c r="C13" s="258">
        <v>4</v>
      </c>
      <c r="D13" s="258">
        <v>0</v>
      </c>
    </row>
    <row r="14" spans="1:4" x14ac:dyDescent="0.15">
      <c r="A14" s="267" t="s">
        <v>12</v>
      </c>
      <c r="B14" s="257">
        <f t="shared" si="0"/>
        <v>0</v>
      </c>
      <c r="C14" s="258">
        <v>0</v>
      </c>
      <c r="D14" s="258">
        <v>0</v>
      </c>
    </row>
    <row r="15" spans="1:4" x14ac:dyDescent="0.15">
      <c r="A15" s="267" t="s">
        <v>13</v>
      </c>
      <c r="B15" s="257">
        <f t="shared" si="0"/>
        <v>0</v>
      </c>
      <c r="C15" s="258">
        <v>0</v>
      </c>
      <c r="D15" s="258">
        <v>0</v>
      </c>
    </row>
    <row r="16" spans="1:4" x14ac:dyDescent="0.15">
      <c r="A16" s="267" t="s">
        <v>14</v>
      </c>
      <c r="B16" s="257">
        <f t="shared" si="0"/>
        <v>0</v>
      </c>
      <c r="C16" s="258">
        <v>0</v>
      </c>
      <c r="D16" s="258">
        <v>0</v>
      </c>
    </row>
    <row r="17" spans="1:4" x14ac:dyDescent="0.15">
      <c r="A17" s="267" t="s">
        <v>15</v>
      </c>
      <c r="B17" s="257">
        <f t="shared" si="0"/>
        <v>0</v>
      </c>
      <c r="C17" s="258">
        <v>0</v>
      </c>
      <c r="D17" s="258">
        <v>0</v>
      </c>
    </row>
    <row r="18" spans="1:4" x14ac:dyDescent="0.15">
      <c r="A18" s="267" t="s">
        <v>16</v>
      </c>
      <c r="B18" s="257">
        <f t="shared" si="0"/>
        <v>5</v>
      </c>
      <c r="C18" s="258">
        <v>5</v>
      </c>
      <c r="D18" s="258">
        <v>0</v>
      </c>
    </row>
    <row r="19" spans="1:4" x14ac:dyDescent="0.15">
      <c r="A19" s="267" t="s">
        <v>17</v>
      </c>
      <c r="B19" s="257">
        <f t="shared" si="0"/>
        <v>0</v>
      </c>
      <c r="C19" s="258">
        <v>0</v>
      </c>
      <c r="D19" s="258">
        <v>0</v>
      </c>
    </row>
    <row r="20" spans="1:4" x14ac:dyDescent="0.15">
      <c r="A20" s="267" t="s">
        <v>18</v>
      </c>
      <c r="B20" s="257">
        <f t="shared" si="0"/>
        <v>1</v>
      </c>
      <c r="C20" s="258">
        <v>1</v>
      </c>
      <c r="D20" s="258">
        <v>0</v>
      </c>
    </row>
    <row r="21" spans="1:4" ht="11.25" customHeight="1" x14ac:dyDescent="0.15">
      <c r="A21" s="267" t="s">
        <v>19</v>
      </c>
      <c r="B21" s="257">
        <f t="shared" si="0"/>
        <v>0</v>
      </c>
      <c r="C21" s="258">
        <v>0</v>
      </c>
      <c r="D21" s="258">
        <v>0</v>
      </c>
    </row>
    <row r="22" spans="1:4" ht="11.25" customHeight="1" x14ac:dyDescent="0.15">
      <c r="B22" s="270"/>
    </row>
    <row r="23" spans="1:4" ht="10.5" customHeight="1" x14ac:dyDescent="0.15">
      <c r="A23" s="2509" t="s">
        <v>20</v>
      </c>
      <c r="B23" s="2509"/>
      <c r="C23" s="2509"/>
      <c r="D23" s="2509"/>
    </row>
    <row r="24" spans="1:4" ht="22.5" customHeight="1" x14ac:dyDescent="0.15">
      <c r="A24" s="2509" t="s">
        <v>1075</v>
      </c>
      <c r="B24" s="2509"/>
      <c r="C24" s="2509"/>
      <c r="D24" s="2509"/>
    </row>
    <row r="25" spans="1:4" ht="10.5" customHeight="1" x14ac:dyDescent="0.15"/>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5">
    <mergeCell ref="A2:D2"/>
    <mergeCell ref="A4:A5"/>
    <mergeCell ref="B4:D4"/>
    <mergeCell ref="A24:D24"/>
    <mergeCell ref="A23:D23"/>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2:B188"/>
  <sheetViews>
    <sheetView workbookViewId="0">
      <selection activeCell="G8" sqref="G8"/>
    </sheetView>
  </sheetViews>
  <sheetFormatPr baseColWidth="10" defaultRowHeight="10.5" x14ac:dyDescent="0.15"/>
  <cols>
    <col min="1" max="2" width="26" style="211" customWidth="1"/>
    <col min="3" max="16384" width="11.42578125" style="196"/>
  </cols>
  <sheetData>
    <row r="2" spans="1:2" ht="54" customHeight="1" x14ac:dyDescent="0.15">
      <c r="A2" s="2530" t="s">
        <v>4198</v>
      </c>
      <c r="B2" s="2530"/>
    </row>
    <row r="3" spans="1:2" ht="56.25" customHeight="1" x14ac:dyDescent="0.15">
      <c r="A3" s="253" t="s">
        <v>1099</v>
      </c>
      <c r="B3" s="254" t="s">
        <v>1036</v>
      </c>
    </row>
    <row r="4" spans="1:2" x14ac:dyDescent="0.15">
      <c r="A4" s="256" t="s">
        <v>141</v>
      </c>
      <c r="B4" s="257">
        <f t="shared" ref="B4" si="0">SUM(B5,B14,B20,B23,B29,B38,B65,B118,B128,B142,B155,B167,B173,B181,B183)</f>
        <v>22</v>
      </c>
    </row>
    <row r="5" spans="1:2" x14ac:dyDescent="0.15">
      <c r="A5" s="256" t="s">
        <v>5</v>
      </c>
      <c r="B5" s="257">
        <f t="shared" ref="B5" si="1">SUM(B6:B13)</f>
        <v>8</v>
      </c>
    </row>
    <row r="6" spans="1:2" x14ac:dyDescent="0.15">
      <c r="A6" s="262" t="s">
        <v>1037</v>
      </c>
      <c r="B6" s="258">
        <v>3</v>
      </c>
    </row>
    <row r="7" spans="1:2" x14ac:dyDescent="0.15">
      <c r="A7" s="262" t="s">
        <v>1017</v>
      </c>
      <c r="B7" s="258">
        <v>1</v>
      </c>
    </row>
    <row r="8" spans="1:2" x14ac:dyDescent="0.15">
      <c r="A8" s="262" t="s">
        <v>1018</v>
      </c>
      <c r="B8" s="258">
        <v>0</v>
      </c>
    </row>
    <row r="9" spans="1:2" x14ac:dyDescent="0.15">
      <c r="A9" s="262" t="s">
        <v>7</v>
      </c>
      <c r="B9" s="258">
        <v>0</v>
      </c>
    </row>
    <row r="10" spans="1:2" x14ac:dyDescent="0.15">
      <c r="A10" s="262" t="s">
        <v>1021</v>
      </c>
      <c r="B10" s="258">
        <v>0</v>
      </c>
    </row>
    <row r="11" spans="1:2" x14ac:dyDescent="0.15">
      <c r="A11" s="262" t="s">
        <v>1026</v>
      </c>
      <c r="B11" s="258">
        <v>0</v>
      </c>
    </row>
    <row r="12" spans="1:2" x14ac:dyDescent="0.15">
      <c r="A12" s="262" t="s">
        <v>696</v>
      </c>
      <c r="B12" s="258">
        <v>4</v>
      </c>
    </row>
    <row r="13" spans="1:2" ht="11.25" x14ac:dyDescent="0.15">
      <c r="A13" s="262" t="s">
        <v>1022</v>
      </c>
      <c r="B13" s="258">
        <v>0</v>
      </c>
    </row>
    <row r="14" spans="1:2" x14ac:dyDescent="0.15">
      <c r="A14" s="256" t="s">
        <v>6</v>
      </c>
      <c r="B14" s="257">
        <f t="shared" ref="B14" si="2">SUM(B15:B19)</f>
        <v>0</v>
      </c>
    </row>
    <row r="15" spans="1:2" x14ac:dyDescent="0.15">
      <c r="A15" s="262" t="s">
        <v>1037</v>
      </c>
      <c r="B15" s="258">
        <v>0</v>
      </c>
    </row>
    <row r="16" spans="1:2" x14ac:dyDescent="0.15">
      <c r="A16" s="262" t="s">
        <v>1017</v>
      </c>
      <c r="B16" s="258">
        <v>0</v>
      </c>
    </row>
    <row r="17" spans="1:2" x14ac:dyDescent="0.15">
      <c r="A17" s="262" t="s">
        <v>601</v>
      </c>
      <c r="B17" s="258">
        <v>0</v>
      </c>
    </row>
    <row r="18" spans="1:2" x14ac:dyDescent="0.15">
      <c r="A18" s="262" t="s">
        <v>1100</v>
      </c>
      <c r="B18" s="258">
        <v>0</v>
      </c>
    </row>
    <row r="19" spans="1:2" x14ac:dyDescent="0.15">
      <c r="A19" s="262" t="s">
        <v>1026</v>
      </c>
      <c r="B19" s="258">
        <v>0</v>
      </c>
    </row>
    <row r="20" spans="1:2" ht="11.25" customHeight="1" x14ac:dyDescent="0.15">
      <c r="A20" s="256" t="s">
        <v>7</v>
      </c>
      <c r="B20" s="257">
        <f t="shared" ref="B20" si="3">SUM(B21:B22)</f>
        <v>2</v>
      </c>
    </row>
    <row r="21" spans="1:2" ht="11.25" customHeight="1" x14ac:dyDescent="0.15">
      <c r="A21" s="262" t="s">
        <v>1018</v>
      </c>
      <c r="B21" s="258">
        <v>0</v>
      </c>
    </row>
    <row r="22" spans="1:2" ht="10.5" customHeight="1" x14ac:dyDescent="0.15">
      <c r="A22" s="262" t="s">
        <v>7</v>
      </c>
      <c r="B22" s="258">
        <v>2</v>
      </c>
    </row>
    <row r="23" spans="1:2" ht="10.5" customHeight="1" x14ac:dyDescent="0.15">
      <c r="A23" s="256" t="s">
        <v>8</v>
      </c>
      <c r="B23" s="257">
        <f t="shared" ref="B23" si="4">SUM(B24:B28)</f>
        <v>1</v>
      </c>
    </row>
    <row r="24" spans="1:2" ht="10.5" customHeight="1" x14ac:dyDescent="0.15">
      <c r="A24" s="262" t="s">
        <v>7</v>
      </c>
      <c r="B24" s="258">
        <v>0</v>
      </c>
    </row>
    <row r="25" spans="1:2" x14ac:dyDescent="0.15">
      <c r="A25" s="262" t="s">
        <v>498</v>
      </c>
      <c r="B25" s="258">
        <v>0</v>
      </c>
    </row>
    <row r="26" spans="1:2" x14ac:dyDescent="0.15">
      <c r="A26" s="262" t="s">
        <v>1021</v>
      </c>
      <c r="B26" s="258">
        <v>1</v>
      </c>
    </row>
    <row r="27" spans="1:2" x14ac:dyDescent="0.15">
      <c r="A27" s="262" t="s">
        <v>1101</v>
      </c>
      <c r="B27" s="258">
        <v>0</v>
      </c>
    </row>
    <row r="28" spans="1:2" x14ac:dyDescent="0.15">
      <c r="A28" s="262" t="s">
        <v>1027</v>
      </c>
      <c r="B28" s="258">
        <v>0</v>
      </c>
    </row>
    <row r="29" spans="1:2" x14ac:dyDescent="0.15">
      <c r="A29" s="256" t="s">
        <v>9</v>
      </c>
      <c r="B29" s="257">
        <f t="shared" ref="B29" si="5">SUM(B30:B37)</f>
        <v>0</v>
      </c>
    </row>
    <row r="30" spans="1:2" x14ac:dyDescent="0.15">
      <c r="A30" s="262" t="s">
        <v>1042</v>
      </c>
      <c r="B30" s="258">
        <v>0</v>
      </c>
    </row>
    <row r="31" spans="1:2" x14ac:dyDescent="0.15">
      <c r="A31" s="262" t="s">
        <v>9</v>
      </c>
      <c r="B31" s="258">
        <v>0</v>
      </c>
    </row>
    <row r="32" spans="1:2" x14ac:dyDescent="0.15">
      <c r="A32" s="262" t="s">
        <v>1023</v>
      </c>
      <c r="B32" s="258">
        <v>0</v>
      </c>
    </row>
    <row r="33" spans="1:2" x14ac:dyDescent="0.15">
      <c r="A33" s="262" t="s">
        <v>1102</v>
      </c>
      <c r="B33" s="258">
        <v>0</v>
      </c>
    </row>
    <row r="34" spans="1:2" x14ac:dyDescent="0.15">
      <c r="A34" s="262" t="s">
        <v>1103</v>
      </c>
      <c r="B34" s="258">
        <v>0</v>
      </c>
    </row>
    <row r="35" spans="1:2" x14ac:dyDescent="0.15">
      <c r="A35" s="262" t="s">
        <v>1054</v>
      </c>
      <c r="B35" s="258">
        <v>0</v>
      </c>
    </row>
    <row r="36" spans="1:2" x14ac:dyDescent="0.15">
      <c r="A36" s="262" t="s">
        <v>1031</v>
      </c>
      <c r="B36" s="258">
        <v>0</v>
      </c>
    </row>
    <row r="37" spans="1:2" x14ac:dyDescent="0.15">
      <c r="A37" s="262" t="s">
        <v>1060</v>
      </c>
      <c r="B37" s="258">
        <v>0</v>
      </c>
    </row>
    <row r="38" spans="1:2" x14ac:dyDescent="0.15">
      <c r="A38" s="256" t="s">
        <v>10</v>
      </c>
      <c r="B38" s="257">
        <f t="shared" ref="B38" si="6">SUM(B39:B64)</f>
        <v>1</v>
      </c>
    </row>
    <row r="39" spans="1:2" x14ac:dyDescent="0.15">
      <c r="A39" s="262" t="s">
        <v>1024</v>
      </c>
      <c r="B39" s="258">
        <v>0</v>
      </c>
    </row>
    <row r="40" spans="1:2" x14ac:dyDescent="0.15">
      <c r="A40" s="262" t="s">
        <v>1104</v>
      </c>
      <c r="B40" s="258">
        <v>0</v>
      </c>
    </row>
    <row r="41" spans="1:2" x14ac:dyDescent="0.15">
      <c r="A41" s="262" t="s">
        <v>598</v>
      </c>
      <c r="B41" s="258">
        <v>0</v>
      </c>
    </row>
    <row r="42" spans="1:2" x14ac:dyDescent="0.15">
      <c r="A42" s="262" t="s">
        <v>1105</v>
      </c>
      <c r="B42" s="258">
        <v>0</v>
      </c>
    </row>
    <row r="43" spans="1:2" x14ac:dyDescent="0.15">
      <c r="A43" s="262" t="s">
        <v>1106</v>
      </c>
      <c r="B43" s="258">
        <v>0</v>
      </c>
    </row>
    <row r="44" spans="1:2" x14ac:dyDescent="0.15">
      <c r="A44" s="262" t="s">
        <v>508</v>
      </c>
      <c r="B44" s="258">
        <v>0</v>
      </c>
    </row>
    <row r="45" spans="1:2" x14ac:dyDescent="0.15">
      <c r="A45" s="262" t="s">
        <v>1107</v>
      </c>
      <c r="B45" s="258">
        <v>0</v>
      </c>
    </row>
    <row r="46" spans="1:2" x14ac:dyDescent="0.15">
      <c r="A46" s="262" t="s">
        <v>10</v>
      </c>
      <c r="B46" s="258">
        <v>0</v>
      </c>
    </row>
    <row r="47" spans="1:2" x14ac:dyDescent="0.15">
      <c r="A47" s="262" t="s">
        <v>1108</v>
      </c>
      <c r="B47" s="258">
        <v>0</v>
      </c>
    </row>
    <row r="48" spans="1:2" x14ac:dyDescent="0.15">
      <c r="A48" s="262" t="s">
        <v>1043</v>
      </c>
      <c r="B48" s="258">
        <v>0</v>
      </c>
    </row>
    <row r="49" spans="1:2" x14ac:dyDescent="0.15">
      <c r="A49" s="262" t="s">
        <v>1109</v>
      </c>
      <c r="B49" s="258">
        <v>0</v>
      </c>
    </row>
    <row r="50" spans="1:2" x14ac:dyDescent="0.15">
      <c r="A50" s="262" t="s">
        <v>1039</v>
      </c>
      <c r="B50" s="258">
        <v>0</v>
      </c>
    </row>
    <row r="51" spans="1:2" x14ac:dyDescent="0.15">
      <c r="A51" s="262" t="s">
        <v>601</v>
      </c>
      <c r="B51" s="258">
        <v>0</v>
      </c>
    </row>
    <row r="52" spans="1:2" x14ac:dyDescent="0.15">
      <c r="A52" s="262" t="s">
        <v>1110</v>
      </c>
      <c r="B52" s="258">
        <v>0</v>
      </c>
    </row>
    <row r="53" spans="1:2" x14ac:dyDescent="0.15">
      <c r="A53" s="262" t="s">
        <v>1111</v>
      </c>
      <c r="B53" s="258">
        <v>0</v>
      </c>
    </row>
    <row r="54" spans="1:2" x14ac:dyDescent="0.15">
      <c r="A54" s="262" t="s">
        <v>1040</v>
      </c>
      <c r="B54" s="258">
        <v>0</v>
      </c>
    </row>
    <row r="55" spans="1:2" x14ac:dyDescent="0.15">
      <c r="A55" s="262" t="s">
        <v>1112</v>
      </c>
      <c r="B55" s="258">
        <v>0</v>
      </c>
    </row>
    <row r="56" spans="1:2" x14ac:dyDescent="0.15">
      <c r="A56" s="262" t="s">
        <v>511</v>
      </c>
      <c r="B56" s="258">
        <v>1</v>
      </c>
    </row>
    <row r="57" spans="1:2" x14ac:dyDescent="0.15">
      <c r="A57" s="262" t="s">
        <v>1026</v>
      </c>
      <c r="B57" s="258">
        <v>0</v>
      </c>
    </row>
    <row r="58" spans="1:2" x14ac:dyDescent="0.15">
      <c r="A58" s="262" t="s">
        <v>1113</v>
      </c>
      <c r="B58" s="258">
        <v>0</v>
      </c>
    </row>
    <row r="59" spans="1:2" x14ac:dyDescent="0.15">
      <c r="A59" s="262" t="s">
        <v>1053</v>
      </c>
      <c r="B59" s="258">
        <v>0</v>
      </c>
    </row>
    <row r="60" spans="1:2" x14ac:dyDescent="0.15">
      <c r="A60" s="262" t="s">
        <v>1056</v>
      </c>
      <c r="B60" s="258">
        <v>0</v>
      </c>
    </row>
    <row r="61" spans="1:2" x14ac:dyDescent="0.15">
      <c r="A61" s="262" t="s">
        <v>1059</v>
      </c>
      <c r="B61" s="258">
        <v>0</v>
      </c>
    </row>
    <row r="62" spans="1:2" x14ac:dyDescent="0.15">
      <c r="A62" s="262" t="s">
        <v>1114</v>
      </c>
      <c r="B62" s="258">
        <v>0</v>
      </c>
    </row>
    <row r="63" spans="1:2" x14ac:dyDescent="0.15">
      <c r="A63" s="262" t="s">
        <v>1115</v>
      </c>
      <c r="B63" s="258">
        <v>0</v>
      </c>
    </row>
    <row r="64" spans="1:2" x14ac:dyDescent="0.15">
      <c r="A64" s="262" t="s">
        <v>1116</v>
      </c>
      <c r="B64" s="258">
        <v>0</v>
      </c>
    </row>
    <row r="65" spans="1:2" x14ac:dyDescent="0.15">
      <c r="A65" s="256" t="s">
        <v>11</v>
      </c>
      <c r="B65" s="257">
        <f t="shared" ref="B65" si="7">SUM(B66:B117)</f>
        <v>4</v>
      </c>
    </row>
    <row r="66" spans="1:2" x14ac:dyDescent="0.15">
      <c r="A66" s="262" t="s">
        <v>1024</v>
      </c>
      <c r="B66" s="258">
        <v>0</v>
      </c>
    </row>
    <row r="67" spans="1:2" x14ac:dyDescent="0.15">
      <c r="A67" s="262" t="s">
        <v>1040</v>
      </c>
      <c r="B67" s="258">
        <v>0</v>
      </c>
    </row>
    <row r="68" spans="1:2" x14ac:dyDescent="0.15">
      <c r="A68" s="262" t="s">
        <v>1044</v>
      </c>
      <c r="B68" s="258">
        <v>0</v>
      </c>
    </row>
    <row r="69" spans="1:2" x14ac:dyDescent="0.15">
      <c r="A69" s="262" t="s">
        <v>1117</v>
      </c>
      <c r="B69" s="258">
        <v>1</v>
      </c>
    </row>
    <row r="70" spans="1:2" x14ac:dyDescent="0.15">
      <c r="A70" s="262" t="s">
        <v>1118</v>
      </c>
      <c r="B70" s="258">
        <v>0</v>
      </c>
    </row>
    <row r="71" spans="1:2" x14ac:dyDescent="0.15">
      <c r="A71" s="262" t="s">
        <v>517</v>
      </c>
      <c r="B71" s="258">
        <v>1</v>
      </c>
    </row>
    <row r="72" spans="1:2" x14ac:dyDescent="0.15">
      <c r="A72" s="262" t="s">
        <v>1119</v>
      </c>
      <c r="B72" s="258">
        <v>0</v>
      </c>
    </row>
    <row r="73" spans="1:2" x14ac:dyDescent="0.15">
      <c r="A73" s="262" t="s">
        <v>709</v>
      </c>
      <c r="B73" s="258">
        <v>0</v>
      </c>
    </row>
    <row r="74" spans="1:2" x14ac:dyDescent="0.15">
      <c r="A74" s="262" t="s">
        <v>1026</v>
      </c>
      <c r="B74" s="258">
        <v>0</v>
      </c>
    </row>
    <row r="75" spans="1:2" x14ac:dyDescent="0.15">
      <c r="A75" s="262" t="s">
        <v>1046</v>
      </c>
      <c r="B75" s="258">
        <v>0</v>
      </c>
    </row>
    <row r="76" spans="1:2" x14ac:dyDescent="0.15">
      <c r="A76" s="262" t="s">
        <v>1120</v>
      </c>
      <c r="B76" s="258">
        <v>0</v>
      </c>
    </row>
    <row r="77" spans="1:2" x14ac:dyDescent="0.15">
      <c r="A77" s="262" t="s">
        <v>1121</v>
      </c>
      <c r="B77" s="258">
        <v>0</v>
      </c>
    </row>
    <row r="78" spans="1:2" x14ac:dyDescent="0.15">
      <c r="A78" s="262" t="s">
        <v>1027</v>
      </c>
      <c r="B78" s="258">
        <v>0</v>
      </c>
    </row>
    <row r="79" spans="1:2" x14ac:dyDescent="0.15">
      <c r="A79" s="262" t="s">
        <v>1028</v>
      </c>
      <c r="B79" s="258">
        <v>0</v>
      </c>
    </row>
    <row r="80" spans="1:2" x14ac:dyDescent="0.15">
      <c r="A80" s="262" t="s">
        <v>1048</v>
      </c>
      <c r="B80" s="258">
        <v>0</v>
      </c>
    </row>
    <row r="81" spans="1:2" x14ac:dyDescent="0.15">
      <c r="A81" s="262" t="s">
        <v>1049</v>
      </c>
      <c r="B81" s="258">
        <v>0</v>
      </c>
    </row>
    <row r="82" spans="1:2" x14ac:dyDescent="0.15">
      <c r="A82" s="262" t="s">
        <v>1029</v>
      </c>
      <c r="B82" s="258">
        <v>0</v>
      </c>
    </row>
    <row r="83" spans="1:2" x14ac:dyDescent="0.15">
      <c r="A83" s="262" t="s">
        <v>1122</v>
      </c>
      <c r="B83" s="258">
        <v>0</v>
      </c>
    </row>
    <row r="84" spans="1:2" x14ac:dyDescent="0.15">
      <c r="A84" s="262" t="s">
        <v>1123</v>
      </c>
      <c r="B84" s="258">
        <v>0</v>
      </c>
    </row>
    <row r="85" spans="1:2" x14ac:dyDescent="0.15">
      <c r="A85" s="262" t="s">
        <v>1050</v>
      </c>
      <c r="B85" s="258">
        <v>0</v>
      </c>
    </row>
    <row r="86" spans="1:2" x14ac:dyDescent="0.15">
      <c r="A86" s="262" t="s">
        <v>1051</v>
      </c>
      <c r="B86" s="258">
        <v>0</v>
      </c>
    </row>
    <row r="87" spans="1:2" x14ac:dyDescent="0.15">
      <c r="A87" s="262" t="s">
        <v>1052</v>
      </c>
      <c r="B87" s="258">
        <v>0</v>
      </c>
    </row>
    <row r="88" spans="1:2" ht="10.5" customHeight="1" x14ac:dyDescent="0.15">
      <c r="A88" s="262" t="s">
        <v>1113</v>
      </c>
      <c r="B88" s="258">
        <v>0</v>
      </c>
    </row>
    <row r="89" spans="1:2" ht="10.5" customHeight="1" x14ac:dyDescent="0.15">
      <c r="A89" s="262" t="s">
        <v>1102</v>
      </c>
      <c r="B89" s="258">
        <v>0</v>
      </c>
    </row>
    <row r="90" spans="1:2" x14ac:dyDescent="0.15">
      <c r="A90" s="262" t="s">
        <v>1053</v>
      </c>
      <c r="B90" s="258">
        <v>0</v>
      </c>
    </row>
    <row r="91" spans="1:2" ht="10.5" customHeight="1" x14ac:dyDescent="0.15">
      <c r="A91" s="262" t="s">
        <v>1030</v>
      </c>
      <c r="B91" s="258">
        <v>0</v>
      </c>
    </row>
    <row r="92" spans="1:2" x14ac:dyDescent="0.15">
      <c r="A92" s="262" t="s">
        <v>1103</v>
      </c>
      <c r="B92" s="258">
        <v>0</v>
      </c>
    </row>
    <row r="93" spans="1:2" x14ac:dyDescent="0.15">
      <c r="A93" s="262" t="s">
        <v>1054</v>
      </c>
      <c r="B93" s="258">
        <v>0</v>
      </c>
    </row>
    <row r="94" spans="1:2" x14ac:dyDescent="0.15">
      <c r="A94" s="262" t="s">
        <v>1124</v>
      </c>
      <c r="B94" s="258">
        <v>0</v>
      </c>
    </row>
    <row r="95" spans="1:2" x14ac:dyDescent="0.15">
      <c r="A95" s="262" t="s">
        <v>1031</v>
      </c>
      <c r="B95" s="258">
        <v>0</v>
      </c>
    </row>
    <row r="96" spans="1:2" x14ac:dyDescent="0.15">
      <c r="A96" s="262" t="s">
        <v>1055</v>
      </c>
      <c r="B96" s="258">
        <v>0</v>
      </c>
    </row>
    <row r="97" spans="1:2" x14ac:dyDescent="0.15">
      <c r="A97" s="262" t="s">
        <v>1125</v>
      </c>
      <c r="B97" s="258">
        <v>0</v>
      </c>
    </row>
    <row r="98" spans="1:2" x14ac:dyDescent="0.15">
      <c r="A98" s="262" t="s">
        <v>1056</v>
      </c>
      <c r="B98" s="258">
        <v>0</v>
      </c>
    </row>
    <row r="99" spans="1:2" x14ac:dyDescent="0.15">
      <c r="A99" s="262" t="s">
        <v>1057</v>
      </c>
      <c r="B99" s="258">
        <v>0</v>
      </c>
    </row>
    <row r="100" spans="1:2" ht="10.5" customHeight="1" x14ac:dyDescent="0.15">
      <c r="A100" s="262" t="s">
        <v>1058</v>
      </c>
      <c r="B100" s="258">
        <v>1</v>
      </c>
    </row>
    <row r="101" spans="1:2" x14ac:dyDescent="0.15">
      <c r="A101" s="262" t="s">
        <v>1038</v>
      </c>
      <c r="B101" s="258">
        <v>0</v>
      </c>
    </row>
    <row r="102" spans="1:2" x14ac:dyDescent="0.15">
      <c r="A102" s="262" t="s">
        <v>1126</v>
      </c>
      <c r="B102" s="258">
        <v>1</v>
      </c>
    </row>
    <row r="103" spans="1:2" ht="10.5" customHeight="1" x14ac:dyDescent="0.15">
      <c r="A103" s="262" t="s">
        <v>1127</v>
      </c>
      <c r="B103" s="258">
        <v>0</v>
      </c>
    </row>
    <row r="104" spans="1:2" x14ac:dyDescent="0.15">
      <c r="A104" s="262" t="s">
        <v>1032</v>
      </c>
      <c r="B104" s="258">
        <v>0</v>
      </c>
    </row>
    <row r="105" spans="1:2" x14ac:dyDescent="0.15">
      <c r="A105" s="262" t="s">
        <v>1059</v>
      </c>
      <c r="B105" s="258">
        <v>0</v>
      </c>
    </row>
    <row r="106" spans="1:2" x14ac:dyDescent="0.15">
      <c r="A106" s="262" t="s">
        <v>1033</v>
      </c>
      <c r="B106" s="258">
        <v>0</v>
      </c>
    </row>
    <row r="107" spans="1:2" x14ac:dyDescent="0.15">
      <c r="A107" s="262" t="s">
        <v>1060</v>
      </c>
      <c r="B107" s="258">
        <v>0</v>
      </c>
    </row>
    <row r="108" spans="1:2" x14ac:dyDescent="0.15">
      <c r="A108" s="262" t="s">
        <v>1061</v>
      </c>
      <c r="B108" s="258">
        <v>0</v>
      </c>
    </row>
    <row r="109" spans="1:2" x14ac:dyDescent="0.15">
      <c r="A109" s="262" t="s">
        <v>1114</v>
      </c>
      <c r="B109" s="258">
        <v>0</v>
      </c>
    </row>
    <row r="110" spans="1:2" x14ac:dyDescent="0.15">
      <c r="A110" s="262" t="s">
        <v>1128</v>
      </c>
      <c r="B110" s="258">
        <v>0</v>
      </c>
    </row>
    <row r="111" spans="1:2" x14ac:dyDescent="0.15">
      <c r="A111" s="262" t="s">
        <v>1129</v>
      </c>
      <c r="B111" s="258">
        <v>0</v>
      </c>
    </row>
    <row r="112" spans="1:2" x14ac:dyDescent="0.15">
      <c r="A112" s="262" t="s">
        <v>606</v>
      </c>
      <c r="B112" s="258">
        <v>0</v>
      </c>
    </row>
    <row r="113" spans="1:2" x14ac:dyDescent="0.15">
      <c r="A113" s="262" t="s">
        <v>1115</v>
      </c>
      <c r="B113" s="258">
        <v>0</v>
      </c>
    </row>
    <row r="114" spans="1:2" x14ac:dyDescent="0.15">
      <c r="A114" s="262" t="s">
        <v>1130</v>
      </c>
      <c r="B114" s="258">
        <v>0</v>
      </c>
    </row>
    <row r="115" spans="1:2" x14ac:dyDescent="0.15">
      <c r="A115" s="262" t="s">
        <v>1131</v>
      </c>
      <c r="B115" s="258">
        <v>0</v>
      </c>
    </row>
    <row r="116" spans="1:2" x14ac:dyDescent="0.15">
      <c r="A116" s="262" t="s">
        <v>1132</v>
      </c>
      <c r="B116" s="258">
        <v>0</v>
      </c>
    </row>
    <row r="117" spans="1:2" x14ac:dyDescent="0.15">
      <c r="A117" s="262" t="s">
        <v>1116</v>
      </c>
      <c r="B117" s="258">
        <v>0</v>
      </c>
    </row>
    <row r="118" spans="1:2" x14ac:dyDescent="0.15">
      <c r="A118" s="256" t="s">
        <v>12</v>
      </c>
      <c r="B118" s="257">
        <f t="shared" ref="B118" si="8">SUM(B119:B127)</f>
        <v>0</v>
      </c>
    </row>
    <row r="119" spans="1:2" x14ac:dyDescent="0.15">
      <c r="A119" s="262" t="s">
        <v>1044</v>
      </c>
      <c r="B119" s="258">
        <v>0</v>
      </c>
    </row>
    <row r="120" spans="1:2" x14ac:dyDescent="0.15">
      <c r="A120" s="262" t="s">
        <v>1133</v>
      </c>
      <c r="B120" s="258">
        <v>0</v>
      </c>
    </row>
    <row r="121" spans="1:2" x14ac:dyDescent="0.15">
      <c r="A121" s="262" t="s">
        <v>1134</v>
      </c>
      <c r="B121" s="258">
        <v>0</v>
      </c>
    </row>
    <row r="122" spans="1:2" x14ac:dyDescent="0.15">
      <c r="A122" s="262" t="s">
        <v>1062</v>
      </c>
      <c r="B122" s="258">
        <v>0</v>
      </c>
    </row>
    <row r="123" spans="1:2" x14ac:dyDescent="0.15">
      <c r="A123" s="262" t="s">
        <v>1135</v>
      </c>
      <c r="B123" s="258">
        <v>0</v>
      </c>
    </row>
    <row r="124" spans="1:2" x14ac:dyDescent="0.15">
      <c r="A124" s="262" t="s">
        <v>1136</v>
      </c>
      <c r="B124" s="258">
        <v>0</v>
      </c>
    </row>
    <row r="125" spans="1:2" x14ac:dyDescent="0.15">
      <c r="A125" s="262" t="s">
        <v>1050</v>
      </c>
      <c r="B125" s="258">
        <v>0</v>
      </c>
    </row>
    <row r="126" spans="1:2" x14ac:dyDescent="0.15">
      <c r="A126" s="262" t="s">
        <v>1124</v>
      </c>
      <c r="B126" s="258">
        <v>0</v>
      </c>
    </row>
    <row r="127" spans="1:2" x14ac:dyDescent="0.15">
      <c r="A127" s="262" t="s">
        <v>1130</v>
      </c>
      <c r="B127" s="258">
        <v>0</v>
      </c>
    </row>
    <row r="128" spans="1:2" x14ac:dyDescent="0.15">
      <c r="A128" s="256" t="s">
        <v>13</v>
      </c>
      <c r="B128" s="257">
        <f t="shared" ref="B128" si="9">SUM(B129:B141)</f>
        <v>0</v>
      </c>
    </row>
    <row r="129" spans="1:2" x14ac:dyDescent="0.15">
      <c r="A129" s="262" t="s">
        <v>517</v>
      </c>
      <c r="B129" s="258">
        <v>0</v>
      </c>
    </row>
    <row r="130" spans="1:2" x14ac:dyDescent="0.15">
      <c r="A130" s="262" t="s">
        <v>1137</v>
      </c>
      <c r="B130" s="258">
        <v>0</v>
      </c>
    </row>
    <row r="131" spans="1:2" x14ac:dyDescent="0.15">
      <c r="A131" s="262" t="s">
        <v>614</v>
      </c>
      <c r="B131" s="258">
        <v>0</v>
      </c>
    </row>
    <row r="132" spans="1:2" x14ac:dyDescent="0.15">
      <c r="A132" s="262" t="s">
        <v>13</v>
      </c>
      <c r="B132" s="258">
        <v>0</v>
      </c>
    </row>
    <row r="133" spans="1:2" x14ac:dyDescent="0.15">
      <c r="A133" s="262" t="s">
        <v>1138</v>
      </c>
      <c r="B133" s="258">
        <v>0</v>
      </c>
    </row>
    <row r="134" spans="1:2" x14ac:dyDescent="0.15">
      <c r="A134" s="262" t="s">
        <v>1139</v>
      </c>
      <c r="B134" s="258">
        <v>0</v>
      </c>
    </row>
    <row r="135" spans="1:2" x14ac:dyDescent="0.15">
      <c r="A135" s="262" t="s">
        <v>620</v>
      </c>
      <c r="B135" s="258">
        <v>0</v>
      </c>
    </row>
    <row r="136" spans="1:2" x14ac:dyDescent="0.15">
      <c r="A136" s="262" t="s">
        <v>1140</v>
      </c>
      <c r="B136" s="258">
        <v>0</v>
      </c>
    </row>
    <row r="137" spans="1:2" x14ac:dyDescent="0.15">
      <c r="A137" s="262" t="s">
        <v>1141</v>
      </c>
      <c r="B137" s="258">
        <v>0</v>
      </c>
    </row>
    <row r="138" spans="1:2" x14ac:dyDescent="0.15">
      <c r="A138" s="262" t="s">
        <v>1142</v>
      </c>
      <c r="B138" s="258">
        <v>0</v>
      </c>
    </row>
    <row r="139" spans="1:2" x14ac:dyDescent="0.15">
      <c r="A139" s="262" t="s">
        <v>1143</v>
      </c>
      <c r="B139" s="258">
        <v>0</v>
      </c>
    </row>
    <row r="140" spans="1:2" x14ac:dyDescent="0.15">
      <c r="A140" s="262" t="s">
        <v>626</v>
      </c>
      <c r="B140" s="258">
        <v>0</v>
      </c>
    </row>
    <row r="141" spans="1:2" x14ac:dyDescent="0.15">
      <c r="A141" s="262" t="s">
        <v>624</v>
      </c>
      <c r="B141" s="258">
        <v>0</v>
      </c>
    </row>
    <row r="142" spans="1:2" x14ac:dyDescent="0.15">
      <c r="A142" s="256" t="s">
        <v>14</v>
      </c>
      <c r="B142" s="257">
        <f t="shared" ref="B142" si="10">SUM(B143:B154)</f>
        <v>0</v>
      </c>
    </row>
    <row r="143" spans="1:2" x14ac:dyDescent="0.15">
      <c r="A143" s="262" t="s">
        <v>10</v>
      </c>
      <c r="B143" s="258">
        <v>0</v>
      </c>
    </row>
    <row r="144" spans="1:2" x14ac:dyDescent="0.15">
      <c r="A144" s="262" t="s">
        <v>1062</v>
      </c>
      <c r="B144" s="258">
        <v>0</v>
      </c>
    </row>
    <row r="145" spans="1:2" x14ac:dyDescent="0.15">
      <c r="A145" s="262" t="s">
        <v>1063</v>
      </c>
      <c r="B145" s="258">
        <v>0</v>
      </c>
    </row>
    <row r="146" spans="1:2" x14ac:dyDescent="0.15">
      <c r="A146" s="262" t="s">
        <v>1119</v>
      </c>
      <c r="B146" s="258">
        <v>0</v>
      </c>
    </row>
    <row r="147" spans="1:2" x14ac:dyDescent="0.15">
      <c r="A147" s="262" t="s">
        <v>1144</v>
      </c>
      <c r="B147" s="258">
        <v>0</v>
      </c>
    </row>
    <row r="148" spans="1:2" x14ac:dyDescent="0.15">
      <c r="A148" s="262" t="s">
        <v>641</v>
      </c>
      <c r="B148" s="258">
        <v>0</v>
      </c>
    </row>
    <row r="149" spans="1:2" x14ac:dyDescent="0.15">
      <c r="A149" s="262" t="s">
        <v>1145</v>
      </c>
      <c r="B149" s="258">
        <v>0</v>
      </c>
    </row>
    <row r="150" spans="1:2" x14ac:dyDescent="0.15">
      <c r="A150" s="262" t="s">
        <v>1146</v>
      </c>
      <c r="B150" s="258">
        <v>0</v>
      </c>
    </row>
    <row r="151" spans="1:2" x14ac:dyDescent="0.15">
      <c r="A151" s="262" t="s">
        <v>1147</v>
      </c>
      <c r="B151" s="258">
        <v>0</v>
      </c>
    </row>
    <row r="152" spans="1:2" x14ac:dyDescent="0.15">
      <c r="A152" s="262" t="s">
        <v>1148</v>
      </c>
      <c r="B152" s="258">
        <v>0</v>
      </c>
    </row>
    <row r="153" spans="1:2" x14ac:dyDescent="0.15">
      <c r="A153" s="262" t="s">
        <v>1149</v>
      </c>
      <c r="B153" s="258">
        <v>0</v>
      </c>
    </row>
    <row r="154" spans="1:2" x14ac:dyDescent="0.15">
      <c r="A154" s="262" t="s">
        <v>629</v>
      </c>
      <c r="B154" s="258">
        <v>0</v>
      </c>
    </row>
    <row r="155" spans="1:2" x14ac:dyDescent="0.15">
      <c r="A155" s="256" t="s">
        <v>350</v>
      </c>
      <c r="B155" s="257">
        <f t="shared" ref="B155" si="11">SUM(B156:B166)</f>
        <v>0</v>
      </c>
    </row>
    <row r="156" spans="1:2" x14ac:dyDescent="0.15">
      <c r="A156" s="262" t="s">
        <v>641</v>
      </c>
      <c r="B156" s="258">
        <v>0</v>
      </c>
    </row>
    <row r="157" spans="1:2" x14ac:dyDescent="0.15">
      <c r="A157" s="262" t="s">
        <v>1145</v>
      </c>
      <c r="B157" s="258">
        <v>0</v>
      </c>
    </row>
    <row r="158" spans="1:2" x14ac:dyDescent="0.15">
      <c r="A158" s="262" t="s">
        <v>1150</v>
      </c>
      <c r="B158" s="258">
        <v>0</v>
      </c>
    </row>
    <row r="159" spans="1:2" x14ac:dyDescent="0.15">
      <c r="A159" s="262" t="s">
        <v>644</v>
      </c>
      <c r="B159" s="258">
        <v>0</v>
      </c>
    </row>
    <row r="160" spans="1:2" x14ac:dyDescent="0.15">
      <c r="A160" s="262" t="s">
        <v>709</v>
      </c>
      <c r="B160" s="258">
        <v>0</v>
      </c>
    </row>
    <row r="161" spans="1:2" x14ac:dyDescent="0.15">
      <c r="A161" s="262" t="s">
        <v>1041</v>
      </c>
      <c r="B161" s="258">
        <v>0</v>
      </c>
    </row>
    <row r="162" spans="1:2" x14ac:dyDescent="0.15">
      <c r="A162" s="262" t="s">
        <v>1151</v>
      </c>
      <c r="B162" s="258">
        <v>0</v>
      </c>
    </row>
    <row r="163" spans="1:2" x14ac:dyDescent="0.15">
      <c r="A163" s="262" t="s">
        <v>1152</v>
      </c>
      <c r="B163" s="258">
        <v>0</v>
      </c>
    </row>
    <row r="164" spans="1:2" x14ac:dyDescent="0.15">
      <c r="A164" s="262" t="s">
        <v>1153</v>
      </c>
      <c r="B164" s="258">
        <v>0</v>
      </c>
    </row>
    <row r="165" spans="1:2" x14ac:dyDescent="0.15">
      <c r="A165" s="262" t="s">
        <v>1154</v>
      </c>
      <c r="B165" s="258">
        <v>0</v>
      </c>
    </row>
    <row r="166" spans="1:2" x14ac:dyDescent="0.15">
      <c r="A166" s="262" t="s">
        <v>1126</v>
      </c>
      <c r="B166" s="258">
        <v>0</v>
      </c>
    </row>
    <row r="167" spans="1:2" x14ac:dyDescent="0.15">
      <c r="A167" s="256" t="s">
        <v>16</v>
      </c>
      <c r="B167" s="257">
        <f t="shared" ref="B167" si="12">SUM(B168:B172)</f>
        <v>5</v>
      </c>
    </row>
    <row r="168" spans="1:2" x14ac:dyDescent="0.15">
      <c r="A168" s="262" t="s">
        <v>1155</v>
      </c>
      <c r="B168" s="258">
        <v>1</v>
      </c>
    </row>
    <row r="169" spans="1:2" x14ac:dyDescent="0.15">
      <c r="A169" s="262" t="s">
        <v>711</v>
      </c>
      <c r="B169" s="258">
        <v>1</v>
      </c>
    </row>
    <row r="170" spans="1:2" x14ac:dyDescent="0.15">
      <c r="A170" s="262" t="s">
        <v>655</v>
      </c>
      <c r="B170" s="258">
        <v>2</v>
      </c>
    </row>
    <row r="171" spans="1:2" x14ac:dyDescent="0.15">
      <c r="A171" s="262" t="s">
        <v>1070</v>
      </c>
      <c r="B171" s="258">
        <v>1</v>
      </c>
    </row>
    <row r="172" spans="1:2" x14ac:dyDescent="0.15">
      <c r="A172" s="262" t="s">
        <v>1156</v>
      </c>
      <c r="B172" s="258">
        <v>0</v>
      </c>
    </row>
    <row r="173" spans="1:2" x14ac:dyDescent="0.15">
      <c r="A173" s="256" t="s">
        <v>17</v>
      </c>
      <c r="B173" s="257">
        <f t="shared" ref="B173" si="13">SUM(B174:B180)</f>
        <v>0</v>
      </c>
    </row>
    <row r="174" spans="1:2" x14ac:dyDescent="0.15">
      <c r="A174" s="262" t="s">
        <v>1157</v>
      </c>
      <c r="B174" s="258">
        <v>0</v>
      </c>
    </row>
    <row r="175" spans="1:2" x14ac:dyDescent="0.15">
      <c r="A175" s="262" t="s">
        <v>711</v>
      </c>
      <c r="B175" s="258">
        <v>0</v>
      </c>
    </row>
    <row r="176" spans="1:2" x14ac:dyDescent="0.15">
      <c r="A176" s="262" t="s">
        <v>1158</v>
      </c>
      <c r="B176" s="258">
        <v>0</v>
      </c>
    </row>
    <row r="177" spans="1:2" x14ac:dyDescent="0.15">
      <c r="A177" s="262" t="s">
        <v>1159</v>
      </c>
      <c r="B177" s="258">
        <v>0</v>
      </c>
    </row>
    <row r="178" spans="1:2" x14ac:dyDescent="0.15">
      <c r="A178" s="262" t="s">
        <v>713</v>
      </c>
      <c r="B178" s="258">
        <v>0</v>
      </c>
    </row>
    <row r="179" spans="1:2" x14ac:dyDescent="0.15">
      <c r="A179" s="262" t="s">
        <v>561</v>
      </c>
      <c r="B179" s="258">
        <v>0</v>
      </c>
    </row>
    <row r="180" spans="1:2" x14ac:dyDescent="0.15">
      <c r="A180" s="262" t="s">
        <v>1026</v>
      </c>
      <c r="B180" s="258">
        <v>0</v>
      </c>
    </row>
    <row r="181" spans="1:2" x14ac:dyDescent="0.15">
      <c r="A181" s="256" t="s">
        <v>18</v>
      </c>
      <c r="B181" s="257">
        <f t="shared" ref="B181" si="14">SUM(B182)</f>
        <v>1</v>
      </c>
    </row>
    <row r="182" spans="1:2" x14ac:dyDescent="0.15">
      <c r="A182" s="262" t="s">
        <v>665</v>
      </c>
      <c r="B182" s="258">
        <v>1</v>
      </c>
    </row>
    <row r="183" spans="1:2" x14ac:dyDescent="0.15">
      <c r="A183" s="256" t="s">
        <v>19</v>
      </c>
      <c r="B183" s="257">
        <f t="shared" ref="B183" si="15">SUM(B184)</f>
        <v>0</v>
      </c>
    </row>
    <row r="184" spans="1:2" x14ac:dyDescent="0.15">
      <c r="A184" s="262" t="s">
        <v>691</v>
      </c>
      <c r="B184" s="258">
        <v>0</v>
      </c>
    </row>
    <row r="185" spans="1:2" x14ac:dyDescent="0.15">
      <c r="A185" s="196"/>
      <c r="B185" s="196"/>
    </row>
    <row r="186" spans="1:2" x14ac:dyDescent="0.15">
      <c r="A186" s="2531" t="s">
        <v>1034</v>
      </c>
      <c r="B186" s="2531"/>
    </row>
    <row r="187" spans="1:2" x14ac:dyDescent="0.15">
      <c r="A187" s="2542" t="s">
        <v>20</v>
      </c>
      <c r="B187" s="2542"/>
    </row>
    <row r="188" spans="1:2" x14ac:dyDescent="0.15">
      <c r="A188" s="2531" t="s">
        <v>1075</v>
      </c>
      <c r="B188" s="2531"/>
    </row>
  </sheetData>
  <mergeCells count="4">
    <mergeCell ref="A2:B2"/>
    <mergeCell ref="A186:B186"/>
    <mergeCell ref="A187:B187"/>
    <mergeCell ref="A188:B188"/>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G189"/>
  <sheetViews>
    <sheetView workbookViewId="0">
      <selection activeCell="G8" sqref="G8"/>
    </sheetView>
  </sheetViews>
  <sheetFormatPr baseColWidth="10" defaultRowHeight="10.5" x14ac:dyDescent="0.15"/>
  <cols>
    <col min="1" max="1" width="23.140625" style="196" customWidth="1"/>
    <col min="2" max="3" width="17.85546875" style="196" customWidth="1"/>
    <col min="4" max="5" width="21.42578125" style="196" customWidth="1"/>
    <col min="6" max="16384" width="11.42578125" style="196"/>
  </cols>
  <sheetData>
    <row r="2" spans="1:7" ht="32.25" customHeight="1" x14ac:dyDescent="0.15">
      <c r="A2" s="2544" t="s">
        <v>4199</v>
      </c>
      <c r="B2" s="2544"/>
      <c r="C2" s="2544"/>
      <c r="D2" s="2544"/>
      <c r="E2" s="2046"/>
      <c r="F2" s="1985"/>
      <c r="G2" s="1985"/>
    </row>
    <row r="3" spans="1:7" s="1999" customFormat="1" ht="11.25" customHeight="1" x14ac:dyDescent="0.15">
      <c r="A3" s="2047"/>
      <c r="B3" s="2047"/>
      <c r="C3" s="2047"/>
      <c r="D3" s="2047"/>
      <c r="E3" s="2046"/>
      <c r="F3" s="1998"/>
      <c r="G3" s="1998"/>
    </row>
    <row r="4" spans="1:7" ht="37.5" customHeight="1" x14ac:dyDescent="0.15">
      <c r="A4" s="2549" t="s">
        <v>1</v>
      </c>
      <c r="B4" s="2549" t="s">
        <v>1160</v>
      </c>
      <c r="C4" s="2549" t="s">
        <v>1161</v>
      </c>
      <c r="D4" s="2550"/>
    </row>
    <row r="5" spans="1:7" ht="21" x14ac:dyDescent="0.15">
      <c r="A5" s="2549"/>
      <c r="B5" s="2549"/>
      <c r="C5" s="271" t="s">
        <v>1162</v>
      </c>
      <c r="D5" s="271" t="s">
        <v>1163</v>
      </c>
    </row>
    <row r="6" spans="1:7" x14ac:dyDescent="0.15">
      <c r="A6" s="272" t="s">
        <v>141</v>
      </c>
      <c r="B6" s="273">
        <f>SUM(B7:B21)</f>
        <v>15</v>
      </c>
      <c r="C6" s="273">
        <f>SUM(C7:C21)</f>
        <v>6</v>
      </c>
      <c r="D6" s="273">
        <f>SUM(D7:D21)</f>
        <v>5138</v>
      </c>
    </row>
    <row r="7" spans="1:7" x14ac:dyDescent="0.15">
      <c r="A7" s="274" t="s">
        <v>5</v>
      </c>
      <c r="B7" s="275">
        <v>0</v>
      </c>
      <c r="C7" s="275">
        <v>2</v>
      </c>
      <c r="D7" s="276">
        <v>4</v>
      </c>
    </row>
    <row r="8" spans="1:7" x14ac:dyDescent="0.15">
      <c r="A8" s="274" t="s">
        <v>6</v>
      </c>
      <c r="B8" s="275">
        <v>2</v>
      </c>
      <c r="C8" s="275">
        <v>1</v>
      </c>
      <c r="D8" s="276">
        <v>1</v>
      </c>
    </row>
    <row r="9" spans="1:7" x14ac:dyDescent="0.15">
      <c r="A9" s="274" t="s">
        <v>7</v>
      </c>
      <c r="B9" s="275">
        <v>2</v>
      </c>
      <c r="C9" s="275">
        <v>0</v>
      </c>
      <c r="D9" s="276">
        <v>0</v>
      </c>
    </row>
    <row r="10" spans="1:7" ht="11.25" x14ac:dyDescent="0.15">
      <c r="A10" s="274" t="s">
        <v>1164</v>
      </c>
      <c r="B10" s="275">
        <v>1</v>
      </c>
      <c r="C10" s="275">
        <v>1</v>
      </c>
      <c r="D10" s="277">
        <v>5118</v>
      </c>
    </row>
    <row r="11" spans="1:7" x14ac:dyDescent="0.15">
      <c r="A11" s="274" t="s">
        <v>9</v>
      </c>
      <c r="B11" s="275">
        <v>0</v>
      </c>
      <c r="C11" s="275">
        <v>0</v>
      </c>
      <c r="D11" s="276">
        <v>0</v>
      </c>
    </row>
    <row r="12" spans="1:7" x14ac:dyDescent="0.15">
      <c r="A12" s="274" t="s">
        <v>10</v>
      </c>
      <c r="B12" s="275">
        <v>2</v>
      </c>
      <c r="C12" s="275">
        <v>0</v>
      </c>
      <c r="D12" s="276">
        <v>0</v>
      </c>
    </row>
    <row r="13" spans="1:7" x14ac:dyDescent="0.15">
      <c r="A13" s="274" t="s">
        <v>11</v>
      </c>
      <c r="B13" s="275">
        <v>1</v>
      </c>
      <c r="C13" s="275">
        <v>0</v>
      </c>
      <c r="D13" s="276">
        <v>0</v>
      </c>
    </row>
    <row r="14" spans="1:7" x14ac:dyDescent="0.15">
      <c r="A14" s="274" t="s">
        <v>12</v>
      </c>
      <c r="B14" s="275">
        <v>2</v>
      </c>
      <c r="C14" s="275">
        <v>0</v>
      </c>
      <c r="D14" s="276">
        <v>0</v>
      </c>
    </row>
    <row r="15" spans="1:7" x14ac:dyDescent="0.15">
      <c r="A15" s="274" t="s">
        <v>13</v>
      </c>
      <c r="B15" s="275">
        <v>0</v>
      </c>
      <c r="C15" s="275">
        <v>1</v>
      </c>
      <c r="D15" s="276">
        <v>1</v>
      </c>
    </row>
    <row r="16" spans="1:7" x14ac:dyDescent="0.15">
      <c r="A16" s="274" t="s">
        <v>14</v>
      </c>
      <c r="B16" s="275">
        <v>1</v>
      </c>
      <c r="C16" s="275">
        <v>0</v>
      </c>
      <c r="D16" s="276">
        <v>0</v>
      </c>
    </row>
    <row r="17" spans="1:5" x14ac:dyDescent="0.15">
      <c r="A17" s="274" t="s">
        <v>15</v>
      </c>
      <c r="B17" s="275">
        <v>0</v>
      </c>
      <c r="C17" s="275">
        <v>0</v>
      </c>
      <c r="D17" s="276">
        <v>0</v>
      </c>
    </row>
    <row r="18" spans="1:5" x14ac:dyDescent="0.15">
      <c r="A18" s="274" t="s">
        <v>16</v>
      </c>
      <c r="B18" s="275">
        <v>3</v>
      </c>
      <c r="C18" s="275">
        <v>0</v>
      </c>
      <c r="D18" s="276">
        <v>0</v>
      </c>
    </row>
    <row r="19" spans="1:5" x14ac:dyDescent="0.15">
      <c r="A19" s="274" t="s">
        <v>17</v>
      </c>
      <c r="B19" s="275">
        <v>1</v>
      </c>
      <c r="C19" s="275">
        <v>1</v>
      </c>
      <c r="D19" s="276">
        <v>14</v>
      </c>
    </row>
    <row r="20" spans="1:5" x14ac:dyDescent="0.15">
      <c r="A20" s="274" t="s">
        <v>18</v>
      </c>
      <c r="B20" s="275">
        <v>0</v>
      </c>
      <c r="C20" s="275">
        <v>0</v>
      </c>
      <c r="D20" s="276">
        <v>0</v>
      </c>
    </row>
    <row r="21" spans="1:5" ht="11.25" customHeight="1" x14ac:dyDescent="0.15">
      <c r="A21" s="274" t="s">
        <v>19</v>
      </c>
      <c r="B21" s="275">
        <v>0</v>
      </c>
      <c r="C21" s="275">
        <v>0</v>
      </c>
      <c r="D21" s="276">
        <v>0</v>
      </c>
    </row>
    <row r="22" spans="1:5" ht="11.25" customHeight="1" x14ac:dyDescent="0.15">
      <c r="A22" s="2551"/>
      <c r="B22" s="2552"/>
      <c r="C22" s="2552"/>
      <c r="D22" s="2552"/>
      <c r="E22" s="2552"/>
    </row>
    <row r="23" spans="1:5" ht="10.5" customHeight="1" x14ac:dyDescent="0.15">
      <c r="A23" s="2553" t="s">
        <v>1165</v>
      </c>
      <c r="B23" s="2553"/>
      <c r="C23" s="2553"/>
      <c r="D23" s="2553"/>
      <c r="E23" s="2553"/>
    </row>
    <row r="24" spans="1:5" ht="10.5" customHeight="1" x14ac:dyDescent="0.15">
      <c r="A24" s="2545" t="s">
        <v>20</v>
      </c>
      <c r="B24" s="2546"/>
      <c r="C24" s="2546"/>
      <c r="D24" s="2546"/>
      <c r="E24" s="2546"/>
    </row>
    <row r="25" spans="1:5" x14ac:dyDescent="0.15">
      <c r="A25" s="2547" t="s">
        <v>1166</v>
      </c>
      <c r="B25" s="2548"/>
      <c r="C25" s="2548"/>
      <c r="D25" s="2548"/>
      <c r="E25" s="2548"/>
    </row>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8">
    <mergeCell ref="A2:D2"/>
    <mergeCell ref="A24:E24"/>
    <mergeCell ref="A25:E25"/>
    <mergeCell ref="A4:A5"/>
    <mergeCell ref="B4:B5"/>
    <mergeCell ref="C4:D4"/>
    <mergeCell ref="A22:E22"/>
    <mergeCell ref="A23:E2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B23"/>
  <sheetViews>
    <sheetView workbookViewId="0">
      <selection activeCell="B26" sqref="B26"/>
    </sheetView>
  </sheetViews>
  <sheetFormatPr baseColWidth="10" defaultRowHeight="11.25" x14ac:dyDescent="0.2"/>
  <cols>
    <col min="1" max="2" width="42.7109375" style="278" customWidth="1"/>
    <col min="3" max="16384" width="11.42578125" style="278"/>
  </cols>
  <sheetData>
    <row r="2" spans="1:2" ht="30" customHeight="1" x14ac:dyDescent="0.2">
      <c r="A2" s="2503" t="s">
        <v>4200</v>
      </c>
      <c r="B2" s="2503"/>
    </row>
    <row r="3" spans="1:2" ht="9.75" customHeight="1" x14ac:dyDescent="0.2">
      <c r="A3" s="180"/>
      <c r="B3" s="180"/>
    </row>
    <row r="4" spans="1:2" x14ac:dyDescent="0.2">
      <c r="A4" s="181" t="s">
        <v>1167</v>
      </c>
      <c r="B4" s="181" t="s">
        <v>1168</v>
      </c>
    </row>
    <row r="5" spans="1:2" x14ac:dyDescent="0.2">
      <c r="A5" s="183" t="s">
        <v>141</v>
      </c>
      <c r="B5" s="183">
        <f>SUM(B6,B9,B13,B15)</f>
        <v>111</v>
      </c>
    </row>
    <row r="6" spans="1:2" ht="12" x14ac:dyDescent="0.2">
      <c r="A6" s="183" t="s">
        <v>1169</v>
      </c>
      <c r="B6" s="183">
        <f>SUM(B7:B8)</f>
        <v>33</v>
      </c>
    </row>
    <row r="7" spans="1:2" x14ac:dyDescent="0.2">
      <c r="A7" s="279" t="s">
        <v>1170</v>
      </c>
      <c r="B7" s="180">
        <v>7</v>
      </c>
    </row>
    <row r="8" spans="1:2" x14ac:dyDescent="0.2">
      <c r="A8" s="279" t="s">
        <v>1171</v>
      </c>
      <c r="B8" s="180">
        <v>26</v>
      </c>
    </row>
    <row r="9" spans="1:2" x14ac:dyDescent="0.2">
      <c r="A9" s="183" t="s">
        <v>7</v>
      </c>
      <c r="B9" s="183">
        <f>SUM(B10:B12)</f>
        <v>19</v>
      </c>
    </row>
    <row r="10" spans="1:2" x14ac:dyDescent="0.2">
      <c r="A10" s="279" t="s">
        <v>590</v>
      </c>
      <c r="B10" s="180">
        <v>1</v>
      </c>
    </row>
    <row r="11" spans="1:2" x14ac:dyDescent="0.2">
      <c r="A11" s="279" t="s">
        <v>1172</v>
      </c>
      <c r="B11" s="180">
        <v>17</v>
      </c>
    </row>
    <row r="12" spans="1:2" x14ac:dyDescent="0.2">
      <c r="A12" s="279" t="s">
        <v>1173</v>
      </c>
      <c r="B12" s="180">
        <v>1</v>
      </c>
    </row>
    <row r="13" spans="1:2" ht="12" x14ac:dyDescent="0.2">
      <c r="A13" s="183" t="s">
        <v>1174</v>
      </c>
      <c r="B13" s="183">
        <f>SUM(B14)</f>
        <v>14</v>
      </c>
    </row>
    <row r="14" spans="1:2" x14ac:dyDescent="0.2">
      <c r="A14" s="279" t="s">
        <v>1175</v>
      </c>
      <c r="B14" s="180">
        <v>14</v>
      </c>
    </row>
    <row r="15" spans="1:2" ht="12" x14ac:dyDescent="0.2">
      <c r="A15" s="183" t="s">
        <v>1176</v>
      </c>
      <c r="B15" s="183">
        <f>SUM(B16:B17)</f>
        <v>45</v>
      </c>
    </row>
    <row r="16" spans="1:2" x14ac:dyDescent="0.2">
      <c r="A16" s="279" t="s">
        <v>1177</v>
      </c>
      <c r="B16" s="180">
        <v>1</v>
      </c>
    </row>
    <row r="17" spans="1:2" x14ac:dyDescent="0.2">
      <c r="A17" s="279" t="s">
        <v>1178</v>
      </c>
      <c r="B17" s="180">
        <v>44</v>
      </c>
    </row>
    <row r="18" spans="1:2" x14ac:dyDescent="0.2">
      <c r="A18" s="279"/>
      <c r="B18" s="180"/>
    </row>
    <row r="19" spans="1:2" ht="22.5" customHeight="1" x14ac:dyDescent="0.2">
      <c r="A19" s="2509" t="s">
        <v>1179</v>
      </c>
      <c r="B19" s="2509"/>
    </row>
    <row r="20" spans="1:2" ht="22.5" customHeight="1" x14ac:dyDescent="0.2">
      <c r="A20" s="2509" t="s">
        <v>1180</v>
      </c>
      <c r="B20" s="2509"/>
    </row>
    <row r="21" spans="1:2" ht="22.5" customHeight="1" x14ac:dyDescent="0.2">
      <c r="A21" s="2509" t="s">
        <v>1181</v>
      </c>
      <c r="B21" s="2509"/>
    </row>
    <row r="22" spans="1:2" ht="22.5" customHeight="1" x14ac:dyDescent="0.2">
      <c r="A22" s="2509" t="s">
        <v>1182</v>
      </c>
      <c r="B22" s="2509"/>
    </row>
    <row r="23" spans="1:2" x14ac:dyDescent="0.2">
      <c r="A23" s="2509" t="s">
        <v>1183</v>
      </c>
      <c r="B23" s="2509"/>
    </row>
  </sheetData>
  <mergeCells count="6">
    <mergeCell ref="A23:B23"/>
    <mergeCell ref="A2:B2"/>
    <mergeCell ref="A19:B19"/>
    <mergeCell ref="A20:B20"/>
    <mergeCell ref="A21:B21"/>
    <mergeCell ref="A22:B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29"/>
  <sheetViews>
    <sheetView workbookViewId="0">
      <selection activeCell="A2" sqref="A2:F2"/>
    </sheetView>
  </sheetViews>
  <sheetFormatPr baseColWidth="10" defaultRowHeight="15" x14ac:dyDescent="0.25"/>
  <cols>
    <col min="1" max="1" width="25.7109375" customWidth="1"/>
  </cols>
  <sheetData>
    <row r="1" spans="1:6" ht="8.25" customHeight="1" x14ac:dyDescent="0.25">
      <c r="A1" s="2313"/>
      <c r="B1" s="2313"/>
      <c r="C1" s="2313"/>
      <c r="D1" s="2313"/>
      <c r="E1" s="2313"/>
    </row>
    <row r="2" spans="1:6" ht="25.5" customHeight="1" x14ac:dyDescent="0.25">
      <c r="A2" s="2313" t="s">
        <v>51</v>
      </c>
      <c r="B2" s="2313"/>
      <c r="C2" s="2313"/>
      <c r="D2" s="2313"/>
      <c r="E2" s="2313"/>
      <c r="F2" s="2313"/>
    </row>
    <row r="3" spans="1:6" ht="7.5" customHeight="1" x14ac:dyDescent="0.25">
      <c r="A3" s="2305"/>
      <c r="B3" s="2305"/>
      <c r="C3" s="2305"/>
      <c r="D3" s="2305"/>
      <c r="E3" s="2305"/>
      <c r="F3" s="2305"/>
    </row>
    <row r="4" spans="1:6" ht="15" customHeight="1" x14ac:dyDescent="0.25">
      <c r="A4" s="2306" t="s">
        <v>1</v>
      </c>
      <c r="B4" s="2306" t="s">
        <v>52</v>
      </c>
      <c r="C4" s="2306"/>
      <c r="D4" s="2306"/>
      <c r="E4" s="2306"/>
      <c r="F4" s="2306"/>
    </row>
    <row r="5" spans="1:6" x14ac:dyDescent="0.25">
      <c r="A5" s="2306"/>
      <c r="B5" s="2">
        <v>2011</v>
      </c>
      <c r="C5" s="2">
        <v>2012</v>
      </c>
      <c r="D5" s="2">
        <v>2013</v>
      </c>
      <c r="E5" s="2" t="s">
        <v>53</v>
      </c>
      <c r="F5" s="51" t="s">
        <v>54</v>
      </c>
    </row>
    <row r="6" spans="1:6" x14ac:dyDescent="0.25">
      <c r="A6" s="30" t="s">
        <v>4</v>
      </c>
      <c r="B6" s="52">
        <f t="shared" ref="B6:E6" si="0">SUM(B7:B22)</f>
        <v>47206</v>
      </c>
      <c r="C6" s="52">
        <f t="shared" si="0"/>
        <v>65329</v>
      </c>
      <c r="D6" s="39">
        <f t="shared" si="0"/>
        <v>79989</v>
      </c>
      <c r="E6" s="39">
        <f t="shared" si="0"/>
        <v>37674</v>
      </c>
      <c r="F6" s="53">
        <v>38343</v>
      </c>
    </row>
    <row r="7" spans="1:6" x14ac:dyDescent="0.25">
      <c r="A7" s="1" t="s">
        <v>5</v>
      </c>
      <c r="B7" s="32">
        <v>0</v>
      </c>
      <c r="C7" s="32">
        <v>0</v>
      </c>
      <c r="D7" s="54">
        <v>0</v>
      </c>
      <c r="E7" s="41">
        <v>0</v>
      </c>
      <c r="F7" s="55">
        <v>0</v>
      </c>
    </row>
    <row r="8" spans="1:6" x14ac:dyDescent="0.25">
      <c r="A8" s="1" t="s">
        <v>6</v>
      </c>
      <c r="B8" s="32">
        <v>1534</v>
      </c>
      <c r="C8" s="32">
        <v>1635</v>
      </c>
      <c r="D8" s="54">
        <v>2307</v>
      </c>
      <c r="E8" s="41">
        <v>2819</v>
      </c>
      <c r="F8" s="55">
        <v>2640</v>
      </c>
    </row>
    <row r="9" spans="1:6" x14ac:dyDescent="0.25">
      <c r="A9" s="1" t="s">
        <v>7</v>
      </c>
      <c r="B9" s="32">
        <v>0</v>
      </c>
      <c r="C9" s="32">
        <v>0</v>
      </c>
      <c r="D9" s="54">
        <v>0</v>
      </c>
      <c r="E9" s="41">
        <v>0</v>
      </c>
      <c r="F9" s="55">
        <v>0</v>
      </c>
    </row>
    <row r="10" spans="1:6" x14ac:dyDescent="0.25">
      <c r="A10" s="1" t="s">
        <v>8</v>
      </c>
      <c r="B10" s="32">
        <v>0</v>
      </c>
      <c r="C10" s="32">
        <v>0</v>
      </c>
      <c r="D10" s="54">
        <v>0</v>
      </c>
      <c r="E10" s="41">
        <v>0</v>
      </c>
      <c r="F10" s="55">
        <v>0</v>
      </c>
    </row>
    <row r="11" spans="1:6" x14ac:dyDescent="0.25">
      <c r="A11" s="1" t="s">
        <v>9</v>
      </c>
      <c r="B11" s="32">
        <v>0</v>
      </c>
      <c r="C11" s="32">
        <v>0</v>
      </c>
      <c r="D11" s="54">
        <v>0</v>
      </c>
      <c r="E11" s="41">
        <v>0</v>
      </c>
      <c r="F11" s="55">
        <v>0</v>
      </c>
    </row>
    <row r="12" spans="1:6" x14ac:dyDescent="0.25">
      <c r="A12" s="1" t="s">
        <v>10</v>
      </c>
      <c r="B12" s="32">
        <v>0</v>
      </c>
      <c r="C12" s="32">
        <v>0</v>
      </c>
      <c r="D12" s="54">
        <v>0</v>
      </c>
      <c r="E12" s="41">
        <v>0</v>
      </c>
      <c r="F12" s="55">
        <v>0</v>
      </c>
    </row>
    <row r="13" spans="1:6" x14ac:dyDescent="0.25">
      <c r="A13" s="1" t="s">
        <v>41</v>
      </c>
      <c r="B13" s="32">
        <v>29713</v>
      </c>
      <c r="C13" s="32">
        <v>47145</v>
      </c>
      <c r="D13" s="54">
        <v>60749</v>
      </c>
      <c r="E13" s="41">
        <v>22880</v>
      </c>
      <c r="F13" s="55">
        <v>24301</v>
      </c>
    </row>
    <row r="14" spans="1:6" x14ac:dyDescent="0.25">
      <c r="A14" s="1" t="s">
        <v>55</v>
      </c>
      <c r="B14" s="32">
        <v>13025</v>
      </c>
      <c r="C14" s="32">
        <v>14527</v>
      </c>
      <c r="D14" s="54">
        <v>15628</v>
      </c>
      <c r="E14" s="41">
        <v>10640</v>
      </c>
      <c r="F14" s="55">
        <v>9565</v>
      </c>
    </row>
    <row r="15" spans="1:6" x14ac:dyDescent="0.25">
      <c r="A15" s="1" t="s">
        <v>12</v>
      </c>
      <c r="B15" s="32">
        <v>0</v>
      </c>
      <c r="C15" s="32">
        <v>0</v>
      </c>
      <c r="D15" s="32">
        <v>0</v>
      </c>
      <c r="E15" s="33">
        <v>0</v>
      </c>
      <c r="F15" s="55">
        <v>0</v>
      </c>
    </row>
    <row r="16" spans="1:6" x14ac:dyDescent="0.25">
      <c r="A16" s="1" t="s">
        <v>13</v>
      </c>
      <c r="B16" s="32">
        <v>0</v>
      </c>
      <c r="C16" s="32">
        <v>0</v>
      </c>
      <c r="D16" s="32">
        <v>0</v>
      </c>
      <c r="E16" s="33">
        <v>0</v>
      </c>
      <c r="F16" s="55">
        <v>0</v>
      </c>
    </row>
    <row r="17" spans="1:8" x14ac:dyDescent="0.25">
      <c r="A17" s="1" t="s">
        <v>14</v>
      </c>
      <c r="B17" s="32">
        <v>0</v>
      </c>
      <c r="C17" s="32">
        <v>0</v>
      </c>
      <c r="D17" s="32">
        <v>0</v>
      </c>
      <c r="E17" s="33">
        <v>0</v>
      </c>
      <c r="F17" s="55">
        <v>0</v>
      </c>
    </row>
    <row r="18" spans="1:8" x14ac:dyDescent="0.25">
      <c r="A18" s="1" t="s">
        <v>15</v>
      </c>
      <c r="B18" s="32">
        <v>2934</v>
      </c>
      <c r="C18" s="32">
        <v>2022</v>
      </c>
      <c r="D18" s="32">
        <v>1305</v>
      </c>
      <c r="E18" s="33">
        <v>1335</v>
      </c>
      <c r="F18" s="56">
        <v>1837</v>
      </c>
      <c r="H18" s="57"/>
    </row>
    <row r="19" spans="1:8" x14ac:dyDescent="0.25">
      <c r="A19" s="1" t="s">
        <v>16</v>
      </c>
      <c r="B19" s="32">
        <v>0</v>
      </c>
      <c r="C19" s="32">
        <v>0</v>
      </c>
      <c r="D19" s="32">
        <v>0</v>
      </c>
      <c r="E19" s="33">
        <v>0</v>
      </c>
      <c r="F19" s="55">
        <v>0</v>
      </c>
    </row>
    <row r="20" spans="1:8" x14ac:dyDescent="0.25">
      <c r="A20" s="1" t="s">
        <v>17</v>
      </c>
      <c r="B20" s="32">
        <v>0</v>
      </c>
      <c r="C20" s="32">
        <v>0</v>
      </c>
      <c r="D20" s="32">
        <v>0</v>
      </c>
      <c r="E20" s="33">
        <v>0</v>
      </c>
      <c r="F20" s="55">
        <v>0</v>
      </c>
    </row>
    <row r="21" spans="1:8" x14ac:dyDescent="0.25">
      <c r="A21" s="1" t="s">
        <v>18</v>
      </c>
      <c r="B21" s="32">
        <v>0</v>
      </c>
      <c r="C21" s="32">
        <v>0</v>
      </c>
      <c r="D21" s="32">
        <v>0</v>
      </c>
      <c r="E21" s="33">
        <v>0</v>
      </c>
      <c r="F21" s="55">
        <v>0</v>
      </c>
    </row>
    <row r="22" spans="1:8" x14ac:dyDescent="0.25">
      <c r="A22" s="1" t="s">
        <v>19</v>
      </c>
      <c r="B22" s="32">
        <v>0</v>
      </c>
      <c r="C22" s="32">
        <v>0</v>
      </c>
      <c r="D22" s="32">
        <v>0</v>
      </c>
      <c r="E22" s="33">
        <v>0</v>
      </c>
      <c r="F22" s="55">
        <v>0</v>
      </c>
    </row>
    <row r="23" spans="1:8" ht="11.25" customHeight="1" x14ac:dyDescent="0.25">
      <c r="A23" s="2307"/>
      <c r="B23" s="2307"/>
      <c r="C23" s="2307"/>
      <c r="D23" s="2307"/>
      <c r="E23" s="2307"/>
      <c r="F23" s="2307"/>
    </row>
    <row r="24" spans="1:8" ht="22.5" customHeight="1" x14ac:dyDescent="0.25">
      <c r="A24" s="2316" t="s">
        <v>56</v>
      </c>
      <c r="B24" s="2316"/>
      <c r="C24" s="2316"/>
      <c r="D24" s="2316"/>
      <c r="E24" s="2316"/>
      <c r="F24" s="2316"/>
    </row>
    <row r="25" spans="1:8" ht="11.25" customHeight="1" x14ac:dyDescent="0.25">
      <c r="A25" s="2317" t="s">
        <v>57</v>
      </c>
      <c r="B25" s="2317"/>
      <c r="C25" s="2317"/>
      <c r="D25" s="2317"/>
      <c r="E25" s="2317"/>
      <c r="F25" s="2317"/>
    </row>
    <row r="26" spans="1:8" ht="34.5" customHeight="1" x14ac:dyDescent="0.25">
      <c r="A26" s="2316" t="s">
        <v>58</v>
      </c>
      <c r="B26" s="2316"/>
      <c r="C26" s="2316"/>
      <c r="D26" s="2316"/>
      <c r="E26" s="2316"/>
      <c r="F26" s="2316"/>
    </row>
    <row r="27" spans="1:8" ht="32.25" customHeight="1" x14ac:dyDescent="0.25">
      <c r="A27" s="2318" t="s">
        <v>59</v>
      </c>
      <c r="B27" s="2318"/>
      <c r="C27" s="2318"/>
      <c r="D27" s="2318"/>
      <c r="E27" s="2318"/>
      <c r="F27" s="2318"/>
    </row>
    <row r="28" spans="1:8" ht="11.25" customHeight="1" x14ac:dyDescent="0.25">
      <c r="A28" s="2303" t="s">
        <v>60</v>
      </c>
      <c r="B28" s="2303"/>
      <c r="C28" s="2303"/>
      <c r="D28" s="2303"/>
      <c r="E28" s="2303"/>
      <c r="F28" s="2303"/>
    </row>
    <row r="29" spans="1:8" ht="11.25" customHeight="1" x14ac:dyDescent="0.25">
      <c r="A29" s="2303" t="s">
        <v>21</v>
      </c>
      <c r="B29" s="2303"/>
      <c r="C29" s="2303"/>
      <c r="D29" s="2303"/>
      <c r="E29" s="2303"/>
      <c r="F29" s="2303"/>
    </row>
  </sheetData>
  <mergeCells count="12">
    <mergeCell ref="A29:F29"/>
    <mergeCell ref="A1:E1"/>
    <mergeCell ref="A2:F2"/>
    <mergeCell ref="A3:F3"/>
    <mergeCell ref="A4:A5"/>
    <mergeCell ref="B4:F4"/>
    <mergeCell ref="A23:F23"/>
    <mergeCell ref="A24:F24"/>
    <mergeCell ref="A25:F25"/>
    <mergeCell ref="A26:F26"/>
    <mergeCell ref="A27:F27"/>
    <mergeCell ref="A28:F28"/>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E34"/>
  <sheetViews>
    <sheetView zoomScaleNormal="100" workbookViewId="0">
      <selection activeCell="B36" sqref="B36"/>
    </sheetView>
  </sheetViews>
  <sheetFormatPr baseColWidth="10" defaultRowHeight="11.25" x14ac:dyDescent="0.2"/>
  <cols>
    <col min="1" max="1" width="29.42578125" style="278" customWidth="1"/>
    <col min="2" max="2" width="112.85546875" style="278" bestFit="1" customWidth="1"/>
    <col min="3" max="3" width="13.5703125" style="278" bestFit="1" customWidth="1"/>
    <col min="4" max="4" width="11.7109375" style="278" bestFit="1" customWidth="1"/>
    <col min="5" max="16384" width="11.42578125" style="278"/>
  </cols>
  <sheetData>
    <row r="2" spans="1:5" ht="22.5" customHeight="1" x14ac:dyDescent="0.2">
      <c r="A2" s="2495" t="s">
        <v>4201</v>
      </c>
      <c r="B2" s="2495"/>
      <c r="C2" s="2495"/>
      <c r="D2" s="2495"/>
      <c r="E2" s="2495"/>
    </row>
    <row r="3" spans="1:5" ht="11.25" customHeight="1" x14ac:dyDescent="0.2">
      <c r="A3" s="180"/>
      <c r="B3" s="180"/>
      <c r="C3" s="180"/>
      <c r="D3" s="280"/>
      <c r="E3" s="180"/>
    </row>
    <row r="4" spans="1:5" ht="22.5" customHeight="1" x14ac:dyDescent="0.2">
      <c r="A4" s="206" t="s">
        <v>1184</v>
      </c>
      <c r="B4" s="206" t="s">
        <v>1185</v>
      </c>
      <c r="C4" s="206" t="s">
        <v>1186</v>
      </c>
      <c r="D4" s="206" t="s">
        <v>1187</v>
      </c>
      <c r="E4" s="206" t="s">
        <v>1188</v>
      </c>
    </row>
    <row r="5" spans="1:5" x14ac:dyDescent="0.2">
      <c r="A5" s="183" t="s">
        <v>696</v>
      </c>
      <c r="B5" s="183"/>
      <c r="C5" s="183">
        <f>SUM(C6:C11)</f>
        <v>6</v>
      </c>
      <c r="D5" s="281" t="s">
        <v>181</v>
      </c>
      <c r="E5" s="183">
        <f>SUM(E6:E11)</f>
        <v>33</v>
      </c>
    </row>
    <row r="6" spans="1:5" x14ac:dyDescent="0.2">
      <c r="A6" s="279" t="s">
        <v>1170</v>
      </c>
      <c r="B6" s="282" t="s">
        <v>1189</v>
      </c>
      <c r="C6" s="180">
        <v>1</v>
      </c>
      <c r="D6" s="280" t="s">
        <v>181</v>
      </c>
      <c r="E6" s="180">
        <v>5</v>
      </c>
    </row>
    <row r="7" spans="1:5" x14ac:dyDescent="0.2">
      <c r="A7" s="279" t="s">
        <v>1170</v>
      </c>
      <c r="B7" s="282" t="s">
        <v>1190</v>
      </c>
      <c r="C7" s="180">
        <v>1</v>
      </c>
      <c r="D7" s="280" t="s">
        <v>181</v>
      </c>
      <c r="E7" s="180">
        <v>1</v>
      </c>
    </row>
    <row r="8" spans="1:5" x14ac:dyDescent="0.2">
      <c r="A8" s="279" t="s">
        <v>1170</v>
      </c>
      <c r="B8" s="282" t="s">
        <v>1191</v>
      </c>
      <c r="C8" s="180">
        <v>1</v>
      </c>
      <c r="D8" s="280" t="s">
        <v>181</v>
      </c>
      <c r="E8" s="180">
        <v>1</v>
      </c>
    </row>
    <row r="9" spans="1:5" x14ac:dyDescent="0.2">
      <c r="A9" s="279" t="s">
        <v>1171</v>
      </c>
      <c r="B9" s="282" t="s">
        <v>1192</v>
      </c>
      <c r="C9" s="211">
        <v>1</v>
      </c>
      <c r="D9" s="280" t="s">
        <v>181</v>
      </c>
      <c r="E9" s="180">
        <v>23</v>
      </c>
    </row>
    <row r="10" spans="1:5" x14ac:dyDescent="0.2">
      <c r="A10" s="279" t="s">
        <v>1171</v>
      </c>
      <c r="B10" s="282" t="s">
        <v>1193</v>
      </c>
      <c r="C10" s="211">
        <v>1</v>
      </c>
      <c r="D10" s="280" t="s">
        <v>181</v>
      </c>
      <c r="E10" s="180">
        <v>2</v>
      </c>
    </row>
    <row r="11" spans="1:5" x14ac:dyDescent="0.2">
      <c r="A11" s="279" t="s">
        <v>1171</v>
      </c>
      <c r="B11" s="282" t="s">
        <v>1194</v>
      </c>
      <c r="C11" s="211">
        <v>1</v>
      </c>
      <c r="D11" s="280" t="s">
        <v>181</v>
      </c>
      <c r="E11" s="180">
        <v>1</v>
      </c>
    </row>
    <row r="12" spans="1:5" x14ac:dyDescent="0.2">
      <c r="A12" s="183" t="s">
        <v>7</v>
      </c>
      <c r="B12" s="282"/>
      <c r="C12" s="183">
        <f>SUM(C13:C15)</f>
        <v>3</v>
      </c>
      <c r="D12" s="281" t="s">
        <v>181</v>
      </c>
      <c r="E12" s="183">
        <f>SUM(E13:E15)</f>
        <v>19</v>
      </c>
    </row>
    <row r="13" spans="1:5" x14ac:dyDescent="0.2">
      <c r="A13" s="283" t="s">
        <v>590</v>
      </c>
      <c r="B13" s="282" t="s">
        <v>1195</v>
      </c>
      <c r="C13" s="180">
        <v>1</v>
      </c>
      <c r="D13" s="280" t="s">
        <v>181</v>
      </c>
      <c r="E13" s="180">
        <v>1</v>
      </c>
    </row>
    <row r="14" spans="1:5" x14ac:dyDescent="0.2">
      <c r="A14" s="283" t="s">
        <v>1172</v>
      </c>
      <c r="B14" s="282" t="s">
        <v>1196</v>
      </c>
      <c r="C14" s="180">
        <v>1</v>
      </c>
      <c r="D14" s="280" t="s">
        <v>181</v>
      </c>
      <c r="E14" s="180">
        <v>17</v>
      </c>
    </row>
    <row r="15" spans="1:5" x14ac:dyDescent="0.2">
      <c r="A15" s="283" t="s">
        <v>1173</v>
      </c>
      <c r="B15" s="282" t="s">
        <v>1197</v>
      </c>
      <c r="C15" s="211">
        <v>1</v>
      </c>
      <c r="D15" s="280" t="s">
        <v>181</v>
      </c>
      <c r="E15" s="180">
        <v>1</v>
      </c>
    </row>
    <row r="16" spans="1:5" ht="15" customHeight="1" x14ac:dyDescent="0.2">
      <c r="A16" s="183" t="s">
        <v>11</v>
      </c>
      <c r="B16" s="282"/>
      <c r="C16" s="183">
        <f>SUM(C17:C21)</f>
        <v>5</v>
      </c>
      <c r="D16" s="281" t="s">
        <v>181</v>
      </c>
      <c r="E16" s="183">
        <f>SUM(E17:E21)</f>
        <v>14</v>
      </c>
    </row>
    <row r="17" spans="1:5" ht="15" customHeight="1" x14ac:dyDescent="0.2">
      <c r="A17" s="279" t="s">
        <v>1198</v>
      </c>
      <c r="B17" s="282" t="s">
        <v>1199</v>
      </c>
      <c r="C17" s="211">
        <v>1</v>
      </c>
      <c r="D17" s="280" t="s">
        <v>181</v>
      </c>
      <c r="E17" s="180">
        <v>6</v>
      </c>
    </row>
    <row r="18" spans="1:5" s="285" customFormat="1" x14ac:dyDescent="0.2">
      <c r="A18" s="279" t="s">
        <v>1198</v>
      </c>
      <c r="B18" s="282" t="s">
        <v>1200</v>
      </c>
      <c r="C18" s="284">
        <v>1</v>
      </c>
      <c r="D18" s="280" t="s">
        <v>181</v>
      </c>
      <c r="E18" s="180">
        <v>3</v>
      </c>
    </row>
    <row r="19" spans="1:5" x14ac:dyDescent="0.2">
      <c r="A19" s="279" t="s">
        <v>1201</v>
      </c>
      <c r="B19" s="282" t="s">
        <v>1202</v>
      </c>
      <c r="C19" s="211">
        <v>1</v>
      </c>
      <c r="D19" s="280" t="s">
        <v>181</v>
      </c>
      <c r="E19" s="180">
        <v>2</v>
      </c>
    </row>
    <row r="20" spans="1:5" x14ac:dyDescent="0.2">
      <c r="A20" s="279" t="s">
        <v>1201</v>
      </c>
      <c r="B20" s="282" t="s">
        <v>1203</v>
      </c>
      <c r="C20" s="211">
        <v>1</v>
      </c>
      <c r="D20" s="280" t="s">
        <v>181</v>
      </c>
      <c r="E20" s="180">
        <v>1</v>
      </c>
    </row>
    <row r="21" spans="1:5" x14ac:dyDescent="0.2">
      <c r="A21" s="279" t="s">
        <v>1204</v>
      </c>
      <c r="B21" s="282" t="s">
        <v>1203</v>
      </c>
      <c r="C21" s="211">
        <v>1</v>
      </c>
      <c r="D21" s="280" t="s">
        <v>181</v>
      </c>
      <c r="E21" s="180">
        <v>2</v>
      </c>
    </row>
    <row r="22" spans="1:5" ht="15" customHeight="1" x14ac:dyDescent="0.2">
      <c r="A22" s="183" t="s">
        <v>1157</v>
      </c>
      <c r="B22" s="282"/>
      <c r="C22" s="204">
        <f>SUM(C23:C30)</f>
        <v>8</v>
      </c>
      <c r="D22" s="281" t="s">
        <v>181</v>
      </c>
      <c r="E22" s="204">
        <f>SUM(E23:E30)</f>
        <v>45</v>
      </c>
    </row>
    <row r="23" spans="1:5" x14ac:dyDescent="0.2">
      <c r="A23" s="279" t="s">
        <v>1177</v>
      </c>
      <c r="B23" s="282" t="s">
        <v>1205</v>
      </c>
      <c r="C23" s="211">
        <v>1</v>
      </c>
      <c r="D23" s="280" t="s">
        <v>181</v>
      </c>
      <c r="E23" s="180">
        <v>1</v>
      </c>
    </row>
    <row r="24" spans="1:5" x14ac:dyDescent="0.2">
      <c r="A24" s="279" t="s">
        <v>1178</v>
      </c>
      <c r="B24" s="282" t="s">
        <v>1206</v>
      </c>
      <c r="C24" s="211">
        <v>1</v>
      </c>
      <c r="D24" s="280" t="s">
        <v>181</v>
      </c>
      <c r="E24" s="180">
        <v>4</v>
      </c>
    </row>
    <row r="25" spans="1:5" x14ac:dyDescent="0.2">
      <c r="A25" s="279" t="s">
        <v>1178</v>
      </c>
      <c r="B25" s="282" t="s">
        <v>1207</v>
      </c>
      <c r="C25" s="211">
        <v>1</v>
      </c>
      <c r="D25" s="280" t="s">
        <v>181</v>
      </c>
      <c r="E25" s="180">
        <v>4</v>
      </c>
    </row>
    <row r="26" spans="1:5" x14ac:dyDescent="0.2">
      <c r="A26" s="279" t="s">
        <v>1178</v>
      </c>
      <c r="B26" s="282" t="s">
        <v>1208</v>
      </c>
      <c r="C26" s="211">
        <v>1</v>
      </c>
      <c r="D26" s="280" t="s">
        <v>181</v>
      </c>
      <c r="E26" s="180">
        <v>1</v>
      </c>
    </row>
    <row r="27" spans="1:5" x14ac:dyDescent="0.2">
      <c r="A27" s="279" t="s">
        <v>1178</v>
      </c>
      <c r="B27" s="282" t="s">
        <v>1209</v>
      </c>
      <c r="C27" s="211">
        <v>1</v>
      </c>
      <c r="D27" s="280" t="s">
        <v>181</v>
      </c>
      <c r="E27" s="180">
        <v>13</v>
      </c>
    </row>
    <row r="28" spans="1:5" x14ac:dyDescent="0.2">
      <c r="A28" s="279" t="s">
        <v>1178</v>
      </c>
      <c r="B28" s="282" t="s">
        <v>1210</v>
      </c>
      <c r="C28" s="211">
        <v>1</v>
      </c>
      <c r="D28" s="280" t="s">
        <v>181</v>
      </c>
      <c r="E28" s="180">
        <v>3</v>
      </c>
    </row>
    <row r="29" spans="1:5" x14ac:dyDescent="0.2">
      <c r="A29" s="279" t="s">
        <v>1178</v>
      </c>
      <c r="B29" s="282" t="s">
        <v>1211</v>
      </c>
      <c r="C29" s="211">
        <v>1</v>
      </c>
      <c r="D29" s="280" t="s">
        <v>181</v>
      </c>
      <c r="E29" s="180">
        <v>16</v>
      </c>
    </row>
    <row r="30" spans="1:5" x14ac:dyDescent="0.2">
      <c r="A30" s="279" t="s">
        <v>1178</v>
      </c>
      <c r="B30" s="282" t="s">
        <v>1212</v>
      </c>
      <c r="C30" s="211">
        <v>1</v>
      </c>
      <c r="D30" s="280" t="s">
        <v>181</v>
      </c>
      <c r="E30" s="180">
        <v>3</v>
      </c>
    </row>
    <row r="31" spans="1:5" x14ac:dyDescent="0.2">
      <c r="A31" s="286"/>
      <c r="B31" s="287"/>
    </row>
    <row r="32" spans="1:5" x14ac:dyDescent="0.2">
      <c r="A32" s="243" t="s">
        <v>1213</v>
      </c>
    </row>
    <row r="33" spans="1:1" x14ac:dyDescent="0.2">
      <c r="A33" s="288" t="s">
        <v>184</v>
      </c>
    </row>
    <row r="34" spans="1:1" x14ac:dyDescent="0.2">
      <c r="A34" s="243" t="s">
        <v>1183</v>
      </c>
    </row>
  </sheetData>
  <mergeCells count="1">
    <mergeCell ref="A2:E2"/>
  </mergeCells>
  <pageMargins left="0.7" right="0.7" top="0.75" bottom="0.75" header="0.3" footer="0.3"/>
  <pageSetup paperSize="9" orientation="portrait" verticalDpi="599"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B29"/>
  <sheetViews>
    <sheetView workbookViewId="0">
      <selection activeCell="E24" sqref="E24"/>
    </sheetView>
  </sheetViews>
  <sheetFormatPr baseColWidth="10" defaultRowHeight="11.25" x14ac:dyDescent="0.2"/>
  <cols>
    <col min="1" max="1" width="42.7109375" style="278" customWidth="1"/>
    <col min="2" max="2" width="35.28515625" style="278" customWidth="1"/>
    <col min="3" max="3" width="4.5703125" style="278" customWidth="1"/>
    <col min="4" max="5" width="11.42578125" style="278"/>
    <col min="6" max="6" width="27.85546875" style="278" bestFit="1" customWidth="1"/>
    <col min="7" max="16384" width="11.42578125" style="278"/>
  </cols>
  <sheetData>
    <row r="2" spans="1:2" ht="36" customHeight="1" x14ac:dyDescent="0.2">
      <c r="A2" s="2554" t="s">
        <v>1214</v>
      </c>
      <c r="B2" s="2554"/>
    </row>
    <row r="3" spans="1:2" ht="11.25" customHeight="1" x14ac:dyDescent="0.2">
      <c r="A3" s="180"/>
      <c r="B3" s="180"/>
    </row>
    <row r="4" spans="1:2" ht="22.5" customHeight="1" x14ac:dyDescent="0.2">
      <c r="A4" s="181" t="s">
        <v>1167</v>
      </c>
      <c r="B4" s="181" t="s">
        <v>1168</v>
      </c>
    </row>
    <row r="5" spans="1:2" x14ac:dyDescent="0.2">
      <c r="A5" s="183" t="s">
        <v>141</v>
      </c>
      <c r="B5" s="183">
        <f>SUM(B19,B17,B15,B11,B9,B6)</f>
        <v>194</v>
      </c>
    </row>
    <row r="6" spans="1:2" x14ac:dyDescent="0.2">
      <c r="A6" s="183" t="s">
        <v>696</v>
      </c>
      <c r="B6" s="183">
        <f>SUM(B7:B8)</f>
        <v>52</v>
      </c>
    </row>
    <row r="7" spans="1:2" x14ac:dyDescent="0.2">
      <c r="A7" s="279" t="s">
        <v>1170</v>
      </c>
      <c r="B7" s="180">
        <v>48</v>
      </c>
    </row>
    <row r="8" spans="1:2" x14ac:dyDescent="0.2">
      <c r="A8" s="279" t="s">
        <v>1171</v>
      </c>
      <c r="B8" s="180">
        <v>4</v>
      </c>
    </row>
    <row r="9" spans="1:2" x14ac:dyDescent="0.2">
      <c r="A9" s="183" t="s">
        <v>1037</v>
      </c>
      <c r="B9" s="183">
        <f>SUM(B10:B10)</f>
        <v>15</v>
      </c>
    </row>
    <row r="10" spans="1:2" x14ac:dyDescent="0.2">
      <c r="A10" s="279" t="s">
        <v>1215</v>
      </c>
      <c r="B10" s="180">
        <v>15</v>
      </c>
    </row>
    <row r="11" spans="1:2" x14ac:dyDescent="0.2">
      <c r="A11" s="183" t="s">
        <v>7</v>
      </c>
      <c r="B11" s="183">
        <f>SUM(B12:B14)</f>
        <v>33</v>
      </c>
    </row>
    <row r="12" spans="1:2" x14ac:dyDescent="0.2">
      <c r="A12" s="279" t="s">
        <v>1173</v>
      </c>
      <c r="B12" s="180">
        <v>6</v>
      </c>
    </row>
    <row r="13" spans="1:2" x14ac:dyDescent="0.2">
      <c r="A13" s="279" t="s">
        <v>1172</v>
      </c>
      <c r="B13" s="180">
        <v>6</v>
      </c>
    </row>
    <row r="14" spans="1:2" x14ac:dyDescent="0.2">
      <c r="A14" s="279" t="s">
        <v>590</v>
      </c>
      <c r="B14" s="180">
        <v>21</v>
      </c>
    </row>
    <row r="15" spans="1:2" x14ac:dyDescent="0.2">
      <c r="A15" s="183" t="s">
        <v>11</v>
      </c>
      <c r="B15" s="183">
        <f>SUM(B16:B16)</f>
        <v>71</v>
      </c>
    </row>
    <row r="16" spans="1:2" x14ac:dyDescent="0.2">
      <c r="A16" s="279" t="s">
        <v>1175</v>
      </c>
      <c r="B16" s="180">
        <v>71</v>
      </c>
    </row>
    <row r="17" spans="1:2" x14ac:dyDescent="0.2">
      <c r="A17" s="183" t="s">
        <v>1145</v>
      </c>
      <c r="B17" s="183">
        <f>SUM(B18)</f>
        <v>1</v>
      </c>
    </row>
    <row r="18" spans="1:2" x14ac:dyDescent="0.2">
      <c r="A18" s="279" t="s">
        <v>1216</v>
      </c>
      <c r="B18" s="180">
        <v>1</v>
      </c>
    </row>
    <row r="19" spans="1:2" x14ac:dyDescent="0.2">
      <c r="A19" s="183" t="s">
        <v>1157</v>
      </c>
      <c r="B19" s="183">
        <f>SUM(B20)</f>
        <v>22</v>
      </c>
    </row>
    <row r="20" spans="1:2" x14ac:dyDescent="0.2">
      <c r="A20" s="279" t="s">
        <v>1178</v>
      </c>
      <c r="B20" s="180">
        <v>22</v>
      </c>
    </row>
    <row r="21" spans="1:2" x14ac:dyDescent="0.2">
      <c r="A21" s="180"/>
      <c r="B21" s="180"/>
    </row>
    <row r="22" spans="1:2" ht="22.5" customHeight="1" x14ac:dyDescent="0.2">
      <c r="A22" s="2555" t="s">
        <v>1179</v>
      </c>
      <c r="B22" s="2555"/>
    </row>
    <row r="23" spans="1:2" x14ac:dyDescent="0.2">
      <c r="A23" s="2509" t="s">
        <v>1217</v>
      </c>
      <c r="B23" s="2509"/>
    </row>
    <row r="24" spans="1:2" ht="24" customHeight="1" x14ac:dyDescent="0.2">
      <c r="A24" s="2509" t="s">
        <v>1183</v>
      </c>
      <c r="B24" s="2509"/>
    </row>
    <row r="27" spans="1:2" ht="18" customHeight="1" x14ac:dyDescent="0.2"/>
    <row r="28" spans="1:2" ht="18" customHeight="1" x14ac:dyDescent="0.2"/>
    <row r="29" spans="1:2" ht="18.75" customHeight="1" x14ac:dyDescent="0.2"/>
  </sheetData>
  <mergeCells count="4">
    <mergeCell ref="A2:B2"/>
    <mergeCell ref="A22:B22"/>
    <mergeCell ref="A23:B23"/>
    <mergeCell ref="A24:B2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2:D86"/>
  <sheetViews>
    <sheetView zoomScale="90" zoomScaleNormal="90" workbookViewId="0">
      <selection activeCell="A2" sqref="A2:D2"/>
    </sheetView>
  </sheetViews>
  <sheetFormatPr baseColWidth="10" defaultRowHeight="11.25" x14ac:dyDescent="0.2"/>
  <cols>
    <col min="1" max="1" width="76.5703125" style="278" customWidth="1"/>
    <col min="2" max="16384" width="11.42578125" style="278"/>
  </cols>
  <sheetData>
    <row r="2" spans="1:4" ht="30" customHeight="1" x14ac:dyDescent="0.2">
      <c r="A2" s="2556" t="s">
        <v>1218</v>
      </c>
      <c r="B2" s="2556"/>
      <c r="C2" s="2556"/>
      <c r="D2" s="2556"/>
    </row>
    <row r="3" spans="1:4" ht="11.25" customHeight="1" x14ac:dyDescent="0.2">
      <c r="A3" s="179"/>
      <c r="B3" s="179"/>
      <c r="C3" s="289"/>
      <c r="D3" s="179"/>
    </row>
    <row r="4" spans="1:4" x14ac:dyDescent="0.2">
      <c r="A4" s="198" t="s">
        <v>1219</v>
      </c>
      <c r="B4" s="198" t="s">
        <v>1220</v>
      </c>
      <c r="C4" s="198" t="s">
        <v>1221</v>
      </c>
      <c r="D4" s="198" t="s">
        <v>1222</v>
      </c>
    </row>
    <row r="5" spans="1:4" x14ac:dyDescent="0.2">
      <c r="A5" s="191" t="s">
        <v>141</v>
      </c>
      <c r="B5" s="215">
        <f>SUM(C5:D5)</f>
        <v>194</v>
      </c>
      <c r="C5" s="215">
        <f>SUM(C6,C13,C18,C43,C76,C79)</f>
        <v>15</v>
      </c>
      <c r="D5" s="215">
        <f>SUM(D6,D13,D18,D43,D76,D79)</f>
        <v>179</v>
      </c>
    </row>
    <row r="6" spans="1:4" x14ac:dyDescent="0.2">
      <c r="A6" s="290" t="s">
        <v>696</v>
      </c>
      <c r="B6" s="291">
        <v>52</v>
      </c>
      <c r="C6" s="291">
        <v>0</v>
      </c>
      <c r="D6" s="291">
        <v>52</v>
      </c>
    </row>
    <row r="7" spans="1:4" x14ac:dyDescent="0.2">
      <c r="A7" s="292" t="s">
        <v>1170</v>
      </c>
      <c r="B7" s="291">
        <v>48</v>
      </c>
      <c r="C7" s="291">
        <v>0</v>
      </c>
      <c r="D7" s="291">
        <v>48</v>
      </c>
    </row>
    <row r="8" spans="1:4" x14ac:dyDescent="0.2">
      <c r="A8" s="293" t="s">
        <v>1223</v>
      </c>
      <c r="B8" s="294">
        <v>1</v>
      </c>
      <c r="C8" s="294">
        <v>0</v>
      </c>
      <c r="D8" s="294">
        <v>1</v>
      </c>
    </row>
    <row r="9" spans="1:4" x14ac:dyDescent="0.2">
      <c r="A9" s="293" t="s">
        <v>1224</v>
      </c>
      <c r="B9" s="294">
        <v>47</v>
      </c>
      <c r="C9" s="294">
        <v>0</v>
      </c>
      <c r="D9" s="294">
        <v>47</v>
      </c>
    </row>
    <row r="10" spans="1:4" x14ac:dyDescent="0.2">
      <c r="A10" s="292" t="s">
        <v>1171</v>
      </c>
      <c r="B10" s="291">
        <v>4</v>
      </c>
      <c r="C10" s="291">
        <v>0</v>
      </c>
      <c r="D10" s="291">
        <v>4</v>
      </c>
    </row>
    <row r="11" spans="1:4" x14ac:dyDescent="0.2">
      <c r="A11" s="293" t="s">
        <v>1225</v>
      </c>
      <c r="B11" s="294">
        <v>1</v>
      </c>
      <c r="C11" s="294">
        <v>0</v>
      </c>
      <c r="D11" s="294">
        <v>1</v>
      </c>
    </row>
    <row r="12" spans="1:4" x14ac:dyDescent="0.2">
      <c r="A12" s="293" t="s">
        <v>1226</v>
      </c>
      <c r="B12" s="294">
        <v>3</v>
      </c>
      <c r="C12" s="294">
        <v>0</v>
      </c>
      <c r="D12" s="294">
        <v>3</v>
      </c>
    </row>
    <row r="13" spans="1:4" x14ac:dyDescent="0.2">
      <c r="A13" s="290" t="s">
        <v>1037</v>
      </c>
      <c r="B13" s="291">
        <v>15</v>
      </c>
      <c r="C13" s="291">
        <v>0</v>
      </c>
      <c r="D13" s="291">
        <v>15</v>
      </c>
    </row>
    <row r="14" spans="1:4" x14ac:dyDescent="0.2">
      <c r="A14" s="292" t="s">
        <v>1227</v>
      </c>
      <c r="B14" s="291">
        <v>15</v>
      </c>
      <c r="C14" s="291">
        <v>0</v>
      </c>
      <c r="D14" s="291">
        <v>15</v>
      </c>
    </row>
    <row r="15" spans="1:4" x14ac:dyDescent="0.2">
      <c r="A15" s="293" t="s">
        <v>1228</v>
      </c>
      <c r="B15" s="294">
        <v>1</v>
      </c>
      <c r="C15" s="294">
        <v>0</v>
      </c>
      <c r="D15" s="294">
        <v>1</v>
      </c>
    </row>
    <row r="16" spans="1:4" x14ac:dyDescent="0.2">
      <c r="A16" s="293" t="s">
        <v>1229</v>
      </c>
      <c r="B16" s="294">
        <v>13</v>
      </c>
      <c r="C16" s="294">
        <v>0</v>
      </c>
      <c r="D16" s="294">
        <v>13</v>
      </c>
    </row>
    <row r="17" spans="1:4" x14ac:dyDescent="0.2">
      <c r="A17" s="293" t="s">
        <v>1230</v>
      </c>
      <c r="B17" s="294">
        <v>1</v>
      </c>
      <c r="C17" s="294">
        <v>0</v>
      </c>
      <c r="D17" s="294">
        <v>1</v>
      </c>
    </row>
    <row r="18" spans="1:4" x14ac:dyDescent="0.2">
      <c r="A18" s="290" t="s">
        <v>7</v>
      </c>
      <c r="B18" s="291">
        <v>33</v>
      </c>
      <c r="C18" s="291">
        <v>15</v>
      </c>
      <c r="D18" s="291">
        <v>18</v>
      </c>
    </row>
    <row r="19" spans="1:4" x14ac:dyDescent="0.2">
      <c r="A19" s="292" t="s">
        <v>1172</v>
      </c>
      <c r="B19" s="291">
        <v>6</v>
      </c>
      <c r="C19" s="291">
        <v>2</v>
      </c>
      <c r="D19" s="291">
        <v>4</v>
      </c>
    </row>
    <row r="20" spans="1:4" x14ac:dyDescent="0.2">
      <c r="A20" s="293" t="s">
        <v>1231</v>
      </c>
      <c r="B20" s="294">
        <v>1</v>
      </c>
      <c r="C20" s="294">
        <v>1</v>
      </c>
      <c r="D20" s="294">
        <v>0</v>
      </c>
    </row>
    <row r="21" spans="1:4" x14ac:dyDescent="0.2">
      <c r="A21" s="293" t="s">
        <v>1232</v>
      </c>
      <c r="B21" s="294">
        <v>1</v>
      </c>
      <c r="C21" s="294">
        <v>1</v>
      </c>
      <c r="D21" s="294">
        <v>0</v>
      </c>
    </row>
    <row r="22" spans="1:4" x14ac:dyDescent="0.2">
      <c r="A22" s="293" t="s">
        <v>1233</v>
      </c>
      <c r="B22" s="294">
        <v>2</v>
      </c>
      <c r="C22" s="294">
        <v>0</v>
      </c>
      <c r="D22" s="294">
        <v>2</v>
      </c>
    </row>
    <row r="23" spans="1:4" x14ac:dyDescent="0.2">
      <c r="A23" s="293" t="s">
        <v>1234</v>
      </c>
      <c r="B23" s="294">
        <v>2</v>
      </c>
      <c r="C23" s="294">
        <v>0</v>
      </c>
      <c r="D23" s="294">
        <v>2</v>
      </c>
    </row>
    <row r="24" spans="1:4" x14ac:dyDescent="0.2">
      <c r="A24" s="292" t="s">
        <v>1235</v>
      </c>
      <c r="B24" s="291">
        <v>6</v>
      </c>
      <c r="C24" s="291">
        <v>4</v>
      </c>
      <c r="D24" s="291">
        <v>2</v>
      </c>
    </row>
    <row r="25" spans="1:4" x14ac:dyDescent="0.2">
      <c r="A25" s="293" t="s">
        <v>1236</v>
      </c>
      <c r="B25" s="294">
        <v>1</v>
      </c>
      <c r="C25" s="294">
        <v>1</v>
      </c>
      <c r="D25" s="294">
        <v>0</v>
      </c>
    </row>
    <row r="26" spans="1:4" x14ac:dyDescent="0.2">
      <c r="A26" s="293" t="s">
        <v>1237</v>
      </c>
      <c r="B26" s="294">
        <v>1</v>
      </c>
      <c r="C26" s="294">
        <v>1</v>
      </c>
      <c r="D26" s="294">
        <v>0</v>
      </c>
    </row>
    <row r="27" spans="1:4" x14ac:dyDescent="0.2">
      <c r="A27" s="293" t="s">
        <v>1238</v>
      </c>
      <c r="B27" s="294">
        <v>2</v>
      </c>
      <c r="C27" s="294">
        <v>0</v>
      </c>
      <c r="D27" s="294">
        <v>2</v>
      </c>
    </row>
    <row r="28" spans="1:4" x14ac:dyDescent="0.2">
      <c r="A28" s="293" t="s">
        <v>1239</v>
      </c>
      <c r="B28" s="294">
        <v>1</v>
      </c>
      <c r="C28" s="294">
        <v>1</v>
      </c>
      <c r="D28" s="294">
        <v>0</v>
      </c>
    </row>
    <row r="29" spans="1:4" x14ac:dyDescent="0.2">
      <c r="A29" s="293" t="s">
        <v>1240</v>
      </c>
      <c r="B29" s="294">
        <v>1</v>
      </c>
      <c r="C29" s="294">
        <v>1</v>
      </c>
      <c r="D29" s="294">
        <v>0</v>
      </c>
    </row>
    <row r="30" spans="1:4" x14ac:dyDescent="0.2">
      <c r="A30" s="292" t="s">
        <v>590</v>
      </c>
      <c r="B30" s="291">
        <v>21</v>
      </c>
      <c r="C30" s="291">
        <v>9</v>
      </c>
      <c r="D30" s="291">
        <v>12</v>
      </c>
    </row>
    <row r="31" spans="1:4" x14ac:dyDescent="0.2">
      <c r="A31" s="293" t="s">
        <v>1241</v>
      </c>
      <c r="B31" s="294">
        <v>1</v>
      </c>
      <c r="C31" s="294">
        <v>1</v>
      </c>
      <c r="D31" s="294">
        <v>0</v>
      </c>
    </row>
    <row r="32" spans="1:4" x14ac:dyDescent="0.2">
      <c r="A32" s="293" t="s">
        <v>1242</v>
      </c>
      <c r="B32" s="294">
        <v>6</v>
      </c>
      <c r="C32" s="294">
        <v>0</v>
      </c>
      <c r="D32" s="294">
        <v>6</v>
      </c>
    </row>
    <row r="33" spans="1:4" x14ac:dyDescent="0.2">
      <c r="A33" s="293" t="s">
        <v>1243</v>
      </c>
      <c r="B33" s="294">
        <v>2</v>
      </c>
      <c r="C33" s="294">
        <v>0</v>
      </c>
      <c r="D33" s="294">
        <v>2</v>
      </c>
    </row>
    <row r="34" spans="1:4" x14ac:dyDescent="0.2">
      <c r="A34" s="293" t="s">
        <v>1244</v>
      </c>
      <c r="B34" s="294">
        <v>2</v>
      </c>
      <c r="C34" s="294">
        <v>0</v>
      </c>
      <c r="D34" s="294">
        <v>2</v>
      </c>
    </row>
    <row r="35" spans="1:4" x14ac:dyDescent="0.2">
      <c r="A35" s="293" t="s">
        <v>1245</v>
      </c>
      <c r="B35" s="294">
        <v>1</v>
      </c>
      <c r="C35" s="294">
        <v>1</v>
      </c>
      <c r="D35" s="294">
        <v>0</v>
      </c>
    </row>
    <row r="36" spans="1:4" x14ac:dyDescent="0.2">
      <c r="A36" s="293" t="s">
        <v>1246</v>
      </c>
      <c r="B36" s="294">
        <v>1</v>
      </c>
      <c r="C36" s="294">
        <v>1</v>
      </c>
      <c r="D36" s="294">
        <v>0</v>
      </c>
    </row>
    <row r="37" spans="1:4" x14ac:dyDescent="0.2">
      <c r="A37" s="293" t="s">
        <v>1247</v>
      </c>
      <c r="B37" s="294">
        <v>2</v>
      </c>
      <c r="C37" s="294">
        <v>0</v>
      </c>
      <c r="D37" s="294">
        <v>2</v>
      </c>
    </row>
    <row r="38" spans="1:4" x14ac:dyDescent="0.2">
      <c r="A38" s="293" t="s">
        <v>1248</v>
      </c>
      <c r="B38" s="294">
        <v>1</v>
      </c>
      <c r="C38" s="294">
        <v>1</v>
      </c>
      <c r="D38" s="294">
        <v>0</v>
      </c>
    </row>
    <row r="39" spans="1:4" x14ac:dyDescent="0.2">
      <c r="A39" s="293" t="s">
        <v>1249</v>
      </c>
      <c r="B39" s="294">
        <v>2</v>
      </c>
      <c r="C39" s="294">
        <v>2</v>
      </c>
      <c r="D39" s="294">
        <v>0</v>
      </c>
    </row>
    <row r="40" spans="1:4" x14ac:dyDescent="0.2">
      <c r="A40" s="293" t="s">
        <v>1250</v>
      </c>
      <c r="B40" s="294">
        <v>1</v>
      </c>
      <c r="C40" s="294">
        <v>1</v>
      </c>
      <c r="D40" s="294">
        <v>0</v>
      </c>
    </row>
    <row r="41" spans="1:4" x14ac:dyDescent="0.2">
      <c r="A41" s="293" t="s">
        <v>1251</v>
      </c>
      <c r="B41" s="294">
        <v>1</v>
      </c>
      <c r="C41" s="294">
        <v>1</v>
      </c>
      <c r="D41" s="294">
        <v>0</v>
      </c>
    </row>
    <row r="42" spans="1:4" x14ac:dyDescent="0.2">
      <c r="A42" s="293" t="s">
        <v>1252</v>
      </c>
      <c r="B42" s="294">
        <v>1</v>
      </c>
      <c r="C42" s="294">
        <v>1</v>
      </c>
      <c r="D42" s="294">
        <v>0</v>
      </c>
    </row>
    <row r="43" spans="1:4" x14ac:dyDescent="0.2">
      <c r="A43" s="290" t="s">
        <v>11</v>
      </c>
      <c r="B43" s="291">
        <v>71</v>
      </c>
      <c r="C43" s="291">
        <v>0</v>
      </c>
      <c r="D43" s="291">
        <v>71</v>
      </c>
    </row>
    <row r="44" spans="1:4" x14ac:dyDescent="0.2">
      <c r="A44" s="292" t="s">
        <v>1253</v>
      </c>
      <c r="B44" s="291">
        <v>63</v>
      </c>
      <c r="C44" s="291">
        <v>0</v>
      </c>
      <c r="D44" s="291">
        <v>63</v>
      </c>
    </row>
    <row r="45" spans="1:4" x14ac:dyDescent="0.2">
      <c r="A45" s="293" t="s">
        <v>1254</v>
      </c>
      <c r="B45" s="294">
        <v>1</v>
      </c>
      <c r="C45" s="294">
        <v>0</v>
      </c>
      <c r="D45" s="294">
        <v>1</v>
      </c>
    </row>
    <row r="46" spans="1:4" x14ac:dyDescent="0.2">
      <c r="A46" s="293" t="s">
        <v>1255</v>
      </c>
      <c r="B46" s="294">
        <v>1</v>
      </c>
      <c r="C46" s="294">
        <v>0</v>
      </c>
      <c r="D46" s="294">
        <v>1</v>
      </c>
    </row>
    <row r="47" spans="1:4" x14ac:dyDescent="0.2">
      <c r="A47" s="293" t="s">
        <v>1256</v>
      </c>
      <c r="B47" s="294">
        <v>1</v>
      </c>
      <c r="C47" s="294">
        <v>0</v>
      </c>
      <c r="D47" s="294">
        <v>1</v>
      </c>
    </row>
    <row r="48" spans="1:4" x14ac:dyDescent="0.2">
      <c r="A48" s="293" t="s">
        <v>1257</v>
      </c>
      <c r="B48" s="294">
        <v>9</v>
      </c>
      <c r="C48" s="294">
        <v>0</v>
      </c>
      <c r="D48" s="294">
        <v>9</v>
      </c>
    </row>
    <row r="49" spans="1:4" x14ac:dyDescent="0.2">
      <c r="A49" s="293" t="s">
        <v>1258</v>
      </c>
      <c r="B49" s="294">
        <v>2</v>
      </c>
      <c r="C49" s="294">
        <v>0</v>
      </c>
      <c r="D49" s="294">
        <v>2</v>
      </c>
    </row>
    <row r="50" spans="1:4" x14ac:dyDescent="0.2">
      <c r="A50" s="293" t="s">
        <v>1259</v>
      </c>
      <c r="B50" s="294">
        <v>1</v>
      </c>
      <c r="C50" s="294">
        <v>0</v>
      </c>
      <c r="D50" s="294">
        <v>1</v>
      </c>
    </row>
    <row r="51" spans="1:4" x14ac:dyDescent="0.2">
      <c r="A51" s="293" t="s">
        <v>1260</v>
      </c>
      <c r="B51" s="294">
        <v>1</v>
      </c>
      <c r="C51" s="294">
        <v>0</v>
      </c>
      <c r="D51" s="294">
        <v>1</v>
      </c>
    </row>
    <row r="52" spans="1:4" x14ac:dyDescent="0.2">
      <c r="A52" s="293" t="s">
        <v>1261</v>
      </c>
      <c r="B52" s="294">
        <v>2</v>
      </c>
      <c r="C52" s="294">
        <v>0</v>
      </c>
      <c r="D52" s="294">
        <v>2</v>
      </c>
    </row>
    <row r="53" spans="1:4" x14ac:dyDescent="0.2">
      <c r="A53" s="293" t="s">
        <v>1262</v>
      </c>
      <c r="B53" s="294">
        <v>2</v>
      </c>
      <c r="C53" s="294">
        <v>0</v>
      </c>
      <c r="D53" s="294">
        <v>2</v>
      </c>
    </row>
    <row r="54" spans="1:4" x14ac:dyDescent="0.2">
      <c r="A54" s="293" t="s">
        <v>1263</v>
      </c>
      <c r="B54" s="294">
        <v>4</v>
      </c>
      <c r="C54" s="294">
        <v>0</v>
      </c>
      <c r="D54" s="294">
        <v>4</v>
      </c>
    </row>
    <row r="55" spans="1:4" x14ac:dyDescent="0.2">
      <c r="A55" s="293" t="s">
        <v>1264</v>
      </c>
      <c r="B55" s="294">
        <v>6</v>
      </c>
      <c r="C55" s="294">
        <v>0</v>
      </c>
      <c r="D55" s="294">
        <v>6</v>
      </c>
    </row>
    <row r="56" spans="1:4" x14ac:dyDescent="0.2">
      <c r="A56" s="293" t="s">
        <v>1265</v>
      </c>
      <c r="B56" s="294">
        <v>1</v>
      </c>
      <c r="C56" s="294">
        <v>0</v>
      </c>
      <c r="D56" s="294">
        <v>1</v>
      </c>
    </row>
    <row r="57" spans="1:4" x14ac:dyDescent="0.2">
      <c r="A57" s="293" t="s">
        <v>1266</v>
      </c>
      <c r="B57" s="294">
        <v>1</v>
      </c>
      <c r="C57" s="294">
        <v>0</v>
      </c>
      <c r="D57" s="294">
        <v>1</v>
      </c>
    </row>
    <row r="58" spans="1:4" x14ac:dyDescent="0.2">
      <c r="A58" s="293" t="s">
        <v>1267</v>
      </c>
      <c r="B58" s="294">
        <v>4</v>
      </c>
      <c r="C58" s="294">
        <v>0</v>
      </c>
      <c r="D58" s="294">
        <v>4</v>
      </c>
    </row>
    <row r="59" spans="1:4" x14ac:dyDescent="0.2">
      <c r="A59" s="293" t="s">
        <v>1268</v>
      </c>
      <c r="B59" s="294">
        <v>10</v>
      </c>
      <c r="C59" s="294">
        <v>0</v>
      </c>
      <c r="D59" s="294">
        <v>10</v>
      </c>
    </row>
    <row r="60" spans="1:4" x14ac:dyDescent="0.2">
      <c r="A60" s="293" t="s">
        <v>1223</v>
      </c>
      <c r="B60" s="294">
        <v>2</v>
      </c>
      <c r="C60" s="294">
        <v>0</v>
      </c>
      <c r="D60" s="294">
        <v>2</v>
      </c>
    </row>
    <row r="61" spans="1:4" x14ac:dyDescent="0.2">
      <c r="A61" s="293" t="s">
        <v>1269</v>
      </c>
      <c r="B61" s="294">
        <v>1</v>
      </c>
      <c r="C61" s="294">
        <v>0</v>
      </c>
      <c r="D61" s="294">
        <v>1</v>
      </c>
    </row>
    <row r="62" spans="1:4" x14ac:dyDescent="0.2">
      <c r="A62" s="293" t="s">
        <v>1270</v>
      </c>
      <c r="B62" s="294">
        <v>2</v>
      </c>
      <c r="C62" s="294">
        <v>0</v>
      </c>
      <c r="D62" s="294">
        <v>2</v>
      </c>
    </row>
    <row r="63" spans="1:4" x14ac:dyDescent="0.2">
      <c r="A63" s="293" t="s">
        <v>1271</v>
      </c>
      <c r="B63" s="294">
        <v>1</v>
      </c>
      <c r="C63" s="294">
        <v>0</v>
      </c>
      <c r="D63" s="294">
        <v>1</v>
      </c>
    </row>
    <row r="64" spans="1:4" x14ac:dyDescent="0.2">
      <c r="A64" s="293" t="s">
        <v>1272</v>
      </c>
      <c r="B64" s="294">
        <v>1</v>
      </c>
      <c r="C64" s="294">
        <v>0</v>
      </c>
      <c r="D64" s="294">
        <v>1</v>
      </c>
    </row>
    <row r="65" spans="1:4" x14ac:dyDescent="0.2">
      <c r="A65" s="293" t="s">
        <v>1273</v>
      </c>
      <c r="B65" s="294">
        <v>2</v>
      </c>
      <c r="C65" s="294">
        <v>0</v>
      </c>
      <c r="D65" s="294">
        <v>2</v>
      </c>
    </row>
    <row r="66" spans="1:4" x14ac:dyDescent="0.2">
      <c r="A66" s="293" t="s">
        <v>1274</v>
      </c>
      <c r="B66" s="294">
        <v>1</v>
      </c>
      <c r="C66" s="294">
        <v>0</v>
      </c>
      <c r="D66" s="294">
        <v>1</v>
      </c>
    </row>
    <row r="67" spans="1:4" x14ac:dyDescent="0.2">
      <c r="A67" s="293" t="s">
        <v>1275</v>
      </c>
      <c r="B67" s="294">
        <v>1</v>
      </c>
      <c r="C67" s="294">
        <v>0</v>
      </c>
      <c r="D67" s="294">
        <v>1</v>
      </c>
    </row>
    <row r="68" spans="1:4" x14ac:dyDescent="0.2">
      <c r="A68" s="293" t="s">
        <v>1276</v>
      </c>
      <c r="B68" s="294">
        <v>3</v>
      </c>
      <c r="C68" s="294">
        <v>0</v>
      </c>
      <c r="D68" s="294">
        <v>3</v>
      </c>
    </row>
    <row r="69" spans="1:4" x14ac:dyDescent="0.2">
      <c r="A69" s="293" t="s">
        <v>1277</v>
      </c>
      <c r="B69" s="294">
        <v>1</v>
      </c>
      <c r="C69" s="294">
        <v>0</v>
      </c>
      <c r="D69" s="294">
        <v>1</v>
      </c>
    </row>
    <row r="70" spans="1:4" x14ac:dyDescent="0.2">
      <c r="A70" s="293" t="s">
        <v>1278</v>
      </c>
      <c r="B70" s="294">
        <v>1</v>
      </c>
      <c r="C70" s="294">
        <v>0</v>
      </c>
      <c r="D70" s="294">
        <v>1</v>
      </c>
    </row>
    <row r="71" spans="1:4" x14ac:dyDescent="0.2">
      <c r="A71" s="293" t="s">
        <v>1279</v>
      </c>
      <c r="B71" s="294">
        <v>1</v>
      </c>
      <c r="C71" s="294">
        <v>0</v>
      </c>
      <c r="D71" s="294">
        <v>1</v>
      </c>
    </row>
    <row r="72" spans="1:4" x14ac:dyDescent="0.2">
      <c r="A72" s="292" t="s">
        <v>1280</v>
      </c>
      <c r="B72" s="291">
        <v>8</v>
      </c>
      <c r="C72" s="291">
        <v>0</v>
      </c>
      <c r="D72" s="291">
        <v>8</v>
      </c>
    </row>
    <row r="73" spans="1:4" x14ac:dyDescent="0.2">
      <c r="A73" s="293" t="s">
        <v>1281</v>
      </c>
      <c r="B73" s="294">
        <v>1</v>
      </c>
      <c r="C73" s="294">
        <v>0</v>
      </c>
      <c r="D73" s="294">
        <v>1</v>
      </c>
    </row>
    <row r="74" spans="1:4" x14ac:dyDescent="0.2">
      <c r="A74" s="293" t="s">
        <v>1282</v>
      </c>
      <c r="B74" s="294">
        <v>1</v>
      </c>
      <c r="C74" s="294">
        <v>0</v>
      </c>
      <c r="D74" s="294">
        <v>1</v>
      </c>
    </row>
    <row r="75" spans="1:4" x14ac:dyDescent="0.2">
      <c r="A75" s="293" t="s">
        <v>1283</v>
      </c>
      <c r="B75" s="294">
        <v>6</v>
      </c>
      <c r="C75" s="294">
        <v>0</v>
      </c>
      <c r="D75" s="294">
        <v>6</v>
      </c>
    </row>
    <row r="76" spans="1:4" x14ac:dyDescent="0.2">
      <c r="A76" s="290" t="s">
        <v>1145</v>
      </c>
      <c r="B76" s="291">
        <v>1</v>
      </c>
      <c r="C76" s="291">
        <v>0</v>
      </c>
      <c r="D76" s="291">
        <v>1</v>
      </c>
    </row>
    <row r="77" spans="1:4" x14ac:dyDescent="0.2">
      <c r="A77" s="292" t="s">
        <v>1216</v>
      </c>
      <c r="B77" s="291">
        <v>1</v>
      </c>
      <c r="C77" s="291">
        <v>0</v>
      </c>
      <c r="D77" s="291">
        <v>1</v>
      </c>
    </row>
    <row r="78" spans="1:4" x14ac:dyDescent="0.2">
      <c r="A78" s="293" t="s">
        <v>1284</v>
      </c>
      <c r="B78" s="294">
        <v>1</v>
      </c>
      <c r="C78" s="294">
        <v>0</v>
      </c>
      <c r="D78" s="294">
        <v>1</v>
      </c>
    </row>
    <row r="79" spans="1:4" x14ac:dyDescent="0.2">
      <c r="A79" s="290" t="s">
        <v>1157</v>
      </c>
      <c r="B79" s="291">
        <v>22</v>
      </c>
      <c r="C79" s="291">
        <v>0</v>
      </c>
      <c r="D79" s="291">
        <v>22</v>
      </c>
    </row>
    <row r="80" spans="1:4" x14ac:dyDescent="0.2">
      <c r="A80" s="292" t="s">
        <v>1178</v>
      </c>
      <c r="B80" s="291">
        <v>22</v>
      </c>
      <c r="C80" s="291">
        <v>0</v>
      </c>
      <c r="D80" s="291">
        <v>22</v>
      </c>
    </row>
    <row r="81" spans="1:4" x14ac:dyDescent="0.2">
      <c r="A81" s="293" t="s">
        <v>1285</v>
      </c>
      <c r="B81" s="294">
        <v>20</v>
      </c>
      <c r="C81" s="294">
        <v>0</v>
      </c>
      <c r="D81" s="294">
        <v>20</v>
      </c>
    </row>
    <row r="82" spans="1:4" x14ac:dyDescent="0.2">
      <c r="A82" s="293" t="s">
        <v>1286</v>
      </c>
      <c r="B82" s="294">
        <v>1</v>
      </c>
      <c r="C82" s="294">
        <v>0</v>
      </c>
      <c r="D82" s="294">
        <v>1</v>
      </c>
    </row>
    <row r="83" spans="1:4" x14ac:dyDescent="0.2">
      <c r="A83" s="293" t="s">
        <v>1287</v>
      </c>
      <c r="B83" s="294">
        <v>1</v>
      </c>
      <c r="C83" s="294">
        <v>0</v>
      </c>
      <c r="D83" s="294">
        <v>1</v>
      </c>
    </row>
    <row r="84" spans="1:4" x14ac:dyDescent="0.2">
      <c r="A84" s="211"/>
      <c r="B84" s="211"/>
      <c r="C84" s="211"/>
      <c r="D84" s="211"/>
    </row>
    <row r="85" spans="1:4" x14ac:dyDescent="0.2">
      <c r="A85" s="179" t="s">
        <v>20</v>
      </c>
      <c r="B85" s="179"/>
      <c r="C85" s="179"/>
      <c r="D85" s="179"/>
    </row>
    <row r="86" spans="1:4" x14ac:dyDescent="0.2">
      <c r="A86" s="2557" t="s">
        <v>1183</v>
      </c>
      <c r="B86" s="2557"/>
      <c r="C86" s="2557"/>
      <c r="D86" s="2557"/>
    </row>
  </sheetData>
  <mergeCells count="2">
    <mergeCell ref="A2:D2"/>
    <mergeCell ref="A86:D86"/>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C28"/>
  <sheetViews>
    <sheetView workbookViewId="0">
      <selection activeCell="B7" sqref="B7:B23"/>
    </sheetView>
  </sheetViews>
  <sheetFormatPr baseColWidth="10" defaultRowHeight="10.5" x14ac:dyDescent="0.15"/>
  <cols>
    <col min="1" max="3" width="28.5703125" style="25" customWidth="1"/>
    <col min="4" max="16384" width="11.42578125" style="25"/>
  </cols>
  <sheetData>
    <row r="1" spans="1:3" x14ac:dyDescent="0.15">
      <c r="A1" s="296"/>
    </row>
    <row r="2" spans="1:3" s="179" customFormat="1" ht="33" customHeight="1" x14ac:dyDescent="0.15">
      <c r="A2" s="2559" t="s">
        <v>4202</v>
      </c>
      <c r="B2" s="2559"/>
      <c r="C2" s="2559"/>
    </row>
    <row r="3" spans="1:3" s="179" customFormat="1" x14ac:dyDescent="0.15">
      <c r="A3" s="2560"/>
      <c r="B3" s="2560"/>
      <c r="C3" s="2560"/>
    </row>
    <row r="4" spans="1:3" s="179" customFormat="1" ht="33.75" customHeight="1" x14ac:dyDescent="0.15">
      <c r="A4" s="2561" t="s">
        <v>1288</v>
      </c>
      <c r="B4" s="2521" t="s">
        <v>1289</v>
      </c>
      <c r="C4" s="2521"/>
    </row>
    <row r="5" spans="1:3" s="179" customFormat="1" x14ac:dyDescent="0.15">
      <c r="A5" s="2562"/>
      <c r="B5" s="198" t="s">
        <v>1290</v>
      </c>
      <c r="C5" s="198" t="s">
        <v>1291</v>
      </c>
    </row>
    <row r="6" spans="1:3" s="179" customFormat="1" x14ac:dyDescent="0.15">
      <c r="A6" s="297" t="s">
        <v>141</v>
      </c>
      <c r="B6" s="298">
        <f>SUM(B7:B23)</f>
        <v>43</v>
      </c>
      <c r="C6" s="298">
        <f>SUM(C7:C23)</f>
        <v>45</v>
      </c>
    </row>
    <row r="7" spans="1:3" s="179" customFormat="1" x14ac:dyDescent="0.15">
      <c r="A7" s="299" t="s">
        <v>696</v>
      </c>
      <c r="B7" s="248">
        <v>3</v>
      </c>
      <c r="C7" s="248">
        <v>3</v>
      </c>
    </row>
    <row r="8" spans="1:3" s="179" customFormat="1" x14ac:dyDescent="0.15">
      <c r="A8" s="299" t="s">
        <v>1037</v>
      </c>
      <c r="B8" s="248">
        <v>3</v>
      </c>
      <c r="C8" s="248">
        <v>0</v>
      </c>
    </row>
    <row r="9" spans="1:3" s="179" customFormat="1" x14ac:dyDescent="0.15">
      <c r="A9" s="299" t="s">
        <v>7</v>
      </c>
      <c r="B9" s="248">
        <v>2</v>
      </c>
      <c r="C9" s="248">
        <v>1</v>
      </c>
    </row>
    <row r="10" spans="1:3" s="179" customFormat="1" x14ac:dyDescent="0.15">
      <c r="A10" s="299" t="s">
        <v>498</v>
      </c>
      <c r="B10" s="248">
        <v>4</v>
      </c>
      <c r="C10" s="248">
        <v>5</v>
      </c>
    </row>
    <row r="11" spans="1:3" s="179" customFormat="1" x14ac:dyDescent="0.15">
      <c r="A11" s="299" t="s">
        <v>1042</v>
      </c>
      <c r="B11" s="248">
        <v>5</v>
      </c>
      <c r="C11" s="248">
        <v>4</v>
      </c>
    </row>
    <row r="12" spans="1:3" s="179" customFormat="1" x14ac:dyDescent="0.15">
      <c r="A12" s="299" t="s">
        <v>10</v>
      </c>
      <c r="B12" s="248">
        <v>10</v>
      </c>
      <c r="C12" s="248">
        <v>11</v>
      </c>
    </row>
    <row r="13" spans="1:3" s="179" customFormat="1" x14ac:dyDescent="0.15">
      <c r="A13" s="299" t="s">
        <v>1026</v>
      </c>
      <c r="B13" s="300">
        <v>6</v>
      </c>
      <c r="C13" s="300">
        <v>12</v>
      </c>
    </row>
    <row r="14" spans="1:3" s="179" customFormat="1" x14ac:dyDescent="0.15">
      <c r="A14" s="299" t="s">
        <v>1030</v>
      </c>
      <c r="B14" s="300">
        <v>0</v>
      </c>
      <c r="C14" s="300">
        <v>0</v>
      </c>
    </row>
    <row r="15" spans="1:3" s="179" customFormat="1" x14ac:dyDescent="0.15">
      <c r="A15" s="299" t="s">
        <v>1044</v>
      </c>
      <c r="B15" s="248">
        <v>2</v>
      </c>
      <c r="C15" s="248">
        <v>0</v>
      </c>
    </row>
    <row r="16" spans="1:3" s="179" customFormat="1" x14ac:dyDescent="0.15">
      <c r="A16" s="299" t="s">
        <v>614</v>
      </c>
      <c r="B16" s="248">
        <v>3</v>
      </c>
      <c r="C16" s="248">
        <v>4</v>
      </c>
    </row>
    <row r="17" spans="1:3" s="179" customFormat="1" x14ac:dyDescent="0.15">
      <c r="A17" s="299" t="s">
        <v>1063</v>
      </c>
      <c r="B17" s="248">
        <v>0</v>
      </c>
      <c r="C17" s="248">
        <v>0</v>
      </c>
    </row>
    <row r="18" spans="1:3" s="179" customFormat="1" x14ac:dyDescent="0.15">
      <c r="A18" s="299" t="s">
        <v>641</v>
      </c>
      <c r="B18" s="248">
        <v>0</v>
      </c>
      <c r="C18" s="248">
        <v>1</v>
      </c>
    </row>
    <row r="19" spans="1:3" s="179" customFormat="1" x14ac:dyDescent="0.15">
      <c r="A19" s="299" t="s">
        <v>709</v>
      </c>
      <c r="B19" s="248">
        <v>2</v>
      </c>
      <c r="C19" s="248">
        <v>2</v>
      </c>
    </row>
    <row r="20" spans="1:3" s="179" customFormat="1" x14ac:dyDescent="0.15">
      <c r="A20" s="299" t="s">
        <v>655</v>
      </c>
      <c r="B20" s="248">
        <v>2</v>
      </c>
      <c r="C20" s="248">
        <v>1</v>
      </c>
    </row>
    <row r="21" spans="1:3" s="179" customFormat="1" x14ac:dyDescent="0.15">
      <c r="A21" s="299" t="s">
        <v>711</v>
      </c>
      <c r="B21" s="248">
        <v>0</v>
      </c>
      <c r="C21" s="248">
        <v>0</v>
      </c>
    </row>
    <row r="22" spans="1:3" s="179" customFormat="1" x14ac:dyDescent="0.15">
      <c r="A22" s="299" t="s">
        <v>665</v>
      </c>
      <c r="B22" s="248">
        <v>1</v>
      </c>
      <c r="C22" s="248">
        <v>1</v>
      </c>
    </row>
    <row r="23" spans="1:3" s="179" customFormat="1" x14ac:dyDescent="0.15">
      <c r="A23" s="299" t="s">
        <v>691</v>
      </c>
      <c r="B23" s="248">
        <v>0</v>
      </c>
      <c r="C23" s="248">
        <v>0</v>
      </c>
    </row>
    <row r="24" spans="1:3" s="179" customFormat="1" ht="10.5" customHeight="1" x14ac:dyDescent="0.15">
      <c r="A24" s="2563"/>
      <c r="B24" s="2563"/>
      <c r="C24" s="2563"/>
    </row>
    <row r="25" spans="1:3" s="179" customFormat="1" x14ac:dyDescent="0.15">
      <c r="A25" s="2564" t="s">
        <v>1292</v>
      </c>
      <c r="B25" s="2565"/>
      <c r="C25" s="2565"/>
    </row>
    <row r="26" spans="1:3" s="179" customFormat="1" x14ac:dyDescent="0.15">
      <c r="A26" s="2558" t="s">
        <v>1293</v>
      </c>
      <c r="B26" s="2558"/>
      <c r="C26" s="2558"/>
    </row>
    <row r="27" spans="1:3" s="179" customFormat="1" x14ac:dyDescent="0.15">
      <c r="B27" s="299"/>
      <c r="C27" s="299"/>
    </row>
    <row r="28" spans="1:3" s="179" customFormat="1" x14ac:dyDescent="0.15"/>
  </sheetData>
  <mergeCells count="7">
    <mergeCell ref="A26:C26"/>
    <mergeCell ref="A2:C2"/>
    <mergeCell ref="A3:C3"/>
    <mergeCell ref="A4:A5"/>
    <mergeCell ref="B4:C4"/>
    <mergeCell ref="A24:C24"/>
    <mergeCell ref="A25:C25"/>
  </mergeCells>
  <pageMargins left="0.7" right="0.7" top="0.75" bottom="0.75" header="0.3" footer="0.3"/>
  <pageSetup paperSize="9" orientation="portrait" verticalDpi="599"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D25"/>
  <sheetViews>
    <sheetView workbookViewId="0">
      <selection activeCell="G19" sqref="G19"/>
    </sheetView>
  </sheetViews>
  <sheetFormatPr baseColWidth="10" defaultRowHeight="10.5" x14ac:dyDescent="0.15"/>
  <cols>
    <col min="1" max="1" width="39.28515625" style="1" customWidth="1"/>
    <col min="2" max="2" width="32.140625" style="1" customWidth="1"/>
    <col min="3" max="3" width="3.85546875" style="1" customWidth="1"/>
    <col min="4" max="16384" width="11.42578125" style="1"/>
  </cols>
  <sheetData>
    <row r="1" spans="1:4" x14ac:dyDescent="0.15">
      <c r="A1" s="12"/>
    </row>
    <row r="2" spans="1:4" ht="31.5" customHeight="1" x14ac:dyDescent="0.15">
      <c r="A2" s="2322" t="s">
        <v>4203</v>
      </c>
      <c r="B2" s="2322"/>
    </row>
    <row r="3" spans="1:4" x14ac:dyDescent="0.15">
      <c r="A3" s="2526"/>
      <c r="B3" s="2526"/>
    </row>
    <row r="4" spans="1:4" ht="33.75" customHeight="1" x14ac:dyDescent="0.15">
      <c r="A4" s="37" t="s">
        <v>1288</v>
      </c>
      <c r="B4" s="37" t="s">
        <v>1294</v>
      </c>
      <c r="D4" s="301"/>
    </row>
    <row r="5" spans="1:4" s="30" customFormat="1" x14ac:dyDescent="0.15">
      <c r="A5" s="30" t="s">
        <v>141</v>
      </c>
      <c r="B5" s="302">
        <v>51</v>
      </c>
      <c r="D5" s="1"/>
    </row>
    <row r="6" spans="1:4" x14ac:dyDescent="0.15">
      <c r="A6" s="1" t="s">
        <v>696</v>
      </c>
      <c r="B6" s="248">
        <v>4</v>
      </c>
      <c r="D6" s="303"/>
    </row>
    <row r="7" spans="1:4" x14ac:dyDescent="0.15">
      <c r="A7" s="1" t="s">
        <v>1037</v>
      </c>
      <c r="B7" s="248">
        <v>3</v>
      </c>
      <c r="D7" s="52"/>
    </row>
    <row r="8" spans="1:4" x14ac:dyDescent="0.15">
      <c r="A8" s="1" t="s">
        <v>7</v>
      </c>
      <c r="B8" s="248">
        <v>3</v>
      </c>
      <c r="D8" s="304"/>
    </row>
    <row r="9" spans="1:4" x14ac:dyDescent="0.15">
      <c r="A9" s="1" t="s">
        <v>498</v>
      </c>
      <c r="B9" s="248">
        <v>4</v>
      </c>
      <c r="D9" s="304"/>
    </row>
    <row r="10" spans="1:4" x14ac:dyDescent="0.15">
      <c r="A10" s="1" t="s">
        <v>1042</v>
      </c>
      <c r="B10" s="248">
        <v>4</v>
      </c>
      <c r="D10" s="304"/>
    </row>
    <row r="11" spans="1:4" x14ac:dyDescent="0.15">
      <c r="A11" s="1" t="s">
        <v>10</v>
      </c>
      <c r="B11" s="248">
        <v>15</v>
      </c>
      <c r="D11" s="304"/>
    </row>
    <row r="12" spans="1:4" x14ac:dyDescent="0.15">
      <c r="A12" s="1" t="s">
        <v>1026</v>
      </c>
      <c r="B12" s="248">
        <v>6</v>
      </c>
      <c r="D12" s="304"/>
    </row>
    <row r="13" spans="1:4" x14ac:dyDescent="0.15">
      <c r="A13" s="1" t="s">
        <v>1030</v>
      </c>
      <c r="B13" s="248">
        <v>0</v>
      </c>
      <c r="D13" s="304"/>
    </row>
    <row r="14" spans="1:4" x14ac:dyDescent="0.15">
      <c r="A14" s="1" t="s">
        <v>1044</v>
      </c>
      <c r="B14" s="248">
        <v>2</v>
      </c>
      <c r="D14" s="304"/>
    </row>
    <row r="15" spans="1:4" x14ac:dyDescent="0.15">
      <c r="A15" s="1" t="s">
        <v>614</v>
      </c>
      <c r="B15" s="248">
        <v>3</v>
      </c>
      <c r="D15" s="304"/>
    </row>
    <row r="16" spans="1:4" x14ac:dyDescent="0.15">
      <c r="A16" s="1" t="s">
        <v>1063</v>
      </c>
      <c r="B16" s="248">
        <v>0</v>
      </c>
      <c r="D16" s="304"/>
    </row>
    <row r="17" spans="1:4" x14ac:dyDescent="0.15">
      <c r="A17" s="1" t="s">
        <v>641</v>
      </c>
      <c r="B17" s="248">
        <v>0</v>
      </c>
      <c r="D17" s="304"/>
    </row>
    <row r="18" spans="1:4" x14ac:dyDescent="0.15">
      <c r="A18" s="1" t="s">
        <v>709</v>
      </c>
      <c r="B18" s="248">
        <v>3</v>
      </c>
      <c r="D18" s="304"/>
    </row>
    <row r="19" spans="1:4" x14ac:dyDescent="0.15">
      <c r="A19" s="1" t="s">
        <v>655</v>
      </c>
      <c r="B19" s="248">
        <v>3</v>
      </c>
      <c r="D19" s="304"/>
    </row>
    <row r="20" spans="1:4" x14ac:dyDescent="0.15">
      <c r="A20" s="1" t="s">
        <v>711</v>
      </c>
      <c r="B20" s="248">
        <v>0</v>
      </c>
      <c r="D20" s="304"/>
    </row>
    <row r="21" spans="1:4" x14ac:dyDescent="0.15">
      <c r="A21" s="1" t="s">
        <v>665</v>
      </c>
      <c r="B21" s="248">
        <v>1</v>
      </c>
      <c r="D21" s="304"/>
    </row>
    <row r="22" spans="1:4" x14ac:dyDescent="0.15">
      <c r="A22" s="1" t="s">
        <v>691</v>
      </c>
      <c r="B22" s="248">
        <v>0</v>
      </c>
      <c r="D22" s="304"/>
    </row>
    <row r="23" spans="1:4" x14ac:dyDescent="0.15">
      <c r="A23" s="2303"/>
      <c r="B23" s="2303"/>
      <c r="D23" s="304"/>
    </row>
    <row r="24" spans="1:4" s="179" customFormat="1" ht="15" customHeight="1" x14ac:dyDescent="0.15">
      <c r="A24" s="305" t="s">
        <v>1292</v>
      </c>
      <c r="B24" s="306"/>
      <c r="C24" s="306"/>
    </row>
    <row r="25" spans="1:4" ht="15" x14ac:dyDescent="0.15">
      <c r="A25" s="2547" t="s">
        <v>1293</v>
      </c>
      <c r="B25" s="2566"/>
      <c r="D25" s="304"/>
    </row>
  </sheetData>
  <mergeCells count="4">
    <mergeCell ref="A2:B2"/>
    <mergeCell ref="A3:B3"/>
    <mergeCell ref="A23:B23"/>
    <mergeCell ref="A25:B25"/>
  </mergeCells>
  <pageMargins left="0.7" right="0.7" top="0.75" bottom="0.75" header="0.3" footer="0.3"/>
  <pageSetup paperSize="9" orientation="portrait" verticalDpi="599"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F30"/>
  <sheetViews>
    <sheetView zoomScaleNormal="100" workbookViewId="0">
      <selection activeCell="A2" sqref="A2:F2"/>
    </sheetView>
  </sheetViews>
  <sheetFormatPr baseColWidth="10" defaultRowHeight="10.5" x14ac:dyDescent="0.15"/>
  <cols>
    <col min="1" max="1" width="27.42578125" style="1" customWidth="1"/>
    <col min="2" max="16384" width="11.42578125" style="1"/>
  </cols>
  <sheetData>
    <row r="2" spans="1:6" ht="34.5" customHeight="1" x14ac:dyDescent="0.15">
      <c r="A2" s="2567" t="s">
        <v>4204</v>
      </c>
      <c r="B2" s="2567"/>
      <c r="C2" s="2567"/>
      <c r="D2" s="2567"/>
      <c r="E2" s="2567"/>
      <c r="F2" s="2567"/>
    </row>
    <row r="3" spans="1:6" ht="10.5" customHeight="1" x14ac:dyDescent="0.15"/>
    <row r="4" spans="1:6" ht="25.5" customHeight="1" x14ac:dyDescent="0.15">
      <c r="A4" s="2" t="s">
        <v>1295</v>
      </c>
      <c r="B4" s="2">
        <v>2011</v>
      </c>
      <c r="C4" s="2">
        <v>2012</v>
      </c>
      <c r="D4" s="307">
        <v>2013</v>
      </c>
      <c r="E4" s="2">
        <v>2014</v>
      </c>
      <c r="F4" s="2">
        <v>2015</v>
      </c>
    </row>
    <row r="5" spans="1:6" s="30" customFormat="1" ht="10.5" customHeight="1" x14ac:dyDescent="0.15">
      <c r="A5" s="30" t="s">
        <v>141</v>
      </c>
      <c r="B5" s="87">
        <f t="shared" ref="B5:D5" si="0">SUM(B6:B23)</f>
        <v>123</v>
      </c>
      <c r="C5" s="87">
        <f>SUM(C6:C23)</f>
        <v>119</v>
      </c>
      <c r="D5" s="87">
        <f t="shared" si="0"/>
        <v>129</v>
      </c>
      <c r="E5" s="87">
        <f>SUM(E6:E23)</f>
        <v>139</v>
      </c>
      <c r="F5" s="87">
        <f>SUM(F6:F23)</f>
        <v>92</v>
      </c>
    </row>
    <row r="6" spans="1:6" ht="10.5" customHeight="1" x14ac:dyDescent="0.15">
      <c r="A6" s="1" t="s">
        <v>5</v>
      </c>
      <c r="B6" s="308">
        <v>8</v>
      </c>
      <c r="C6" s="308">
        <v>11</v>
      </c>
      <c r="D6" s="308">
        <v>8</v>
      </c>
      <c r="E6" s="308">
        <v>7</v>
      </c>
      <c r="F6" s="1">
        <v>3</v>
      </c>
    </row>
    <row r="7" spans="1:6" ht="10.5" customHeight="1" x14ac:dyDescent="0.15">
      <c r="A7" s="1" t="s">
        <v>6</v>
      </c>
      <c r="B7" s="308">
        <v>2</v>
      </c>
      <c r="C7" s="308">
        <v>1</v>
      </c>
      <c r="D7" s="308">
        <v>3</v>
      </c>
      <c r="E7" s="308">
        <v>0</v>
      </c>
      <c r="F7" s="1">
        <v>7</v>
      </c>
    </row>
    <row r="8" spans="1:6" ht="10.5" customHeight="1" x14ac:dyDescent="0.15">
      <c r="A8" s="1" t="s">
        <v>7</v>
      </c>
      <c r="B8" s="308">
        <v>11</v>
      </c>
      <c r="C8" s="308">
        <v>3</v>
      </c>
      <c r="D8" s="308">
        <v>5</v>
      </c>
      <c r="E8" s="308">
        <v>4</v>
      </c>
      <c r="F8" s="1">
        <v>5</v>
      </c>
    </row>
    <row r="9" spans="1:6" ht="10.5" customHeight="1" x14ac:dyDescent="0.15">
      <c r="A9" s="1" t="s">
        <v>8</v>
      </c>
      <c r="B9" s="308">
        <v>7</v>
      </c>
      <c r="C9" s="308">
        <v>3</v>
      </c>
      <c r="D9" s="308">
        <v>9</v>
      </c>
      <c r="E9" s="308">
        <v>14</v>
      </c>
      <c r="F9" s="1">
        <v>4</v>
      </c>
    </row>
    <row r="10" spans="1:6" ht="10.5" customHeight="1" x14ac:dyDescent="0.15">
      <c r="A10" s="1" t="s">
        <v>9</v>
      </c>
      <c r="B10" s="308">
        <v>14</v>
      </c>
      <c r="C10" s="308">
        <v>11</v>
      </c>
      <c r="D10" s="308">
        <v>23</v>
      </c>
      <c r="E10" s="308">
        <v>9</v>
      </c>
      <c r="F10" s="1">
        <v>11</v>
      </c>
    </row>
    <row r="11" spans="1:6" ht="10.5" customHeight="1" x14ac:dyDescent="0.15">
      <c r="A11" s="1" t="s">
        <v>10</v>
      </c>
      <c r="B11" s="308">
        <v>21</v>
      </c>
      <c r="C11" s="308">
        <v>22</v>
      </c>
      <c r="D11" s="308">
        <v>19</v>
      </c>
      <c r="E11" s="308">
        <v>20</v>
      </c>
      <c r="F11" s="1">
        <v>14</v>
      </c>
    </row>
    <row r="12" spans="1:6" ht="10.5" customHeight="1" x14ac:dyDescent="0.15">
      <c r="A12" s="1" t="s">
        <v>40</v>
      </c>
      <c r="B12" s="308">
        <v>8</v>
      </c>
      <c r="C12" s="308">
        <v>10</v>
      </c>
      <c r="D12" s="308">
        <v>15</v>
      </c>
      <c r="E12" s="308">
        <v>40</v>
      </c>
      <c r="F12" s="1">
        <v>18</v>
      </c>
    </row>
    <row r="13" spans="1:6" ht="10.5" customHeight="1" x14ac:dyDescent="0.15">
      <c r="A13" s="1" t="s">
        <v>41</v>
      </c>
      <c r="B13" s="308">
        <v>12</v>
      </c>
      <c r="C13" s="308">
        <v>12</v>
      </c>
      <c r="D13" s="308">
        <v>8</v>
      </c>
      <c r="E13" s="308">
        <v>10</v>
      </c>
      <c r="F13" s="1">
        <v>5</v>
      </c>
    </row>
    <row r="14" spans="1:6" ht="10.5" customHeight="1" x14ac:dyDescent="0.15">
      <c r="A14" s="1" t="s">
        <v>55</v>
      </c>
      <c r="B14" s="308">
        <v>3</v>
      </c>
      <c r="C14" s="308">
        <v>7</v>
      </c>
      <c r="D14" s="308">
        <v>5</v>
      </c>
      <c r="E14" s="308">
        <v>2</v>
      </c>
      <c r="F14" s="1">
        <v>1</v>
      </c>
    </row>
    <row r="15" spans="1:6" ht="10.5" customHeight="1" x14ac:dyDescent="0.15">
      <c r="A15" s="1" t="s">
        <v>1296</v>
      </c>
      <c r="B15" s="308">
        <v>3</v>
      </c>
      <c r="C15" s="308">
        <v>2</v>
      </c>
      <c r="D15" s="308">
        <v>4</v>
      </c>
      <c r="E15" s="308">
        <v>2</v>
      </c>
      <c r="F15" s="1">
        <v>6</v>
      </c>
    </row>
    <row r="16" spans="1:6" ht="12" customHeight="1" x14ac:dyDescent="0.15">
      <c r="A16" s="1" t="s">
        <v>12</v>
      </c>
      <c r="B16" s="308">
        <v>3</v>
      </c>
      <c r="C16" s="308">
        <v>5</v>
      </c>
      <c r="D16" s="308">
        <v>1</v>
      </c>
      <c r="E16" s="308">
        <v>2</v>
      </c>
      <c r="F16" s="1">
        <v>2</v>
      </c>
    </row>
    <row r="17" spans="1:6" ht="10.5" customHeight="1" x14ac:dyDescent="0.15">
      <c r="A17" s="1" t="s">
        <v>13</v>
      </c>
      <c r="B17" s="308">
        <v>5</v>
      </c>
      <c r="C17" s="308">
        <v>7</v>
      </c>
      <c r="D17" s="308">
        <v>11</v>
      </c>
      <c r="E17" s="308">
        <v>9</v>
      </c>
      <c r="F17" s="1">
        <v>7</v>
      </c>
    </row>
    <row r="18" spans="1:6" ht="10.5" customHeight="1" x14ac:dyDescent="0.15">
      <c r="A18" s="1" t="s">
        <v>14</v>
      </c>
      <c r="B18" s="308">
        <v>8</v>
      </c>
      <c r="C18" s="308">
        <v>6</v>
      </c>
      <c r="D18" s="308">
        <v>4</v>
      </c>
      <c r="E18" s="308">
        <v>9</v>
      </c>
      <c r="F18" s="1">
        <v>1</v>
      </c>
    </row>
    <row r="19" spans="1:6" ht="10.5" customHeight="1" x14ac:dyDescent="0.15">
      <c r="A19" s="1" t="s">
        <v>350</v>
      </c>
      <c r="B19" s="308">
        <v>6</v>
      </c>
      <c r="C19" s="308">
        <v>4</v>
      </c>
      <c r="D19" s="308">
        <v>3</v>
      </c>
      <c r="E19" s="308">
        <v>4</v>
      </c>
      <c r="F19" s="1">
        <v>3</v>
      </c>
    </row>
    <row r="20" spans="1:6" ht="10.5" customHeight="1" x14ac:dyDescent="0.15">
      <c r="A20" s="1" t="s">
        <v>16</v>
      </c>
      <c r="B20" s="308">
        <v>8</v>
      </c>
      <c r="C20" s="308">
        <v>6</v>
      </c>
      <c r="D20" s="308">
        <v>4</v>
      </c>
      <c r="E20" s="308">
        <v>2</v>
      </c>
      <c r="F20" s="1">
        <v>1</v>
      </c>
    </row>
    <row r="21" spans="1:6" ht="10.5" customHeight="1" x14ac:dyDescent="0.15">
      <c r="A21" s="1" t="s">
        <v>17</v>
      </c>
      <c r="B21" s="308">
        <v>1</v>
      </c>
      <c r="C21" s="308">
        <v>6</v>
      </c>
      <c r="D21" s="308">
        <v>1</v>
      </c>
      <c r="E21" s="308">
        <v>4</v>
      </c>
      <c r="F21" s="1">
        <v>2</v>
      </c>
    </row>
    <row r="22" spans="1:6" ht="10.5" customHeight="1" x14ac:dyDescent="0.15">
      <c r="A22" s="1" t="s">
        <v>18</v>
      </c>
      <c r="B22" s="308">
        <v>1</v>
      </c>
      <c r="C22" s="308">
        <v>0</v>
      </c>
      <c r="D22" s="308">
        <v>1</v>
      </c>
      <c r="E22" s="308">
        <v>1</v>
      </c>
      <c r="F22" s="1">
        <v>1</v>
      </c>
    </row>
    <row r="23" spans="1:6" ht="10.5" customHeight="1" x14ac:dyDescent="0.15">
      <c r="A23" s="1" t="s">
        <v>19</v>
      </c>
      <c r="B23" s="308">
        <v>2</v>
      </c>
      <c r="C23" s="308">
        <v>3</v>
      </c>
      <c r="D23" s="308">
        <v>5</v>
      </c>
      <c r="E23" s="308">
        <v>0</v>
      </c>
      <c r="F23" s="1">
        <v>1</v>
      </c>
    </row>
    <row r="24" spans="1:6" ht="5.25" customHeight="1" x14ac:dyDescent="0.15"/>
    <row r="25" spans="1:6" x14ac:dyDescent="0.15">
      <c r="A25" s="1" t="s">
        <v>1297</v>
      </c>
    </row>
    <row r="26" spans="1:6" x14ac:dyDescent="0.15">
      <c r="A26" s="1" t="s">
        <v>1298</v>
      </c>
    </row>
    <row r="27" spans="1:6" x14ac:dyDescent="0.15">
      <c r="A27" s="1" t="s">
        <v>1299</v>
      </c>
    </row>
    <row r="28" spans="1:6" x14ac:dyDescent="0.15">
      <c r="A28" s="1" t="s">
        <v>1300</v>
      </c>
    </row>
    <row r="29" spans="1:6" x14ac:dyDescent="0.15">
      <c r="A29" s="62" t="s">
        <v>20</v>
      </c>
      <c r="B29" s="62"/>
      <c r="C29" s="62"/>
      <c r="D29" s="62"/>
    </row>
    <row r="30" spans="1:6" x14ac:dyDescent="0.15">
      <c r="A30" s="2303" t="s">
        <v>1301</v>
      </c>
      <c r="B30" s="2303"/>
      <c r="C30" s="2303"/>
      <c r="D30" s="2303"/>
      <c r="E30" s="2303"/>
      <c r="F30" s="2303"/>
    </row>
  </sheetData>
  <mergeCells count="2">
    <mergeCell ref="A2:F2"/>
    <mergeCell ref="A30:F30"/>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F30"/>
  <sheetViews>
    <sheetView zoomScaleNormal="100" workbookViewId="0">
      <selection activeCell="A2" sqref="A2:F2"/>
    </sheetView>
  </sheetViews>
  <sheetFormatPr baseColWidth="10" defaultRowHeight="10.5" x14ac:dyDescent="0.15"/>
  <cols>
    <col min="1" max="1" width="24.42578125" style="1" customWidth="1"/>
    <col min="2" max="16384" width="11.42578125" style="1"/>
  </cols>
  <sheetData>
    <row r="2" spans="1:6" ht="31.5" customHeight="1" x14ac:dyDescent="0.15">
      <c r="A2" s="2567" t="s">
        <v>4205</v>
      </c>
      <c r="B2" s="2567"/>
      <c r="C2" s="2567"/>
      <c r="D2" s="2567"/>
      <c r="E2" s="2567"/>
      <c r="F2" s="2567"/>
    </row>
    <row r="4" spans="1:6" ht="22.5" customHeight="1" x14ac:dyDescent="0.15">
      <c r="A4" s="37" t="s">
        <v>1295</v>
      </c>
      <c r="B4" s="37">
        <v>2011</v>
      </c>
      <c r="C4" s="37">
        <v>2012</v>
      </c>
      <c r="D4" s="309">
        <v>2013</v>
      </c>
      <c r="E4" s="37">
        <v>2014</v>
      </c>
      <c r="F4" s="37">
        <v>2015</v>
      </c>
    </row>
    <row r="5" spans="1:6" s="30" customFormat="1" ht="10.5" customHeight="1" x14ac:dyDescent="0.15">
      <c r="A5" s="30" t="s">
        <v>141</v>
      </c>
      <c r="B5" s="87">
        <f t="shared" ref="B5:F5" si="0">SUM(B6:B23)</f>
        <v>162</v>
      </c>
      <c r="C5" s="87">
        <f t="shared" si="0"/>
        <v>140</v>
      </c>
      <c r="D5" s="87">
        <f t="shared" si="0"/>
        <v>145</v>
      </c>
      <c r="E5" s="87">
        <f t="shared" si="0"/>
        <v>145</v>
      </c>
      <c r="F5" s="87">
        <f t="shared" si="0"/>
        <v>160</v>
      </c>
    </row>
    <row r="6" spans="1:6" x14ac:dyDescent="0.15">
      <c r="A6" s="1" t="s">
        <v>5</v>
      </c>
      <c r="B6" s="308">
        <v>7</v>
      </c>
      <c r="C6" s="308">
        <v>10</v>
      </c>
      <c r="D6" s="308">
        <v>5</v>
      </c>
      <c r="E6" s="308">
        <v>3</v>
      </c>
      <c r="F6" s="1">
        <v>12</v>
      </c>
    </row>
    <row r="7" spans="1:6" x14ac:dyDescent="0.15">
      <c r="A7" s="1" t="s">
        <v>6</v>
      </c>
      <c r="B7" s="308">
        <v>2</v>
      </c>
      <c r="C7" s="308">
        <v>1</v>
      </c>
      <c r="D7" s="308">
        <v>3</v>
      </c>
      <c r="E7" s="308">
        <v>0</v>
      </c>
      <c r="F7" s="1">
        <v>1</v>
      </c>
    </row>
    <row r="8" spans="1:6" x14ac:dyDescent="0.15">
      <c r="A8" s="1" t="s">
        <v>7</v>
      </c>
      <c r="B8" s="308">
        <v>13</v>
      </c>
      <c r="C8" s="308">
        <v>4</v>
      </c>
      <c r="D8" s="308">
        <v>6</v>
      </c>
      <c r="E8" s="308">
        <v>6</v>
      </c>
      <c r="F8" s="1">
        <v>17</v>
      </c>
    </row>
    <row r="9" spans="1:6" x14ac:dyDescent="0.15">
      <c r="A9" s="1" t="s">
        <v>8</v>
      </c>
      <c r="B9" s="308">
        <v>7</v>
      </c>
      <c r="C9" s="308">
        <v>4</v>
      </c>
      <c r="D9" s="308">
        <v>7</v>
      </c>
      <c r="E9" s="308">
        <v>10</v>
      </c>
      <c r="F9" s="1">
        <v>9</v>
      </c>
    </row>
    <row r="10" spans="1:6" x14ac:dyDescent="0.15">
      <c r="A10" s="1" t="s">
        <v>9</v>
      </c>
      <c r="B10" s="308">
        <v>21</v>
      </c>
      <c r="C10" s="308">
        <v>11</v>
      </c>
      <c r="D10" s="308">
        <v>25</v>
      </c>
      <c r="E10" s="308">
        <v>11</v>
      </c>
      <c r="F10" s="1">
        <v>16</v>
      </c>
    </row>
    <row r="11" spans="1:6" ht="11.25" customHeight="1" x14ac:dyDescent="0.15">
      <c r="A11" s="1" t="s">
        <v>10</v>
      </c>
      <c r="B11" s="308">
        <v>34</v>
      </c>
      <c r="C11" s="308">
        <v>25</v>
      </c>
      <c r="D11" s="308">
        <v>21</v>
      </c>
      <c r="E11" s="308">
        <v>33</v>
      </c>
      <c r="F11" s="1">
        <v>19</v>
      </c>
    </row>
    <row r="12" spans="1:6" ht="10.5" customHeight="1" x14ac:dyDescent="0.15">
      <c r="A12" s="1" t="s">
        <v>40</v>
      </c>
      <c r="B12" s="308">
        <v>16</v>
      </c>
      <c r="C12" s="308">
        <v>12</v>
      </c>
      <c r="D12" s="308">
        <v>18</v>
      </c>
      <c r="E12" s="308">
        <v>39</v>
      </c>
      <c r="F12" s="1">
        <v>50</v>
      </c>
    </row>
    <row r="13" spans="1:6" ht="10.5" customHeight="1" x14ac:dyDescent="0.15">
      <c r="A13" s="1" t="s">
        <v>41</v>
      </c>
      <c r="B13" s="308">
        <v>14</v>
      </c>
      <c r="C13" s="308">
        <v>19</v>
      </c>
      <c r="D13" s="308">
        <v>8</v>
      </c>
      <c r="E13" s="308">
        <v>15</v>
      </c>
      <c r="F13" s="1">
        <v>6</v>
      </c>
    </row>
    <row r="14" spans="1:6" ht="10.5" customHeight="1" x14ac:dyDescent="0.15">
      <c r="A14" s="1" t="s">
        <v>55</v>
      </c>
      <c r="B14" s="308">
        <v>3</v>
      </c>
      <c r="C14" s="308">
        <v>9</v>
      </c>
      <c r="D14" s="308">
        <v>16</v>
      </c>
      <c r="E14" s="308">
        <v>2</v>
      </c>
      <c r="F14" s="1">
        <v>1</v>
      </c>
    </row>
    <row r="15" spans="1:6" ht="10.5" customHeight="1" x14ac:dyDescent="0.15">
      <c r="A15" s="1" t="s">
        <v>1296</v>
      </c>
      <c r="B15" s="308">
        <v>3</v>
      </c>
      <c r="C15" s="308">
        <v>2</v>
      </c>
      <c r="D15" s="308">
        <v>5</v>
      </c>
      <c r="E15" s="308">
        <v>3</v>
      </c>
      <c r="F15" s="1">
        <v>4</v>
      </c>
    </row>
    <row r="16" spans="1:6" x14ac:dyDescent="0.15">
      <c r="A16" s="1" t="s">
        <v>12</v>
      </c>
      <c r="B16" s="308">
        <v>3</v>
      </c>
      <c r="C16" s="308">
        <v>7</v>
      </c>
      <c r="D16" s="308">
        <v>1</v>
      </c>
      <c r="E16" s="308">
        <v>1</v>
      </c>
      <c r="F16" s="1">
        <v>2</v>
      </c>
    </row>
    <row r="17" spans="1:6" x14ac:dyDescent="0.15">
      <c r="A17" s="1" t="s">
        <v>13</v>
      </c>
      <c r="B17" s="308">
        <v>7</v>
      </c>
      <c r="C17" s="308">
        <v>11</v>
      </c>
      <c r="D17" s="308">
        <v>11</v>
      </c>
      <c r="E17" s="308">
        <v>7</v>
      </c>
      <c r="F17" s="1">
        <v>7</v>
      </c>
    </row>
    <row r="18" spans="1:6" x14ac:dyDescent="0.15">
      <c r="A18" s="1" t="s">
        <v>14</v>
      </c>
      <c r="B18" s="308">
        <v>10</v>
      </c>
      <c r="C18" s="308">
        <v>6</v>
      </c>
      <c r="D18" s="308">
        <v>3</v>
      </c>
      <c r="E18" s="308">
        <v>7</v>
      </c>
      <c r="F18" s="1">
        <v>4</v>
      </c>
    </row>
    <row r="19" spans="1:6" x14ac:dyDescent="0.15">
      <c r="A19" s="1" t="s">
        <v>350</v>
      </c>
      <c r="B19" s="308">
        <v>8</v>
      </c>
      <c r="C19" s="308">
        <v>4</v>
      </c>
      <c r="D19" s="308">
        <v>5</v>
      </c>
      <c r="E19" s="308">
        <v>3</v>
      </c>
      <c r="F19" s="1">
        <v>5</v>
      </c>
    </row>
    <row r="20" spans="1:6" x14ac:dyDescent="0.15">
      <c r="A20" s="1" t="s">
        <v>16</v>
      </c>
      <c r="B20" s="308">
        <v>10</v>
      </c>
      <c r="C20" s="308">
        <v>6</v>
      </c>
      <c r="D20" s="308">
        <v>4</v>
      </c>
      <c r="E20" s="308">
        <v>0</v>
      </c>
      <c r="F20" s="1">
        <v>4</v>
      </c>
    </row>
    <row r="21" spans="1:6" x14ac:dyDescent="0.15">
      <c r="A21" s="1" t="s">
        <v>17</v>
      </c>
      <c r="B21" s="308">
        <v>1</v>
      </c>
      <c r="C21" s="308">
        <v>6</v>
      </c>
      <c r="D21" s="308">
        <v>1</v>
      </c>
      <c r="E21" s="308">
        <v>4</v>
      </c>
      <c r="F21" s="1">
        <v>1</v>
      </c>
    </row>
    <row r="22" spans="1:6" ht="10.5" customHeight="1" x14ac:dyDescent="0.15">
      <c r="A22" s="1" t="s">
        <v>18</v>
      </c>
      <c r="B22" s="308">
        <v>1</v>
      </c>
      <c r="C22" s="308">
        <v>0</v>
      </c>
      <c r="D22" s="308">
        <v>1</v>
      </c>
      <c r="E22" s="308">
        <v>1</v>
      </c>
      <c r="F22" s="1">
        <v>1</v>
      </c>
    </row>
    <row r="23" spans="1:6" ht="10.5" customHeight="1" x14ac:dyDescent="0.15">
      <c r="A23" s="1" t="s">
        <v>19</v>
      </c>
      <c r="B23" s="308">
        <v>2</v>
      </c>
      <c r="C23" s="308">
        <v>3</v>
      </c>
      <c r="D23" s="308">
        <v>5</v>
      </c>
      <c r="E23" s="308">
        <v>0</v>
      </c>
      <c r="F23" s="1">
        <v>1</v>
      </c>
    </row>
    <row r="24" spans="1:6" ht="7.5" customHeight="1" x14ac:dyDescent="0.15"/>
    <row r="25" spans="1:6" x14ac:dyDescent="0.15">
      <c r="A25" s="1" t="s">
        <v>1297</v>
      </c>
    </row>
    <row r="26" spans="1:6" x14ac:dyDescent="0.15">
      <c r="A26" s="1" t="s">
        <v>1298</v>
      </c>
    </row>
    <row r="27" spans="1:6" x14ac:dyDescent="0.15">
      <c r="A27" s="1" t="s">
        <v>1299</v>
      </c>
    </row>
    <row r="28" spans="1:6" x14ac:dyDescent="0.15">
      <c r="A28" s="1" t="s">
        <v>1300</v>
      </c>
    </row>
    <row r="29" spans="1:6" x14ac:dyDescent="0.15">
      <c r="A29" s="62" t="s">
        <v>20</v>
      </c>
      <c r="B29" s="62"/>
      <c r="C29" s="62"/>
      <c r="D29" s="62"/>
    </row>
    <row r="30" spans="1:6" x14ac:dyDescent="0.15">
      <c r="A30" s="2307" t="s">
        <v>1301</v>
      </c>
      <c r="B30" s="2307"/>
      <c r="C30" s="2307"/>
      <c r="D30" s="2307"/>
      <c r="E30" s="2307"/>
      <c r="F30" s="2307"/>
    </row>
  </sheetData>
  <mergeCells count="2">
    <mergeCell ref="A2:F2"/>
    <mergeCell ref="A30:F3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2:H31"/>
  <sheetViews>
    <sheetView zoomScaleNormal="100" workbookViewId="0">
      <selection activeCell="A2" sqref="A2:F2"/>
    </sheetView>
  </sheetViews>
  <sheetFormatPr baseColWidth="10" defaultRowHeight="10.5" x14ac:dyDescent="0.15"/>
  <cols>
    <col min="1" max="1" width="26.42578125" style="1" customWidth="1"/>
    <col min="2" max="16384" width="11.42578125" style="1"/>
  </cols>
  <sheetData>
    <row r="2" spans="1:8" ht="33.75" customHeight="1" x14ac:dyDescent="0.15">
      <c r="A2" s="2568" t="s">
        <v>4206</v>
      </c>
      <c r="B2" s="2568"/>
      <c r="C2" s="2568"/>
      <c r="D2" s="2568"/>
      <c r="E2" s="2568"/>
      <c r="F2" s="2568"/>
    </row>
    <row r="4" spans="1:8" ht="37.5" customHeight="1" x14ac:dyDescent="0.15">
      <c r="A4" s="2325" t="s">
        <v>1295</v>
      </c>
      <c r="B4" s="2569" t="s">
        <v>1302</v>
      </c>
      <c r="C4" s="2570"/>
      <c r="D4" s="2570"/>
      <c r="E4" s="2570"/>
      <c r="F4" s="2571"/>
      <c r="H4" s="93"/>
    </row>
    <row r="5" spans="1:8" x14ac:dyDescent="0.15">
      <c r="A5" s="2325"/>
      <c r="B5" s="37">
        <v>2011</v>
      </c>
      <c r="C5" s="37">
        <v>2012</v>
      </c>
      <c r="D5" s="37">
        <v>2013</v>
      </c>
      <c r="E5" s="37">
        <v>2014</v>
      </c>
      <c r="F5" s="37">
        <v>2015</v>
      </c>
    </row>
    <row r="6" spans="1:8" s="30" customFormat="1" ht="10.5" customHeight="1" x14ac:dyDescent="0.15">
      <c r="A6" s="30" t="s">
        <v>141</v>
      </c>
      <c r="B6" s="52">
        <f>SUM(B7:B24)</f>
        <v>17</v>
      </c>
      <c r="C6" s="52">
        <f t="shared" ref="C6:F6" si="0">SUM(C7:C24)</f>
        <v>14</v>
      </c>
      <c r="D6" s="52">
        <f t="shared" si="0"/>
        <v>14</v>
      </c>
      <c r="E6" s="52">
        <f t="shared" si="0"/>
        <v>11</v>
      </c>
      <c r="F6" s="52">
        <f t="shared" si="0"/>
        <v>17</v>
      </c>
    </row>
    <row r="7" spans="1:8" x14ac:dyDescent="0.15">
      <c r="A7" s="1" t="s">
        <v>5</v>
      </c>
      <c r="B7" s="304">
        <v>0</v>
      </c>
      <c r="C7" s="304">
        <v>2</v>
      </c>
      <c r="D7" s="304">
        <v>0</v>
      </c>
      <c r="E7" s="304">
        <v>0</v>
      </c>
      <c r="F7" s="20">
        <v>0</v>
      </c>
    </row>
    <row r="8" spans="1:8" x14ac:dyDescent="0.15">
      <c r="A8" s="1" t="s">
        <v>6</v>
      </c>
      <c r="B8" s="304">
        <v>0</v>
      </c>
      <c r="C8" s="304">
        <v>0</v>
      </c>
      <c r="D8" s="304">
        <v>0</v>
      </c>
      <c r="E8" s="304">
        <v>0</v>
      </c>
      <c r="F8" s="20">
        <v>0</v>
      </c>
    </row>
    <row r="9" spans="1:8" x14ac:dyDescent="0.15">
      <c r="A9" s="1" t="s">
        <v>7</v>
      </c>
      <c r="B9" s="304">
        <v>0</v>
      </c>
      <c r="C9" s="304">
        <v>0</v>
      </c>
      <c r="D9" s="304">
        <v>0</v>
      </c>
      <c r="E9" s="304">
        <v>0</v>
      </c>
      <c r="F9" s="20">
        <v>9</v>
      </c>
    </row>
    <row r="10" spans="1:8" x14ac:dyDescent="0.15">
      <c r="A10" s="1" t="s">
        <v>8</v>
      </c>
      <c r="B10" s="304">
        <v>0</v>
      </c>
      <c r="C10" s="304">
        <v>0</v>
      </c>
      <c r="D10" s="304">
        <v>0</v>
      </c>
      <c r="E10" s="304">
        <v>0</v>
      </c>
      <c r="F10" s="310">
        <v>0</v>
      </c>
    </row>
    <row r="11" spans="1:8" x14ac:dyDescent="0.15">
      <c r="A11" s="1" t="s">
        <v>9</v>
      </c>
      <c r="B11" s="304">
        <v>6</v>
      </c>
      <c r="C11" s="304">
        <v>3</v>
      </c>
      <c r="D11" s="304">
        <v>6</v>
      </c>
      <c r="E11" s="304">
        <v>0</v>
      </c>
      <c r="F11" s="20">
        <v>3</v>
      </c>
    </row>
    <row r="12" spans="1:8" x14ac:dyDescent="0.15">
      <c r="A12" s="1" t="s">
        <v>10</v>
      </c>
      <c r="B12" s="304">
        <v>1</v>
      </c>
      <c r="C12" s="304">
        <v>1</v>
      </c>
      <c r="D12" s="304">
        <v>0</v>
      </c>
      <c r="E12" s="304">
        <v>0</v>
      </c>
      <c r="F12" s="20">
        <v>0</v>
      </c>
    </row>
    <row r="13" spans="1:8" ht="11.25" x14ac:dyDescent="0.15">
      <c r="A13" s="1" t="s">
        <v>40</v>
      </c>
      <c r="B13" s="304">
        <v>1</v>
      </c>
      <c r="C13" s="304">
        <v>0</v>
      </c>
      <c r="D13" s="304">
        <v>0</v>
      </c>
      <c r="E13" s="304">
        <v>4</v>
      </c>
      <c r="F13" s="20">
        <v>1</v>
      </c>
    </row>
    <row r="14" spans="1:8" ht="11.25" x14ac:dyDescent="0.15">
      <c r="A14" s="1" t="s">
        <v>41</v>
      </c>
      <c r="B14" s="304">
        <v>8</v>
      </c>
      <c r="C14" s="304">
        <v>0</v>
      </c>
      <c r="D14" s="304">
        <v>1</v>
      </c>
      <c r="E14" s="304">
        <v>6</v>
      </c>
      <c r="F14" s="20">
        <v>2</v>
      </c>
      <c r="G14" s="311"/>
    </row>
    <row r="15" spans="1:8" ht="11.25" x14ac:dyDescent="0.15">
      <c r="A15" s="1" t="s">
        <v>55</v>
      </c>
      <c r="B15" s="304">
        <v>0</v>
      </c>
      <c r="C15" s="304">
        <v>0</v>
      </c>
      <c r="D15" s="304">
        <v>0</v>
      </c>
      <c r="E15" s="304">
        <v>0</v>
      </c>
      <c r="F15" s="20">
        <v>0</v>
      </c>
    </row>
    <row r="16" spans="1:8" ht="11.25" x14ac:dyDescent="0.15">
      <c r="A16" s="1" t="s">
        <v>1296</v>
      </c>
      <c r="B16" s="304">
        <v>0</v>
      </c>
      <c r="C16" s="304">
        <v>0</v>
      </c>
      <c r="D16" s="304">
        <v>0</v>
      </c>
      <c r="E16" s="304">
        <v>0</v>
      </c>
      <c r="F16" s="20">
        <v>0</v>
      </c>
    </row>
    <row r="17" spans="1:6" x14ac:dyDescent="0.15">
      <c r="A17" s="1" t="s">
        <v>12</v>
      </c>
      <c r="B17" s="304">
        <v>1</v>
      </c>
      <c r="C17" s="304">
        <v>1</v>
      </c>
      <c r="D17" s="304">
        <v>0</v>
      </c>
      <c r="E17" s="304">
        <v>0</v>
      </c>
      <c r="F17" s="20">
        <v>1</v>
      </c>
    </row>
    <row r="18" spans="1:6" x14ac:dyDescent="0.15">
      <c r="A18" s="1" t="s">
        <v>13</v>
      </c>
      <c r="B18" s="304">
        <v>0</v>
      </c>
      <c r="C18" s="304">
        <v>6</v>
      </c>
      <c r="D18" s="304">
        <v>2</v>
      </c>
      <c r="E18" s="304">
        <v>1</v>
      </c>
      <c r="F18" s="20">
        <v>1</v>
      </c>
    </row>
    <row r="19" spans="1:6" x14ac:dyDescent="0.15">
      <c r="A19" s="1" t="s">
        <v>14</v>
      </c>
      <c r="B19" s="304">
        <v>0</v>
      </c>
      <c r="C19" s="304">
        <v>1</v>
      </c>
      <c r="D19" s="304">
        <v>0</v>
      </c>
      <c r="E19" s="304">
        <v>0</v>
      </c>
      <c r="F19" s="20">
        <v>0</v>
      </c>
    </row>
    <row r="20" spans="1:6" x14ac:dyDescent="0.15">
      <c r="A20" s="1" t="s">
        <v>350</v>
      </c>
      <c r="B20" s="304">
        <v>0</v>
      </c>
      <c r="C20" s="304">
        <v>0</v>
      </c>
      <c r="D20" s="304">
        <v>0</v>
      </c>
      <c r="E20" s="304">
        <v>0</v>
      </c>
      <c r="F20" s="20">
        <v>0</v>
      </c>
    </row>
    <row r="21" spans="1:6" x14ac:dyDescent="0.15">
      <c r="A21" s="1" t="s">
        <v>16</v>
      </c>
      <c r="B21" s="304">
        <v>0</v>
      </c>
      <c r="C21" s="304">
        <v>0</v>
      </c>
      <c r="D21" s="304">
        <v>1</v>
      </c>
      <c r="E21" s="304">
        <v>0</v>
      </c>
      <c r="F21" s="20">
        <v>0</v>
      </c>
    </row>
    <row r="22" spans="1:6" x14ac:dyDescent="0.15">
      <c r="A22" s="1" t="s">
        <v>17</v>
      </c>
      <c r="B22" s="304">
        <v>0</v>
      </c>
      <c r="C22" s="304">
        <v>0</v>
      </c>
      <c r="D22" s="304">
        <v>1</v>
      </c>
      <c r="E22" s="304">
        <v>0</v>
      </c>
      <c r="F22" s="20">
        <v>0</v>
      </c>
    </row>
    <row r="23" spans="1:6" x14ac:dyDescent="0.15">
      <c r="A23" s="1" t="s">
        <v>18</v>
      </c>
      <c r="B23" s="304">
        <v>0</v>
      </c>
      <c r="C23" s="304">
        <v>0</v>
      </c>
      <c r="D23" s="304">
        <v>0</v>
      </c>
      <c r="E23" s="304">
        <v>0</v>
      </c>
      <c r="F23" s="20">
        <v>0</v>
      </c>
    </row>
    <row r="24" spans="1:6" x14ac:dyDescent="0.15">
      <c r="A24" s="1" t="s">
        <v>19</v>
      </c>
      <c r="B24" s="304">
        <v>0</v>
      </c>
      <c r="C24" s="304">
        <v>0</v>
      </c>
      <c r="D24" s="304">
        <v>3</v>
      </c>
      <c r="E24" s="304">
        <v>0</v>
      </c>
      <c r="F24" s="20">
        <v>0</v>
      </c>
    </row>
    <row r="25" spans="1:6" ht="6" customHeight="1" x14ac:dyDescent="0.15"/>
    <row r="26" spans="1:6" ht="11.25" customHeight="1" x14ac:dyDescent="0.15">
      <c r="A26" s="1" t="s">
        <v>1297</v>
      </c>
    </row>
    <row r="27" spans="1:6" ht="11.25" customHeight="1" x14ac:dyDescent="0.15">
      <c r="A27" s="1" t="s">
        <v>1298</v>
      </c>
    </row>
    <row r="28" spans="1:6" ht="11.25" customHeight="1" x14ac:dyDescent="0.15">
      <c r="A28" s="1" t="s">
        <v>1299</v>
      </c>
    </row>
    <row r="29" spans="1:6" ht="11.25" customHeight="1" x14ac:dyDescent="0.15">
      <c r="A29" s="1" t="s">
        <v>1300</v>
      </c>
    </row>
    <row r="30" spans="1:6" x14ac:dyDescent="0.15">
      <c r="A30" s="1" t="s">
        <v>20</v>
      </c>
    </row>
    <row r="31" spans="1:6" x14ac:dyDescent="0.15">
      <c r="A31" s="2307" t="s">
        <v>1301</v>
      </c>
      <c r="B31" s="2307"/>
      <c r="C31" s="2307"/>
      <c r="D31" s="2307"/>
      <c r="E31" s="2307"/>
      <c r="F31" s="2307"/>
    </row>
  </sheetData>
  <mergeCells count="4">
    <mergeCell ref="A2:F2"/>
    <mergeCell ref="A4:A5"/>
    <mergeCell ref="B4:F4"/>
    <mergeCell ref="A31:F31"/>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2:E33"/>
  <sheetViews>
    <sheetView zoomScaleNormal="100" workbookViewId="0">
      <selection activeCell="C32" sqref="C32"/>
    </sheetView>
  </sheetViews>
  <sheetFormatPr baseColWidth="10" defaultRowHeight="10.5" x14ac:dyDescent="0.15"/>
  <cols>
    <col min="1" max="1" width="20.5703125" style="313" customWidth="1"/>
    <col min="2" max="2" width="12.7109375" style="313" customWidth="1"/>
    <col min="3" max="3" width="16.7109375" style="313" customWidth="1"/>
    <col min="4" max="4" width="15.7109375" style="313" customWidth="1"/>
    <col min="5" max="5" width="14.28515625" style="313" customWidth="1"/>
    <col min="6" max="16384" width="11.42578125" style="313"/>
  </cols>
  <sheetData>
    <row r="2" spans="1:5" s="312" customFormat="1" ht="26.25" customHeight="1" x14ac:dyDescent="0.15">
      <c r="A2" s="2575" t="s">
        <v>1303</v>
      </c>
      <c r="B2" s="2575"/>
      <c r="C2" s="2575"/>
      <c r="D2" s="2575"/>
      <c r="E2" s="2575"/>
    </row>
    <row r="3" spans="1:5" s="312" customFormat="1" ht="11.25" customHeight="1" x14ac:dyDescent="0.15"/>
    <row r="4" spans="1:5" x14ac:dyDescent="0.15">
      <c r="A4" s="2576" t="s">
        <v>1</v>
      </c>
      <c r="B4" s="2579" t="s">
        <v>317</v>
      </c>
      <c r="C4" s="2580"/>
      <c r="D4" s="2580"/>
      <c r="E4" s="2581"/>
    </row>
    <row r="5" spans="1:5" ht="12.75" customHeight="1" x14ac:dyDescent="0.15">
      <c r="A5" s="2577"/>
      <c r="B5" s="2576" t="s">
        <v>69</v>
      </c>
      <c r="C5" s="2582" t="s">
        <v>1304</v>
      </c>
      <c r="D5" s="2582" t="s">
        <v>1305</v>
      </c>
      <c r="E5" s="2585" t="s">
        <v>1306</v>
      </c>
    </row>
    <row r="6" spans="1:5" ht="15" customHeight="1" x14ac:dyDescent="0.15">
      <c r="A6" s="2577"/>
      <c r="B6" s="2577"/>
      <c r="C6" s="2583"/>
      <c r="D6" s="2583"/>
      <c r="E6" s="2586"/>
    </row>
    <row r="7" spans="1:5" ht="18" customHeight="1" x14ac:dyDescent="0.15">
      <c r="A7" s="2578"/>
      <c r="B7" s="2578"/>
      <c r="C7" s="2584"/>
      <c r="D7" s="2584"/>
      <c r="E7" s="2587"/>
    </row>
    <row r="8" spans="1:5" x14ac:dyDescent="0.15">
      <c r="A8" s="314" t="s">
        <v>141</v>
      </c>
      <c r="B8" s="315">
        <f>SUM(B9:B23)</f>
        <v>7096</v>
      </c>
      <c r="C8" s="315">
        <f>SUM(C9:C23)</f>
        <v>1573</v>
      </c>
      <c r="D8" s="315">
        <f>SUM(D9:D23)</f>
        <v>1755</v>
      </c>
      <c r="E8" s="315">
        <f>SUM(E9:E23)</f>
        <v>3768</v>
      </c>
    </row>
    <row r="9" spans="1:5" x14ac:dyDescent="0.15">
      <c r="A9" s="312" t="s">
        <v>5</v>
      </c>
      <c r="B9" s="316">
        <f>SUM(C9:E9)</f>
        <v>182</v>
      </c>
      <c r="C9" s="317">
        <v>57</v>
      </c>
      <c r="D9" s="317">
        <v>97</v>
      </c>
      <c r="E9" s="318">
        <v>28</v>
      </c>
    </row>
    <row r="10" spans="1:5" x14ac:dyDescent="0.15">
      <c r="A10" s="312" t="s">
        <v>6</v>
      </c>
      <c r="B10" s="316">
        <f t="shared" ref="B10:B23" si="0">SUM(C10:E10)</f>
        <v>470</v>
      </c>
      <c r="C10" s="317">
        <v>137</v>
      </c>
      <c r="D10" s="317">
        <v>302</v>
      </c>
      <c r="E10" s="318">
        <v>31</v>
      </c>
    </row>
    <row r="11" spans="1:5" ht="11.25" x14ac:dyDescent="0.15">
      <c r="A11" s="319" t="s">
        <v>1307</v>
      </c>
      <c r="B11" s="316">
        <f t="shared" si="0"/>
        <v>149</v>
      </c>
      <c r="C11" s="317">
        <v>54</v>
      </c>
      <c r="D11" s="317">
        <v>73</v>
      </c>
      <c r="E11" s="318">
        <v>22</v>
      </c>
    </row>
    <row r="12" spans="1:5" x14ac:dyDescent="0.15">
      <c r="A12" s="319" t="s">
        <v>8</v>
      </c>
      <c r="B12" s="316">
        <f t="shared" si="0"/>
        <v>59</v>
      </c>
      <c r="C12" s="317">
        <v>43</v>
      </c>
      <c r="D12" s="317">
        <v>8</v>
      </c>
      <c r="E12" s="318">
        <v>8</v>
      </c>
    </row>
    <row r="13" spans="1:5" x14ac:dyDescent="0.15">
      <c r="A13" s="319" t="s">
        <v>9</v>
      </c>
      <c r="B13" s="316">
        <f t="shared" si="0"/>
        <v>153</v>
      </c>
      <c r="C13" s="317">
        <v>112</v>
      </c>
      <c r="D13" s="317">
        <v>37</v>
      </c>
      <c r="E13" s="318">
        <v>4</v>
      </c>
    </row>
    <row r="14" spans="1:5" x14ac:dyDescent="0.15">
      <c r="A14" s="319" t="s">
        <v>10</v>
      </c>
      <c r="B14" s="316">
        <f t="shared" si="0"/>
        <v>173</v>
      </c>
      <c r="C14" s="317">
        <v>117</v>
      </c>
      <c r="D14" s="317">
        <v>34</v>
      </c>
      <c r="E14" s="318">
        <v>22</v>
      </c>
    </row>
    <row r="15" spans="1:5" x14ac:dyDescent="0.15">
      <c r="A15" s="319" t="s">
        <v>11</v>
      </c>
      <c r="B15" s="316">
        <f t="shared" si="0"/>
        <v>363</v>
      </c>
      <c r="C15" s="317">
        <v>264</v>
      </c>
      <c r="D15" s="317">
        <v>93</v>
      </c>
      <c r="E15" s="318">
        <v>6</v>
      </c>
    </row>
    <row r="16" spans="1:5" x14ac:dyDescent="0.15">
      <c r="A16" s="319" t="s">
        <v>12</v>
      </c>
      <c r="B16" s="316">
        <f t="shared" si="0"/>
        <v>186</v>
      </c>
      <c r="C16" s="317">
        <v>93</v>
      </c>
      <c r="D16" s="317">
        <v>54</v>
      </c>
      <c r="E16" s="318">
        <v>39</v>
      </c>
    </row>
    <row r="17" spans="1:5" ht="11.25" x14ac:dyDescent="0.15">
      <c r="A17" s="319" t="s">
        <v>1308</v>
      </c>
      <c r="B17" s="316">
        <f t="shared" si="0"/>
        <v>795</v>
      </c>
      <c r="C17" s="317">
        <v>108</v>
      </c>
      <c r="D17" s="317">
        <v>111</v>
      </c>
      <c r="E17" s="318">
        <v>576</v>
      </c>
    </row>
    <row r="18" spans="1:5" x14ac:dyDescent="0.15">
      <c r="A18" s="319" t="s">
        <v>14</v>
      </c>
      <c r="B18" s="316">
        <f t="shared" si="0"/>
        <v>1059</v>
      </c>
      <c r="C18" s="317">
        <v>184</v>
      </c>
      <c r="D18" s="317">
        <v>294</v>
      </c>
      <c r="E18" s="318">
        <v>581</v>
      </c>
    </row>
    <row r="19" spans="1:5" x14ac:dyDescent="0.15">
      <c r="A19" s="319" t="s">
        <v>15</v>
      </c>
      <c r="B19" s="316">
        <f t="shared" si="0"/>
        <v>1572</v>
      </c>
      <c r="C19" s="317">
        <v>138</v>
      </c>
      <c r="D19" s="317">
        <v>229</v>
      </c>
      <c r="E19" s="318">
        <v>1205</v>
      </c>
    </row>
    <row r="20" spans="1:5" x14ac:dyDescent="0.15">
      <c r="A20" s="312" t="s">
        <v>16</v>
      </c>
      <c r="B20" s="316">
        <f t="shared" si="0"/>
        <v>654</v>
      </c>
      <c r="C20" s="317">
        <v>78</v>
      </c>
      <c r="D20" s="317">
        <v>145</v>
      </c>
      <c r="E20" s="318">
        <v>431</v>
      </c>
    </row>
    <row r="21" spans="1:5" x14ac:dyDescent="0.15">
      <c r="A21" s="312" t="s">
        <v>17</v>
      </c>
      <c r="B21" s="316">
        <f t="shared" si="0"/>
        <v>1143</v>
      </c>
      <c r="C21" s="317">
        <v>121</v>
      </c>
      <c r="D21" s="317">
        <v>254</v>
      </c>
      <c r="E21" s="318">
        <v>768</v>
      </c>
    </row>
    <row r="22" spans="1:5" x14ac:dyDescent="0.15">
      <c r="A22" s="312" t="s">
        <v>18</v>
      </c>
      <c r="B22" s="316">
        <f t="shared" si="0"/>
        <v>98</v>
      </c>
      <c r="C22" s="317">
        <v>42</v>
      </c>
      <c r="D22" s="317">
        <v>17</v>
      </c>
      <c r="E22" s="318">
        <v>39</v>
      </c>
    </row>
    <row r="23" spans="1:5" x14ac:dyDescent="0.15">
      <c r="A23" s="312" t="s">
        <v>19</v>
      </c>
      <c r="B23" s="316">
        <f t="shared" si="0"/>
        <v>40</v>
      </c>
      <c r="C23" s="317">
        <v>25</v>
      </c>
      <c r="D23" s="317">
        <v>7</v>
      </c>
      <c r="E23" s="318">
        <v>8</v>
      </c>
    </row>
    <row r="25" spans="1:5" ht="45" customHeight="1" x14ac:dyDescent="0.15">
      <c r="A25" s="2572" t="s">
        <v>1309</v>
      </c>
      <c r="B25" s="2572"/>
      <c r="C25" s="2572"/>
      <c r="D25" s="2572"/>
      <c r="E25" s="2572"/>
    </row>
    <row r="26" spans="1:5" ht="31.5" customHeight="1" x14ac:dyDescent="0.15">
      <c r="A26" s="2573" t="s">
        <v>1310</v>
      </c>
      <c r="B26" s="2573"/>
      <c r="C26" s="2573"/>
      <c r="D26" s="2573"/>
      <c r="E26" s="2573"/>
    </row>
    <row r="27" spans="1:5" ht="31.5" customHeight="1" x14ac:dyDescent="0.15">
      <c r="A27" s="2574" t="s">
        <v>1311</v>
      </c>
      <c r="B27" s="2574"/>
      <c r="C27" s="2574"/>
      <c r="D27" s="2574"/>
      <c r="E27" s="2574"/>
    </row>
    <row r="28" spans="1:5" x14ac:dyDescent="0.15">
      <c r="D28" s="92"/>
      <c r="E28" s="92"/>
    </row>
    <row r="31" spans="1:5" ht="10.5" customHeight="1" x14ac:dyDescent="0.15"/>
    <row r="32" spans="1:5" ht="10.5" customHeight="1" x14ac:dyDescent="0.15"/>
    <row r="33" ht="10.5" customHeight="1" x14ac:dyDescent="0.15"/>
  </sheetData>
  <mergeCells count="10">
    <mergeCell ref="A25:E25"/>
    <mergeCell ref="A26:E26"/>
    <mergeCell ref="A27:E27"/>
    <mergeCell ref="A2:E2"/>
    <mergeCell ref="A4:A7"/>
    <mergeCell ref="B4:E4"/>
    <mergeCell ref="B5:B7"/>
    <mergeCell ref="C5:C7"/>
    <mergeCell ref="D5:D7"/>
    <mergeCell ref="E5:E7"/>
  </mergeCells>
  <pageMargins left="0.7" right="0.7" top="0.75" bottom="0.75" header="0.3" footer="0.3"/>
  <pageSetup paperSize="1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P25"/>
  <sheetViews>
    <sheetView zoomScaleNormal="100" workbookViewId="0">
      <selection activeCell="C32" sqref="C32"/>
    </sheetView>
  </sheetViews>
  <sheetFormatPr baseColWidth="10" defaultRowHeight="10.5" x14ac:dyDescent="0.15"/>
  <cols>
    <col min="1" max="1" width="19.85546875" style="313" customWidth="1"/>
    <col min="2" max="2" width="11.42578125" style="313"/>
    <col min="3" max="3" width="12.28515625" style="313" customWidth="1"/>
    <col min="4" max="11" width="11.42578125" style="313"/>
    <col min="12" max="12" width="14" style="313" customWidth="1"/>
    <col min="13" max="15" width="11.42578125" style="313"/>
    <col min="16" max="16" width="16.140625" style="313" customWidth="1"/>
    <col min="17" max="17" width="30.140625" style="313" bestFit="1" customWidth="1"/>
    <col min="18" max="16384" width="11.42578125" style="313"/>
  </cols>
  <sheetData>
    <row r="1" spans="1:16" x14ac:dyDescent="0.15">
      <c r="A1" s="320"/>
      <c r="B1" s="321"/>
      <c r="C1" s="321"/>
      <c r="D1" s="321"/>
      <c r="E1" s="321"/>
      <c r="F1" s="321"/>
      <c r="G1" s="321"/>
      <c r="H1" s="321"/>
      <c r="I1" s="321"/>
      <c r="J1" s="321"/>
      <c r="K1" s="321"/>
      <c r="L1" s="321"/>
      <c r="M1" s="321"/>
      <c r="N1" s="321"/>
      <c r="O1" s="321"/>
    </row>
    <row r="2" spans="1:16" ht="22.5" customHeight="1" x14ac:dyDescent="0.15">
      <c r="A2" s="2588" t="s">
        <v>1312</v>
      </c>
      <c r="B2" s="2588"/>
      <c r="C2" s="2588"/>
      <c r="D2" s="2588"/>
      <c r="E2" s="2588"/>
      <c r="F2" s="2588"/>
      <c r="G2" s="2588"/>
      <c r="H2" s="2588"/>
      <c r="I2" s="2588"/>
      <c r="J2" s="2588"/>
      <c r="K2" s="2588"/>
      <c r="L2" s="2588"/>
      <c r="M2" s="322"/>
      <c r="N2" s="322"/>
      <c r="O2" s="322"/>
      <c r="P2" s="322"/>
    </row>
    <row r="3" spans="1:16" ht="9" customHeight="1" x14ac:dyDescent="0.15">
      <c r="A3" s="321"/>
      <c r="B3" s="321"/>
      <c r="C3" s="321"/>
      <c r="D3" s="321"/>
      <c r="E3" s="321"/>
      <c r="F3" s="321"/>
      <c r="G3" s="321"/>
      <c r="H3" s="321"/>
      <c r="I3" s="321"/>
      <c r="J3" s="321"/>
      <c r="K3" s="321"/>
      <c r="L3" s="321"/>
      <c r="M3" s="321"/>
      <c r="N3" s="321"/>
      <c r="O3" s="321"/>
    </row>
    <row r="4" spans="1:16" ht="24" customHeight="1" x14ac:dyDescent="0.15">
      <c r="A4" s="2589" t="s">
        <v>1</v>
      </c>
      <c r="B4" s="2585" t="s">
        <v>69</v>
      </c>
      <c r="C4" s="2590" t="s">
        <v>1313</v>
      </c>
      <c r="D4" s="2591"/>
      <c r="E4" s="2591"/>
      <c r="F4" s="2591"/>
      <c r="G4" s="2591"/>
      <c r="H4" s="2591"/>
      <c r="I4" s="2591"/>
      <c r="J4" s="2591"/>
      <c r="K4" s="2591"/>
      <c r="L4" s="323"/>
    </row>
    <row r="5" spans="1:16" ht="50.25" customHeight="1" x14ac:dyDescent="0.15">
      <c r="A5" s="2589"/>
      <c r="B5" s="2587"/>
      <c r="C5" s="324" t="s">
        <v>1314</v>
      </c>
      <c r="D5" s="324" t="s">
        <v>1315</v>
      </c>
      <c r="E5" s="324" t="s">
        <v>1316</v>
      </c>
      <c r="F5" s="324" t="s">
        <v>1317</v>
      </c>
      <c r="G5" s="324" t="s">
        <v>1318</v>
      </c>
      <c r="H5" s="324" t="s">
        <v>1319</v>
      </c>
      <c r="I5" s="324" t="s">
        <v>1320</v>
      </c>
      <c r="J5" s="324" t="s">
        <v>1321</v>
      </c>
      <c r="K5" s="324" t="s">
        <v>1322</v>
      </c>
      <c r="L5" s="324" t="s">
        <v>1323</v>
      </c>
    </row>
    <row r="6" spans="1:16" x14ac:dyDescent="0.15">
      <c r="A6" s="325" t="s">
        <v>141</v>
      </c>
      <c r="B6" s="326">
        <f>SUM(B7:B21)</f>
        <v>1573</v>
      </c>
      <c r="C6" s="326">
        <f t="shared" ref="C6:L6" si="0">SUM(C7:C21)</f>
        <v>36</v>
      </c>
      <c r="D6" s="326">
        <f t="shared" si="0"/>
        <v>167</v>
      </c>
      <c r="E6" s="326">
        <f t="shared" si="0"/>
        <v>5</v>
      </c>
      <c r="F6" s="326">
        <f t="shared" si="0"/>
        <v>28</v>
      </c>
      <c r="G6" s="326">
        <f t="shared" si="0"/>
        <v>6</v>
      </c>
      <c r="H6" s="326">
        <f t="shared" si="0"/>
        <v>262</v>
      </c>
      <c r="I6" s="326">
        <f t="shared" si="0"/>
        <v>5</v>
      </c>
      <c r="J6" s="326">
        <f t="shared" si="0"/>
        <v>10</v>
      </c>
      <c r="K6" s="326">
        <f t="shared" si="0"/>
        <v>4</v>
      </c>
      <c r="L6" s="326">
        <f t="shared" si="0"/>
        <v>1050</v>
      </c>
      <c r="M6" s="327"/>
    </row>
    <row r="7" spans="1:16" x14ac:dyDescent="0.15">
      <c r="A7" s="319" t="s">
        <v>5</v>
      </c>
      <c r="B7" s="326">
        <f>SUM(C7:L7)</f>
        <v>57</v>
      </c>
      <c r="C7" s="328">
        <v>0</v>
      </c>
      <c r="D7" s="328">
        <v>39</v>
      </c>
      <c r="E7" s="328">
        <v>0</v>
      </c>
      <c r="F7" s="328">
        <v>0</v>
      </c>
      <c r="G7" s="328">
        <v>0</v>
      </c>
      <c r="H7" s="328">
        <v>0</v>
      </c>
      <c r="I7" s="328">
        <v>0</v>
      </c>
      <c r="J7" s="328">
        <v>0</v>
      </c>
      <c r="K7" s="328">
        <v>0</v>
      </c>
      <c r="L7" s="328">
        <v>18</v>
      </c>
    </row>
    <row r="8" spans="1:16" x14ac:dyDescent="0.15">
      <c r="A8" s="319" t="s">
        <v>6</v>
      </c>
      <c r="B8" s="326">
        <f t="shared" ref="B8:B21" si="1">SUM(C8:L8)</f>
        <v>137</v>
      </c>
      <c r="C8" s="328">
        <v>0</v>
      </c>
      <c r="D8" s="328">
        <v>120</v>
      </c>
      <c r="E8" s="328">
        <v>0</v>
      </c>
      <c r="F8" s="328">
        <v>0</v>
      </c>
      <c r="G8" s="328">
        <v>0</v>
      </c>
      <c r="H8" s="328">
        <v>2</v>
      </c>
      <c r="I8" s="328">
        <v>1</v>
      </c>
      <c r="J8" s="328">
        <v>0</v>
      </c>
      <c r="K8" s="328">
        <v>0</v>
      </c>
      <c r="L8" s="328">
        <v>14</v>
      </c>
    </row>
    <row r="9" spans="1:16" x14ac:dyDescent="0.15">
      <c r="A9" s="319" t="s">
        <v>7</v>
      </c>
      <c r="B9" s="326">
        <f t="shared" si="1"/>
        <v>54</v>
      </c>
      <c r="C9" s="328">
        <v>23</v>
      </c>
      <c r="D9" s="328">
        <v>1</v>
      </c>
      <c r="E9" s="328">
        <v>1</v>
      </c>
      <c r="F9" s="328">
        <v>0</v>
      </c>
      <c r="G9" s="328">
        <v>0</v>
      </c>
      <c r="H9" s="328">
        <v>5</v>
      </c>
      <c r="I9" s="328">
        <v>1</v>
      </c>
      <c r="J9" s="328">
        <v>1</v>
      </c>
      <c r="K9" s="328">
        <v>0</v>
      </c>
      <c r="L9" s="328">
        <v>22</v>
      </c>
    </row>
    <row r="10" spans="1:16" x14ac:dyDescent="0.15">
      <c r="A10" s="319" t="s">
        <v>8</v>
      </c>
      <c r="B10" s="326">
        <f t="shared" si="1"/>
        <v>43</v>
      </c>
      <c r="C10" s="328">
        <v>1</v>
      </c>
      <c r="D10" s="328">
        <v>0</v>
      </c>
      <c r="E10" s="328">
        <v>4</v>
      </c>
      <c r="F10" s="328">
        <v>11</v>
      </c>
      <c r="G10" s="328">
        <v>0</v>
      </c>
      <c r="H10" s="328">
        <v>0</v>
      </c>
      <c r="I10" s="328">
        <v>0</v>
      </c>
      <c r="J10" s="328">
        <v>0</v>
      </c>
      <c r="K10" s="328">
        <v>0</v>
      </c>
      <c r="L10" s="328">
        <v>27</v>
      </c>
    </row>
    <row r="11" spans="1:16" x14ac:dyDescent="0.15">
      <c r="A11" s="319" t="s">
        <v>9</v>
      </c>
      <c r="B11" s="326">
        <f t="shared" si="1"/>
        <v>112</v>
      </c>
      <c r="C11" s="328">
        <v>3</v>
      </c>
      <c r="D11" s="328">
        <v>1</v>
      </c>
      <c r="E11" s="328">
        <v>0</v>
      </c>
      <c r="F11" s="328">
        <v>8</v>
      </c>
      <c r="G11" s="328">
        <v>0</v>
      </c>
      <c r="H11" s="328">
        <v>6</v>
      </c>
      <c r="I11" s="328">
        <v>0</v>
      </c>
      <c r="J11" s="328">
        <v>0</v>
      </c>
      <c r="K11" s="328">
        <v>0</v>
      </c>
      <c r="L11" s="328">
        <v>94</v>
      </c>
    </row>
    <row r="12" spans="1:16" x14ac:dyDescent="0.15">
      <c r="A12" s="319" t="s">
        <v>10</v>
      </c>
      <c r="B12" s="326">
        <f t="shared" si="1"/>
        <v>117</v>
      </c>
      <c r="C12" s="328">
        <v>4</v>
      </c>
      <c r="D12" s="328">
        <v>1</v>
      </c>
      <c r="E12" s="328">
        <v>0</v>
      </c>
      <c r="F12" s="328">
        <v>4</v>
      </c>
      <c r="G12" s="328">
        <v>0</v>
      </c>
      <c r="H12" s="328">
        <v>10</v>
      </c>
      <c r="I12" s="328">
        <v>1</v>
      </c>
      <c r="J12" s="328">
        <v>1</v>
      </c>
      <c r="K12" s="328">
        <v>0</v>
      </c>
      <c r="L12" s="328">
        <v>96</v>
      </c>
    </row>
    <row r="13" spans="1:16" x14ac:dyDescent="0.15">
      <c r="A13" s="319" t="s">
        <v>11</v>
      </c>
      <c r="B13" s="326">
        <f t="shared" si="1"/>
        <v>264</v>
      </c>
      <c r="C13" s="328">
        <v>2</v>
      </c>
      <c r="D13" s="328">
        <v>5</v>
      </c>
      <c r="E13" s="328">
        <v>0</v>
      </c>
      <c r="F13" s="328">
        <v>5</v>
      </c>
      <c r="G13" s="328">
        <v>3</v>
      </c>
      <c r="H13" s="328">
        <v>25</v>
      </c>
      <c r="I13" s="328">
        <v>1</v>
      </c>
      <c r="J13" s="328">
        <v>6</v>
      </c>
      <c r="K13" s="328">
        <v>0</v>
      </c>
      <c r="L13" s="328">
        <v>217</v>
      </c>
    </row>
    <row r="14" spans="1:16" x14ac:dyDescent="0.15">
      <c r="A14" s="319" t="s">
        <v>12</v>
      </c>
      <c r="B14" s="326">
        <f t="shared" si="1"/>
        <v>93</v>
      </c>
      <c r="C14" s="328">
        <v>0</v>
      </c>
      <c r="D14" s="328">
        <v>0</v>
      </c>
      <c r="E14" s="328">
        <v>0</v>
      </c>
      <c r="F14" s="328">
        <v>0</v>
      </c>
      <c r="G14" s="328">
        <v>0</v>
      </c>
      <c r="H14" s="328">
        <v>3</v>
      </c>
      <c r="I14" s="328">
        <v>0</v>
      </c>
      <c r="J14" s="328">
        <v>1</v>
      </c>
      <c r="K14" s="328">
        <v>0</v>
      </c>
      <c r="L14" s="328">
        <v>89</v>
      </c>
    </row>
    <row r="15" spans="1:16" x14ac:dyDescent="0.15">
      <c r="A15" s="319" t="s">
        <v>13</v>
      </c>
      <c r="B15" s="326">
        <f t="shared" si="1"/>
        <v>108</v>
      </c>
      <c r="C15" s="328">
        <v>1</v>
      </c>
      <c r="D15" s="328">
        <v>0</v>
      </c>
      <c r="E15" s="328">
        <v>0</v>
      </c>
      <c r="F15" s="328">
        <v>0</v>
      </c>
      <c r="G15" s="328">
        <v>0</v>
      </c>
      <c r="H15" s="328">
        <v>0</v>
      </c>
      <c r="I15" s="328">
        <v>0</v>
      </c>
      <c r="J15" s="328">
        <v>0</v>
      </c>
      <c r="K15" s="328">
        <v>0</v>
      </c>
      <c r="L15" s="328">
        <v>107</v>
      </c>
    </row>
    <row r="16" spans="1:16" x14ac:dyDescent="0.15">
      <c r="A16" s="319" t="s">
        <v>14</v>
      </c>
      <c r="B16" s="326">
        <f t="shared" si="1"/>
        <v>184</v>
      </c>
      <c r="C16" s="328">
        <v>0</v>
      </c>
      <c r="D16" s="328">
        <v>0</v>
      </c>
      <c r="E16" s="328">
        <v>0</v>
      </c>
      <c r="F16" s="328">
        <v>0</v>
      </c>
      <c r="G16" s="328">
        <v>0</v>
      </c>
      <c r="H16" s="328">
        <v>30</v>
      </c>
      <c r="I16" s="328">
        <v>0</v>
      </c>
      <c r="J16" s="328">
        <v>1</v>
      </c>
      <c r="K16" s="328">
        <v>0</v>
      </c>
      <c r="L16" s="328">
        <v>153</v>
      </c>
    </row>
    <row r="17" spans="1:16" x14ac:dyDescent="0.15">
      <c r="A17" s="319" t="s">
        <v>15</v>
      </c>
      <c r="B17" s="326">
        <f t="shared" si="1"/>
        <v>138</v>
      </c>
      <c r="C17" s="328">
        <v>1</v>
      </c>
      <c r="D17" s="328">
        <v>0</v>
      </c>
      <c r="E17" s="328">
        <v>0</v>
      </c>
      <c r="F17" s="328">
        <v>0</v>
      </c>
      <c r="G17" s="328">
        <v>2</v>
      </c>
      <c r="H17" s="328">
        <v>100</v>
      </c>
      <c r="I17" s="328">
        <v>0</v>
      </c>
      <c r="J17" s="328">
        <v>0</v>
      </c>
      <c r="K17" s="328">
        <v>0</v>
      </c>
      <c r="L17" s="328">
        <v>35</v>
      </c>
    </row>
    <row r="18" spans="1:16" x14ac:dyDescent="0.15">
      <c r="A18" s="319" t="s">
        <v>16</v>
      </c>
      <c r="B18" s="326">
        <f t="shared" si="1"/>
        <v>78</v>
      </c>
      <c r="C18" s="328">
        <v>0</v>
      </c>
      <c r="D18" s="328">
        <v>0</v>
      </c>
      <c r="E18" s="328">
        <v>0</v>
      </c>
      <c r="F18" s="328">
        <v>0</v>
      </c>
      <c r="G18" s="328">
        <v>0</v>
      </c>
      <c r="H18" s="328">
        <v>38</v>
      </c>
      <c r="I18" s="328">
        <v>0</v>
      </c>
      <c r="J18" s="328">
        <v>0</v>
      </c>
      <c r="K18" s="328">
        <v>0</v>
      </c>
      <c r="L18" s="328">
        <v>40</v>
      </c>
    </row>
    <row r="19" spans="1:16" x14ac:dyDescent="0.15">
      <c r="A19" s="319" t="s">
        <v>17</v>
      </c>
      <c r="B19" s="326">
        <f t="shared" si="1"/>
        <v>121</v>
      </c>
      <c r="C19" s="328">
        <v>1</v>
      </c>
      <c r="D19" s="328">
        <v>0</v>
      </c>
      <c r="E19" s="328">
        <v>0</v>
      </c>
      <c r="F19" s="328">
        <v>0</v>
      </c>
      <c r="G19" s="328">
        <v>0</v>
      </c>
      <c r="H19" s="328">
        <v>27</v>
      </c>
      <c r="I19" s="328">
        <v>1</v>
      </c>
      <c r="J19" s="328">
        <v>0</v>
      </c>
      <c r="K19" s="328">
        <v>0</v>
      </c>
      <c r="L19" s="328">
        <v>92</v>
      </c>
    </row>
    <row r="20" spans="1:16" x14ac:dyDescent="0.15">
      <c r="A20" s="319" t="s">
        <v>18</v>
      </c>
      <c r="B20" s="326">
        <f t="shared" si="1"/>
        <v>42</v>
      </c>
      <c r="C20" s="328">
        <v>0</v>
      </c>
      <c r="D20" s="328">
        <v>0</v>
      </c>
      <c r="E20" s="328">
        <v>0</v>
      </c>
      <c r="F20" s="328">
        <v>0</v>
      </c>
      <c r="G20" s="328">
        <v>0</v>
      </c>
      <c r="H20" s="328">
        <v>12</v>
      </c>
      <c r="I20" s="328">
        <v>0</v>
      </c>
      <c r="J20" s="328">
        <v>0</v>
      </c>
      <c r="K20" s="328">
        <v>0</v>
      </c>
      <c r="L20" s="328">
        <v>30</v>
      </c>
    </row>
    <row r="21" spans="1:16" x14ac:dyDescent="0.15">
      <c r="A21" s="319" t="s">
        <v>19</v>
      </c>
      <c r="B21" s="326">
        <f t="shared" si="1"/>
        <v>25</v>
      </c>
      <c r="C21" s="328">
        <v>0</v>
      </c>
      <c r="D21" s="328">
        <v>0</v>
      </c>
      <c r="E21" s="328">
        <v>0</v>
      </c>
      <c r="F21" s="328">
        <v>0</v>
      </c>
      <c r="G21" s="328">
        <v>1</v>
      </c>
      <c r="H21" s="328">
        <v>4</v>
      </c>
      <c r="I21" s="328">
        <v>0</v>
      </c>
      <c r="J21" s="328">
        <v>0</v>
      </c>
      <c r="K21" s="328">
        <v>4</v>
      </c>
      <c r="L21" s="328">
        <v>16</v>
      </c>
    </row>
    <row r="22" spans="1:16" x14ac:dyDescent="0.15">
      <c r="A22" s="319"/>
      <c r="B22" s="329"/>
      <c r="C22" s="329"/>
      <c r="D22" s="329"/>
      <c r="E22" s="329"/>
      <c r="F22" s="329"/>
      <c r="G22" s="329"/>
      <c r="H22" s="329"/>
      <c r="I22" s="329"/>
      <c r="J22" s="329"/>
      <c r="K22" s="329"/>
      <c r="L22" s="329"/>
      <c r="M22" s="329"/>
      <c r="N22" s="329"/>
      <c r="O22" s="329"/>
      <c r="P22" s="330"/>
    </row>
    <row r="23" spans="1:16" x14ac:dyDescent="0.15">
      <c r="A23" s="1" t="s">
        <v>20</v>
      </c>
    </row>
    <row r="24" spans="1:16" ht="12.75" customHeight="1" x14ac:dyDescent="0.15">
      <c r="A24" s="2592" t="s">
        <v>1324</v>
      </c>
      <c r="B24" s="2592"/>
      <c r="C24" s="2592"/>
      <c r="D24" s="2592"/>
      <c r="E24" s="2592"/>
      <c r="F24" s="2592"/>
      <c r="G24" s="2592"/>
      <c r="H24" s="2592"/>
      <c r="I24" s="2592"/>
      <c r="J24" s="2592"/>
      <c r="K24" s="2592"/>
      <c r="L24" s="2592"/>
      <c r="M24" s="2592"/>
      <c r="N24" s="2592"/>
      <c r="O24" s="2592"/>
    </row>
    <row r="25" spans="1:16" x14ac:dyDescent="0.15">
      <c r="D25" s="331"/>
    </row>
  </sheetData>
  <mergeCells count="5">
    <mergeCell ref="A2:L2"/>
    <mergeCell ref="A4:A5"/>
    <mergeCell ref="B4:B5"/>
    <mergeCell ref="C4:K4"/>
    <mergeCell ref="A24:O24"/>
  </mergeCells>
  <pageMargins left="0.7" right="0.7" top="0.75" bottom="0.75" header="0.3" footer="0.3"/>
  <pageSetup paperSize="14"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13"/>
  <sheetViews>
    <sheetView workbookViewId="0">
      <selection activeCell="A2" sqref="A2:F2"/>
    </sheetView>
  </sheetViews>
  <sheetFormatPr baseColWidth="10" defaultColWidth="11.42578125" defaultRowHeight="10.5" x14ac:dyDescent="0.15"/>
  <cols>
    <col min="1" max="1" width="38.140625" style="1" customWidth="1"/>
    <col min="2" max="16384" width="11.42578125" style="1"/>
  </cols>
  <sheetData>
    <row r="1" spans="1:6" x14ac:dyDescent="0.15">
      <c r="A1" s="58"/>
    </row>
    <row r="2" spans="1:6" s="29" customFormat="1" ht="22.5" customHeight="1" x14ac:dyDescent="0.15">
      <c r="A2" s="2319" t="s">
        <v>61</v>
      </c>
      <c r="B2" s="2319"/>
      <c r="C2" s="2319"/>
      <c r="D2" s="2319"/>
      <c r="E2" s="2319"/>
      <c r="F2" s="2319"/>
    </row>
    <row r="3" spans="1:6" ht="10.5" customHeight="1" x14ac:dyDescent="0.15">
      <c r="A3" s="2305"/>
      <c r="B3" s="2305"/>
      <c r="C3" s="2305"/>
      <c r="D3" s="2305"/>
      <c r="E3" s="2305"/>
      <c r="F3" s="2305"/>
    </row>
    <row r="4" spans="1:6" x14ac:dyDescent="0.15">
      <c r="A4" s="2320" t="s">
        <v>62</v>
      </c>
      <c r="B4" s="2306" t="s">
        <v>2</v>
      </c>
      <c r="C4" s="2306"/>
      <c r="D4" s="2306"/>
      <c r="E4" s="2306"/>
      <c r="F4" s="2306"/>
    </row>
    <row r="5" spans="1:6" ht="15" customHeight="1" x14ac:dyDescent="0.15">
      <c r="A5" s="2321"/>
      <c r="B5" s="2">
        <v>2011</v>
      </c>
      <c r="C5" s="2">
        <v>2012</v>
      </c>
      <c r="D5" s="2">
        <v>2013</v>
      </c>
      <c r="E5" s="2">
        <v>2014</v>
      </c>
      <c r="F5" s="59">
        <v>2015</v>
      </c>
    </row>
    <row r="6" spans="1:6" ht="42" x14ac:dyDescent="0.15">
      <c r="A6" s="60" t="s">
        <v>63</v>
      </c>
      <c r="B6" s="32">
        <v>43</v>
      </c>
      <c r="C6" s="32">
        <v>36</v>
      </c>
      <c r="D6" s="32">
        <v>26</v>
      </c>
      <c r="E6" s="61">
        <v>41</v>
      </c>
      <c r="F6" s="61">
        <v>43</v>
      </c>
    </row>
    <row r="7" spans="1:6" x14ac:dyDescent="0.15">
      <c r="A7" s="60" t="s">
        <v>64</v>
      </c>
      <c r="B7" s="32">
        <v>97</v>
      </c>
      <c r="C7" s="32">
        <v>92</v>
      </c>
      <c r="D7" s="32">
        <v>88</v>
      </c>
      <c r="E7" s="61">
        <v>92</v>
      </c>
      <c r="F7" s="61">
        <v>92</v>
      </c>
    </row>
    <row r="8" spans="1:6" ht="21" x14ac:dyDescent="0.15">
      <c r="A8" s="60" t="s">
        <v>65</v>
      </c>
      <c r="B8" s="32">
        <v>76</v>
      </c>
      <c r="C8" s="32">
        <v>66</v>
      </c>
      <c r="D8" s="32">
        <v>89</v>
      </c>
      <c r="E8" s="61">
        <v>95</v>
      </c>
      <c r="F8" s="61">
        <v>141</v>
      </c>
    </row>
    <row r="9" spans="1:6" x14ac:dyDescent="0.15">
      <c r="A9" s="60" t="s">
        <v>66</v>
      </c>
      <c r="B9" s="32">
        <v>980</v>
      </c>
      <c r="C9" s="32">
        <v>1576</v>
      </c>
      <c r="D9" s="32">
        <v>2698</v>
      </c>
      <c r="E9" s="61">
        <v>2528</v>
      </c>
      <c r="F9" s="61">
        <v>1731</v>
      </c>
    </row>
    <row r="11" spans="1:6" x14ac:dyDescent="0.15">
      <c r="A11" s="62" t="s">
        <v>21</v>
      </c>
      <c r="B11" s="62"/>
      <c r="C11" s="62"/>
      <c r="D11" s="62"/>
    </row>
    <row r="13" spans="1:6" x14ac:dyDescent="0.15">
      <c r="A13" s="16"/>
      <c r="B13" s="16"/>
      <c r="C13" s="16"/>
      <c r="D13" s="16"/>
      <c r="E13" s="16"/>
    </row>
  </sheetData>
  <mergeCells count="4">
    <mergeCell ref="A2:F2"/>
    <mergeCell ref="A3:F3"/>
    <mergeCell ref="A4:A5"/>
    <mergeCell ref="B4:F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Q27"/>
  <sheetViews>
    <sheetView zoomScaleNormal="100" workbookViewId="0">
      <selection activeCell="A2" sqref="A2:Q2"/>
    </sheetView>
  </sheetViews>
  <sheetFormatPr baseColWidth="10" defaultRowHeight="10.5" x14ac:dyDescent="0.15"/>
  <cols>
    <col min="1" max="1" width="17.7109375" style="321" customWidth="1"/>
    <col min="2" max="2" width="10.42578125" style="321" customWidth="1"/>
    <col min="3" max="6" width="11.42578125" style="321"/>
    <col min="7" max="7" width="14.28515625" style="321" customWidth="1"/>
    <col min="8" max="8" width="13" style="321" customWidth="1"/>
    <col min="9" max="10" width="11.42578125" style="321"/>
    <col min="11" max="11" width="13.7109375" style="321" customWidth="1"/>
    <col min="12" max="12" width="13.85546875" style="321" customWidth="1"/>
    <col min="13" max="13" width="9.5703125" style="321" customWidth="1"/>
    <col min="14" max="16384" width="11.42578125" style="321"/>
  </cols>
  <sheetData>
    <row r="2" spans="1:17" ht="15" customHeight="1" x14ac:dyDescent="0.15">
      <c r="A2" s="2594" t="s">
        <v>1325</v>
      </c>
      <c r="B2" s="2594"/>
      <c r="C2" s="2594"/>
      <c r="D2" s="2594"/>
      <c r="E2" s="2594"/>
      <c r="F2" s="2594"/>
      <c r="G2" s="2594"/>
      <c r="H2" s="2594"/>
      <c r="I2" s="2594"/>
      <c r="J2" s="2594"/>
      <c r="K2" s="2594"/>
      <c r="L2" s="2594"/>
      <c r="M2" s="2594"/>
      <c r="N2" s="2594"/>
      <c r="O2" s="2594"/>
      <c r="P2" s="2594"/>
      <c r="Q2" s="2594"/>
    </row>
    <row r="4" spans="1:17" ht="15.75" customHeight="1" x14ac:dyDescent="0.15">
      <c r="A4" s="2589" t="s">
        <v>1</v>
      </c>
      <c r="B4" s="2585" t="s">
        <v>69</v>
      </c>
      <c r="C4" s="2590" t="s">
        <v>1326</v>
      </c>
      <c r="D4" s="2591"/>
      <c r="E4" s="2591"/>
      <c r="F4" s="2591"/>
      <c r="G4" s="2591"/>
      <c r="H4" s="2591"/>
      <c r="I4" s="2591"/>
      <c r="J4" s="2591"/>
      <c r="K4" s="2591"/>
      <c r="L4" s="2591"/>
      <c r="M4" s="2591"/>
      <c r="N4" s="2591"/>
      <c r="O4" s="2591"/>
      <c r="P4" s="2591"/>
      <c r="Q4" s="2595"/>
    </row>
    <row r="5" spans="1:17" ht="44.25" customHeight="1" x14ac:dyDescent="0.15">
      <c r="A5" s="2589"/>
      <c r="B5" s="2587"/>
      <c r="C5" s="324" t="s">
        <v>1327</v>
      </c>
      <c r="D5" s="324" t="s">
        <v>1328</v>
      </c>
      <c r="E5" s="324" t="s">
        <v>1329</v>
      </c>
      <c r="F5" s="324" t="s">
        <v>1330</v>
      </c>
      <c r="G5" s="324" t="s">
        <v>1331</v>
      </c>
      <c r="H5" s="324" t="s">
        <v>1332</v>
      </c>
      <c r="I5" s="324" t="s">
        <v>1333</v>
      </c>
      <c r="J5" s="324" t="s">
        <v>1334</v>
      </c>
      <c r="K5" s="324" t="s">
        <v>1335</v>
      </c>
      <c r="L5" s="324" t="s">
        <v>1336</v>
      </c>
      <c r="M5" s="324" t="s">
        <v>1337</v>
      </c>
      <c r="N5" s="324" t="s">
        <v>1338</v>
      </c>
      <c r="O5" s="324" t="s">
        <v>1339</v>
      </c>
      <c r="P5" s="324" t="s">
        <v>1340</v>
      </c>
      <c r="Q5" s="332" t="s">
        <v>1341</v>
      </c>
    </row>
    <row r="6" spans="1:17" x14ac:dyDescent="0.15">
      <c r="A6" s="325" t="s">
        <v>141</v>
      </c>
      <c r="B6" s="333">
        <f>SUM(B7:B21)</f>
        <v>7095</v>
      </c>
      <c r="C6" s="333">
        <f t="shared" ref="C6:Q6" si="0">SUM(C7:C21)</f>
        <v>394</v>
      </c>
      <c r="D6" s="333">
        <f t="shared" si="0"/>
        <v>48</v>
      </c>
      <c r="E6" s="333">
        <f t="shared" si="0"/>
        <v>759</v>
      </c>
      <c r="F6" s="333">
        <f t="shared" si="0"/>
        <v>409</v>
      </c>
      <c r="G6" s="333">
        <f t="shared" si="0"/>
        <v>6</v>
      </c>
      <c r="H6" s="333">
        <f t="shared" si="0"/>
        <v>153</v>
      </c>
      <c r="I6" s="333">
        <f t="shared" si="0"/>
        <v>3</v>
      </c>
      <c r="J6" s="333">
        <f t="shared" si="0"/>
        <v>21</v>
      </c>
      <c r="K6" s="333">
        <f t="shared" si="0"/>
        <v>15</v>
      </c>
      <c r="L6" s="333">
        <f t="shared" si="0"/>
        <v>3</v>
      </c>
      <c r="M6" s="333">
        <f t="shared" si="0"/>
        <v>642</v>
      </c>
      <c r="N6" s="333">
        <f t="shared" si="0"/>
        <v>4</v>
      </c>
      <c r="O6" s="333">
        <f t="shared" si="0"/>
        <v>4611</v>
      </c>
      <c r="P6" s="333">
        <f t="shared" si="0"/>
        <v>12</v>
      </c>
      <c r="Q6" s="333">
        <f t="shared" si="0"/>
        <v>15</v>
      </c>
    </row>
    <row r="7" spans="1:17" x14ac:dyDescent="0.15">
      <c r="A7" s="319" t="s">
        <v>5</v>
      </c>
      <c r="B7" s="333">
        <f t="shared" ref="B7:B21" si="1">SUM(C7:Q7)</f>
        <v>182</v>
      </c>
      <c r="C7" s="229">
        <v>6</v>
      </c>
      <c r="D7" s="229">
        <v>2</v>
      </c>
      <c r="E7" s="229">
        <v>2</v>
      </c>
      <c r="F7" s="229">
        <v>10</v>
      </c>
      <c r="G7" s="334">
        <v>0</v>
      </c>
      <c r="H7" s="334">
        <v>1</v>
      </c>
      <c r="I7" s="334">
        <v>0</v>
      </c>
      <c r="J7" s="334">
        <v>1</v>
      </c>
      <c r="K7" s="334">
        <v>1</v>
      </c>
      <c r="L7" s="334">
        <v>0</v>
      </c>
      <c r="M7" s="334">
        <v>0</v>
      </c>
      <c r="N7" s="334">
        <v>2</v>
      </c>
      <c r="O7" s="334">
        <v>154</v>
      </c>
      <c r="P7" s="334">
        <v>0</v>
      </c>
      <c r="Q7" s="334">
        <v>3</v>
      </c>
    </row>
    <row r="8" spans="1:17" x14ac:dyDescent="0.15">
      <c r="A8" s="319" t="s">
        <v>6</v>
      </c>
      <c r="B8" s="333">
        <f t="shared" si="1"/>
        <v>470</v>
      </c>
      <c r="C8" s="229">
        <v>2</v>
      </c>
      <c r="D8" s="229">
        <v>1</v>
      </c>
      <c r="E8" s="229">
        <v>2</v>
      </c>
      <c r="F8" s="229">
        <v>3</v>
      </c>
      <c r="G8" s="334">
        <v>0</v>
      </c>
      <c r="H8" s="334">
        <v>1</v>
      </c>
      <c r="I8" s="334">
        <v>0</v>
      </c>
      <c r="J8" s="334">
        <v>0</v>
      </c>
      <c r="K8" s="334">
        <v>0</v>
      </c>
      <c r="L8" s="334">
        <v>0</v>
      </c>
      <c r="M8" s="334">
        <v>5</v>
      </c>
      <c r="N8" s="334">
        <v>0</v>
      </c>
      <c r="O8" s="334">
        <v>456</v>
      </c>
      <c r="P8" s="334">
        <v>0</v>
      </c>
      <c r="Q8" s="334">
        <v>0</v>
      </c>
    </row>
    <row r="9" spans="1:17" x14ac:dyDescent="0.15">
      <c r="A9" s="319" t="s">
        <v>7</v>
      </c>
      <c r="B9" s="333">
        <f t="shared" si="1"/>
        <v>149</v>
      </c>
      <c r="C9" s="229">
        <v>8</v>
      </c>
      <c r="D9" s="229">
        <v>7</v>
      </c>
      <c r="E9" s="229">
        <v>5</v>
      </c>
      <c r="F9" s="229">
        <v>20</v>
      </c>
      <c r="G9" s="334">
        <v>0</v>
      </c>
      <c r="H9" s="334">
        <v>1</v>
      </c>
      <c r="I9" s="334">
        <v>0</v>
      </c>
      <c r="J9" s="334">
        <v>0</v>
      </c>
      <c r="K9" s="334">
        <v>0</v>
      </c>
      <c r="L9" s="334">
        <v>0</v>
      </c>
      <c r="M9" s="334">
        <v>12</v>
      </c>
      <c r="N9" s="334">
        <v>0</v>
      </c>
      <c r="O9" s="334">
        <v>96</v>
      </c>
      <c r="P9" s="334">
        <v>0</v>
      </c>
      <c r="Q9" s="334">
        <v>0</v>
      </c>
    </row>
    <row r="10" spans="1:17" x14ac:dyDescent="0.15">
      <c r="A10" s="319" t="s">
        <v>8</v>
      </c>
      <c r="B10" s="333">
        <f t="shared" si="1"/>
        <v>59</v>
      </c>
      <c r="C10" s="229">
        <v>12</v>
      </c>
      <c r="D10" s="229">
        <v>1</v>
      </c>
      <c r="E10" s="229">
        <v>10</v>
      </c>
      <c r="F10" s="229">
        <v>8</v>
      </c>
      <c r="G10" s="334">
        <v>0</v>
      </c>
      <c r="H10" s="334">
        <v>6</v>
      </c>
      <c r="I10" s="334">
        <v>0</v>
      </c>
      <c r="J10" s="334">
        <v>2</v>
      </c>
      <c r="K10" s="334">
        <v>0</v>
      </c>
      <c r="L10" s="334">
        <v>0</v>
      </c>
      <c r="M10" s="334">
        <v>1</v>
      </c>
      <c r="N10" s="334">
        <v>0</v>
      </c>
      <c r="O10" s="334">
        <v>16</v>
      </c>
      <c r="P10" s="334">
        <v>0</v>
      </c>
      <c r="Q10" s="334">
        <v>3</v>
      </c>
    </row>
    <row r="11" spans="1:17" x14ac:dyDescent="0.15">
      <c r="A11" s="319" t="s">
        <v>9</v>
      </c>
      <c r="B11" s="333">
        <f t="shared" si="1"/>
        <v>153</v>
      </c>
      <c r="C11" s="229">
        <v>16</v>
      </c>
      <c r="D11" s="229">
        <v>20</v>
      </c>
      <c r="E11" s="229">
        <v>10</v>
      </c>
      <c r="F11" s="229">
        <v>43</v>
      </c>
      <c r="G11" s="334">
        <v>0</v>
      </c>
      <c r="H11" s="334">
        <v>7</v>
      </c>
      <c r="I11" s="334">
        <v>0</v>
      </c>
      <c r="J11" s="334">
        <v>1</v>
      </c>
      <c r="K11" s="334">
        <v>3</v>
      </c>
      <c r="L11" s="334">
        <v>0</v>
      </c>
      <c r="M11" s="334">
        <v>6</v>
      </c>
      <c r="N11" s="334">
        <v>0</v>
      </c>
      <c r="O11" s="334">
        <v>47</v>
      </c>
      <c r="P11" s="334">
        <v>0</v>
      </c>
      <c r="Q11" s="334">
        <v>0</v>
      </c>
    </row>
    <row r="12" spans="1:17" x14ac:dyDescent="0.15">
      <c r="A12" s="319" t="s">
        <v>10</v>
      </c>
      <c r="B12" s="333">
        <f t="shared" si="1"/>
        <v>173</v>
      </c>
      <c r="C12" s="229">
        <v>17</v>
      </c>
      <c r="D12" s="229">
        <v>1</v>
      </c>
      <c r="E12" s="229">
        <v>3</v>
      </c>
      <c r="F12" s="229">
        <v>50</v>
      </c>
      <c r="G12" s="334">
        <v>0</v>
      </c>
      <c r="H12" s="334">
        <v>13</v>
      </c>
      <c r="I12" s="334">
        <v>0</v>
      </c>
      <c r="J12" s="334">
        <v>9</v>
      </c>
      <c r="K12" s="334">
        <v>3</v>
      </c>
      <c r="L12" s="334">
        <v>0</v>
      </c>
      <c r="M12" s="334">
        <v>35</v>
      </c>
      <c r="N12" s="334">
        <v>1</v>
      </c>
      <c r="O12" s="334">
        <v>37</v>
      </c>
      <c r="P12" s="334">
        <v>3</v>
      </c>
      <c r="Q12" s="334">
        <v>1</v>
      </c>
    </row>
    <row r="13" spans="1:17" x14ac:dyDescent="0.15">
      <c r="A13" s="319" t="s">
        <v>11</v>
      </c>
      <c r="B13" s="333">
        <f t="shared" si="1"/>
        <v>363</v>
      </c>
      <c r="C13" s="229">
        <v>62</v>
      </c>
      <c r="D13" s="229">
        <v>4</v>
      </c>
      <c r="E13" s="229">
        <v>46</v>
      </c>
      <c r="F13" s="229">
        <v>110</v>
      </c>
      <c r="G13" s="334">
        <v>1</v>
      </c>
      <c r="H13" s="334">
        <v>17</v>
      </c>
      <c r="I13" s="334">
        <v>3</v>
      </c>
      <c r="J13" s="334">
        <v>5</v>
      </c>
      <c r="K13" s="334">
        <v>4</v>
      </c>
      <c r="L13" s="334">
        <v>1</v>
      </c>
      <c r="M13" s="334">
        <v>42</v>
      </c>
      <c r="N13" s="334">
        <v>1</v>
      </c>
      <c r="O13" s="334">
        <v>63</v>
      </c>
      <c r="P13" s="334">
        <v>4</v>
      </c>
      <c r="Q13" s="334">
        <v>0</v>
      </c>
    </row>
    <row r="14" spans="1:17" x14ac:dyDescent="0.15">
      <c r="A14" s="319" t="s">
        <v>12</v>
      </c>
      <c r="B14" s="333">
        <f t="shared" si="1"/>
        <v>186</v>
      </c>
      <c r="C14" s="229">
        <v>30</v>
      </c>
      <c r="D14" s="229">
        <v>0</v>
      </c>
      <c r="E14" s="229">
        <v>57</v>
      </c>
      <c r="F14" s="229">
        <v>27</v>
      </c>
      <c r="G14" s="334">
        <v>0</v>
      </c>
      <c r="H14" s="334">
        <v>6</v>
      </c>
      <c r="I14" s="334">
        <v>0</v>
      </c>
      <c r="J14" s="334">
        <v>0</v>
      </c>
      <c r="K14" s="334">
        <v>1</v>
      </c>
      <c r="L14" s="334">
        <v>0</v>
      </c>
      <c r="M14" s="334">
        <v>7</v>
      </c>
      <c r="N14" s="334">
        <v>0</v>
      </c>
      <c r="O14" s="334">
        <v>55</v>
      </c>
      <c r="P14" s="334">
        <v>0</v>
      </c>
      <c r="Q14" s="334">
        <v>3</v>
      </c>
    </row>
    <row r="15" spans="1:17" x14ac:dyDescent="0.15">
      <c r="A15" s="319" t="s">
        <v>13</v>
      </c>
      <c r="B15" s="333">
        <f t="shared" si="1"/>
        <v>795</v>
      </c>
      <c r="C15" s="229">
        <v>58</v>
      </c>
      <c r="D15" s="229">
        <v>4</v>
      </c>
      <c r="E15" s="229">
        <v>125</v>
      </c>
      <c r="F15" s="229">
        <v>2</v>
      </c>
      <c r="G15" s="334">
        <v>0</v>
      </c>
      <c r="H15" s="334">
        <v>14</v>
      </c>
      <c r="I15" s="334">
        <v>0</v>
      </c>
      <c r="J15" s="334">
        <v>0</v>
      </c>
      <c r="K15" s="334">
        <v>0</v>
      </c>
      <c r="L15" s="334">
        <v>0</v>
      </c>
      <c r="M15" s="334">
        <v>33</v>
      </c>
      <c r="N15" s="334">
        <v>0</v>
      </c>
      <c r="O15" s="334">
        <v>559</v>
      </c>
      <c r="P15" s="334">
        <v>0</v>
      </c>
      <c r="Q15" s="334">
        <v>0</v>
      </c>
    </row>
    <row r="16" spans="1:17" x14ac:dyDescent="0.15">
      <c r="A16" s="319" t="s">
        <v>14</v>
      </c>
      <c r="B16" s="333">
        <f t="shared" si="1"/>
        <v>1059</v>
      </c>
      <c r="C16" s="229">
        <v>140</v>
      </c>
      <c r="D16" s="229">
        <v>1</v>
      </c>
      <c r="E16" s="229">
        <v>233</v>
      </c>
      <c r="F16" s="229">
        <v>48</v>
      </c>
      <c r="G16" s="334">
        <v>0</v>
      </c>
      <c r="H16" s="334">
        <v>27</v>
      </c>
      <c r="I16" s="334">
        <v>0</v>
      </c>
      <c r="J16" s="334">
        <v>0</v>
      </c>
      <c r="K16" s="334">
        <v>0</v>
      </c>
      <c r="L16" s="334">
        <v>0</v>
      </c>
      <c r="M16" s="334">
        <v>54</v>
      </c>
      <c r="N16" s="334">
        <v>0</v>
      </c>
      <c r="O16" s="334">
        <v>551</v>
      </c>
      <c r="P16" s="334">
        <v>3</v>
      </c>
      <c r="Q16" s="334">
        <v>2</v>
      </c>
    </row>
    <row r="17" spans="1:17" x14ac:dyDescent="0.15">
      <c r="A17" s="319" t="s">
        <v>15</v>
      </c>
      <c r="B17" s="333">
        <f t="shared" si="1"/>
        <v>1571</v>
      </c>
      <c r="C17" s="229">
        <v>16</v>
      </c>
      <c r="D17" s="229">
        <v>1</v>
      </c>
      <c r="E17" s="229">
        <v>42</v>
      </c>
      <c r="F17" s="229">
        <v>46</v>
      </c>
      <c r="G17" s="334">
        <v>4</v>
      </c>
      <c r="H17" s="334">
        <v>29</v>
      </c>
      <c r="I17" s="334">
        <v>0</v>
      </c>
      <c r="J17" s="334">
        <v>0</v>
      </c>
      <c r="K17" s="334">
        <v>0</v>
      </c>
      <c r="L17" s="334">
        <v>1</v>
      </c>
      <c r="M17" s="334">
        <v>196</v>
      </c>
      <c r="N17" s="334">
        <v>0</v>
      </c>
      <c r="O17" s="334">
        <v>1234</v>
      </c>
      <c r="P17" s="334">
        <v>1</v>
      </c>
      <c r="Q17" s="334">
        <v>1</v>
      </c>
    </row>
    <row r="18" spans="1:17" x14ac:dyDescent="0.15">
      <c r="A18" s="319" t="s">
        <v>16</v>
      </c>
      <c r="B18" s="333">
        <f t="shared" si="1"/>
        <v>654</v>
      </c>
      <c r="C18" s="229">
        <v>6</v>
      </c>
      <c r="D18" s="229">
        <v>4</v>
      </c>
      <c r="E18" s="229">
        <v>42</v>
      </c>
      <c r="F18" s="229">
        <v>20</v>
      </c>
      <c r="G18" s="334">
        <v>0</v>
      </c>
      <c r="H18" s="334">
        <v>7</v>
      </c>
      <c r="I18" s="334">
        <v>0</v>
      </c>
      <c r="J18" s="334">
        <v>1</v>
      </c>
      <c r="K18" s="334">
        <v>2</v>
      </c>
      <c r="L18" s="334">
        <v>1</v>
      </c>
      <c r="M18" s="334">
        <v>158</v>
      </c>
      <c r="N18" s="334">
        <v>0</v>
      </c>
      <c r="O18" s="334">
        <v>412</v>
      </c>
      <c r="P18" s="334">
        <v>0</v>
      </c>
      <c r="Q18" s="334">
        <v>1</v>
      </c>
    </row>
    <row r="19" spans="1:17" x14ac:dyDescent="0.15">
      <c r="A19" s="319" t="s">
        <v>17</v>
      </c>
      <c r="B19" s="333">
        <f t="shared" si="1"/>
        <v>1143</v>
      </c>
      <c r="C19" s="229">
        <v>2</v>
      </c>
      <c r="D19" s="229">
        <v>2</v>
      </c>
      <c r="E19" s="229">
        <v>170</v>
      </c>
      <c r="F19" s="229">
        <v>13</v>
      </c>
      <c r="G19" s="334">
        <v>1</v>
      </c>
      <c r="H19" s="334">
        <v>11</v>
      </c>
      <c r="I19" s="334">
        <v>0</v>
      </c>
      <c r="J19" s="334">
        <v>1</v>
      </c>
      <c r="K19" s="334">
        <v>1</v>
      </c>
      <c r="L19" s="334">
        <v>0</v>
      </c>
      <c r="M19" s="334">
        <v>67</v>
      </c>
      <c r="N19" s="334">
        <v>0</v>
      </c>
      <c r="O19" s="334">
        <v>874</v>
      </c>
      <c r="P19" s="334">
        <v>1</v>
      </c>
      <c r="Q19" s="334">
        <v>0</v>
      </c>
    </row>
    <row r="20" spans="1:17" x14ac:dyDescent="0.15">
      <c r="A20" s="319" t="s">
        <v>18</v>
      </c>
      <c r="B20" s="333">
        <f t="shared" si="1"/>
        <v>98</v>
      </c>
      <c r="C20" s="229">
        <v>17</v>
      </c>
      <c r="D20" s="229">
        <v>0</v>
      </c>
      <c r="E20" s="229">
        <v>4</v>
      </c>
      <c r="F20" s="229">
        <v>4</v>
      </c>
      <c r="G20" s="334">
        <v>0</v>
      </c>
      <c r="H20" s="334">
        <v>9</v>
      </c>
      <c r="I20" s="334">
        <v>0</v>
      </c>
      <c r="J20" s="334">
        <v>0</v>
      </c>
      <c r="K20" s="334">
        <v>0</v>
      </c>
      <c r="L20" s="334">
        <v>0</v>
      </c>
      <c r="M20" s="334">
        <v>17</v>
      </c>
      <c r="N20" s="334">
        <v>0</v>
      </c>
      <c r="O20" s="334">
        <v>46</v>
      </c>
      <c r="P20" s="334">
        <v>0</v>
      </c>
      <c r="Q20" s="334">
        <v>1</v>
      </c>
    </row>
    <row r="21" spans="1:17" x14ac:dyDescent="0.15">
      <c r="A21" s="319" t="s">
        <v>19</v>
      </c>
      <c r="B21" s="333">
        <f t="shared" si="1"/>
        <v>40</v>
      </c>
      <c r="C21" s="229">
        <v>2</v>
      </c>
      <c r="D21" s="229">
        <v>0</v>
      </c>
      <c r="E21" s="229">
        <v>8</v>
      </c>
      <c r="F21" s="229">
        <v>5</v>
      </c>
      <c r="G21" s="334">
        <v>0</v>
      </c>
      <c r="H21" s="334">
        <v>4</v>
      </c>
      <c r="I21" s="334">
        <v>0</v>
      </c>
      <c r="J21" s="334">
        <v>1</v>
      </c>
      <c r="K21" s="334">
        <v>0</v>
      </c>
      <c r="L21" s="334">
        <v>0</v>
      </c>
      <c r="M21" s="334">
        <v>9</v>
      </c>
      <c r="N21" s="334">
        <v>0</v>
      </c>
      <c r="O21" s="334">
        <v>11</v>
      </c>
      <c r="P21" s="334">
        <v>0</v>
      </c>
      <c r="Q21" s="334">
        <v>0</v>
      </c>
    </row>
    <row r="22" spans="1:17" x14ac:dyDescent="0.15">
      <c r="A22" s="319"/>
      <c r="B22" s="335"/>
      <c r="C22" s="336"/>
      <c r="D22" s="336"/>
      <c r="E22" s="336"/>
      <c r="F22" s="336"/>
      <c r="G22" s="336"/>
      <c r="H22" s="336"/>
      <c r="I22" s="336"/>
      <c r="J22" s="336"/>
      <c r="K22" s="336"/>
      <c r="L22" s="336"/>
      <c r="M22" s="336"/>
      <c r="N22" s="336"/>
      <c r="O22" s="336"/>
      <c r="P22" s="336"/>
      <c r="Q22" s="336"/>
    </row>
    <row r="23" spans="1:17" x14ac:dyDescent="0.15">
      <c r="A23" s="2572" t="s">
        <v>1342</v>
      </c>
      <c r="B23" s="2572"/>
      <c r="C23" s="2572"/>
      <c r="D23" s="2572"/>
      <c r="E23" s="2572"/>
      <c r="F23" s="2572"/>
      <c r="G23" s="2572"/>
      <c r="H23" s="2572"/>
      <c r="I23" s="2572"/>
      <c r="J23" s="2572"/>
      <c r="K23" s="2572"/>
      <c r="L23" s="2572"/>
      <c r="M23" s="2572"/>
      <c r="N23" s="2572"/>
      <c r="O23" s="2572"/>
      <c r="P23" s="2572"/>
      <c r="Q23" s="2572"/>
    </row>
    <row r="24" spans="1:17" s="313" customFormat="1" ht="10.5" customHeight="1" x14ac:dyDescent="0.15">
      <c r="A24" s="2596" t="s">
        <v>20</v>
      </c>
      <c r="B24" s="2596"/>
      <c r="C24" s="2596"/>
      <c r="D24" s="2596"/>
      <c r="E24" s="2596"/>
      <c r="F24" s="2596"/>
      <c r="G24" s="2596"/>
      <c r="H24" s="2596"/>
      <c r="I24" s="2596"/>
      <c r="J24" s="2596"/>
      <c r="K24" s="2596"/>
      <c r="L24" s="2596"/>
      <c r="M24" s="2596"/>
      <c r="N24" s="2596"/>
      <c r="O24" s="2596"/>
      <c r="P24" s="2596"/>
      <c r="Q24" s="2596"/>
    </row>
    <row r="25" spans="1:17" x14ac:dyDescent="0.15">
      <c r="A25" s="2593" t="s">
        <v>1343</v>
      </c>
      <c r="B25" s="2593"/>
      <c r="C25" s="2593"/>
      <c r="D25" s="2593"/>
      <c r="E25" s="2593"/>
      <c r="F25" s="2593"/>
      <c r="G25" s="2593"/>
      <c r="H25" s="2593"/>
      <c r="I25" s="2593"/>
      <c r="J25" s="2593"/>
      <c r="K25" s="2593"/>
      <c r="L25" s="2593"/>
      <c r="M25" s="2593"/>
      <c r="N25" s="2593"/>
      <c r="O25" s="2593"/>
      <c r="P25" s="2593"/>
      <c r="Q25" s="2593"/>
    </row>
    <row r="26" spans="1:17" ht="23.25" customHeight="1" x14ac:dyDescent="0.15">
      <c r="A26" s="2574" t="s">
        <v>1344</v>
      </c>
      <c r="B26" s="2574"/>
      <c r="C26" s="2574"/>
      <c r="D26" s="2574"/>
      <c r="E26" s="2574"/>
      <c r="F26" s="2574"/>
      <c r="G26" s="2574"/>
      <c r="H26" s="2574"/>
      <c r="I26" s="2574"/>
      <c r="J26" s="2574"/>
      <c r="K26" s="2574"/>
      <c r="L26" s="2574"/>
      <c r="M26" s="2574"/>
      <c r="N26" s="2574"/>
      <c r="O26" s="2574"/>
      <c r="P26" s="2574"/>
      <c r="Q26" s="2574"/>
    </row>
    <row r="27" spans="1:17" x14ac:dyDescent="0.15">
      <c r="B27" s="337"/>
      <c r="C27" s="337"/>
      <c r="D27" s="337"/>
      <c r="E27" s="337"/>
      <c r="F27" s="337"/>
      <c r="G27" s="337"/>
      <c r="H27" s="337"/>
      <c r="I27" s="337"/>
      <c r="J27" s="337"/>
      <c r="K27" s="337"/>
      <c r="L27" s="337"/>
      <c r="M27" s="337"/>
      <c r="N27" s="337"/>
      <c r="O27" s="337"/>
      <c r="P27" s="337"/>
      <c r="Q27" s="337"/>
    </row>
  </sheetData>
  <mergeCells count="8">
    <mergeCell ref="A25:Q25"/>
    <mergeCell ref="A26:Q26"/>
    <mergeCell ref="A2:Q2"/>
    <mergeCell ref="A4:A5"/>
    <mergeCell ref="B4:B5"/>
    <mergeCell ref="C4:Q4"/>
    <mergeCell ref="A23:Q23"/>
    <mergeCell ref="A24:Q24"/>
  </mergeCells>
  <pageMargins left="0.7" right="0.7" top="0.75" bottom="0.75" header="0.3" footer="0.3"/>
  <pageSetup paperSize="14" scale="9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XEX29"/>
  <sheetViews>
    <sheetView zoomScaleNormal="100" workbookViewId="0">
      <selection activeCell="A23" sqref="A23:J23"/>
    </sheetView>
  </sheetViews>
  <sheetFormatPr baseColWidth="10" defaultRowHeight="10.5" x14ac:dyDescent="0.15"/>
  <cols>
    <col min="1" max="1" width="27.5703125" style="321" customWidth="1"/>
    <col min="2" max="4" width="11.42578125" style="321"/>
    <col min="5" max="6" width="9.85546875" style="321" customWidth="1"/>
    <col min="7" max="10" width="12.5703125" style="321" customWidth="1"/>
    <col min="11" max="16384" width="11.42578125" style="321"/>
  </cols>
  <sheetData>
    <row r="1" spans="1:16378" ht="12.75" customHeight="1" x14ac:dyDescent="0.15">
      <c r="A1" s="322"/>
      <c r="B1" s="322"/>
      <c r="C1" s="322"/>
      <c r="D1" s="322"/>
      <c r="E1" s="322"/>
      <c r="F1" s="322"/>
      <c r="G1" s="322"/>
      <c r="H1" s="322"/>
      <c r="I1" s="322"/>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c r="CQ1" s="338"/>
      <c r="CR1" s="338"/>
      <c r="CS1" s="338"/>
      <c r="CT1" s="338"/>
      <c r="CU1" s="338"/>
      <c r="CV1" s="338"/>
      <c r="CW1" s="338"/>
      <c r="CX1" s="338"/>
      <c r="CY1" s="338"/>
      <c r="CZ1" s="338"/>
      <c r="DA1" s="338"/>
      <c r="DB1" s="338"/>
      <c r="DC1" s="338"/>
      <c r="DD1" s="338"/>
      <c r="DE1" s="338"/>
      <c r="DF1" s="338"/>
      <c r="DG1" s="338"/>
      <c r="DH1" s="338"/>
      <c r="DI1" s="338"/>
      <c r="DJ1" s="338"/>
      <c r="DK1" s="338"/>
      <c r="DL1" s="338"/>
      <c r="DM1" s="338"/>
      <c r="DN1" s="338"/>
      <c r="DO1" s="338"/>
      <c r="DP1" s="338"/>
      <c r="DQ1" s="338"/>
      <c r="DR1" s="338"/>
      <c r="DS1" s="338"/>
      <c r="DT1" s="338"/>
      <c r="DU1" s="338"/>
      <c r="DV1" s="338"/>
      <c r="DW1" s="338"/>
      <c r="DX1" s="338"/>
      <c r="DY1" s="338"/>
      <c r="DZ1" s="338"/>
      <c r="EA1" s="338"/>
      <c r="EB1" s="338"/>
      <c r="EC1" s="338"/>
      <c r="ED1" s="338"/>
      <c r="EE1" s="338"/>
      <c r="EF1" s="338"/>
      <c r="EG1" s="338"/>
      <c r="EH1" s="338"/>
      <c r="EI1" s="338"/>
      <c r="EJ1" s="338"/>
      <c r="EK1" s="338"/>
      <c r="EL1" s="338"/>
      <c r="EM1" s="338"/>
      <c r="EN1" s="338"/>
      <c r="EO1" s="338"/>
      <c r="EP1" s="338"/>
      <c r="EQ1" s="338"/>
      <c r="ER1" s="338"/>
      <c r="ES1" s="338"/>
      <c r="ET1" s="338"/>
      <c r="EU1" s="338"/>
      <c r="EV1" s="338"/>
      <c r="EW1" s="338"/>
      <c r="EX1" s="338"/>
      <c r="EY1" s="338"/>
      <c r="EZ1" s="338"/>
      <c r="FA1" s="338"/>
      <c r="FB1" s="338"/>
      <c r="FC1" s="338"/>
      <c r="FD1" s="338"/>
      <c r="FE1" s="338"/>
      <c r="FF1" s="338"/>
      <c r="FG1" s="338"/>
      <c r="FH1" s="338"/>
      <c r="FI1" s="338"/>
      <c r="FJ1" s="338"/>
      <c r="FK1" s="338"/>
      <c r="FL1" s="338"/>
      <c r="FM1" s="338"/>
      <c r="FN1" s="338"/>
      <c r="FO1" s="338"/>
      <c r="FP1" s="338"/>
      <c r="FQ1" s="338"/>
      <c r="FR1" s="338"/>
      <c r="FS1" s="338"/>
      <c r="FT1" s="338"/>
      <c r="FU1" s="338"/>
      <c r="FV1" s="338"/>
      <c r="FW1" s="338"/>
      <c r="FX1" s="338"/>
      <c r="FY1" s="338"/>
      <c r="FZ1" s="338"/>
      <c r="GA1" s="338"/>
      <c r="GB1" s="338"/>
      <c r="GC1" s="338"/>
      <c r="GD1" s="338"/>
      <c r="GE1" s="338"/>
      <c r="GF1" s="338"/>
      <c r="GG1" s="338"/>
      <c r="GH1" s="338"/>
      <c r="GI1" s="338"/>
      <c r="GJ1" s="338"/>
      <c r="GK1" s="338"/>
      <c r="GL1" s="338"/>
      <c r="GM1" s="338"/>
      <c r="GN1" s="338"/>
      <c r="GO1" s="338"/>
      <c r="GP1" s="338"/>
      <c r="GQ1" s="338"/>
      <c r="GR1" s="338"/>
      <c r="GS1" s="338"/>
      <c r="GT1" s="338"/>
      <c r="GU1" s="338"/>
      <c r="GV1" s="338"/>
      <c r="GW1" s="338"/>
      <c r="GX1" s="338"/>
      <c r="GY1" s="338"/>
      <c r="GZ1" s="338"/>
      <c r="HA1" s="338"/>
      <c r="HB1" s="338"/>
      <c r="HC1" s="338"/>
      <c r="HD1" s="338"/>
      <c r="HE1" s="338"/>
      <c r="HF1" s="338"/>
      <c r="HG1" s="338"/>
      <c r="HH1" s="338"/>
      <c r="HI1" s="338"/>
      <c r="HJ1" s="338"/>
      <c r="HK1" s="338"/>
      <c r="HL1" s="338"/>
      <c r="HM1" s="338"/>
      <c r="HN1" s="338"/>
      <c r="HO1" s="338"/>
      <c r="HP1" s="338"/>
      <c r="HQ1" s="338"/>
      <c r="HR1" s="338"/>
      <c r="HS1" s="338"/>
      <c r="HT1" s="338"/>
      <c r="HU1" s="338"/>
      <c r="HV1" s="338"/>
      <c r="HW1" s="338"/>
      <c r="HX1" s="338"/>
      <c r="HY1" s="338"/>
      <c r="HZ1" s="338"/>
      <c r="IA1" s="338"/>
      <c r="IB1" s="338"/>
      <c r="IC1" s="338"/>
      <c r="ID1" s="338"/>
      <c r="IE1" s="338"/>
      <c r="IF1" s="338"/>
      <c r="IG1" s="338"/>
      <c r="IH1" s="338"/>
      <c r="II1" s="338"/>
      <c r="IJ1" s="338"/>
      <c r="IK1" s="338"/>
      <c r="IL1" s="338"/>
      <c r="IM1" s="338"/>
      <c r="IN1" s="338"/>
      <c r="IO1" s="338"/>
      <c r="IP1" s="338"/>
      <c r="IQ1" s="338"/>
      <c r="IR1" s="338"/>
      <c r="IS1" s="338"/>
      <c r="IT1" s="338"/>
      <c r="IU1" s="338"/>
      <c r="IV1" s="338"/>
      <c r="IW1" s="338"/>
      <c r="IX1" s="338"/>
      <c r="IY1" s="338"/>
      <c r="IZ1" s="338"/>
      <c r="JA1" s="338"/>
      <c r="JB1" s="338"/>
      <c r="JC1" s="338"/>
      <c r="JD1" s="338"/>
      <c r="JE1" s="338"/>
      <c r="JF1" s="338"/>
      <c r="JG1" s="338"/>
      <c r="JH1" s="338"/>
      <c r="JI1" s="338"/>
      <c r="JJ1" s="338"/>
      <c r="JK1" s="338"/>
      <c r="JL1" s="338"/>
      <c r="JM1" s="338"/>
      <c r="JN1" s="338"/>
      <c r="JO1" s="338"/>
      <c r="JP1" s="338"/>
      <c r="JQ1" s="338"/>
      <c r="JR1" s="338"/>
      <c r="JS1" s="338"/>
      <c r="JT1" s="338"/>
      <c r="JU1" s="338"/>
      <c r="JV1" s="338"/>
      <c r="JW1" s="338"/>
      <c r="JX1" s="338"/>
      <c r="JY1" s="338"/>
      <c r="JZ1" s="338"/>
      <c r="KA1" s="338"/>
      <c r="KB1" s="338"/>
      <c r="KC1" s="338"/>
      <c r="KD1" s="338"/>
      <c r="KE1" s="338"/>
      <c r="KF1" s="338"/>
      <c r="KG1" s="338"/>
      <c r="KH1" s="338"/>
      <c r="KI1" s="338"/>
      <c r="KJ1" s="338"/>
      <c r="KK1" s="338"/>
      <c r="KL1" s="338"/>
      <c r="KM1" s="338"/>
      <c r="KN1" s="338"/>
      <c r="KO1" s="338"/>
      <c r="KP1" s="338"/>
      <c r="KQ1" s="338"/>
      <c r="KR1" s="338"/>
      <c r="KS1" s="338"/>
      <c r="KT1" s="338"/>
      <c r="KU1" s="338"/>
      <c r="KV1" s="338"/>
      <c r="KW1" s="338"/>
      <c r="KX1" s="338"/>
      <c r="KY1" s="338"/>
      <c r="KZ1" s="338"/>
      <c r="LA1" s="338"/>
      <c r="LB1" s="338"/>
      <c r="LC1" s="338"/>
      <c r="LD1" s="338"/>
      <c r="LE1" s="338"/>
      <c r="LF1" s="338"/>
      <c r="LG1" s="338"/>
      <c r="LH1" s="338"/>
      <c r="LI1" s="338"/>
      <c r="LJ1" s="338"/>
      <c r="LK1" s="338"/>
      <c r="LL1" s="338"/>
      <c r="LM1" s="338"/>
      <c r="LN1" s="338"/>
      <c r="LO1" s="338"/>
      <c r="LP1" s="338"/>
      <c r="LQ1" s="338"/>
      <c r="LR1" s="338"/>
      <c r="LS1" s="338"/>
      <c r="LT1" s="338"/>
      <c r="LU1" s="338"/>
      <c r="LV1" s="338"/>
      <c r="LW1" s="338"/>
      <c r="LX1" s="338"/>
      <c r="LY1" s="338"/>
      <c r="LZ1" s="338"/>
      <c r="MA1" s="338"/>
      <c r="MB1" s="338"/>
      <c r="MC1" s="338"/>
      <c r="MD1" s="338"/>
      <c r="ME1" s="338"/>
      <c r="MF1" s="338"/>
      <c r="MG1" s="338"/>
      <c r="MH1" s="338"/>
      <c r="MI1" s="338"/>
      <c r="MJ1" s="338"/>
      <c r="MK1" s="338"/>
      <c r="ML1" s="338"/>
      <c r="MM1" s="338"/>
      <c r="MN1" s="338"/>
      <c r="MO1" s="338"/>
      <c r="MP1" s="338"/>
      <c r="MQ1" s="338"/>
      <c r="MR1" s="338"/>
      <c r="MS1" s="338"/>
      <c r="MT1" s="338"/>
      <c r="MU1" s="338"/>
      <c r="MV1" s="338"/>
      <c r="MW1" s="338"/>
      <c r="MX1" s="338"/>
      <c r="MY1" s="338"/>
      <c r="MZ1" s="338"/>
      <c r="NA1" s="338"/>
      <c r="NB1" s="338"/>
      <c r="NC1" s="338"/>
      <c r="ND1" s="338"/>
      <c r="NE1" s="338"/>
      <c r="NF1" s="338"/>
      <c r="NG1" s="338"/>
      <c r="NH1" s="338"/>
      <c r="NI1" s="338"/>
      <c r="NJ1" s="338"/>
      <c r="NK1" s="338"/>
      <c r="NL1" s="338"/>
      <c r="NM1" s="338"/>
      <c r="NN1" s="338"/>
      <c r="NO1" s="338"/>
      <c r="NP1" s="338"/>
      <c r="NQ1" s="338"/>
      <c r="NR1" s="338"/>
      <c r="NS1" s="338"/>
      <c r="NT1" s="338"/>
      <c r="NU1" s="338"/>
      <c r="NV1" s="338"/>
      <c r="NW1" s="338"/>
      <c r="NX1" s="338"/>
      <c r="NY1" s="338"/>
      <c r="NZ1" s="338"/>
      <c r="OA1" s="338"/>
      <c r="OB1" s="338"/>
      <c r="OC1" s="338"/>
      <c r="OD1" s="338"/>
      <c r="OE1" s="338"/>
      <c r="OF1" s="338"/>
      <c r="OG1" s="338"/>
      <c r="OH1" s="338"/>
      <c r="OI1" s="338"/>
      <c r="OJ1" s="338"/>
      <c r="OK1" s="338"/>
      <c r="OL1" s="338"/>
      <c r="OM1" s="338"/>
      <c r="ON1" s="338"/>
      <c r="OO1" s="338"/>
      <c r="OP1" s="338"/>
      <c r="OQ1" s="338"/>
      <c r="OR1" s="338"/>
      <c r="OS1" s="338"/>
      <c r="OT1" s="338"/>
      <c r="OU1" s="338"/>
      <c r="OV1" s="338"/>
      <c r="OW1" s="338"/>
      <c r="OX1" s="338"/>
      <c r="OY1" s="338"/>
      <c r="OZ1" s="338"/>
      <c r="PA1" s="338"/>
      <c r="PB1" s="338"/>
      <c r="PC1" s="338"/>
      <c r="PD1" s="338"/>
      <c r="PE1" s="338"/>
      <c r="PF1" s="338"/>
      <c r="PG1" s="338"/>
      <c r="PH1" s="338"/>
      <c r="PI1" s="338"/>
      <c r="PJ1" s="338"/>
      <c r="PK1" s="338"/>
      <c r="PL1" s="338"/>
      <c r="PM1" s="338"/>
      <c r="PN1" s="338"/>
      <c r="PO1" s="338"/>
      <c r="PP1" s="338"/>
      <c r="PQ1" s="338"/>
      <c r="PR1" s="338"/>
      <c r="PS1" s="338"/>
      <c r="PT1" s="338"/>
      <c r="PU1" s="338"/>
      <c r="PV1" s="338"/>
      <c r="PW1" s="338"/>
      <c r="PX1" s="338"/>
      <c r="PY1" s="338"/>
      <c r="PZ1" s="338"/>
      <c r="QA1" s="338"/>
      <c r="QB1" s="338"/>
      <c r="QC1" s="338"/>
      <c r="QD1" s="338"/>
      <c r="QE1" s="338"/>
      <c r="QF1" s="338"/>
      <c r="QG1" s="338"/>
      <c r="QH1" s="338"/>
      <c r="QI1" s="338"/>
      <c r="QJ1" s="338"/>
      <c r="QK1" s="338"/>
      <c r="QL1" s="338"/>
      <c r="QM1" s="338"/>
      <c r="QN1" s="338"/>
      <c r="QO1" s="338"/>
      <c r="QP1" s="338"/>
      <c r="QQ1" s="338"/>
      <c r="QR1" s="338"/>
      <c r="QS1" s="338"/>
      <c r="QT1" s="338"/>
      <c r="QU1" s="338"/>
      <c r="QV1" s="338"/>
      <c r="QW1" s="338"/>
      <c r="QX1" s="338"/>
      <c r="QY1" s="338"/>
      <c r="QZ1" s="338"/>
      <c r="RA1" s="338"/>
      <c r="RB1" s="338"/>
      <c r="RC1" s="338"/>
      <c r="RD1" s="338"/>
      <c r="RE1" s="338"/>
      <c r="RF1" s="338"/>
      <c r="RG1" s="338"/>
      <c r="RH1" s="338"/>
      <c r="RI1" s="338"/>
      <c r="RJ1" s="338"/>
      <c r="RK1" s="338"/>
      <c r="RL1" s="338"/>
      <c r="RM1" s="338"/>
      <c r="RN1" s="338"/>
      <c r="RO1" s="338"/>
      <c r="RP1" s="338"/>
      <c r="RQ1" s="338"/>
      <c r="RR1" s="338"/>
      <c r="RS1" s="338"/>
      <c r="RT1" s="338"/>
      <c r="RU1" s="338"/>
      <c r="RV1" s="338"/>
      <c r="RW1" s="338"/>
      <c r="RX1" s="338"/>
      <c r="RY1" s="338"/>
      <c r="RZ1" s="338"/>
      <c r="SA1" s="338"/>
      <c r="SB1" s="338"/>
      <c r="SC1" s="338"/>
      <c r="SD1" s="338"/>
      <c r="SE1" s="338"/>
      <c r="SF1" s="338"/>
      <c r="SG1" s="338"/>
      <c r="SH1" s="338"/>
      <c r="SI1" s="338"/>
      <c r="SJ1" s="338"/>
      <c r="SK1" s="338"/>
      <c r="SL1" s="338"/>
      <c r="SM1" s="338"/>
      <c r="SN1" s="338"/>
      <c r="SO1" s="338"/>
      <c r="SP1" s="338"/>
      <c r="SQ1" s="338"/>
      <c r="SR1" s="338"/>
      <c r="SS1" s="338"/>
      <c r="ST1" s="338"/>
      <c r="SU1" s="338"/>
      <c r="SV1" s="338"/>
      <c r="SW1" s="338"/>
      <c r="SX1" s="338"/>
      <c r="SY1" s="338"/>
      <c r="SZ1" s="338"/>
      <c r="TA1" s="338"/>
      <c r="TB1" s="338"/>
      <c r="TC1" s="338"/>
      <c r="TD1" s="338"/>
      <c r="TE1" s="338"/>
      <c r="TF1" s="338"/>
      <c r="TG1" s="338"/>
      <c r="TH1" s="338"/>
      <c r="TI1" s="338"/>
      <c r="TJ1" s="338"/>
      <c r="TK1" s="338"/>
      <c r="TL1" s="338"/>
      <c r="TM1" s="338"/>
      <c r="TN1" s="338"/>
      <c r="TO1" s="338"/>
      <c r="TP1" s="338"/>
      <c r="TQ1" s="338"/>
      <c r="TR1" s="338"/>
      <c r="TS1" s="338"/>
      <c r="TT1" s="338"/>
      <c r="TU1" s="338"/>
      <c r="TV1" s="338"/>
      <c r="TW1" s="338"/>
      <c r="TX1" s="338"/>
      <c r="TY1" s="338"/>
      <c r="TZ1" s="338"/>
      <c r="UA1" s="338"/>
      <c r="UB1" s="338"/>
      <c r="UC1" s="338"/>
      <c r="UD1" s="338"/>
      <c r="UE1" s="338"/>
      <c r="UF1" s="338"/>
      <c r="UG1" s="338"/>
      <c r="UH1" s="338"/>
      <c r="UI1" s="338"/>
      <c r="UJ1" s="338"/>
      <c r="UK1" s="338"/>
      <c r="UL1" s="338"/>
      <c r="UM1" s="338"/>
      <c r="UN1" s="338"/>
      <c r="UO1" s="338"/>
      <c r="UP1" s="338"/>
      <c r="UQ1" s="338"/>
      <c r="UR1" s="338"/>
      <c r="US1" s="338"/>
      <c r="UT1" s="338"/>
      <c r="UU1" s="338"/>
      <c r="UV1" s="338"/>
      <c r="UW1" s="338"/>
      <c r="UX1" s="338"/>
      <c r="UY1" s="338"/>
      <c r="UZ1" s="338"/>
      <c r="VA1" s="338"/>
      <c r="VB1" s="338"/>
      <c r="VC1" s="338"/>
      <c r="VD1" s="338"/>
      <c r="VE1" s="338"/>
      <c r="VF1" s="338"/>
      <c r="VG1" s="338"/>
      <c r="VH1" s="338"/>
      <c r="VI1" s="338"/>
      <c r="VJ1" s="338"/>
      <c r="VK1" s="338"/>
      <c r="VL1" s="338"/>
      <c r="VM1" s="338"/>
      <c r="VN1" s="338"/>
      <c r="VO1" s="338"/>
      <c r="VP1" s="338"/>
      <c r="VQ1" s="338"/>
      <c r="VR1" s="338"/>
      <c r="VS1" s="338"/>
      <c r="VT1" s="338"/>
      <c r="VU1" s="338"/>
      <c r="VV1" s="338"/>
      <c r="VW1" s="338"/>
      <c r="VX1" s="338"/>
      <c r="VY1" s="338"/>
      <c r="VZ1" s="338"/>
      <c r="WA1" s="338"/>
      <c r="WB1" s="338"/>
      <c r="WC1" s="338"/>
      <c r="WD1" s="338"/>
      <c r="WE1" s="338"/>
      <c r="WF1" s="338"/>
      <c r="WG1" s="338"/>
      <c r="WH1" s="338"/>
      <c r="WI1" s="338"/>
      <c r="WJ1" s="338"/>
      <c r="WK1" s="338"/>
      <c r="WL1" s="338"/>
      <c r="WM1" s="338"/>
      <c r="WN1" s="338"/>
      <c r="WO1" s="338"/>
      <c r="WP1" s="338"/>
      <c r="WQ1" s="338"/>
      <c r="WR1" s="338"/>
      <c r="WS1" s="338"/>
      <c r="WT1" s="338"/>
      <c r="WU1" s="338"/>
      <c r="WV1" s="338"/>
      <c r="WW1" s="338"/>
      <c r="WX1" s="338"/>
      <c r="WY1" s="338"/>
      <c r="WZ1" s="338"/>
      <c r="XA1" s="338"/>
      <c r="XB1" s="338"/>
      <c r="XC1" s="338"/>
      <c r="XD1" s="338"/>
      <c r="XE1" s="338"/>
      <c r="XF1" s="338"/>
      <c r="XG1" s="338"/>
      <c r="XH1" s="338"/>
      <c r="XI1" s="338"/>
      <c r="XJ1" s="338"/>
      <c r="XK1" s="338"/>
      <c r="XL1" s="338"/>
      <c r="XM1" s="338"/>
      <c r="XN1" s="338"/>
      <c r="XO1" s="338"/>
      <c r="XP1" s="338"/>
      <c r="XQ1" s="338"/>
      <c r="XR1" s="338"/>
      <c r="XS1" s="338"/>
      <c r="XT1" s="338"/>
      <c r="XU1" s="338"/>
      <c r="XV1" s="338"/>
      <c r="XW1" s="338"/>
      <c r="XX1" s="338"/>
      <c r="XY1" s="338"/>
      <c r="XZ1" s="338"/>
      <c r="YA1" s="338"/>
      <c r="YB1" s="338"/>
      <c r="YC1" s="338"/>
      <c r="YD1" s="338"/>
      <c r="YE1" s="338"/>
      <c r="YF1" s="338"/>
      <c r="YG1" s="338"/>
      <c r="YH1" s="338"/>
      <c r="YI1" s="338"/>
      <c r="YJ1" s="338"/>
      <c r="YK1" s="338"/>
      <c r="YL1" s="338"/>
      <c r="YM1" s="338"/>
      <c r="YN1" s="338"/>
      <c r="YO1" s="338"/>
      <c r="YP1" s="338"/>
      <c r="YQ1" s="338"/>
      <c r="YR1" s="338"/>
      <c r="YS1" s="338"/>
      <c r="YT1" s="338"/>
      <c r="YU1" s="338"/>
      <c r="YV1" s="338"/>
      <c r="YW1" s="338"/>
      <c r="YX1" s="338"/>
      <c r="YY1" s="338"/>
      <c r="YZ1" s="338"/>
      <c r="ZA1" s="338"/>
      <c r="ZB1" s="338"/>
      <c r="ZC1" s="338"/>
      <c r="ZD1" s="338"/>
      <c r="ZE1" s="338"/>
      <c r="ZF1" s="338"/>
      <c r="ZG1" s="338"/>
      <c r="ZH1" s="338"/>
      <c r="ZI1" s="338"/>
      <c r="ZJ1" s="338"/>
      <c r="ZK1" s="338"/>
      <c r="ZL1" s="338"/>
      <c r="ZM1" s="338"/>
      <c r="ZN1" s="338"/>
      <c r="ZO1" s="338"/>
      <c r="ZP1" s="338"/>
      <c r="ZQ1" s="338"/>
      <c r="ZR1" s="338"/>
      <c r="ZS1" s="338"/>
      <c r="ZT1" s="338"/>
      <c r="ZU1" s="338"/>
      <c r="ZV1" s="338"/>
      <c r="ZW1" s="338"/>
      <c r="ZX1" s="338"/>
      <c r="ZY1" s="338"/>
      <c r="ZZ1" s="338"/>
      <c r="AAA1" s="338"/>
      <c r="AAB1" s="338"/>
      <c r="AAC1" s="338"/>
      <c r="AAD1" s="338"/>
      <c r="AAE1" s="338"/>
      <c r="AAF1" s="338"/>
      <c r="AAG1" s="338"/>
      <c r="AAH1" s="338"/>
      <c r="AAI1" s="338"/>
      <c r="AAJ1" s="338"/>
      <c r="AAK1" s="338"/>
      <c r="AAL1" s="338"/>
      <c r="AAM1" s="338"/>
      <c r="AAN1" s="338"/>
      <c r="AAO1" s="338"/>
      <c r="AAP1" s="338"/>
      <c r="AAQ1" s="338"/>
      <c r="AAR1" s="338"/>
      <c r="AAS1" s="338"/>
      <c r="AAT1" s="338"/>
      <c r="AAU1" s="338"/>
      <c r="AAV1" s="338"/>
      <c r="AAW1" s="338"/>
      <c r="AAX1" s="338"/>
      <c r="AAY1" s="338"/>
      <c r="AAZ1" s="338"/>
      <c r="ABA1" s="338"/>
      <c r="ABB1" s="338"/>
      <c r="ABC1" s="338"/>
      <c r="ABD1" s="338"/>
      <c r="ABE1" s="338"/>
      <c r="ABF1" s="338"/>
      <c r="ABG1" s="338"/>
      <c r="ABH1" s="338"/>
      <c r="ABI1" s="338"/>
      <c r="ABJ1" s="338"/>
      <c r="ABK1" s="338"/>
      <c r="ABL1" s="338"/>
      <c r="ABM1" s="338"/>
      <c r="ABN1" s="338"/>
      <c r="ABO1" s="338"/>
      <c r="ABP1" s="338"/>
      <c r="ABQ1" s="338"/>
      <c r="ABR1" s="338"/>
      <c r="ABS1" s="338"/>
      <c r="ABT1" s="338"/>
      <c r="ABU1" s="338"/>
      <c r="ABV1" s="338"/>
      <c r="ABW1" s="338"/>
      <c r="ABX1" s="338"/>
      <c r="ABY1" s="338"/>
      <c r="ABZ1" s="338"/>
      <c r="ACA1" s="338"/>
      <c r="ACB1" s="338"/>
      <c r="ACC1" s="338"/>
      <c r="ACD1" s="338"/>
      <c r="ACE1" s="338"/>
      <c r="ACF1" s="338"/>
      <c r="ACG1" s="338"/>
      <c r="ACH1" s="338"/>
      <c r="ACI1" s="338"/>
      <c r="ACJ1" s="338"/>
      <c r="ACK1" s="338"/>
      <c r="ACL1" s="338"/>
      <c r="ACM1" s="338"/>
      <c r="ACN1" s="338"/>
      <c r="ACO1" s="338"/>
      <c r="ACP1" s="338"/>
      <c r="ACQ1" s="338"/>
      <c r="ACR1" s="338"/>
      <c r="ACS1" s="338"/>
      <c r="ACT1" s="338"/>
      <c r="ACU1" s="338"/>
      <c r="ACV1" s="338"/>
      <c r="ACW1" s="338"/>
      <c r="ACX1" s="338"/>
      <c r="ACY1" s="338"/>
      <c r="ACZ1" s="338"/>
      <c r="ADA1" s="338"/>
      <c r="ADB1" s="338"/>
      <c r="ADC1" s="338"/>
      <c r="ADD1" s="338"/>
      <c r="ADE1" s="338"/>
      <c r="ADF1" s="338"/>
      <c r="ADG1" s="338"/>
      <c r="ADH1" s="338"/>
      <c r="ADI1" s="338"/>
      <c r="ADJ1" s="338"/>
      <c r="ADK1" s="338"/>
      <c r="ADL1" s="338"/>
      <c r="ADM1" s="338"/>
      <c r="ADN1" s="338"/>
      <c r="ADO1" s="338"/>
      <c r="ADP1" s="338"/>
      <c r="ADQ1" s="338"/>
      <c r="ADR1" s="338"/>
      <c r="ADS1" s="338"/>
      <c r="ADT1" s="338"/>
      <c r="ADU1" s="338"/>
      <c r="ADV1" s="338"/>
      <c r="ADW1" s="338"/>
      <c r="ADX1" s="338"/>
      <c r="ADY1" s="338"/>
      <c r="ADZ1" s="338"/>
      <c r="AEA1" s="338"/>
      <c r="AEB1" s="338"/>
      <c r="AEC1" s="338"/>
      <c r="AED1" s="338"/>
      <c r="AEE1" s="338"/>
      <c r="AEF1" s="338"/>
      <c r="AEG1" s="338"/>
      <c r="AEH1" s="338"/>
      <c r="AEI1" s="338"/>
      <c r="AEJ1" s="338"/>
      <c r="AEK1" s="338"/>
      <c r="AEL1" s="338"/>
      <c r="AEM1" s="338"/>
      <c r="AEN1" s="338"/>
      <c r="AEO1" s="338"/>
      <c r="AEP1" s="338"/>
      <c r="AEQ1" s="338"/>
      <c r="AER1" s="338"/>
      <c r="AES1" s="338"/>
      <c r="AET1" s="338"/>
      <c r="AEU1" s="338"/>
      <c r="AEV1" s="338"/>
      <c r="AEW1" s="338"/>
      <c r="AEX1" s="338"/>
      <c r="AEY1" s="338"/>
      <c r="AEZ1" s="338"/>
      <c r="AFA1" s="338"/>
      <c r="AFB1" s="338"/>
      <c r="AFC1" s="338"/>
      <c r="AFD1" s="338"/>
      <c r="AFE1" s="338"/>
      <c r="AFF1" s="338"/>
      <c r="AFG1" s="338"/>
      <c r="AFH1" s="338"/>
      <c r="AFI1" s="338"/>
      <c r="AFJ1" s="338"/>
      <c r="AFK1" s="338"/>
      <c r="AFL1" s="338"/>
      <c r="AFM1" s="338"/>
      <c r="AFN1" s="338"/>
      <c r="AFO1" s="338"/>
      <c r="AFP1" s="338"/>
      <c r="AFQ1" s="338"/>
      <c r="AFR1" s="338"/>
      <c r="AFS1" s="338"/>
      <c r="AFT1" s="338"/>
      <c r="AFU1" s="338"/>
      <c r="AFV1" s="338"/>
      <c r="AFW1" s="338"/>
      <c r="AFX1" s="338"/>
      <c r="AFY1" s="338"/>
      <c r="AFZ1" s="338"/>
      <c r="AGA1" s="338"/>
      <c r="AGB1" s="338"/>
      <c r="AGC1" s="338"/>
      <c r="AGD1" s="338"/>
      <c r="AGE1" s="338"/>
      <c r="AGF1" s="338"/>
      <c r="AGG1" s="338"/>
      <c r="AGH1" s="338"/>
      <c r="AGI1" s="338"/>
      <c r="AGJ1" s="338"/>
      <c r="AGK1" s="338"/>
      <c r="AGL1" s="338"/>
      <c r="AGM1" s="338"/>
      <c r="AGN1" s="338"/>
      <c r="AGO1" s="338"/>
      <c r="AGP1" s="338"/>
      <c r="AGQ1" s="338"/>
      <c r="AGR1" s="338"/>
      <c r="AGS1" s="338"/>
      <c r="AGT1" s="338"/>
      <c r="AGU1" s="338"/>
      <c r="AGV1" s="338"/>
      <c r="AGW1" s="338"/>
      <c r="AGX1" s="338"/>
      <c r="AGY1" s="338"/>
      <c r="AGZ1" s="338"/>
      <c r="AHA1" s="338"/>
      <c r="AHB1" s="338"/>
      <c r="AHC1" s="338"/>
      <c r="AHD1" s="338"/>
      <c r="AHE1" s="338"/>
      <c r="AHF1" s="338"/>
      <c r="AHG1" s="338"/>
      <c r="AHH1" s="338"/>
      <c r="AHI1" s="338"/>
      <c r="AHJ1" s="338"/>
      <c r="AHK1" s="338"/>
      <c r="AHL1" s="338"/>
      <c r="AHM1" s="338"/>
      <c r="AHN1" s="338"/>
      <c r="AHO1" s="338"/>
      <c r="AHP1" s="338"/>
      <c r="AHQ1" s="338"/>
      <c r="AHR1" s="338"/>
      <c r="AHS1" s="338"/>
      <c r="AHT1" s="338"/>
      <c r="AHU1" s="338"/>
      <c r="AHV1" s="338"/>
      <c r="AHW1" s="338"/>
      <c r="AHX1" s="338"/>
      <c r="AHY1" s="338"/>
      <c r="AHZ1" s="338"/>
      <c r="AIA1" s="338"/>
      <c r="AIB1" s="338"/>
      <c r="AIC1" s="338"/>
      <c r="AID1" s="338"/>
      <c r="AIE1" s="338"/>
      <c r="AIF1" s="338"/>
      <c r="AIG1" s="338"/>
      <c r="AIH1" s="338"/>
      <c r="AII1" s="338"/>
      <c r="AIJ1" s="338"/>
      <c r="AIK1" s="338"/>
      <c r="AIL1" s="338"/>
      <c r="AIM1" s="338"/>
      <c r="AIN1" s="338"/>
      <c r="AIO1" s="338"/>
      <c r="AIP1" s="338"/>
      <c r="AIQ1" s="338"/>
      <c r="AIR1" s="338"/>
      <c r="AIS1" s="338"/>
      <c r="AIT1" s="338"/>
      <c r="AIU1" s="338"/>
      <c r="AIV1" s="338"/>
      <c r="AIW1" s="338"/>
      <c r="AIX1" s="338"/>
      <c r="AIY1" s="338"/>
      <c r="AIZ1" s="338"/>
      <c r="AJA1" s="338"/>
      <c r="AJB1" s="338"/>
      <c r="AJC1" s="338"/>
      <c r="AJD1" s="338"/>
      <c r="AJE1" s="338"/>
      <c r="AJF1" s="338"/>
      <c r="AJG1" s="338"/>
      <c r="AJH1" s="338"/>
      <c r="AJI1" s="338"/>
      <c r="AJJ1" s="338"/>
      <c r="AJK1" s="338"/>
      <c r="AJL1" s="338"/>
      <c r="AJM1" s="338"/>
      <c r="AJN1" s="338"/>
      <c r="AJO1" s="338"/>
      <c r="AJP1" s="338"/>
      <c r="AJQ1" s="338"/>
      <c r="AJR1" s="338"/>
      <c r="AJS1" s="338"/>
      <c r="AJT1" s="338"/>
      <c r="AJU1" s="338"/>
      <c r="AJV1" s="338"/>
      <c r="AJW1" s="338"/>
      <c r="AJX1" s="338"/>
      <c r="AJY1" s="338"/>
      <c r="AJZ1" s="338"/>
      <c r="AKA1" s="338"/>
      <c r="AKB1" s="338"/>
      <c r="AKC1" s="338"/>
      <c r="AKD1" s="338"/>
      <c r="AKE1" s="338"/>
      <c r="AKF1" s="338"/>
      <c r="AKG1" s="338"/>
      <c r="AKH1" s="338"/>
      <c r="AKI1" s="338"/>
      <c r="AKJ1" s="338"/>
      <c r="AKK1" s="338"/>
      <c r="AKL1" s="338"/>
      <c r="AKM1" s="338"/>
      <c r="AKN1" s="338"/>
      <c r="AKO1" s="338"/>
      <c r="AKP1" s="338"/>
      <c r="AKQ1" s="338"/>
      <c r="AKR1" s="338"/>
      <c r="AKS1" s="338"/>
      <c r="AKT1" s="338"/>
      <c r="AKU1" s="338"/>
      <c r="AKV1" s="338"/>
      <c r="AKW1" s="338"/>
      <c r="AKX1" s="338"/>
      <c r="AKY1" s="338"/>
      <c r="AKZ1" s="338"/>
      <c r="ALA1" s="338"/>
      <c r="ALB1" s="338"/>
      <c r="ALC1" s="338"/>
      <c r="ALD1" s="338"/>
      <c r="ALE1" s="338"/>
      <c r="ALF1" s="338"/>
      <c r="ALG1" s="338"/>
      <c r="ALH1" s="338"/>
      <c r="ALI1" s="338"/>
      <c r="ALJ1" s="338"/>
      <c r="ALK1" s="338"/>
      <c r="ALL1" s="338"/>
      <c r="ALM1" s="338"/>
      <c r="ALN1" s="338"/>
      <c r="ALO1" s="338"/>
      <c r="ALP1" s="338"/>
      <c r="ALQ1" s="338"/>
      <c r="ALR1" s="338"/>
      <c r="ALS1" s="338"/>
      <c r="ALT1" s="338"/>
      <c r="ALU1" s="338"/>
      <c r="ALV1" s="338"/>
      <c r="ALW1" s="338"/>
      <c r="ALX1" s="338"/>
      <c r="ALY1" s="338"/>
      <c r="ALZ1" s="338"/>
      <c r="AMA1" s="338"/>
      <c r="AMB1" s="338"/>
      <c r="AMC1" s="338"/>
      <c r="AMD1" s="338"/>
      <c r="AME1" s="338"/>
      <c r="AMF1" s="338"/>
      <c r="AMG1" s="338"/>
      <c r="AMH1" s="338"/>
      <c r="AMI1" s="338"/>
      <c r="AMJ1" s="338"/>
      <c r="AMK1" s="338"/>
      <c r="AML1" s="338"/>
      <c r="AMM1" s="338"/>
      <c r="AMN1" s="338"/>
      <c r="AMO1" s="338"/>
      <c r="AMP1" s="338"/>
      <c r="AMQ1" s="338"/>
      <c r="AMR1" s="338"/>
      <c r="AMS1" s="338"/>
      <c r="AMT1" s="338"/>
      <c r="AMU1" s="338"/>
      <c r="AMV1" s="338"/>
      <c r="AMW1" s="338"/>
      <c r="AMX1" s="338"/>
      <c r="AMY1" s="338"/>
      <c r="AMZ1" s="338"/>
      <c r="ANA1" s="338"/>
      <c r="ANB1" s="338"/>
      <c r="ANC1" s="338"/>
      <c r="AND1" s="338"/>
      <c r="ANE1" s="338"/>
      <c r="ANF1" s="338"/>
      <c r="ANG1" s="338"/>
      <c r="ANH1" s="338"/>
      <c r="ANI1" s="338"/>
      <c r="ANJ1" s="338"/>
      <c r="ANK1" s="338"/>
      <c r="ANL1" s="338"/>
      <c r="ANM1" s="338"/>
      <c r="ANN1" s="338"/>
      <c r="ANO1" s="338"/>
      <c r="ANP1" s="338"/>
      <c r="ANQ1" s="338"/>
      <c r="ANR1" s="338"/>
      <c r="ANS1" s="338"/>
      <c r="ANT1" s="338"/>
      <c r="ANU1" s="338"/>
      <c r="ANV1" s="338"/>
      <c r="ANW1" s="338"/>
      <c r="ANX1" s="338"/>
      <c r="ANY1" s="338"/>
      <c r="ANZ1" s="338"/>
      <c r="AOA1" s="338"/>
      <c r="AOB1" s="338"/>
      <c r="AOC1" s="338"/>
      <c r="AOD1" s="338"/>
      <c r="AOE1" s="338"/>
      <c r="AOF1" s="338"/>
      <c r="AOG1" s="338"/>
      <c r="AOH1" s="338"/>
      <c r="AOI1" s="338"/>
      <c r="AOJ1" s="338"/>
      <c r="AOK1" s="338"/>
      <c r="AOL1" s="338"/>
      <c r="AOM1" s="338"/>
      <c r="AON1" s="338"/>
      <c r="AOO1" s="338"/>
      <c r="AOP1" s="338"/>
      <c r="AOQ1" s="338"/>
      <c r="AOR1" s="338"/>
      <c r="AOS1" s="338"/>
      <c r="AOT1" s="338"/>
      <c r="AOU1" s="338"/>
      <c r="AOV1" s="338"/>
      <c r="AOW1" s="338"/>
      <c r="AOX1" s="338"/>
      <c r="AOY1" s="338"/>
      <c r="AOZ1" s="338"/>
      <c r="APA1" s="338"/>
      <c r="APB1" s="338"/>
      <c r="APC1" s="338"/>
      <c r="APD1" s="338"/>
      <c r="APE1" s="338"/>
      <c r="APF1" s="338"/>
      <c r="APG1" s="338"/>
      <c r="APH1" s="338"/>
      <c r="API1" s="338"/>
      <c r="APJ1" s="338"/>
      <c r="APK1" s="338"/>
      <c r="APL1" s="338"/>
      <c r="APM1" s="338"/>
      <c r="APN1" s="338"/>
      <c r="APO1" s="338"/>
      <c r="APP1" s="338"/>
      <c r="APQ1" s="338"/>
      <c r="APR1" s="338"/>
      <c r="APS1" s="338"/>
      <c r="APT1" s="338"/>
      <c r="APU1" s="338"/>
      <c r="APV1" s="338"/>
      <c r="APW1" s="338"/>
      <c r="APX1" s="338"/>
      <c r="APY1" s="338"/>
      <c r="APZ1" s="338"/>
      <c r="AQA1" s="338"/>
      <c r="AQB1" s="338"/>
      <c r="AQC1" s="338"/>
      <c r="AQD1" s="338"/>
      <c r="AQE1" s="338"/>
      <c r="AQF1" s="338"/>
      <c r="AQG1" s="338"/>
      <c r="AQH1" s="338"/>
      <c r="AQI1" s="338"/>
      <c r="AQJ1" s="338"/>
      <c r="AQK1" s="338"/>
      <c r="AQL1" s="338"/>
      <c r="AQM1" s="338"/>
      <c r="AQN1" s="338"/>
      <c r="AQO1" s="338"/>
      <c r="AQP1" s="338"/>
      <c r="AQQ1" s="338"/>
      <c r="AQR1" s="338"/>
      <c r="AQS1" s="338"/>
      <c r="AQT1" s="338"/>
      <c r="AQU1" s="338"/>
      <c r="AQV1" s="338"/>
      <c r="AQW1" s="338"/>
      <c r="AQX1" s="338"/>
      <c r="AQY1" s="338"/>
      <c r="AQZ1" s="338"/>
      <c r="ARA1" s="338"/>
      <c r="ARB1" s="338"/>
      <c r="ARC1" s="338"/>
      <c r="ARD1" s="338"/>
      <c r="ARE1" s="338"/>
      <c r="ARF1" s="338"/>
      <c r="ARG1" s="338"/>
      <c r="ARH1" s="338"/>
      <c r="ARI1" s="338"/>
      <c r="ARJ1" s="338"/>
      <c r="ARK1" s="338"/>
      <c r="ARL1" s="338"/>
      <c r="ARM1" s="338"/>
      <c r="ARN1" s="338"/>
      <c r="ARO1" s="338"/>
      <c r="ARP1" s="338"/>
      <c r="ARQ1" s="338"/>
      <c r="ARR1" s="338"/>
      <c r="ARS1" s="338"/>
      <c r="ART1" s="338"/>
      <c r="ARU1" s="338"/>
      <c r="ARV1" s="338"/>
      <c r="ARW1" s="338"/>
      <c r="ARX1" s="338"/>
      <c r="ARY1" s="338"/>
      <c r="ARZ1" s="338"/>
      <c r="ASA1" s="338"/>
      <c r="ASB1" s="338"/>
      <c r="ASC1" s="338"/>
      <c r="ASD1" s="338"/>
      <c r="ASE1" s="338"/>
      <c r="ASF1" s="338"/>
      <c r="ASG1" s="338"/>
      <c r="ASH1" s="338"/>
      <c r="ASI1" s="338"/>
      <c r="ASJ1" s="338"/>
      <c r="ASK1" s="338"/>
      <c r="ASL1" s="338"/>
      <c r="ASM1" s="338"/>
      <c r="ASN1" s="338"/>
      <c r="ASO1" s="338"/>
      <c r="ASP1" s="338"/>
      <c r="ASQ1" s="338"/>
      <c r="ASR1" s="338"/>
      <c r="ASS1" s="338"/>
      <c r="AST1" s="338"/>
      <c r="ASU1" s="338"/>
      <c r="ASV1" s="338"/>
      <c r="ASW1" s="338"/>
      <c r="ASX1" s="338"/>
      <c r="ASY1" s="338"/>
      <c r="ASZ1" s="338"/>
      <c r="ATA1" s="338"/>
      <c r="ATB1" s="338"/>
      <c r="ATC1" s="338"/>
      <c r="ATD1" s="338"/>
      <c r="ATE1" s="338"/>
      <c r="ATF1" s="338"/>
      <c r="ATG1" s="338"/>
      <c r="ATH1" s="338"/>
      <c r="ATI1" s="338"/>
      <c r="ATJ1" s="338"/>
      <c r="ATK1" s="338"/>
      <c r="ATL1" s="338"/>
      <c r="ATM1" s="338"/>
      <c r="ATN1" s="338"/>
      <c r="ATO1" s="338"/>
      <c r="ATP1" s="338"/>
      <c r="ATQ1" s="338"/>
      <c r="ATR1" s="338"/>
      <c r="ATS1" s="338"/>
      <c r="ATT1" s="338"/>
      <c r="ATU1" s="338"/>
      <c r="ATV1" s="338"/>
      <c r="ATW1" s="338"/>
      <c r="ATX1" s="338"/>
      <c r="ATY1" s="338"/>
      <c r="ATZ1" s="338"/>
      <c r="AUA1" s="338"/>
      <c r="AUB1" s="338"/>
      <c r="AUC1" s="338"/>
      <c r="AUD1" s="338"/>
      <c r="AUE1" s="338"/>
      <c r="AUF1" s="338"/>
      <c r="AUG1" s="338"/>
      <c r="AUH1" s="338"/>
      <c r="AUI1" s="338"/>
      <c r="AUJ1" s="338"/>
      <c r="AUK1" s="338"/>
      <c r="AUL1" s="338"/>
      <c r="AUM1" s="338"/>
      <c r="AUN1" s="338"/>
      <c r="AUO1" s="338"/>
      <c r="AUP1" s="338"/>
      <c r="AUQ1" s="338"/>
      <c r="AUR1" s="338"/>
      <c r="AUS1" s="338"/>
      <c r="AUT1" s="338"/>
      <c r="AUU1" s="338"/>
      <c r="AUV1" s="338"/>
      <c r="AUW1" s="338"/>
      <c r="AUX1" s="338"/>
      <c r="AUY1" s="338"/>
      <c r="AUZ1" s="338"/>
      <c r="AVA1" s="338"/>
      <c r="AVB1" s="338"/>
      <c r="AVC1" s="338"/>
      <c r="AVD1" s="338"/>
      <c r="AVE1" s="338"/>
      <c r="AVF1" s="338"/>
      <c r="AVG1" s="338"/>
      <c r="AVH1" s="338"/>
      <c r="AVI1" s="338"/>
      <c r="AVJ1" s="338"/>
      <c r="AVK1" s="338"/>
      <c r="AVL1" s="338"/>
      <c r="AVM1" s="338"/>
      <c r="AVN1" s="338"/>
      <c r="AVO1" s="338"/>
      <c r="AVP1" s="338"/>
      <c r="AVQ1" s="338"/>
      <c r="AVR1" s="338"/>
      <c r="AVS1" s="338"/>
      <c r="AVT1" s="338"/>
      <c r="AVU1" s="338"/>
      <c r="AVV1" s="338"/>
      <c r="AVW1" s="338"/>
      <c r="AVX1" s="338"/>
      <c r="AVY1" s="338"/>
      <c r="AVZ1" s="338"/>
      <c r="AWA1" s="338"/>
      <c r="AWB1" s="338"/>
      <c r="AWC1" s="338"/>
      <c r="AWD1" s="338"/>
      <c r="AWE1" s="338"/>
      <c r="AWF1" s="338"/>
      <c r="AWG1" s="338"/>
      <c r="AWH1" s="338"/>
      <c r="AWI1" s="338"/>
      <c r="AWJ1" s="338"/>
      <c r="AWK1" s="338"/>
      <c r="AWL1" s="338"/>
      <c r="AWM1" s="338"/>
      <c r="AWN1" s="338"/>
      <c r="AWO1" s="338"/>
      <c r="AWP1" s="338"/>
      <c r="AWQ1" s="338"/>
      <c r="AWR1" s="338"/>
      <c r="AWS1" s="338"/>
      <c r="AWT1" s="338"/>
      <c r="AWU1" s="338"/>
      <c r="AWV1" s="338"/>
      <c r="AWW1" s="338"/>
      <c r="AWX1" s="338"/>
      <c r="AWY1" s="338"/>
      <c r="AWZ1" s="338"/>
      <c r="AXA1" s="338"/>
      <c r="AXB1" s="338"/>
      <c r="AXC1" s="338"/>
      <c r="AXD1" s="338"/>
      <c r="AXE1" s="338"/>
      <c r="AXF1" s="338"/>
      <c r="AXG1" s="338"/>
      <c r="AXH1" s="338"/>
      <c r="AXI1" s="338"/>
      <c r="AXJ1" s="338"/>
      <c r="AXK1" s="338"/>
      <c r="AXL1" s="338"/>
      <c r="AXM1" s="338"/>
      <c r="AXN1" s="338"/>
      <c r="AXO1" s="338"/>
      <c r="AXP1" s="338"/>
      <c r="AXQ1" s="338"/>
      <c r="AXR1" s="338"/>
      <c r="AXS1" s="338"/>
      <c r="AXT1" s="338"/>
      <c r="AXU1" s="338"/>
      <c r="AXV1" s="338"/>
      <c r="AXW1" s="338"/>
      <c r="AXX1" s="338"/>
      <c r="AXY1" s="338"/>
      <c r="AXZ1" s="338"/>
      <c r="AYA1" s="338"/>
      <c r="AYB1" s="338"/>
      <c r="AYC1" s="338"/>
      <c r="AYD1" s="338"/>
      <c r="AYE1" s="338"/>
      <c r="AYF1" s="338"/>
      <c r="AYG1" s="338"/>
      <c r="AYH1" s="338"/>
      <c r="AYI1" s="338"/>
      <c r="AYJ1" s="338"/>
      <c r="AYK1" s="338"/>
      <c r="AYL1" s="338"/>
      <c r="AYM1" s="338"/>
      <c r="AYN1" s="338"/>
      <c r="AYO1" s="338"/>
      <c r="AYP1" s="338"/>
      <c r="AYQ1" s="338"/>
      <c r="AYR1" s="338"/>
      <c r="AYS1" s="338"/>
      <c r="AYT1" s="338"/>
      <c r="AYU1" s="338"/>
      <c r="AYV1" s="338"/>
      <c r="AYW1" s="338"/>
      <c r="AYX1" s="338"/>
      <c r="AYY1" s="338"/>
      <c r="AYZ1" s="338"/>
      <c r="AZA1" s="338"/>
      <c r="AZB1" s="338"/>
      <c r="AZC1" s="338"/>
      <c r="AZD1" s="338"/>
      <c r="AZE1" s="338"/>
      <c r="AZF1" s="338"/>
      <c r="AZG1" s="338"/>
      <c r="AZH1" s="338"/>
      <c r="AZI1" s="338"/>
      <c r="AZJ1" s="338"/>
      <c r="AZK1" s="338"/>
      <c r="AZL1" s="338"/>
      <c r="AZM1" s="338"/>
      <c r="AZN1" s="338"/>
      <c r="AZO1" s="338"/>
      <c r="AZP1" s="338"/>
      <c r="AZQ1" s="338"/>
      <c r="AZR1" s="338"/>
      <c r="AZS1" s="338"/>
      <c r="AZT1" s="338"/>
      <c r="AZU1" s="338"/>
      <c r="AZV1" s="338"/>
      <c r="AZW1" s="338"/>
      <c r="AZX1" s="338"/>
      <c r="AZY1" s="338"/>
      <c r="AZZ1" s="338"/>
      <c r="BAA1" s="338"/>
      <c r="BAB1" s="338"/>
      <c r="BAC1" s="338"/>
      <c r="BAD1" s="338"/>
      <c r="BAE1" s="338"/>
      <c r="BAF1" s="338"/>
      <c r="BAG1" s="338"/>
      <c r="BAH1" s="338"/>
      <c r="BAI1" s="338"/>
      <c r="BAJ1" s="338"/>
      <c r="BAK1" s="338"/>
      <c r="BAL1" s="338"/>
      <c r="BAM1" s="338"/>
      <c r="BAN1" s="338"/>
      <c r="BAO1" s="338"/>
      <c r="BAP1" s="338"/>
      <c r="BAQ1" s="338"/>
      <c r="BAR1" s="338"/>
      <c r="BAS1" s="338"/>
      <c r="BAT1" s="338"/>
      <c r="BAU1" s="338"/>
      <c r="BAV1" s="338"/>
      <c r="BAW1" s="338"/>
      <c r="BAX1" s="338"/>
      <c r="BAY1" s="338"/>
      <c r="BAZ1" s="338"/>
      <c r="BBA1" s="338"/>
      <c r="BBB1" s="338"/>
      <c r="BBC1" s="338"/>
      <c r="BBD1" s="338"/>
      <c r="BBE1" s="338"/>
      <c r="BBF1" s="338"/>
      <c r="BBG1" s="338"/>
      <c r="BBH1" s="338"/>
      <c r="BBI1" s="338"/>
      <c r="BBJ1" s="338"/>
      <c r="BBK1" s="338"/>
      <c r="BBL1" s="338"/>
      <c r="BBM1" s="338"/>
      <c r="BBN1" s="338"/>
      <c r="BBO1" s="338"/>
      <c r="BBP1" s="338"/>
      <c r="BBQ1" s="338"/>
      <c r="BBR1" s="338"/>
      <c r="BBS1" s="338"/>
      <c r="BBT1" s="338"/>
      <c r="BBU1" s="338"/>
      <c r="BBV1" s="338"/>
      <c r="BBW1" s="338"/>
      <c r="BBX1" s="338"/>
      <c r="BBY1" s="338"/>
      <c r="BBZ1" s="338"/>
      <c r="BCA1" s="338"/>
      <c r="BCB1" s="338"/>
      <c r="BCC1" s="338"/>
      <c r="BCD1" s="338"/>
      <c r="BCE1" s="338"/>
      <c r="BCF1" s="338"/>
      <c r="BCG1" s="338"/>
      <c r="BCH1" s="338"/>
      <c r="BCI1" s="338"/>
      <c r="BCJ1" s="338"/>
      <c r="BCK1" s="338"/>
      <c r="BCL1" s="338"/>
      <c r="BCM1" s="338"/>
      <c r="BCN1" s="338"/>
      <c r="BCO1" s="338"/>
      <c r="BCP1" s="338"/>
      <c r="BCQ1" s="338"/>
      <c r="BCR1" s="338"/>
      <c r="BCS1" s="338"/>
      <c r="BCT1" s="338"/>
      <c r="BCU1" s="338"/>
      <c r="BCV1" s="338"/>
      <c r="BCW1" s="338"/>
      <c r="BCX1" s="338"/>
      <c r="BCY1" s="338"/>
      <c r="BCZ1" s="338"/>
      <c r="BDA1" s="338"/>
      <c r="BDB1" s="338"/>
      <c r="BDC1" s="338"/>
      <c r="BDD1" s="338"/>
      <c r="BDE1" s="338"/>
      <c r="BDF1" s="338"/>
      <c r="BDG1" s="338"/>
      <c r="BDH1" s="338"/>
      <c r="BDI1" s="338"/>
      <c r="BDJ1" s="338"/>
      <c r="BDK1" s="338"/>
      <c r="BDL1" s="338"/>
      <c r="BDM1" s="338"/>
      <c r="BDN1" s="338"/>
      <c r="BDO1" s="338"/>
      <c r="BDP1" s="338"/>
      <c r="BDQ1" s="338"/>
      <c r="BDR1" s="338"/>
      <c r="BDS1" s="338"/>
      <c r="BDT1" s="338"/>
      <c r="BDU1" s="338"/>
      <c r="BDV1" s="338"/>
      <c r="BDW1" s="338"/>
      <c r="BDX1" s="338"/>
      <c r="BDY1" s="338"/>
      <c r="BDZ1" s="338"/>
      <c r="BEA1" s="338"/>
      <c r="BEB1" s="338"/>
      <c r="BEC1" s="338"/>
      <c r="BED1" s="338"/>
      <c r="BEE1" s="338"/>
      <c r="BEF1" s="338"/>
      <c r="BEG1" s="338"/>
      <c r="BEH1" s="338"/>
      <c r="BEI1" s="338"/>
      <c r="BEJ1" s="338"/>
      <c r="BEK1" s="338"/>
      <c r="BEL1" s="338"/>
      <c r="BEM1" s="338"/>
      <c r="BEN1" s="338"/>
      <c r="BEO1" s="338"/>
      <c r="BEP1" s="338"/>
      <c r="BEQ1" s="338"/>
      <c r="BER1" s="338"/>
      <c r="BES1" s="338"/>
      <c r="BET1" s="338"/>
      <c r="BEU1" s="338"/>
      <c r="BEV1" s="338"/>
      <c r="BEW1" s="338"/>
      <c r="BEX1" s="338"/>
      <c r="BEY1" s="338"/>
      <c r="BEZ1" s="338"/>
      <c r="BFA1" s="338"/>
      <c r="BFB1" s="338"/>
      <c r="BFC1" s="338"/>
      <c r="BFD1" s="338"/>
      <c r="BFE1" s="338"/>
      <c r="BFF1" s="338"/>
      <c r="BFG1" s="338"/>
      <c r="BFH1" s="338"/>
      <c r="BFI1" s="338"/>
      <c r="BFJ1" s="338"/>
      <c r="BFK1" s="338"/>
      <c r="BFL1" s="338"/>
      <c r="BFM1" s="338"/>
      <c r="BFN1" s="338"/>
      <c r="BFO1" s="338"/>
      <c r="BFP1" s="338"/>
      <c r="BFQ1" s="338"/>
      <c r="BFR1" s="338"/>
      <c r="BFS1" s="338"/>
      <c r="BFT1" s="338"/>
      <c r="BFU1" s="338"/>
      <c r="BFV1" s="338"/>
      <c r="BFW1" s="338"/>
      <c r="BFX1" s="338"/>
      <c r="BFY1" s="338"/>
      <c r="BFZ1" s="338"/>
      <c r="BGA1" s="338"/>
      <c r="BGB1" s="338"/>
      <c r="BGC1" s="338"/>
      <c r="BGD1" s="338"/>
      <c r="BGE1" s="338"/>
      <c r="BGF1" s="338"/>
      <c r="BGG1" s="338"/>
      <c r="BGH1" s="338"/>
      <c r="BGI1" s="338"/>
      <c r="BGJ1" s="338"/>
      <c r="BGK1" s="338"/>
      <c r="BGL1" s="338"/>
      <c r="BGM1" s="338"/>
      <c r="BGN1" s="338"/>
      <c r="BGO1" s="338"/>
      <c r="BGP1" s="338"/>
      <c r="BGQ1" s="338"/>
      <c r="BGR1" s="338"/>
      <c r="BGS1" s="338"/>
      <c r="BGT1" s="338"/>
      <c r="BGU1" s="338"/>
      <c r="BGV1" s="338"/>
      <c r="BGW1" s="338"/>
      <c r="BGX1" s="338"/>
      <c r="BGY1" s="338"/>
      <c r="BGZ1" s="338"/>
      <c r="BHA1" s="338"/>
      <c r="BHB1" s="338"/>
      <c r="BHC1" s="338"/>
      <c r="BHD1" s="338"/>
      <c r="BHE1" s="338"/>
      <c r="BHF1" s="338"/>
      <c r="BHG1" s="338"/>
      <c r="BHH1" s="338"/>
      <c r="BHI1" s="338"/>
      <c r="BHJ1" s="338"/>
      <c r="BHK1" s="338"/>
      <c r="BHL1" s="338"/>
      <c r="BHM1" s="338"/>
      <c r="BHN1" s="338"/>
      <c r="BHO1" s="338"/>
      <c r="BHP1" s="338"/>
      <c r="BHQ1" s="338"/>
      <c r="BHR1" s="338"/>
      <c r="BHS1" s="338"/>
      <c r="BHT1" s="338"/>
      <c r="BHU1" s="338"/>
      <c r="BHV1" s="338"/>
      <c r="BHW1" s="338"/>
      <c r="BHX1" s="338"/>
      <c r="BHY1" s="338"/>
      <c r="BHZ1" s="338"/>
      <c r="BIA1" s="338"/>
      <c r="BIB1" s="338"/>
      <c r="BIC1" s="338"/>
      <c r="BID1" s="338"/>
      <c r="BIE1" s="338"/>
      <c r="BIF1" s="338"/>
      <c r="BIG1" s="338"/>
      <c r="BIH1" s="338"/>
      <c r="BII1" s="338"/>
      <c r="BIJ1" s="338"/>
      <c r="BIK1" s="338"/>
      <c r="BIL1" s="338"/>
      <c r="BIM1" s="338"/>
      <c r="BIN1" s="338"/>
      <c r="BIO1" s="338"/>
      <c r="BIP1" s="338"/>
      <c r="BIQ1" s="338"/>
      <c r="BIR1" s="338"/>
      <c r="BIS1" s="338"/>
      <c r="BIT1" s="338"/>
      <c r="BIU1" s="338"/>
      <c r="BIV1" s="338"/>
      <c r="BIW1" s="338"/>
      <c r="BIX1" s="338"/>
      <c r="BIY1" s="338"/>
      <c r="BIZ1" s="338"/>
      <c r="BJA1" s="338"/>
      <c r="BJB1" s="338"/>
      <c r="BJC1" s="338"/>
      <c r="BJD1" s="338"/>
      <c r="BJE1" s="338"/>
      <c r="BJF1" s="338"/>
      <c r="BJG1" s="338"/>
      <c r="BJH1" s="338"/>
      <c r="BJI1" s="338"/>
      <c r="BJJ1" s="338"/>
      <c r="BJK1" s="338"/>
      <c r="BJL1" s="338"/>
      <c r="BJM1" s="338"/>
      <c r="BJN1" s="338"/>
      <c r="BJO1" s="338"/>
      <c r="BJP1" s="338"/>
      <c r="BJQ1" s="338"/>
      <c r="BJR1" s="338"/>
      <c r="BJS1" s="338"/>
      <c r="BJT1" s="338"/>
      <c r="BJU1" s="338"/>
      <c r="BJV1" s="338"/>
      <c r="BJW1" s="338"/>
      <c r="BJX1" s="338"/>
      <c r="BJY1" s="338"/>
      <c r="BJZ1" s="338"/>
      <c r="BKA1" s="338"/>
      <c r="BKB1" s="338"/>
      <c r="BKC1" s="338"/>
      <c r="BKD1" s="338"/>
      <c r="BKE1" s="338"/>
      <c r="BKF1" s="338"/>
      <c r="BKG1" s="338"/>
      <c r="BKH1" s="338"/>
      <c r="BKI1" s="338"/>
      <c r="BKJ1" s="338"/>
      <c r="BKK1" s="338"/>
      <c r="BKL1" s="338"/>
      <c r="BKM1" s="338"/>
      <c r="BKN1" s="338"/>
      <c r="BKO1" s="338"/>
      <c r="BKP1" s="338"/>
      <c r="BKQ1" s="338"/>
      <c r="BKR1" s="338"/>
      <c r="BKS1" s="338"/>
      <c r="BKT1" s="338"/>
      <c r="BKU1" s="338"/>
      <c r="BKV1" s="338"/>
      <c r="BKW1" s="338"/>
      <c r="BKX1" s="338"/>
      <c r="BKY1" s="338"/>
      <c r="BKZ1" s="338"/>
      <c r="BLA1" s="338"/>
      <c r="BLB1" s="338"/>
      <c r="BLC1" s="338"/>
      <c r="BLD1" s="338"/>
      <c r="BLE1" s="338"/>
      <c r="BLF1" s="338"/>
      <c r="BLG1" s="338"/>
      <c r="BLH1" s="338"/>
      <c r="BLI1" s="338"/>
      <c r="BLJ1" s="338"/>
      <c r="BLK1" s="338"/>
      <c r="BLL1" s="338"/>
      <c r="BLM1" s="338"/>
      <c r="BLN1" s="338"/>
      <c r="BLO1" s="338"/>
      <c r="BLP1" s="338"/>
      <c r="BLQ1" s="338"/>
      <c r="BLR1" s="338"/>
      <c r="BLS1" s="338"/>
      <c r="BLT1" s="338"/>
      <c r="BLU1" s="338"/>
      <c r="BLV1" s="338"/>
      <c r="BLW1" s="338"/>
      <c r="BLX1" s="338"/>
      <c r="BLY1" s="338"/>
      <c r="BLZ1" s="338"/>
      <c r="BMA1" s="338"/>
      <c r="BMB1" s="338"/>
      <c r="BMC1" s="338"/>
      <c r="BMD1" s="338"/>
      <c r="BME1" s="338"/>
      <c r="BMF1" s="338"/>
      <c r="BMG1" s="338"/>
      <c r="BMH1" s="338"/>
      <c r="BMI1" s="338"/>
      <c r="BMJ1" s="338"/>
      <c r="BMK1" s="338"/>
      <c r="BML1" s="338"/>
      <c r="BMM1" s="338"/>
      <c r="BMN1" s="338"/>
      <c r="BMO1" s="338"/>
      <c r="BMP1" s="338"/>
      <c r="BMQ1" s="338"/>
      <c r="BMR1" s="338"/>
      <c r="BMS1" s="338"/>
      <c r="BMT1" s="338"/>
      <c r="BMU1" s="338"/>
      <c r="BMV1" s="338"/>
      <c r="BMW1" s="338"/>
      <c r="BMX1" s="338"/>
      <c r="BMY1" s="338"/>
      <c r="BMZ1" s="338"/>
      <c r="BNA1" s="338"/>
      <c r="BNB1" s="338"/>
      <c r="BNC1" s="338"/>
      <c r="BND1" s="338"/>
      <c r="BNE1" s="338"/>
      <c r="BNF1" s="338"/>
      <c r="BNG1" s="338"/>
      <c r="BNH1" s="338"/>
      <c r="BNI1" s="338"/>
      <c r="BNJ1" s="338"/>
      <c r="BNK1" s="338"/>
      <c r="BNL1" s="338"/>
      <c r="BNM1" s="338"/>
      <c r="BNN1" s="338"/>
      <c r="BNO1" s="338"/>
      <c r="BNP1" s="338"/>
      <c r="BNQ1" s="338"/>
      <c r="BNR1" s="338"/>
      <c r="BNS1" s="338"/>
      <c r="BNT1" s="338"/>
      <c r="BNU1" s="338"/>
      <c r="BNV1" s="338"/>
      <c r="BNW1" s="338"/>
      <c r="BNX1" s="338"/>
      <c r="BNY1" s="338"/>
      <c r="BNZ1" s="338"/>
      <c r="BOA1" s="338"/>
      <c r="BOB1" s="338"/>
      <c r="BOC1" s="338"/>
      <c r="BOD1" s="338"/>
      <c r="BOE1" s="338"/>
      <c r="BOF1" s="338"/>
      <c r="BOG1" s="338"/>
      <c r="BOH1" s="338"/>
      <c r="BOI1" s="338"/>
      <c r="BOJ1" s="338"/>
      <c r="BOK1" s="338"/>
      <c r="BOL1" s="338"/>
      <c r="BOM1" s="338"/>
      <c r="BON1" s="338"/>
      <c r="BOO1" s="338"/>
      <c r="BOP1" s="338"/>
      <c r="BOQ1" s="338"/>
      <c r="BOR1" s="338"/>
      <c r="BOS1" s="338"/>
      <c r="BOT1" s="338"/>
      <c r="BOU1" s="338"/>
      <c r="BOV1" s="338"/>
      <c r="BOW1" s="338"/>
      <c r="BOX1" s="338"/>
      <c r="BOY1" s="338"/>
      <c r="BOZ1" s="338"/>
      <c r="BPA1" s="338"/>
      <c r="BPB1" s="338"/>
      <c r="BPC1" s="338"/>
      <c r="BPD1" s="338"/>
      <c r="BPE1" s="338"/>
      <c r="BPF1" s="338"/>
      <c r="BPG1" s="338"/>
      <c r="BPH1" s="338"/>
      <c r="BPI1" s="338"/>
      <c r="BPJ1" s="338"/>
      <c r="BPK1" s="338"/>
      <c r="BPL1" s="338"/>
      <c r="BPM1" s="338"/>
      <c r="BPN1" s="338"/>
      <c r="BPO1" s="338"/>
      <c r="BPP1" s="338"/>
      <c r="BPQ1" s="338"/>
      <c r="BPR1" s="338"/>
      <c r="BPS1" s="338"/>
      <c r="BPT1" s="338"/>
      <c r="BPU1" s="338"/>
      <c r="BPV1" s="338"/>
      <c r="BPW1" s="338"/>
      <c r="BPX1" s="338"/>
      <c r="BPY1" s="338"/>
      <c r="BPZ1" s="338"/>
      <c r="BQA1" s="338"/>
      <c r="BQB1" s="338"/>
      <c r="BQC1" s="338"/>
      <c r="BQD1" s="338"/>
      <c r="BQE1" s="338"/>
      <c r="BQF1" s="338"/>
      <c r="BQG1" s="338"/>
      <c r="BQH1" s="338"/>
      <c r="BQI1" s="338"/>
      <c r="BQJ1" s="338"/>
      <c r="BQK1" s="338"/>
      <c r="BQL1" s="338"/>
      <c r="BQM1" s="338"/>
      <c r="BQN1" s="338"/>
      <c r="BQO1" s="338"/>
      <c r="BQP1" s="338"/>
      <c r="BQQ1" s="338"/>
      <c r="BQR1" s="338"/>
      <c r="BQS1" s="338"/>
      <c r="BQT1" s="338"/>
      <c r="BQU1" s="338"/>
      <c r="BQV1" s="338"/>
      <c r="BQW1" s="338"/>
      <c r="BQX1" s="338"/>
      <c r="BQY1" s="338"/>
      <c r="BQZ1" s="338"/>
      <c r="BRA1" s="338"/>
      <c r="BRB1" s="338"/>
      <c r="BRC1" s="338"/>
      <c r="BRD1" s="338"/>
      <c r="BRE1" s="338"/>
      <c r="BRF1" s="338"/>
      <c r="BRG1" s="338"/>
      <c r="BRH1" s="338"/>
      <c r="BRI1" s="338"/>
      <c r="BRJ1" s="338"/>
      <c r="BRK1" s="338"/>
      <c r="BRL1" s="338"/>
      <c r="BRM1" s="338"/>
      <c r="BRN1" s="338"/>
      <c r="BRO1" s="338"/>
      <c r="BRP1" s="338"/>
      <c r="BRQ1" s="338"/>
      <c r="BRR1" s="338"/>
      <c r="BRS1" s="338"/>
      <c r="BRT1" s="338"/>
      <c r="BRU1" s="338"/>
      <c r="BRV1" s="338"/>
      <c r="BRW1" s="338"/>
      <c r="BRX1" s="338"/>
      <c r="BRY1" s="338"/>
      <c r="BRZ1" s="338"/>
      <c r="BSA1" s="338"/>
      <c r="BSB1" s="338"/>
      <c r="BSC1" s="338"/>
      <c r="BSD1" s="338"/>
      <c r="BSE1" s="338"/>
      <c r="BSF1" s="338"/>
      <c r="BSG1" s="338"/>
      <c r="BSH1" s="338"/>
      <c r="BSI1" s="338"/>
      <c r="BSJ1" s="338"/>
      <c r="BSK1" s="338"/>
      <c r="BSL1" s="338"/>
      <c r="BSM1" s="338"/>
      <c r="BSN1" s="338"/>
      <c r="BSO1" s="338"/>
      <c r="BSP1" s="338"/>
      <c r="BSQ1" s="338"/>
      <c r="BSR1" s="338"/>
      <c r="BSS1" s="338"/>
      <c r="BST1" s="338"/>
      <c r="BSU1" s="338"/>
      <c r="BSV1" s="338"/>
      <c r="BSW1" s="338"/>
      <c r="BSX1" s="338"/>
      <c r="BSY1" s="338"/>
      <c r="BSZ1" s="338"/>
      <c r="BTA1" s="338"/>
      <c r="BTB1" s="338"/>
      <c r="BTC1" s="338"/>
      <c r="BTD1" s="338"/>
      <c r="BTE1" s="338"/>
      <c r="BTF1" s="338"/>
      <c r="BTG1" s="338"/>
      <c r="BTH1" s="338"/>
      <c r="BTI1" s="338"/>
      <c r="BTJ1" s="338"/>
      <c r="BTK1" s="338"/>
      <c r="BTL1" s="338"/>
      <c r="BTM1" s="338"/>
      <c r="BTN1" s="338"/>
      <c r="BTO1" s="338"/>
      <c r="BTP1" s="338"/>
      <c r="BTQ1" s="338"/>
      <c r="BTR1" s="338"/>
      <c r="BTS1" s="338"/>
      <c r="BTT1" s="338"/>
      <c r="BTU1" s="338"/>
      <c r="BTV1" s="338"/>
      <c r="BTW1" s="338"/>
      <c r="BTX1" s="338"/>
      <c r="BTY1" s="338"/>
      <c r="BTZ1" s="338"/>
      <c r="BUA1" s="338"/>
      <c r="BUB1" s="338"/>
      <c r="BUC1" s="338"/>
      <c r="BUD1" s="338"/>
      <c r="BUE1" s="338"/>
      <c r="BUF1" s="338"/>
      <c r="BUG1" s="338"/>
      <c r="BUH1" s="338"/>
      <c r="BUI1" s="338"/>
      <c r="BUJ1" s="338"/>
      <c r="BUK1" s="338"/>
      <c r="BUL1" s="338"/>
      <c r="BUM1" s="338"/>
      <c r="BUN1" s="338"/>
      <c r="BUO1" s="338"/>
      <c r="BUP1" s="338"/>
      <c r="BUQ1" s="338"/>
      <c r="BUR1" s="338"/>
      <c r="BUS1" s="338"/>
      <c r="BUT1" s="338"/>
      <c r="BUU1" s="338"/>
      <c r="BUV1" s="338"/>
      <c r="BUW1" s="338"/>
      <c r="BUX1" s="338"/>
      <c r="BUY1" s="338"/>
      <c r="BUZ1" s="338"/>
      <c r="BVA1" s="338"/>
      <c r="BVB1" s="338"/>
      <c r="BVC1" s="338"/>
      <c r="BVD1" s="338"/>
      <c r="BVE1" s="338"/>
      <c r="BVF1" s="338"/>
      <c r="BVG1" s="338"/>
      <c r="BVH1" s="338"/>
      <c r="BVI1" s="338"/>
      <c r="BVJ1" s="338"/>
      <c r="BVK1" s="338"/>
      <c r="BVL1" s="338"/>
      <c r="BVM1" s="338"/>
      <c r="BVN1" s="338"/>
      <c r="BVO1" s="338"/>
      <c r="BVP1" s="338"/>
      <c r="BVQ1" s="338"/>
      <c r="BVR1" s="338"/>
      <c r="BVS1" s="338"/>
      <c r="BVT1" s="338"/>
      <c r="BVU1" s="338"/>
      <c r="BVV1" s="338"/>
      <c r="BVW1" s="338"/>
      <c r="BVX1" s="338"/>
      <c r="BVY1" s="338"/>
      <c r="BVZ1" s="338"/>
      <c r="BWA1" s="338"/>
      <c r="BWB1" s="338"/>
      <c r="BWC1" s="338"/>
      <c r="BWD1" s="338"/>
      <c r="BWE1" s="338"/>
      <c r="BWF1" s="338"/>
      <c r="BWG1" s="338"/>
      <c r="BWH1" s="338"/>
      <c r="BWI1" s="338"/>
      <c r="BWJ1" s="338"/>
      <c r="BWK1" s="338"/>
      <c r="BWL1" s="338"/>
      <c r="BWM1" s="338"/>
      <c r="BWN1" s="338"/>
      <c r="BWO1" s="338"/>
      <c r="BWP1" s="338"/>
      <c r="BWQ1" s="338"/>
      <c r="BWR1" s="338"/>
      <c r="BWS1" s="338"/>
      <c r="BWT1" s="338"/>
      <c r="BWU1" s="338"/>
      <c r="BWV1" s="338"/>
      <c r="BWW1" s="338"/>
      <c r="BWX1" s="338"/>
      <c r="BWY1" s="338"/>
      <c r="BWZ1" s="338"/>
      <c r="BXA1" s="338"/>
      <c r="BXB1" s="338"/>
      <c r="BXC1" s="338"/>
      <c r="BXD1" s="338"/>
      <c r="BXE1" s="338"/>
      <c r="BXF1" s="338"/>
      <c r="BXG1" s="338"/>
      <c r="BXH1" s="338"/>
      <c r="BXI1" s="338"/>
      <c r="BXJ1" s="338"/>
      <c r="BXK1" s="338"/>
      <c r="BXL1" s="338"/>
      <c r="BXM1" s="338"/>
      <c r="BXN1" s="338"/>
      <c r="BXO1" s="338"/>
      <c r="BXP1" s="338"/>
      <c r="BXQ1" s="338"/>
      <c r="BXR1" s="338"/>
      <c r="BXS1" s="338"/>
      <c r="BXT1" s="338"/>
      <c r="BXU1" s="338"/>
      <c r="BXV1" s="338"/>
      <c r="BXW1" s="338"/>
      <c r="BXX1" s="338"/>
      <c r="BXY1" s="338"/>
      <c r="BXZ1" s="338"/>
      <c r="BYA1" s="338"/>
      <c r="BYB1" s="338"/>
      <c r="BYC1" s="338"/>
      <c r="BYD1" s="338"/>
      <c r="BYE1" s="338"/>
      <c r="BYF1" s="338"/>
      <c r="BYG1" s="338"/>
      <c r="BYH1" s="338"/>
      <c r="BYI1" s="338"/>
      <c r="BYJ1" s="338"/>
      <c r="BYK1" s="338"/>
      <c r="BYL1" s="338"/>
      <c r="BYM1" s="338"/>
      <c r="BYN1" s="338"/>
      <c r="BYO1" s="338"/>
      <c r="BYP1" s="338"/>
      <c r="BYQ1" s="338"/>
      <c r="BYR1" s="338"/>
      <c r="BYS1" s="338"/>
      <c r="BYT1" s="338"/>
      <c r="BYU1" s="338"/>
      <c r="BYV1" s="338"/>
      <c r="BYW1" s="338"/>
      <c r="BYX1" s="338"/>
      <c r="BYY1" s="338"/>
      <c r="BYZ1" s="338"/>
      <c r="BZA1" s="338"/>
      <c r="BZB1" s="338"/>
      <c r="BZC1" s="338"/>
      <c r="BZD1" s="338"/>
      <c r="BZE1" s="338"/>
      <c r="BZF1" s="338"/>
      <c r="BZG1" s="338"/>
      <c r="BZH1" s="338"/>
      <c r="BZI1" s="338"/>
      <c r="BZJ1" s="338"/>
      <c r="BZK1" s="338"/>
      <c r="BZL1" s="338"/>
      <c r="BZM1" s="338"/>
      <c r="BZN1" s="338"/>
      <c r="BZO1" s="338"/>
      <c r="BZP1" s="338"/>
      <c r="BZQ1" s="338"/>
      <c r="BZR1" s="338"/>
      <c r="BZS1" s="338"/>
      <c r="BZT1" s="338"/>
      <c r="BZU1" s="338"/>
      <c r="BZV1" s="338"/>
      <c r="BZW1" s="338"/>
      <c r="BZX1" s="338"/>
      <c r="BZY1" s="338"/>
      <c r="BZZ1" s="338"/>
      <c r="CAA1" s="338"/>
      <c r="CAB1" s="338"/>
      <c r="CAC1" s="338"/>
      <c r="CAD1" s="338"/>
      <c r="CAE1" s="338"/>
      <c r="CAF1" s="338"/>
      <c r="CAG1" s="338"/>
      <c r="CAH1" s="338"/>
      <c r="CAI1" s="338"/>
      <c r="CAJ1" s="338"/>
      <c r="CAK1" s="338"/>
      <c r="CAL1" s="338"/>
      <c r="CAM1" s="338"/>
      <c r="CAN1" s="338"/>
      <c r="CAO1" s="338"/>
      <c r="CAP1" s="338"/>
      <c r="CAQ1" s="338"/>
      <c r="CAR1" s="338"/>
      <c r="CAS1" s="338"/>
      <c r="CAT1" s="338"/>
      <c r="CAU1" s="338"/>
      <c r="CAV1" s="338"/>
      <c r="CAW1" s="338"/>
      <c r="CAX1" s="338"/>
      <c r="CAY1" s="338"/>
      <c r="CAZ1" s="338"/>
      <c r="CBA1" s="338"/>
      <c r="CBB1" s="338"/>
      <c r="CBC1" s="338"/>
      <c r="CBD1" s="338"/>
      <c r="CBE1" s="338"/>
      <c r="CBF1" s="338"/>
      <c r="CBG1" s="338"/>
      <c r="CBH1" s="338"/>
      <c r="CBI1" s="338"/>
      <c r="CBJ1" s="338"/>
      <c r="CBK1" s="338"/>
      <c r="CBL1" s="338"/>
      <c r="CBM1" s="338"/>
      <c r="CBN1" s="338"/>
      <c r="CBO1" s="338"/>
      <c r="CBP1" s="338"/>
      <c r="CBQ1" s="338"/>
      <c r="CBR1" s="338"/>
      <c r="CBS1" s="338"/>
      <c r="CBT1" s="338"/>
      <c r="CBU1" s="338"/>
      <c r="CBV1" s="338"/>
      <c r="CBW1" s="338"/>
      <c r="CBX1" s="338"/>
      <c r="CBY1" s="338"/>
      <c r="CBZ1" s="338"/>
      <c r="CCA1" s="338"/>
      <c r="CCB1" s="338"/>
      <c r="CCC1" s="338"/>
      <c r="CCD1" s="338"/>
      <c r="CCE1" s="338"/>
      <c r="CCF1" s="338"/>
      <c r="CCG1" s="338"/>
      <c r="CCH1" s="338"/>
      <c r="CCI1" s="338"/>
      <c r="CCJ1" s="338"/>
      <c r="CCK1" s="338"/>
      <c r="CCL1" s="338"/>
      <c r="CCM1" s="338"/>
      <c r="CCN1" s="338"/>
      <c r="CCO1" s="338"/>
      <c r="CCP1" s="338"/>
      <c r="CCQ1" s="338"/>
      <c r="CCR1" s="338"/>
      <c r="CCS1" s="338"/>
      <c r="CCT1" s="338"/>
      <c r="CCU1" s="338"/>
      <c r="CCV1" s="338"/>
      <c r="CCW1" s="338"/>
      <c r="CCX1" s="338"/>
      <c r="CCY1" s="338"/>
      <c r="CCZ1" s="338"/>
      <c r="CDA1" s="338"/>
      <c r="CDB1" s="338"/>
      <c r="CDC1" s="338"/>
      <c r="CDD1" s="338"/>
      <c r="CDE1" s="338"/>
      <c r="CDF1" s="338"/>
      <c r="CDG1" s="338"/>
      <c r="CDH1" s="338"/>
      <c r="CDI1" s="338"/>
      <c r="CDJ1" s="338"/>
      <c r="CDK1" s="338"/>
      <c r="CDL1" s="338"/>
      <c r="CDM1" s="338"/>
      <c r="CDN1" s="338"/>
      <c r="CDO1" s="338"/>
      <c r="CDP1" s="338"/>
      <c r="CDQ1" s="338"/>
      <c r="CDR1" s="338"/>
      <c r="CDS1" s="338"/>
      <c r="CDT1" s="338"/>
      <c r="CDU1" s="338"/>
      <c r="CDV1" s="338"/>
      <c r="CDW1" s="338"/>
      <c r="CDX1" s="338"/>
      <c r="CDY1" s="338"/>
      <c r="CDZ1" s="338"/>
      <c r="CEA1" s="338"/>
      <c r="CEB1" s="338"/>
      <c r="CEC1" s="338"/>
      <c r="CED1" s="338"/>
      <c r="CEE1" s="338"/>
      <c r="CEF1" s="338"/>
      <c r="CEG1" s="338"/>
      <c r="CEH1" s="338"/>
      <c r="CEI1" s="338"/>
      <c r="CEJ1" s="338"/>
      <c r="CEK1" s="338"/>
      <c r="CEL1" s="338"/>
      <c r="CEM1" s="338"/>
      <c r="CEN1" s="338"/>
      <c r="CEO1" s="338"/>
      <c r="CEP1" s="338"/>
      <c r="CEQ1" s="338"/>
      <c r="CER1" s="338"/>
      <c r="CES1" s="338"/>
      <c r="CET1" s="338"/>
      <c r="CEU1" s="338"/>
      <c r="CEV1" s="338"/>
      <c r="CEW1" s="338"/>
      <c r="CEX1" s="338"/>
      <c r="CEY1" s="338"/>
      <c r="CEZ1" s="338"/>
      <c r="CFA1" s="338"/>
      <c r="CFB1" s="338"/>
      <c r="CFC1" s="338"/>
      <c r="CFD1" s="338"/>
      <c r="CFE1" s="338"/>
      <c r="CFF1" s="338"/>
      <c r="CFG1" s="338"/>
      <c r="CFH1" s="338"/>
      <c r="CFI1" s="338"/>
      <c r="CFJ1" s="338"/>
      <c r="CFK1" s="338"/>
      <c r="CFL1" s="338"/>
      <c r="CFM1" s="338"/>
      <c r="CFN1" s="338"/>
      <c r="CFO1" s="338"/>
      <c r="CFP1" s="338"/>
      <c r="CFQ1" s="338"/>
      <c r="CFR1" s="338"/>
      <c r="CFS1" s="338"/>
      <c r="CFT1" s="338"/>
      <c r="CFU1" s="338"/>
      <c r="CFV1" s="338"/>
      <c r="CFW1" s="338"/>
      <c r="CFX1" s="338"/>
      <c r="CFY1" s="338"/>
      <c r="CFZ1" s="338"/>
      <c r="CGA1" s="338"/>
      <c r="CGB1" s="338"/>
      <c r="CGC1" s="338"/>
      <c r="CGD1" s="338"/>
      <c r="CGE1" s="338"/>
      <c r="CGF1" s="338"/>
      <c r="CGG1" s="338"/>
      <c r="CGH1" s="338"/>
      <c r="CGI1" s="338"/>
      <c r="CGJ1" s="338"/>
      <c r="CGK1" s="338"/>
      <c r="CGL1" s="338"/>
      <c r="CGM1" s="338"/>
      <c r="CGN1" s="338"/>
      <c r="CGO1" s="338"/>
      <c r="CGP1" s="338"/>
      <c r="CGQ1" s="338"/>
      <c r="CGR1" s="338"/>
      <c r="CGS1" s="338"/>
      <c r="CGT1" s="338"/>
      <c r="CGU1" s="338"/>
      <c r="CGV1" s="338"/>
      <c r="CGW1" s="338"/>
      <c r="CGX1" s="338"/>
      <c r="CGY1" s="338"/>
      <c r="CGZ1" s="338"/>
      <c r="CHA1" s="338"/>
      <c r="CHB1" s="338"/>
      <c r="CHC1" s="338"/>
      <c r="CHD1" s="338"/>
      <c r="CHE1" s="338"/>
      <c r="CHF1" s="338"/>
      <c r="CHG1" s="338"/>
      <c r="CHH1" s="338"/>
      <c r="CHI1" s="338"/>
      <c r="CHJ1" s="338"/>
      <c r="CHK1" s="338"/>
      <c r="CHL1" s="338"/>
      <c r="CHM1" s="338"/>
      <c r="CHN1" s="338"/>
      <c r="CHO1" s="338"/>
      <c r="CHP1" s="338"/>
      <c r="CHQ1" s="338"/>
      <c r="CHR1" s="338"/>
      <c r="CHS1" s="338"/>
      <c r="CHT1" s="338"/>
      <c r="CHU1" s="338"/>
      <c r="CHV1" s="338"/>
      <c r="CHW1" s="338"/>
      <c r="CHX1" s="338"/>
      <c r="CHY1" s="338"/>
      <c r="CHZ1" s="338"/>
      <c r="CIA1" s="338"/>
      <c r="CIB1" s="338"/>
      <c r="CIC1" s="338"/>
      <c r="CID1" s="338"/>
      <c r="CIE1" s="338"/>
      <c r="CIF1" s="338"/>
      <c r="CIG1" s="338"/>
      <c r="CIH1" s="338"/>
      <c r="CII1" s="338"/>
      <c r="CIJ1" s="338"/>
      <c r="CIK1" s="338"/>
      <c r="CIL1" s="338"/>
      <c r="CIM1" s="338"/>
      <c r="CIN1" s="338"/>
      <c r="CIO1" s="338"/>
      <c r="CIP1" s="338"/>
      <c r="CIQ1" s="338"/>
      <c r="CIR1" s="338"/>
      <c r="CIS1" s="338"/>
      <c r="CIT1" s="338"/>
      <c r="CIU1" s="338"/>
      <c r="CIV1" s="338"/>
      <c r="CIW1" s="338"/>
      <c r="CIX1" s="338"/>
      <c r="CIY1" s="338"/>
      <c r="CIZ1" s="338"/>
      <c r="CJA1" s="338"/>
      <c r="CJB1" s="338"/>
      <c r="CJC1" s="338"/>
      <c r="CJD1" s="338"/>
      <c r="CJE1" s="338"/>
      <c r="CJF1" s="338"/>
      <c r="CJG1" s="338"/>
      <c r="CJH1" s="338"/>
      <c r="CJI1" s="338"/>
      <c r="CJJ1" s="338"/>
      <c r="CJK1" s="338"/>
      <c r="CJL1" s="338"/>
      <c r="CJM1" s="338"/>
      <c r="CJN1" s="338"/>
      <c r="CJO1" s="338"/>
      <c r="CJP1" s="338"/>
      <c r="CJQ1" s="338"/>
      <c r="CJR1" s="338"/>
      <c r="CJS1" s="338"/>
      <c r="CJT1" s="338"/>
      <c r="CJU1" s="338"/>
      <c r="CJV1" s="338"/>
      <c r="CJW1" s="338"/>
      <c r="CJX1" s="338"/>
      <c r="CJY1" s="338"/>
      <c r="CJZ1" s="338"/>
      <c r="CKA1" s="338"/>
      <c r="CKB1" s="338"/>
      <c r="CKC1" s="338"/>
      <c r="CKD1" s="338"/>
      <c r="CKE1" s="338"/>
      <c r="CKF1" s="338"/>
      <c r="CKG1" s="338"/>
      <c r="CKH1" s="338"/>
      <c r="CKI1" s="338"/>
      <c r="CKJ1" s="338"/>
      <c r="CKK1" s="338"/>
      <c r="CKL1" s="338"/>
      <c r="CKM1" s="338"/>
      <c r="CKN1" s="338"/>
      <c r="CKO1" s="338"/>
      <c r="CKP1" s="338"/>
      <c r="CKQ1" s="338"/>
      <c r="CKR1" s="338"/>
      <c r="CKS1" s="338"/>
      <c r="CKT1" s="338"/>
      <c r="CKU1" s="338"/>
      <c r="CKV1" s="338"/>
      <c r="CKW1" s="338"/>
      <c r="CKX1" s="338"/>
      <c r="CKY1" s="338"/>
      <c r="CKZ1" s="338"/>
      <c r="CLA1" s="338"/>
      <c r="CLB1" s="338"/>
      <c r="CLC1" s="338"/>
      <c r="CLD1" s="338"/>
      <c r="CLE1" s="338"/>
      <c r="CLF1" s="338"/>
      <c r="CLG1" s="338"/>
      <c r="CLH1" s="338"/>
      <c r="CLI1" s="338"/>
      <c r="CLJ1" s="338"/>
      <c r="CLK1" s="338"/>
      <c r="CLL1" s="338"/>
      <c r="CLM1" s="338"/>
      <c r="CLN1" s="338"/>
      <c r="CLO1" s="338"/>
      <c r="CLP1" s="338"/>
      <c r="CLQ1" s="338"/>
      <c r="CLR1" s="338"/>
      <c r="CLS1" s="338"/>
      <c r="CLT1" s="338"/>
      <c r="CLU1" s="338"/>
      <c r="CLV1" s="338"/>
      <c r="CLW1" s="338"/>
      <c r="CLX1" s="338"/>
      <c r="CLY1" s="338"/>
      <c r="CLZ1" s="338"/>
      <c r="CMA1" s="338"/>
      <c r="CMB1" s="338"/>
      <c r="CMC1" s="338"/>
      <c r="CMD1" s="338"/>
      <c r="CME1" s="338"/>
      <c r="CMF1" s="338"/>
      <c r="CMG1" s="338"/>
      <c r="CMH1" s="338"/>
      <c r="CMI1" s="338"/>
      <c r="CMJ1" s="338"/>
      <c r="CMK1" s="338"/>
      <c r="CML1" s="338"/>
      <c r="CMM1" s="338"/>
      <c r="CMN1" s="338"/>
      <c r="CMO1" s="338"/>
      <c r="CMP1" s="338"/>
      <c r="CMQ1" s="338"/>
      <c r="CMR1" s="338"/>
      <c r="CMS1" s="338"/>
      <c r="CMT1" s="338"/>
      <c r="CMU1" s="338"/>
      <c r="CMV1" s="338"/>
      <c r="CMW1" s="338"/>
      <c r="CMX1" s="338"/>
      <c r="CMY1" s="338"/>
      <c r="CMZ1" s="338"/>
      <c r="CNA1" s="338"/>
      <c r="CNB1" s="338"/>
      <c r="CNC1" s="338"/>
      <c r="CND1" s="338"/>
      <c r="CNE1" s="338"/>
      <c r="CNF1" s="338"/>
      <c r="CNG1" s="338"/>
      <c r="CNH1" s="338"/>
      <c r="CNI1" s="338"/>
      <c r="CNJ1" s="338"/>
      <c r="CNK1" s="338"/>
      <c r="CNL1" s="338"/>
      <c r="CNM1" s="338"/>
      <c r="CNN1" s="338"/>
      <c r="CNO1" s="338"/>
      <c r="CNP1" s="338"/>
      <c r="CNQ1" s="338"/>
      <c r="CNR1" s="338"/>
      <c r="CNS1" s="338"/>
      <c r="CNT1" s="338"/>
      <c r="CNU1" s="338"/>
      <c r="CNV1" s="338"/>
      <c r="CNW1" s="338"/>
      <c r="CNX1" s="338"/>
      <c r="CNY1" s="338"/>
      <c r="CNZ1" s="338"/>
      <c r="COA1" s="338"/>
      <c r="COB1" s="338"/>
      <c r="COC1" s="338"/>
      <c r="COD1" s="338"/>
      <c r="COE1" s="338"/>
      <c r="COF1" s="338"/>
      <c r="COG1" s="338"/>
      <c r="COH1" s="338"/>
      <c r="COI1" s="338"/>
      <c r="COJ1" s="338"/>
      <c r="COK1" s="338"/>
      <c r="COL1" s="338"/>
      <c r="COM1" s="338"/>
      <c r="CON1" s="338"/>
      <c r="COO1" s="338"/>
      <c r="COP1" s="338"/>
      <c r="COQ1" s="338"/>
      <c r="COR1" s="338"/>
      <c r="COS1" s="338"/>
      <c r="COT1" s="338"/>
      <c r="COU1" s="338"/>
      <c r="COV1" s="338"/>
      <c r="COW1" s="338"/>
      <c r="COX1" s="338"/>
      <c r="COY1" s="338"/>
      <c r="COZ1" s="338"/>
      <c r="CPA1" s="338"/>
      <c r="CPB1" s="338"/>
      <c r="CPC1" s="338"/>
      <c r="CPD1" s="338"/>
      <c r="CPE1" s="338"/>
      <c r="CPF1" s="338"/>
      <c r="CPG1" s="338"/>
      <c r="CPH1" s="338"/>
      <c r="CPI1" s="338"/>
      <c r="CPJ1" s="338"/>
      <c r="CPK1" s="338"/>
      <c r="CPL1" s="338"/>
      <c r="CPM1" s="338"/>
      <c r="CPN1" s="338"/>
      <c r="CPO1" s="338"/>
      <c r="CPP1" s="338"/>
      <c r="CPQ1" s="338"/>
      <c r="CPR1" s="338"/>
      <c r="CPS1" s="338"/>
      <c r="CPT1" s="338"/>
      <c r="CPU1" s="338"/>
      <c r="CPV1" s="338"/>
      <c r="CPW1" s="338"/>
      <c r="CPX1" s="338"/>
      <c r="CPY1" s="338"/>
      <c r="CPZ1" s="338"/>
      <c r="CQA1" s="338"/>
      <c r="CQB1" s="338"/>
      <c r="CQC1" s="338"/>
      <c r="CQD1" s="338"/>
      <c r="CQE1" s="338"/>
      <c r="CQF1" s="338"/>
      <c r="CQG1" s="338"/>
      <c r="CQH1" s="338"/>
      <c r="CQI1" s="338"/>
      <c r="CQJ1" s="338"/>
      <c r="CQK1" s="338"/>
      <c r="CQL1" s="338"/>
      <c r="CQM1" s="338"/>
      <c r="CQN1" s="338"/>
      <c r="CQO1" s="338"/>
      <c r="CQP1" s="338"/>
      <c r="CQQ1" s="338"/>
      <c r="CQR1" s="338"/>
      <c r="CQS1" s="338"/>
      <c r="CQT1" s="338"/>
      <c r="CQU1" s="338"/>
      <c r="CQV1" s="338"/>
      <c r="CQW1" s="338"/>
      <c r="CQX1" s="338"/>
      <c r="CQY1" s="338"/>
      <c r="CQZ1" s="338"/>
      <c r="CRA1" s="338"/>
      <c r="CRB1" s="338"/>
      <c r="CRC1" s="338"/>
      <c r="CRD1" s="338"/>
      <c r="CRE1" s="338"/>
      <c r="CRF1" s="338"/>
      <c r="CRG1" s="338"/>
      <c r="CRH1" s="338"/>
      <c r="CRI1" s="338"/>
      <c r="CRJ1" s="338"/>
      <c r="CRK1" s="338"/>
      <c r="CRL1" s="338"/>
      <c r="CRM1" s="338"/>
      <c r="CRN1" s="338"/>
      <c r="CRO1" s="338"/>
      <c r="CRP1" s="338"/>
      <c r="CRQ1" s="338"/>
      <c r="CRR1" s="338"/>
      <c r="CRS1" s="338"/>
      <c r="CRT1" s="338"/>
      <c r="CRU1" s="338"/>
      <c r="CRV1" s="338"/>
      <c r="CRW1" s="338"/>
      <c r="CRX1" s="338"/>
      <c r="CRY1" s="338"/>
      <c r="CRZ1" s="338"/>
      <c r="CSA1" s="338"/>
      <c r="CSB1" s="338"/>
      <c r="CSC1" s="338"/>
      <c r="CSD1" s="338"/>
      <c r="CSE1" s="338"/>
      <c r="CSF1" s="338"/>
      <c r="CSG1" s="338"/>
      <c r="CSH1" s="338"/>
      <c r="CSI1" s="338"/>
      <c r="CSJ1" s="338"/>
      <c r="CSK1" s="338"/>
      <c r="CSL1" s="338"/>
      <c r="CSM1" s="338"/>
      <c r="CSN1" s="338"/>
      <c r="CSO1" s="338"/>
      <c r="CSP1" s="338"/>
      <c r="CSQ1" s="338"/>
      <c r="CSR1" s="338"/>
      <c r="CSS1" s="338"/>
      <c r="CST1" s="338"/>
      <c r="CSU1" s="338"/>
      <c r="CSV1" s="338"/>
      <c r="CSW1" s="338"/>
      <c r="CSX1" s="338"/>
      <c r="CSY1" s="338"/>
      <c r="CSZ1" s="338"/>
      <c r="CTA1" s="338"/>
      <c r="CTB1" s="338"/>
      <c r="CTC1" s="338"/>
      <c r="CTD1" s="338"/>
      <c r="CTE1" s="338"/>
      <c r="CTF1" s="338"/>
      <c r="CTG1" s="338"/>
      <c r="CTH1" s="338"/>
      <c r="CTI1" s="338"/>
      <c r="CTJ1" s="338"/>
      <c r="CTK1" s="338"/>
      <c r="CTL1" s="338"/>
      <c r="CTM1" s="338"/>
      <c r="CTN1" s="338"/>
      <c r="CTO1" s="338"/>
      <c r="CTP1" s="338"/>
      <c r="CTQ1" s="338"/>
      <c r="CTR1" s="338"/>
      <c r="CTS1" s="338"/>
      <c r="CTT1" s="338"/>
      <c r="CTU1" s="338"/>
      <c r="CTV1" s="338"/>
      <c r="CTW1" s="338"/>
      <c r="CTX1" s="338"/>
      <c r="CTY1" s="338"/>
      <c r="CTZ1" s="338"/>
      <c r="CUA1" s="338"/>
      <c r="CUB1" s="338"/>
      <c r="CUC1" s="338"/>
      <c r="CUD1" s="338"/>
      <c r="CUE1" s="338"/>
      <c r="CUF1" s="338"/>
      <c r="CUG1" s="338"/>
      <c r="CUH1" s="338"/>
      <c r="CUI1" s="338"/>
      <c r="CUJ1" s="338"/>
      <c r="CUK1" s="338"/>
      <c r="CUL1" s="338"/>
      <c r="CUM1" s="338"/>
      <c r="CUN1" s="338"/>
      <c r="CUO1" s="338"/>
      <c r="CUP1" s="338"/>
      <c r="CUQ1" s="338"/>
      <c r="CUR1" s="338"/>
      <c r="CUS1" s="338"/>
      <c r="CUT1" s="338"/>
      <c r="CUU1" s="338"/>
      <c r="CUV1" s="338"/>
      <c r="CUW1" s="338"/>
      <c r="CUX1" s="338"/>
      <c r="CUY1" s="338"/>
      <c r="CUZ1" s="338"/>
      <c r="CVA1" s="338"/>
      <c r="CVB1" s="338"/>
      <c r="CVC1" s="338"/>
      <c r="CVD1" s="338"/>
      <c r="CVE1" s="338"/>
      <c r="CVF1" s="338"/>
      <c r="CVG1" s="338"/>
      <c r="CVH1" s="338"/>
      <c r="CVI1" s="338"/>
      <c r="CVJ1" s="338"/>
      <c r="CVK1" s="338"/>
      <c r="CVL1" s="338"/>
      <c r="CVM1" s="338"/>
      <c r="CVN1" s="338"/>
      <c r="CVO1" s="338"/>
      <c r="CVP1" s="338"/>
      <c r="CVQ1" s="338"/>
      <c r="CVR1" s="338"/>
      <c r="CVS1" s="338"/>
      <c r="CVT1" s="338"/>
      <c r="CVU1" s="338"/>
      <c r="CVV1" s="338"/>
      <c r="CVW1" s="338"/>
      <c r="CVX1" s="338"/>
      <c r="CVY1" s="338"/>
      <c r="CVZ1" s="338"/>
      <c r="CWA1" s="338"/>
      <c r="CWB1" s="338"/>
      <c r="CWC1" s="338"/>
      <c r="CWD1" s="338"/>
      <c r="CWE1" s="338"/>
      <c r="CWF1" s="338"/>
      <c r="CWG1" s="338"/>
      <c r="CWH1" s="338"/>
      <c r="CWI1" s="338"/>
      <c r="CWJ1" s="338"/>
      <c r="CWK1" s="338"/>
      <c r="CWL1" s="338"/>
      <c r="CWM1" s="338"/>
      <c r="CWN1" s="338"/>
      <c r="CWO1" s="338"/>
      <c r="CWP1" s="338"/>
      <c r="CWQ1" s="338"/>
      <c r="CWR1" s="338"/>
      <c r="CWS1" s="338"/>
      <c r="CWT1" s="338"/>
      <c r="CWU1" s="338"/>
      <c r="CWV1" s="338"/>
      <c r="CWW1" s="338"/>
      <c r="CWX1" s="338"/>
      <c r="CWY1" s="338"/>
      <c r="CWZ1" s="338"/>
      <c r="CXA1" s="338"/>
      <c r="CXB1" s="338"/>
      <c r="CXC1" s="338"/>
      <c r="CXD1" s="338"/>
      <c r="CXE1" s="338"/>
      <c r="CXF1" s="338"/>
      <c r="CXG1" s="338"/>
      <c r="CXH1" s="338"/>
      <c r="CXI1" s="338"/>
      <c r="CXJ1" s="338"/>
      <c r="CXK1" s="338"/>
      <c r="CXL1" s="338"/>
      <c r="CXM1" s="338"/>
      <c r="CXN1" s="338"/>
      <c r="CXO1" s="338"/>
      <c r="CXP1" s="338"/>
      <c r="CXQ1" s="338"/>
      <c r="CXR1" s="338"/>
      <c r="CXS1" s="338"/>
      <c r="CXT1" s="338"/>
      <c r="CXU1" s="338"/>
      <c r="CXV1" s="338"/>
      <c r="CXW1" s="338"/>
      <c r="CXX1" s="338"/>
      <c r="CXY1" s="338"/>
      <c r="CXZ1" s="338"/>
      <c r="CYA1" s="338"/>
      <c r="CYB1" s="338"/>
      <c r="CYC1" s="338"/>
      <c r="CYD1" s="338"/>
      <c r="CYE1" s="338"/>
      <c r="CYF1" s="338"/>
      <c r="CYG1" s="338"/>
      <c r="CYH1" s="338"/>
      <c r="CYI1" s="338"/>
      <c r="CYJ1" s="338"/>
      <c r="CYK1" s="338"/>
      <c r="CYL1" s="338"/>
      <c r="CYM1" s="338"/>
      <c r="CYN1" s="338"/>
      <c r="CYO1" s="338"/>
      <c r="CYP1" s="338"/>
      <c r="CYQ1" s="338"/>
      <c r="CYR1" s="338"/>
      <c r="CYS1" s="338"/>
      <c r="CYT1" s="338"/>
      <c r="CYU1" s="338"/>
      <c r="CYV1" s="338"/>
      <c r="CYW1" s="338"/>
      <c r="CYX1" s="338"/>
      <c r="CYY1" s="338"/>
      <c r="CYZ1" s="338"/>
      <c r="CZA1" s="338"/>
      <c r="CZB1" s="338"/>
      <c r="CZC1" s="338"/>
      <c r="CZD1" s="338"/>
      <c r="CZE1" s="338"/>
      <c r="CZF1" s="338"/>
      <c r="CZG1" s="338"/>
      <c r="CZH1" s="338"/>
      <c r="CZI1" s="338"/>
      <c r="CZJ1" s="338"/>
      <c r="CZK1" s="338"/>
      <c r="CZL1" s="338"/>
      <c r="CZM1" s="338"/>
      <c r="CZN1" s="338"/>
      <c r="CZO1" s="338"/>
      <c r="CZP1" s="338"/>
      <c r="CZQ1" s="338"/>
      <c r="CZR1" s="338"/>
      <c r="CZS1" s="338"/>
      <c r="CZT1" s="338"/>
      <c r="CZU1" s="338"/>
      <c r="CZV1" s="338"/>
      <c r="CZW1" s="338"/>
      <c r="CZX1" s="338"/>
      <c r="CZY1" s="338"/>
      <c r="CZZ1" s="338"/>
      <c r="DAA1" s="338"/>
      <c r="DAB1" s="338"/>
      <c r="DAC1" s="338"/>
      <c r="DAD1" s="338"/>
      <c r="DAE1" s="338"/>
      <c r="DAF1" s="338"/>
      <c r="DAG1" s="338"/>
      <c r="DAH1" s="338"/>
      <c r="DAI1" s="338"/>
      <c r="DAJ1" s="338"/>
      <c r="DAK1" s="338"/>
      <c r="DAL1" s="338"/>
      <c r="DAM1" s="338"/>
      <c r="DAN1" s="338"/>
      <c r="DAO1" s="338"/>
      <c r="DAP1" s="338"/>
      <c r="DAQ1" s="338"/>
      <c r="DAR1" s="338"/>
      <c r="DAS1" s="338"/>
      <c r="DAT1" s="338"/>
      <c r="DAU1" s="338"/>
      <c r="DAV1" s="338"/>
      <c r="DAW1" s="338"/>
      <c r="DAX1" s="338"/>
      <c r="DAY1" s="338"/>
      <c r="DAZ1" s="338"/>
      <c r="DBA1" s="338"/>
      <c r="DBB1" s="338"/>
      <c r="DBC1" s="338"/>
      <c r="DBD1" s="338"/>
      <c r="DBE1" s="338"/>
      <c r="DBF1" s="338"/>
      <c r="DBG1" s="338"/>
      <c r="DBH1" s="338"/>
      <c r="DBI1" s="338"/>
      <c r="DBJ1" s="338"/>
      <c r="DBK1" s="338"/>
      <c r="DBL1" s="338"/>
      <c r="DBM1" s="338"/>
      <c r="DBN1" s="338"/>
      <c r="DBO1" s="338"/>
      <c r="DBP1" s="338"/>
      <c r="DBQ1" s="338"/>
      <c r="DBR1" s="338"/>
      <c r="DBS1" s="338"/>
      <c r="DBT1" s="338"/>
      <c r="DBU1" s="338"/>
      <c r="DBV1" s="338"/>
      <c r="DBW1" s="338"/>
      <c r="DBX1" s="338"/>
      <c r="DBY1" s="338"/>
      <c r="DBZ1" s="338"/>
      <c r="DCA1" s="338"/>
      <c r="DCB1" s="338"/>
      <c r="DCC1" s="338"/>
      <c r="DCD1" s="338"/>
      <c r="DCE1" s="338"/>
      <c r="DCF1" s="338"/>
      <c r="DCG1" s="338"/>
      <c r="DCH1" s="338"/>
      <c r="DCI1" s="338"/>
      <c r="DCJ1" s="338"/>
      <c r="DCK1" s="338"/>
      <c r="DCL1" s="338"/>
      <c r="DCM1" s="338"/>
      <c r="DCN1" s="338"/>
      <c r="DCO1" s="338"/>
      <c r="DCP1" s="338"/>
      <c r="DCQ1" s="338"/>
      <c r="DCR1" s="338"/>
      <c r="DCS1" s="338"/>
      <c r="DCT1" s="338"/>
      <c r="DCU1" s="338"/>
      <c r="DCV1" s="338"/>
      <c r="DCW1" s="338"/>
      <c r="DCX1" s="338"/>
      <c r="DCY1" s="338"/>
      <c r="DCZ1" s="338"/>
      <c r="DDA1" s="338"/>
      <c r="DDB1" s="338"/>
      <c r="DDC1" s="338"/>
      <c r="DDD1" s="338"/>
      <c r="DDE1" s="338"/>
      <c r="DDF1" s="338"/>
      <c r="DDG1" s="338"/>
      <c r="DDH1" s="338"/>
      <c r="DDI1" s="338"/>
      <c r="DDJ1" s="338"/>
      <c r="DDK1" s="338"/>
      <c r="DDL1" s="338"/>
      <c r="DDM1" s="338"/>
      <c r="DDN1" s="338"/>
      <c r="DDO1" s="338"/>
      <c r="DDP1" s="338"/>
      <c r="DDQ1" s="338"/>
      <c r="DDR1" s="338"/>
      <c r="DDS1" s="338"/>
      <c r="DDT1" s="338"/>
      <c r="DDU1" s="338"/>
      <c r="DDV1" s="338"/>
      <c r="DDW1" s="338"/>
      <c r="DDX1" s="338"/>
      <c r="DDY1" s="338"/>
      <c r="DDZ1" s="338"/>
      <c r="DEA1" s="338"/>
      <c r="DEB1" s="338"/>
      <c r="DEC1" s="338"/>
      <c r="DED1" s="338"/>
      <c r="DEE1" s="338"/>
      <c r="DEF1" s="338"/>
      <c r="DEG1" s="338"/>
      <c r="DEH1" s="338"/>
      <c r="DEI1" s="338"/>
      <c r="DEJ1" s="338"/>
      <c r="DEK1" s="338"/>
      <c r="DEL1" s="338"/>
      <c r="DEM1" s="338"/>
      <c r="DEN1" s="338"/>
      <c r="DEO1" s="338"/>
      <c r="DEP1" s="338"/>
      <c r="DEQ1" s="338"/>
      <c r="DER1" s="338"/>
      <c r="DES1" s="338"/>
      <c r="DET1" s="338"/>
      <c r="DEU1" s="338"/>
      <c r="DEV1" s="338"/>
      <c r="DEW1" s="338"/>
      <c r="DEX1" s="338"/>
      <c r="DEY1" s="338"/>
      <c r="DEZ1" s="338"/>
      <c r="DFA1" s="338"/>
      <c r="DFB1" s="338"/>
      <c r="DFC1" s="338"/>
      <c r="DFD1" s="338"/>
      <c r="DFE1" s="338"/>
      <c r="DFF1" s="338"/>
      <c r="DFG1" s="338"/>
      <c r="DFH1" s="338"/>
      <c r="DFI1" s="338"/>
      <c r="DFJ1" s="338"/>
      <c r="DFK1" s="338"/>
      <c r="DFL1" s="338"/>
      <c r="DFM1" s="338"/>
      <c r="DFN1" s="338"/>
      <c r="DFO1" s="338"/>
      <c r="DFP1" s="338"/>
      <c r="DFQ1" s="338"/>
      <c r="DFR1" s="338"/>
      <c r="DFS1" s="338"/>
      <c r="DFT1" s="338"/>
      <c r="DFU1" s="338"/>
      <c r="DFV1" s="338"/>
      <c r="DFW1" s="338"/>
      <c r="DFX1" s="338"/>
      <c r="DFY1" s="338"/>
      <c r="DFZ1" s="338"/>
      <c r="DGA1" s="338"/>
      <c r="DGB1" s="338"/>
      <c r="DGC1" s="338"/>
      <c r="DGD1" s="338"/>
      <c r="DGE1" s="338"/>
      <c r="DGF1" s="338"/>
      <c r="DGG1" s="338"/>
      <c r="DGH1" s="338"/>
      <c r="DGI1" s="338"/>
      <c r="DGJ1" s="338"/>
      <c r="DGK1" s="338"/>
      <c r="DGL1" s="338"/>
      <c r="DGM1" s="338"/>
      <c r="DGN1" s="338"/>
      <c r="DGO1" s="338"/>
      <c r="DGP1" s="338"/>
      <c r="DGQ1" s="338"/>
      <c r="DGR1" s="338"/>
      <c r="DGS1" s="338"/>
      <c r="DGT1" s="338"/>
      <c r="DGU1" s="338"/>
      <c r="DGV1" s="338"/>
      <c r="DGW1" s="338"/>
      <c r="DGX1" s="338"/>
      <c r="DGY1" s="338"/>
      <c r="DGZ1" s="338"/>
      <c r="DHA1" s="338"/>
      <c r="DHB1" s="338"/>
      <c r="DHC1" s="338"/>
      <c r="DHD1" s="338"/>
      <c r="DHE1" s="338"/>
      <c r="DHF1" s="338"/>
      <c r="DHG1" s="338"/>
      <c r="DHH1" s="338"/>
      <c r="DHI1" s="338"/>
      <c r="DHJ1" s="338"/>
      <c r="DHK1" s="338"/>
      <c r="DHL1" s="338"/>
      <c r="DHM1" s="338"/>
      <c r="DHN1" s="338"/>
      <c r="DHO1" s="338"/>
      <c r="DHP1" s="338"/>
      <c r="DHQ1" s="338"/>
      <c r="DHR1" s="338"/>
      <c r="DHS1" s="338"/>
      <c r="DHT1" s="338"/>
      <c r="DHU1" s="338"/>
      <c r="DHV1" s="338"/>
      <c r="DHW1" s="338"/>
      <c r="DHX1" s="338"/>
      <c r="DHY1" s="338"/>
      <c r="DHZ1" s="338"/>
      <c r="DIA1" s="338"/>
      <c r="DIB1" s="338"/>
      <c r="DIC1" s="338"/>
      <c r="DID1" s="338"/>
      <c r="DIE1" s="338"/>
      <c r="DIF1" s="338"/>
      <c r="DIG1" s="338"/>
      <c r="DIH1" s="338"/>
      <c r="DII1" s="338"/>
      <c r="DIJ1" s="338"/>
      <c r="DIK1" s="338"/>
      <c r="DIL1" s="338"/>
      <c r="DIM1" s="338"/>
      <c r="DIN1" s="338"/>
      <c r="DIO1" s="338"/>
      <c r="DIP1" s="338"/>
      <c r="DIQ1" s="338"/>
      <c r="DIR1" s="338"/>
      <c r="DIS1" s="338"/>
      <c r="DIT1" s="338"/>
      <c r="DIU1" s="338"/>
      <c r="DIV1" s="338"/>
      <c r="DIW1" s="338"/>
      <c r="DIX1" s="338"/>
      <c r="DIY1" s="338"/>
      <c r="DIZ1" s="338"/>
      <c r="DJA1" s="338"/>
      <c r="DJB1" s="338"/>
      <c r="DJC1" s="338"/>
      <c r="DJD1" s="338"/>
      <c r="DJE1" s="338"/>
      <c r="DJF1" s="338"/>
      <c r="DJG1" s="338"/>
      <c r="DJH1" s="338"/>
      <c r="DJI1" s="338"/>
      <c r="DJJ1" s="338"/>
      <c r="DJK1" s="338"/>
      <c r="DJL1" s="338"/>
      <c r="DJM1" s="338"/>
      <c r="DJN1" s="338"/>
      <c r="DJO1" s="338"/>
      <c r="DJP1" s="338"/>
      <c r="DJQ1" s="338"/>
      <c r="DJR1" s="338"/>
      <c r="DJS1" s="338"/>
      <c r="DJT1" s="338"/>
      <c r="DJU1" s="338"/>
      <c r="DJV1" s="338"/>
      <c r="DJW1" s="338"/>
      <c r="DJX1" s="338"/>
      <c r="DJY1" s="338"/>
      <c r="DJZ1" s="338"/>
      <c r="DKA1" s="338"/>
      <c r="DKB1" s="338"/>
      <c r="DKC1" s="338"/>
      <c r="DKD1" s="338"/>
      <c r="DKE1" s="338"/>
      <c r="DKF1" s="338"/>
      <c r="DKG1" s="338"/>
      <c r="DKH1" s="338"/>
      <c r="DKI1" s="338"/>
      <c r="DKJ1" s="338"/>
      <c r="DKK1" s="338"/>
      <c r="DKL1" s="338"/>
      <c r="DKM1" s="338"/>
      <c r="DKN1" s="338"/>
      <c r="DKO1" s="338"/>
      <c r="DKP1" s="338"/>
      <c r="DKQ1" s="338"/>
      <c r="DKR1" s="338"/>
      <c r="DKS1" s="338"/>
      <c r="DKT1" s="338"/>
      <c r="DKU1" s="338"/>
      <c r="DKV1" s="338"/>
      <c r="DKW1" s="338"/>
      <c r="DKX1" s="338"/>
      <c r="DKY1" s="338"/>
      <c r="DKZ1" s="338"/>
      <c r="DLA1" s="338"/>
      <c r="DLB1" s="338"/>
      <c r="DLC1" s="338"/>
      <c r="DLD1" s="338"/>
      <c r="DLE1" s="338"/>
      <c r="DLF1" s="338"/>
      <c r="DLG1" s="338"/>
      <c r="DLH1" s="338"/>
      <c r="DLI1" s="338"/>
      <c r="DLJ1" s="338"/>
      <c r="DLK1" s="338"/>
      <c r="DLL1" s="338"/>
      <c r="DLM1" s="338"/>
      <c r="DLN1" s="338"/>
      <c r="DLO1" s="338"/>
      <c r="DLP1" s="338"/>
      <c r="DLQ1" s="338"/>
      <c r="DLR1" s="338"/>
      <c r="DLS1" s="338"/>
      <c r="DLT1" s="338"/>
      <c r="DLU1" s="338"/>
      <c r="DLV1" s="338"/>
      <c r="DLW1" s="338"/>
      <c r="DLX1" s="338"/>
      <c r="DLY1" s="338"/>
      <c r="DLZ1" s="338"/>
      <c r="DMA1" s="338"/>
      <c r="DMB1" s="338"/>
      <c r="DMC1" s="338"/>
      <c r="DMD1" s="338"/>
      <c r="DME1" s="338"/>
      <c r="DMF1" s="338"/>
      <c r="DMG1" s="338"/>
      <c r="DMH1" s="338"/>
      <c r="DMI1" s="338"/>
      <c r="DMJ1" s="338"/>
      <c r="DMK1" s="338"/>
      <c r="DML1" s="338"/>
      <c r="DMM1" s="338"/>
      <c r="DMN1" s="338"/>
      <c r="DMO1" s="338"/>
      <c r="DMP1" s="338"/>
      <c r="DMQ1" s="338"/>
      <c r="DMR1" s="338"/>
      <c r="DMS1" s="338"/>
      <c r="DMT1" s="338"/>
      <c r="DMU1" s="338"/>
      <c r="DMV1" s="338"/>
      <c r="DMW1" s="338"/>
      <c r="DMX1" s="338"/>
      <c r="DMY1" s="338"/>
      <c r="DMZ1" s="338"/>
      <c r="DNA1" s="338"/>
      <c r="DNB1" s="338"/>
      <c r="DNC1" s="338"/>
      <c r="DND1" s="338"/>
      <c r="DNE1" s="338"/>
      <c r="DNF1" s="338"/>
      <c r="DNG1" s="338"/>
      <c r="DNH1" s="338"/>
      <c r="DNI1" s="338"/>
      <c r="DNJ1" s="338"/>
      <c r="DNK1" s="338"/>
      <c r="DNL1" s="338"/>
      <c r="DNM1" s="338"/>
      <c r="DNN1" s="338"/>
      <c r="DNO1" s="338"/>
      <c r="DNP1" s="338"/>
      <c r="DNQ1" s="338"/>
      <c r="DNR1" s="338"/>
      <c r="DNS1" s="338"/>
      <c r="DNT1" s="338"/>
      <c r="DNU1" s="338"/>
      <c r="DNV1" s="338"/>
      <c r="DNW1" s="338"/>
      <c r="DNX1" s="338"/>
      <c r="DNY1" s="338"/>
      <c r="DNZ1" s="338"/>
      <c r="DOA1" s="338"/>
      <c r="DOB1" s="338"/>
      <c r="DOC1" s="338"/>
      <c r="DOD1" s="338"/>
      <c r="DOE1" s="338"/>
      <c r="DOF1" s="338"/>
      <c r="DOG1" s="338"/>
      <c r="DOH1" s="338"/>
      <c r="DOI1" s="338"/>
      <c r="DOJ1" s="338"/>
      <c r="DOK1" s="338"/>
      <c r="DOL1" s="338"/>
      <c r="DOM1" s="338"/>
      <c r="DON1" s="338"/>
      <c r="DOO1" s="338"/>
      <c r="DOP1" s="338"/>
      <c r="DOQ1" s="338"/>
      <c r="DOR1" s="338"/>
      <c r="DOS1" s="338"/>
      <c r="DOT1" s="338"/>
      <c r="DOU1" s="338"/>
      <c r="DOV1" s="338"/>
      <c r="DOW1" s="338"/>
      <c r="DOX1" s="338"/>
      <c r="DOY1" s="338"/>
      <c r="DOZ1" s="338"/>
      <c r="DPA1" s="338"/>
      <c r="DPB1" s="338"/>
      <c r="DPC1" s="338"/>
      <c r="DPD1" s="338"/>
      <c r="DPE1" s="338"/>
      <c r="DPF1" s="338"/>
      <c r="DPG1" s="338"/>
      <c r="DPH1" s="338"/>
      <c r="DPI1" s="338"/>
      <c r="DPJ1" s="338"/>
      <c r="DPK1" s="338"/>
      <c r="DPL1" s="338"/>
      <c r="DPM1" s="338"/>
      <c r="DPN1" s="338"/>
      <c r="DPO1" s="338"/>
      <c r="DPP1" s="338"/>
      <c r="DPQ1" s="338"/>
      <c r="DPR1" s="338"/>
      <c r="DPS1" s="338"/>
      <c r="DPT1" s="338"/>
      <c r="DPU1" s="338"/>
      <c r="DPV1" s="338"/>
      <c r="DPW1" s="338"/>
      <c r="DPX1" s="338"/>
      <c r="DPY1" s="338"/>
      <c r="DPZ1" s="338"/>
      <c r="DQA1" s="338"/>
      <c r="DQB1" s="338"/>
      <c r="DQC1" s="338"/>
      <c r="DQD1" s="338"/>
      <c r="DQE1" s="338"/>
      <c r="DQF1" s="338"/>
      <c r="DQG1" s="338"/>
      <c r="DQH1" s="338"/>
      <c r="DQI1" s="338"/>
      <c r="DQJ1" s="338"/>
      <c r="DQK1" s="338"/>
      <c r="DQL1" s="338"/>
      <c r="DQM1" s="338"/>
      <c r="DQN1" s="338"/>
      <c r="DQO1" s="338"/>
      <c r="DQP1" s="338"/>
      <c r="DQQ1" s="338"/>
      <c r="DQR1" s="338"/>
      <c r="DQS1" s="338"/>
      <c r="DQT1" s="338"/>
      <c r="DQU1" s="338"/>
      <c r="DQV1" s="338"/>
      <c r="DQW1" s="338"/>
      <c r="DQX1" s="338"/>
      <c r="DQY1" s="338"/>
      <c r="DQZ1" s="338"/>
      <c r="DRA1" s="338"/>
      <c r="DRB1" s="338"/>
      <c r="DRC1" s="338"/>
      <c r="DRD1" s="338"/>
      <c r="DRE1" s="338"/>
      <c r="DRF1" s="338"/>
      <c r="DRG1" s="338"/>
      <c r="DRH1" s="338"/>
      <c r="DRI1" s="338"/>
      <c r="DRJ1" s="338"/>
      <c r="DRK1" s="338"/>
      <c r="DRL1" s="338"/>
      <c r="DRM1" s="338"/>
      <c r="DRN1" s="338"/>
      <c r="DRO1" s="338"/>
      <c r="DRP1" s="338"/>
      <c r="DRQ1" s="338"/>
      <c r="DRR1" s="338"/>
      <c r="DRS1" s="338"/>
      <c r="DRT1" s="338"/>
      <c r="DRU1" s="338"/>
      <c r="DRV1" s="338"/>
      <c r="DRW1" s="338"/>
      <c r="DRX1" s="338"/>
      <c r="DRY1" s="338"/>
      <c r="DRZ1" s="338"/>
      <c r="DSA1" s="338"/>
      <c r="DSB1" s="338"/>
      <c r="DSC1" s="338"/>
      <c r="DSD1" s="338"/>
      <c r="DSE1" s="338"/>
      <c r="DSF1" s="338"/>
      <c r="DSG1" s="338"/>
      <c r="DSH1" s="338"/>
      <c r="DSI1" s="338"/>
      <c r="DSJ1" s="338"/>
      <c r="DSK1" s="338"/>
      <c r="DSL1" s="338"/>
      <c r="DSM1" s="338"/>
      <c r="DSN1" s="338"/>
      <c r="DSO1" s="338"/>
      <c r="DSP1" s="338"/>
      <c r="DSQ1" s="338"/>
      <c r="DSR1" s="338"/>
      <c r="DSS1" s="338"/>
      <c r="DST1" s="338"/>
      <c r="DSU1" s="338"/>
      <c r="DSV1" s="338"/>
      <c r="DSW1" s="338"/>
      <c r="DSX1" s="338"/>
      <c r="DSY1" s="338"/>
      <c r="DSZ1" s="338"/>
      <c r="DTA1" s="338"/>
      <c r="DTB1" s="338"/>
      <c r="DTC1" s="338"/>
      <c r="DTD1" s="338"/>
      <c r="DTE1" s="338"/>
      <c r="DTF1" s="338"/>
      <c r="DTG1" s="338"/>
      <c r="DTH1" s="338"/>
      <c r="DTI1" s="338"/>
      <c r="DTJ1" s="338"/>
      <c r="DTK1" s="338"/>
      <c r="DTL1" s="338"/>
      <c r="DTM1" s="338"/>
      <c r="DTN1" s="338"/>
      <c r="DTO1" s="338"/>
      <c r="DTP1" s="338"/>
      <c r="DTQ1" s="338"/>
      <c r="DTR1" s="338"/>
      <c r="DTS1" s="338"/>
      <c r="DTT1" s="338"/>
      <c r="DTU1" s="338"/>
      <c r="DTV1" s="338"/>
      <c r="DTW1" s="338"/>
      <c r="DTX1" s="338"/>
      <c r="DTY1" s="338"/>
      <c r="DTZ1" s="338"/>
      <c r="DUA1" s="338"/>
      <c r="DUB1" s="338"/>
      <c r="DUC1" s="338"/>
      <c r="DUD1" s="338"/>
      <c r="DUE1" s="338"/>
      <c r="DUF1" s="338"/>
      <c r="DUG1" s="338"/>
      <c r="DUH1" s="338"/>
      <c r="DUI1" s="338"/>
      <c r="DUJ1" s="338"/>
      <c r="DUK1" s="338"/>
      <c r="DUL1" s="338"/>
      <c r="DUM1" s="338"/>
      <c r="DUN1" s="338"/>
      <c r="DUO1" s="338"/>
      <c r="DUP1" s="338"/>
      <c r="DUQ1" s="338"/>
      <c r="DUR1" s="338"/>
      <c r="DUS1" s="338"/>
      <c r="DUT1" s="338"/>
      <c r="DUU1" s="338"/>
      <c r="DUV1" s="338"/>
      <c r="DUW1" s="338"/>
      <c r="DUX1" s="338"/>
      <c r="DUY1" s="338"/>
      <c r="DUZ1" s="338"/>
      <c r="DVA1" s="338"/>
      <c r="DVB1" s="338"/>
      <c r="DVC1" s="338"/>
      <c r="DVD1" s="338"/>
      <c r="DVE1" s="338"/>
      <c r="DVF1" s="338"/>
      <c r="DVG1" s="338"/>
      <c r="DVH1" s="338"/>
      <c r="DVI1" s="338"/>
      <c r="DVJ1" s="338"/>
      <c r="DVK1" s="338"/>
      <c r="DVL1" s="338"/>
      <c r="DVM1" s="338"/>
      <c r="DVN1" s="338"/>
      <c r="DVO1" s="338"/>
      <c r="DVP1" s="338"/>
      <c r="DVQ1" s="338"/>
      <c r="DVR1" s="338"/>
      <c r="DVS1" s="338"/>
      <c r="DVT1" s="338"/>
      <c r="DVU1" s="338"/>
      <c r="DVV1" s="338"/>
      <c r="DVW1" s="338"/>
      <c r="DVX1" s="338"/>
      <c r="DVY1" s="338"/>
      <c r="DVZ1" s="338"/>
      <c r="DWA1" s="338"/>
      <c r="DWB1" s="338"/>
      <c r="DWC1" s="338"/>
      <c r="DWD1" s="338"/>
      <c r="DWE1" s="338"/>
      <c r="DWF1" s="338"/>
      <c r="DWG1" s="338"/>
      <c r="DWH1" s="338"/>
      <c r="DWI1" s="338"/>
      <c r="DWJ1" s="338"/>
      <c r="DWK1" s="338"/>
      <c r="DWL1" s="338"/>
      <c r="DWM1" s="338"/>
      <c r="DWN1" s="338"/>
      <c r="DWO1" s="338"/>
      <c r="DWP1" s="338"/>
      <c r="DWQ1" s="338"/>
      <c r="DWR1" s="338"/>
      <c r="DWS1" s="338"/>
      <c r="DWT1" s="338"/>
      <c r="DWU1" s="338"/>
      <c r="DWV1" s="338"/>
      <c r="DWW1" s="338"/>
      <c r="DWX1" s="338"/>
      <c r="DWY1" s="338"/>
      <c r="DWZ1" s="338"/>
      <c r="DXA1" s="338"/>
      <c r="DXB1" s="338"/>
      <c r="DXC1" s="338"/>
      <c r="DXD1" s="338"/>
      <c r="DXE1" s="338"/>
      <c r="DXF1" s="338"/>
      <c r="DXG1" s="338"/>
      <c r="DXH1" s="338"/>
      <c r="DXI1" s="338"/>
      <c r="DXJ1" s="338"/>
      <c r="DXK1" s="338"/>
      <c r="DXL1" s="338"/>
      <c r="DXM1" s="338"/>
      <c r="DXN1" s="338"/>
      <c r="DXO1" s="338"/>
      <c r="DXP1" s="338"/>
      <c r="DXQ1" s="338"/>
      <c r="DXR1" s="338"/>
      <c r="DXS1" s="338"/>
      <c r="DXT1" s="338"/>
      <c r="DXU1" s="338"/>
      <c r="DXV1" s="338"/>
      <c r="DXW1" s="338"/>
      <c r="DXX1" s="338"/>
      <c r="DXY1" s="338"/>
      <c r="DXZ1" s="338"/>
      <c r="DYA1" s="338"/>
      <c r="DYB1" s="338"/>
      <c r="DYC1" s="338"/>
      <c r="DYD1" s="338"/>
      <c r="DYE1" s="338"/>
      <c r="DYF1" s="338"/>
      <c r="DYG1" s="338"/>
      <c r="DYH1" s="338"/>
      <c r="DYI1" s="338"/>
      <c r="DYJ1" s="338"/>
      <c r="DYK1" s="338"/>
      <c r="DYL1" s="338"/>
      <c r="DYM1" s="338"/>
      <c r="DYN1" s="338"/>
      <c r="DYO1" s="338"/>
      <c r="DYP1" s="338"/>
      <c r="DYQ1" s="338"/>
      <c r="DYR1" s="338"/>
      <c r="DYS1" s="338"/>
      <c r="DYT1" s="338"/>
      <c r="DYU1" s="338"/>
      <c r="DYV1" s="338"/>
      <c r="DYW1" s="338"/>
      <c r="DYX1" s="338"/>
      <c r="DYY1" s="338"/>
      <c r="DYZ1" s="338"/>
      <c r="DZA1" s="338"/>
      <c r="DZB1" s="338"/>
      <c r="DZC1" s="338"/>
      <c r="DZD1" s="338"/>
      <c r="DZE1" s="338"/>
      <c r="DZF1" s="338"/>
      <c r="DZG1" s="338"/>
      <c r="DZH1" s="338"/>
      <c r="DZI1" s="338"/>
      <c r="DZJ1" s="338"/>
      <c r="DZK1" s="338"/>
      <c r="DZL1" s="338"/>
      <c r="DZM1" s="338"/>
      <c r="DZN1" s="338"/>
      <c r="DZO1" s="338"/>
      <c r="DZP1" s="338"/>
      <c r="DZQ1" s="338"/>
      <c r="DZR1" s="338"/>
      <c r="DZS1" s="338"/>
      <c r="DZT1" s="338"/>
      <c r="DZU1" s="338"/>
      <c r="DZV1" s="338"/>
      <c r="DZW1" s="338"/>
      <c r="DZX1" s="338"/>
      <c r="DZY1" s="338"/>
      <c r="DZZ1" s="338"/>
      <c r="EAA1" s="338"/>
      <c r="EAB1" s="338"/>
      <c r="EAC1" s="338"/>
      <c r="EAD1" s="338"/>
      <c r="EAE1" s="338"/>
      <c r="EAF1" s="338"/>
      <c r="EAG1" s="338"/>
      <c r="EAH1" s="338"/>
      <c r="EAI1" s="338"/>
      <c r="EAJ1" s="338"/>
      <c r="EAK1" s="338"/>
      <c r="EAL1" s="338"/>
      <c r="EAM1" s="338"/>
      <c r="EAN1" s="338"/>
      <c r="EAO1" s="338"/>
      <c r="EAP1" s="338"/>
      <c r="EAQ1" s="338"/>
      <c r="EAR1" s="338"/>
      <c r="EAS1" s="338"/>
      <c r="EAT1" s="338"/>
      <c r="EAU1" s="338"/>
      <c r="EAV1" s="338"/>
      <c r="EAW1" s="338"/>
      <c r="EAX1" s="338"/>
      <c r="EAY1" s="338"/>
      <c r="EAZ1" s="338"/>
      <c r="EBA1" s="338"/>
      <c r="EBB1" s="338"/>
      <c r="EBC1" s="338"/>
      <c r="EBD1" s="338"/>
      <c r="EBE1" s="338"/>
      <c r="EBF1" s="338"/>
      <c r="EBG1" s="338"/>
      <c r="EBH1" s="338"/>
      <c r="EBI1" s="338"/>
      <c r="EBJ1" s="338"/>
      <c r="EBK1" s="338"/>
      <c r="EBL1" s="338"/>
      <c r="EBM1" s="338"/>
      <c r="EBN1" s="338"/>
      <c r="EBO1" s="338"/>
      <c r="EBP1" s="338"/>
      <c r="EBQ1" s="338"/>
      <c r="EBR1" s="338"/>
      <c r="EBS1" s="338"/>
      <c r="EBT1" s="338"/>
      <c r="EBU1" s="338"/>
      <c r="EBV1" s="338"/>
      <c r="EBW1" s="338"/>
      <c r="EBX1" s="338"/>
      <c r="EBY1" s="338"/>
      <c r="EBZ1" s="338"/>
      <c r="ECA1" s="338"/>
      <c r="ECB1" s="338"/>
      <c r="ECC1" s="338"/>
      <c r="ECD1" s="338"/>
      <c r="ECE1" s="338"/>
      <c r="ECF1" s="338"/>
      <c r="ECG1" s="338"/>
      <c r="ECH1" s="338"/>
      <c r="ECI1" s="338"/>
      <c r="ECJ1" s="338"/>
      <c r="ECK1" s="338"/>
      <c r="ECL1" s="338"/>
      <c r="ECM1" s="338"/>
      <c r="ECN1" s="338"/>
      <c r="ECO1" s="338"/>
      <c r="ECP1" s="338"/>
      <c r="ECQ1" s="338"/>
      <c r="ECR1" s="338"/>
      <c r="ECS1" s="338"/>
      <c r="ECT1" s="338"/>
      <c r="ECU1" s="338"/>
      <c r="ECV1" s="338"/>
      <c r="ECW1" s="338"/>
      <c r="ECX1" s="338"/>
      <c r="ECY1" s="338"/>
      <c r="ECZ1" s="338"/>
      <c r="EDA1" s="338"/>
      <c r="EDB1" s="338"/>
      <c r="EDC1" s="338"/>
      <c r="EDD1" s="338"/>
      <c r="EDE1" s="338"/>
      <c r="EDF1" s="338"/>
      <c r="EDG1" s="338"/>
      <c r="EDH1" s="338"/>
      <c r="EDI1" s="338"/>
      <c r="EDJ1" s="338"/>
      <c r="EDK1" s="338"/>
      <c r="EDL1" s="338"/>
      <c r="EDM1" s="338"/>
      <c r="EDN1" s="338"/>
      <c r="EDO1" s="338"/>
      <c r="EDP1" s="338"/>
      <c r="EDQ1" s="338"/>
      <c r="EDR1" s="338"/>
      <c r="EDS1" s="338"/>
      <c r="EDT1" s="338"/>
      <c r="EDU1" s="338"/>
      <c r="EDV1" s="338"/>
      <c r="EDW1" s="338"/>
      <c r="EDX1" s="338"/>
      <c r="EDY1" s="338"/>
      <c r="EDZ1" s="338"/>
      <c r="EEA1" s="338"/>
      <c r="EEB1" s="338"/>
      <c r="EEC1" s="338"/>
      <c r="EED1" s="338"/>
      <c r="EEE1" s="338"/>
      <c r="EEF1" s="338"/>
      <c r="EEG1" s="338"/>
      <c r="EEH1" s="338"/>
      <c r="EEI1" s="338"/>
      <c r="EEJ1" s="338"/>
      <c r="EEK1" s="338"/>
      <c r="EEL1" s="338"/>
      <c r="EEM1" s="338"/>
      <c r="EEN1" s="338"/>
      <c r="EEO1" s="338"/>
      <c r="EEP1" s="338"/>
      <c r="EEQ1" s="338"/>
      <c r="EER1" s="338"/>
      <c r="EES1" s="338"/>
      <c r="EET1" s="338"/>
      <c r="EEU1" s="338"/>
      <c r="EEV1" s="338"/>
      <c r="EEW1" s="338"/>
      <c r="EEX1" s="338"/>
      <c r="EEY1" s="338"/>
      <c r="EEZ1" s="338"/>
      <c r="EFA1" s="338"/>
      <c r="EFB1" s="338"/>
      <c r="EFC1" s="338"/>
      <c r="EFD1" s="338"/>
      <c r="EFE1" s="338"/>
      <c r="EFF1" s="338"/>
      <c r="EFG1" s="338"/>
      <c r="EFH1" s="338"/>
      <c r="EFI1" s="338"/>
      <c r="EFJ1" s="338"/>
      <c r="EFK1" s="338"/>
      <c r="EFL1" s="338"/>
      <c r="EFM1" s="338"/>
      <c r="EFN1" s="338"/>
      <c r="EFO1" s="338"/>
      <c r="EFP1" s="338"/>
      <c r="EFQ1" s="338"/>
      <c r="EFR1" s="338"/>
      <c r="EFS1" s="338"/>
      <c r="EFT1" s="338"/>
      <c r="EFU1" s="338"/>
      <c r="EFV1" s="338"/>
      <c r="EFW1" s="338"/>
      <c r="EFX1" s="338"/>
      <c r="EFY1" s="338"/>
      <c r="EFZ1" s="338"/>
      <c r="EGA1" s="338"/>
      <c r="EGB1" s="338"/>
      <c r="EGC1" s="338"/>
      <c r="EGD1" s="338"/>
      <c r="EGE1" s="338"/>
      <c r="EGF1" s="338"/>
      <c r="EGG1" s="338"/>
      <c r="EGH1" s="338"/>
      <c r="EGI1" s="338"/>
      <c r="EGJ1" s="338"/>
      <c r="EGK1" s="338"/>
      <c r="EGL1" s="338"/>
      <c r="EGM1" s="338"/>
      <c r="EGN1" s="338"/>
      <c r="EGO1" s="338"/>
      <c r="EGP1" s="338"/>
      <c r="EGQ1" s="338"/>
      <c r="EGR1" s="338"/>
      <c r="EGS1" s="338"/>
      <c r="EGT1" s="338"/>
      <c r="EGU1" s="338"/>
      <c r="EGV1" s="338"/>
      <c r="EGW1" s="338"/>
      <c r="EGX1" s="338"/>
      <c r="EGY1" s="338"/>
      <c r="EGZ1" s="338"/>
      <c r="EHA1" s="338"/>
      <c r="EHB1" s="338"/>
      <c r="EHC1" s="338"/>
      <c r="EHD1" s="338"/>
      <c r="EHE1" s="338"/>
      <c r="EHF1" s="338"/>
      <c r="EHG1" s="338"/>
      <c r="EHH1" s="338"/>
      <c r="EHI1" s="338"/>
      <c r="EHJ1" s="338"/>
      <c r="EHK1" s="338"/>
      <c r="EHL1" s="338"/>
      <c r="EHM1" s="338"/>
      <c r="EHN1" s="338"/>
      <c r="EHO1" s="338"/>
      <c r="EHP1" s="338"/>
      <c r="EHQ1" s="338"/>
      <c r="EHR1" s="338"/>
      <c r="EHS1" s="338"/>
      <c r="EHT1" s="338"/>
      <c r="EHU1" s="338"/>
      <c r="EHV1" s="338"/>
      <c r="EHW1" s="338"/>
      <c r="EHX1" s="338"/>
      <c r="EHY1" s="338"/>
      <c r="EHZ1" s="338"/>
      <c r="EIA1" s="338"/>
      <c r="EIB1" s="338"/>
      <c r="EIC1" s="338"/>
      <c r="EID1" s="338"/>
      <c r="EIE1" s="338"/>
      <c r="EIF1" s="338"/>
      <c r="EIG1" s="338"/>
      <c r="EIH1" s="338"/>
      <c r="EII1" s="338"/>
      <c r="EIJ1" s="338"/>
      <c r="EIK1" s="338"/>
      <c r="EIL1" s="338"/>
      <c r="EIM1" s="338"/>
      <c r="EIN1" s="338"/>
      <c r="EIO1" s="338"/>
      <c r="EIP1" s="338"/>
      <c r="EIQ1" s="338"/>
      <c r="EIR1" s="338"/>
      <c r="EIS1" s="338"/>
      <c r="EIT1" s="338"/>
      <c r="EIU1" s="338"/>
      <c r="EIV1" s="338"/>
      <c r="EIW1" s="338"/>
      <c r="EIX1" s="338"/>
      <c r="EIY1" s="338"/>
      <c r="EIZ1" s="338"/>
      <c r="EJA1" s="338"/>
      <c r="EJB1" s="338"/>
      <c r="EJC1" s="338"/>
      <c r="EJD1" s="338"/>
      <c r="EJE1" s="338"/>
      <c r="EJF1" s="338"/>
      <c r="EJG1" s="338"/>
      <c r="EJH1" s="338"/>
      <c r="EJI1" s="338"/>
      <c r="EJJ1" s="338"/>
      <c r="EJK1" s="338"/>
      <c r="EJL1" s="338"/>
      <c r="EJM1" s="338"/>
      <c r="EJN1" s="338"/>
      <c r="EJO1" s="338"/>
      <c r="EJP1" s="338"/>
      <c r="EJQ1" s="338"/>
      <c r="EJR1" s="338"/>
      <c r="EJS1" s="338"/>
      <c r="EJT1" s="338"/>
      <c r="EJU1" s="338"/>
      <c r="EJV1" s="338"/>
      <c r="EJW1" s="338"/>
      <c r="EJX1" s="338"/>
      <c r="EJY1" s="338"/>
      <c r="EJZ1" s="338"/>
      <c r="EKA1" s="338"/>
      <c r="EKB1" s="338"/>
      <c r="EKC1" s="338"/>
      <c r="EKD1" s="338"/>
      <c r="EKE1" s="338"/>
      <c r="EKF1" s="338"/>
      <c r="EKG1" s="338"/>
      <c r="EKH1" s="338"/>
      <c r="EKI1" s="338"/>
      <c r="EKJ1" s="338"/>
      <c r="EKK1" s="338"/>
      <c r="EKL1" s="338"/>
      <c r="EKM1" s="338"/>
      <c r="EKN1" s="338"/>
      <c r="EKO1" s="338"/>
      <c r="EKP1" s="338"/>
      <c r="EKQ1" s="338"/>
      <c r="EKR1" s="338"/>
      <c r="EKS1" s="338"/>
      <c r="EKT1" s="338"/>
      <c r="EKU1" s="338"/>
      <c r="EKV1" s="338"/>
      <c r="EKW1" s="338"/>
      <c r="EKX1" s="338"/>
      <c r="EKY1" s="338"/>
      <c r="EKZ1" s="338"/>
      <c r="ELA1" s="338"/>
      <c r="ELB1" s="338"/>
      <c r="ELC1" s="338"/>
      <c r="ELD1" s="338"/>
      <c r="ELE1" s="338"/>
      <c r="ELF1" s="338"/>
      <c r="ELG1" s="338"/>
      <c r="ELH1" s="338"/>
      <c r="ELI1" s="338"/>
      <c r="ELJ1" s="338"/>
      <c r="ELK1" s="338"/>
      <c r="ELL1" s="338"/>
      <c r="ELM1" s="338"/>
      <c r="ELN1" s="338"/>
      <c r="ELO1" s="338"/>
      <c r="ELP1" s="338"/>
      <c r="ELQ1" s="338"/>
      <c r="ELR1" s="338"/>
      <c r="ELS1" s="338"/>
      <c r="ELT1" s="338"/>
      <c r="ELU1" s="338"/>
      <c r="ELV1" s="338"/>
      <c r="ELW1" s="338"/>
      <c r="ELX1" s="338"/>
      <c r="ELY1" s="338"/>
      <c r="ELZ1" s="338"/>
      <c r="EMA1" s="338"/>
      <c r="EMB1" s="338"/>
      <c r="EMC1" s="338"/>
      <c r="EMD1" s="338"/>
      <c r="EME1" s="338"/>
      <c r="EMF1" s="338"/>
      <c r="EMG1" s="338"/>
      <c r="EMH1" s="338"/>
      <c r="EMI1" s="338"/>
      <c r="EMJ1" s="338"/>
      <c r="EMK1" s="338"/>
      <c r="EML1" s="338"/>
      <c r="EMM1" s="338"/>
      <c r="EMN1" s="338"/>
      <c r="EMO1" s="338"/>
      <c r="EMP1" s="338"/>
      <c r="EMQ1" s="338"/>
      <c r="EMR1" s="338"/>
      <c r="EMS1" s="338"/>
      <c r="EMT1" s="338"/>
      <c r="EMU1" s="338"/>
      <c r="EMV1" s="338"/>
      <c r="EMW1" s="338"/>
      <c r="EMX1" s="338"/>
      <c r="EMY1" s="338"/>
      <c r="EMZ1" s="338"/>
      <c r="ENA1" s="338"/>
      <c r="ENB1" s="338"/>
      <c r="ENC1" s="338"/>
      <c r="END1" s="338"/>
      <c r="ENE1" s="338"/>
      <c r="ENF1" s="338"/>
      <c r="ENG1" s="338"/>
      <c r="ENH1" s="338"/>
      <c r="ENI1" s="338"/>
      <c r="ENJ1" s="338"/>
      <c r="ENK1" s="338"/>
      <c r="ENL1" s="338"/>
      <c r="ENM1" s="338"/>
      <c r="ENN1" s="338"/>
      <c r="ENO1" s="338"/>
      <c r="ENP1" s="338"/>
      <c r="ENQ1" s="338"/>
      <c r="ENR1" s="338"/>
      <c r="ENS1" s="338"/>
      <c r="ENT1" s="338"/>
      <c r="ENU1" s="338"/>
      <c r="ENV1" s="338"/>
      <c r="ENW1" s="338"/>
      <c r="ENX1" s="338"/>
      <c r="ENY1" s="338"/>
      <c r="ENZ1" s="338"/>
      <c r="EOA1" s="338"/>
      <c r="EOB1" s="338"/>
      <c r="EOC1" s="338"/>
      <c r="EOD1" s="338"/>
      <c r="EOE1" s="338"/>
      <c r="EOF1" s="338"/>
      <c r="EOG1" s="338"/>
      <c r="EOH1" s="338"/>
      <c r="EOI1" s="338"/>
      <c r="EOJ1" s="338"/>
      <c r="EOK1" s="338"/>
      <c r="EOL1" s="338"/>
      <c r="EOM1" s="338"/>
      <c r="EON1" s="338"/>
      <c r="EOO1" s="338"/>
      <c r="EOP1" s="338"/>
      <c r="EOQ1" s="338"/>
      <c r="EOR1" s="338"/>
      <c r="EOS1" s="338"/>
      <c r="EOT1" s="338"/>
      <c r="EOU1" s="338"/>
      <c r="EOV1" s="338"/>
      <c r="EOW1" s="338"/>
      <c r="EOX1" s="338"/>
      <c r="EOY1" s="338"/>
      <c r="EOZ1" s="338"/>
      <c r="EPA1" s="338"/>
      <c r="EPB1" s="338"/>
      <c r="EPC1" s="338"/>
      <c r="EPD1" s="338"/>
      <c r="EPE1" s="338"/>
      <c r="EPF1" s="338"/>
      <c r="EPG1" s="338"/>
      <c r="EPH1" s="338"/>
      <c r="EPI1" s="338"/>
      <c r="EPJ1" s="338"/>
      <c r="EPK1" s="338"/>
      <c r="EPL1" s="338"/>
      <c r="EPM1" s="338"/>
      <c r="EPN1" s="338"/>
      <c r="EPO1" s="338"/>
      <c r="EPP1" s="338"/>
      <c r="EPQ1" s="338"/>
      <c r="EPR1" s="338"/>
      <c r="EPS1" s="338"/>
      <c r="EPT1" s="338"/>
      <c r="EPU1" s="338"/>
      <c r="EPV1" s="338"/>
      <c r="EPW1" s="338"/>
      <c r="EPX1" s="338"/>
      <c r="EPY1" s="338"/>
      <c r="EPZ1" s="338"/>
      <c r="EQA1" s="338"/>
      <c r="EQB1" s="338"/>
      <c r="EQC1" s="338"/>
      <c r="EQD1" s="338"/>
      <c r="EQE1" s="338"/>
      <c r="EQF1" s="338"/>
      <c r="EQG1" s="338"/>
      <c r="EQH1" s="338"/>
      <c r="EQI1" s="338"/>
      <c r="EQJ1" s="338"/>
      <c r="EQK1" s="338"/>
      <c r="EQL1" s="338"/>
      <c r="EQM1" s="338"/>
      <c r="EQN1" s="338"/>
      <c r="EQO1" s="338"/>
      <c r="EQP1" s="338"/>
      <c r="EQQ1" s="338"/>
      <c r="EQR1" s="338"/>
      <c r="EQS1" s="338"/>
      <c r="EQT1" s="338"/>
      <c r="EQU1" s="338"/>
      <c r="EQV1" s="338"/>
      <c r="EQW1" s="338"/>
      <c r="EQX1" s="338"/>
      <c r="EQY1" s="338"/>
      <c r="EQZ1" s="338"/>
      <c r="ERA1" s="338"/>
      <c r="ERB1" s="338"/>
      <c r="ERC1" s="338"/>
      <c r="ERD1" s="338"/>
      <c r="ERE1" s="338"/>
      <c r="ERF1" s="338"/>
      <c r="ERG1" s="338"/>
      <c r="ERH1" s="338"/>
      <c r="ERI1" s="338"/>
      <c r="ERJ1" s="338"/>
      <c r="ERK1" s="338"/>
      <c r="ERL1" s="338"/>
      <c r="ERM1" s="338"/>
      <c r="ERN1" s="338"/>
      <c r="ERO1" s="338"/>
      <c r="ERP1" s="338"/>
      <c r="ERQ1" s="338"/>
      <c r="ERR1" s="338"/>
      <c r="ERS1" s="338"/>
      <c r="ERT1" s="338"/>
      <c r="ERU1" s="338"/>
      <c r="ERV1" s="338"/>
      <c r="ERW1" s="338"/>
      <c r="ERX1" s="338"/>
      <c r="ERY1" s="338"/>
      <c r="ERZ1" s="338"/>
      <c r="ESA1" s="338"/>
      <c r="ESB1" s="338"/>
      <c r="ESC1" s="338"/>
      <c r="ESD1" s="338"/>
      <c r="ESE1" s="338"/>
      <c r="ESF1" s="338"/>
      <c r="ESG1" s="338"/>
      <c r="ESH1" s="338"/>
      <c r="ESI1" s="338"/>
      <c r="ESJ1" s="338"/>
      <c r="ESK1" s="338"/>
      <c r="ESL1" s="338"/>
      <c r="ESM1" s="338"/>
      <c r="ESN1" s="338"/>
      <c r="ESO1" s="338"/>
      <c r="ESP1" s="338"/>
      <c r="ESQ1" s="338"/>
      <c r="ESR1" s="338"/>
      <c r="ESS1" s="338"/>
      <c r="EST1" s="338"/>
      <c r="ESU1" s="338"/>
      <c r="ESV1" s="338"/>
      <c r="ESW1" s="338"/>
      <c r="ESX1" s="338"/>
      <c r="ESY1" s="338"/>
      <c r="ESZ1" s="338"/>
      <c r="ETA1" s="338"/>
      <c r="ETB1" s="338"/>
      <c r="ETC1" s="338"/>
      <c r="ETD1" s="338"/>
      <c r="ETE1" s="338"/>
      <c r="ETF1" s="338"/>
      <c r="ETG1" s="338"/>
      <c r="ETH1" s="338"/>
      <c r="ETI1" s="338"/>
      <c r="ETJ1" s="338"/>
      <c r="ETK1" s="338"/>
      <c r="ETL1" s="338"/>
      <c r="ETM1" s="338"/>
      <c r="ETN1" s="338"/>
      <c r="ETO1" s="338"/>
      <c r="ETP1" s="338"/>
      <c r="ETQ1" s="338"/>
      <c r="ETR1" s="338"/>
      <c r="ETS1" s="338"/>
      <c r="ETT1" s="338"/>
      <c r="ETU1" s="338"/>
      <c r="ETV1" s="338"/>
      <c r="ETW1" s="338"/>
      <c r="ETX1" s="338"/>
      <c r="ETY1" s="338"/>
      <c r="ETZ1" s="338"/>
      <c r="EUA1" s="338"/>
      <c r="EUB1" s="338"/>
      <c r="EUC1" s="338"/>
      <c r="EUD1" s="338"/>
      <c r="EUE1" s="338"/>
      <c r="EUF1" s="338"/>
      <c r="EUG1" s="338"/>
      <c r="EUH1" s="338"/>
      <c r="EUI1" s="338"/>
      <c r="EUJ1" s="338"/>
      <c r="EUK1" s="338"/>
      <c r="EUL1" s="338"/>
      <c r="EUM1" s="338"/>
      <c r="EUN1" s="338"/>
      <c r="EUO1" s="338"/>
      <c r="EUP1" s="338"/>
      <c r="EUQ1" s="338"/>
      <c r="EUR1" s="338"/>
      <c r="EUS1" s="338"/>
      <c r="EUT1" s="338"/>
      <c r="EUU1" s="338"/>
      <c r="EUV1" s="338"/>
      <c r="EUW1" s="338"/>
      <c r="EUX1" s="338"/>
      <c r="EUY1" s="338"/>
      <c r="EUZ1" s="338"/>
      <c r="EVA1" s="338"/>
      <c r="EVB1" s="338"/>
      <c r="EVC1" s="338"/>
      <c r="EVD1" s="338"/>
      <c r="EVE1" s="338"/>
      <c r="EVF1" s="338"/>
      <c r="EVG1" s="338"/>
      <c r="EVH1" s="338"/>
      <c r="EVI1" s="338"/>
      <c r="EVJ1" s="338"/>
      <c r="EVK1" s="338"/>
      <c r="EVL1" s="338"/>
      <c r="EVM1" s="338"/>
      <c r="EVN1" s="338"/>
      <c r="EVO1" s="338"/>
      <c r="EVP1" s="338"/>
      <c r="EVQ1" s="338"/>
      <c r="EVR1" s="338"/>
      <c r="EVS1" s="338"/>
      <c r="EVT1" s="338"/>
      <c r="EVU1" s="338"/>
      <c r="EVV1" s="338"/>
      <c r="EVW1" s="338"/>
      <c r="EVX1" s="338"/>
      <c r="EVY1" s="338"/>
      <c r="EVZ1" s="338"/>
      <c r="EWA1" s="338"/>
      <c r="EWB1" s="338"/>
      <c r="EWC1" s="338"/>
      <c r="EWD1" s="338"/>
      <c r="EWE1" s="338"/>
      <c r="EWF1" s="338"/>
      <c r="EWG1" s="338"/>
      <c r="EWH1" s="338"/>
      <c r="EWI1" s="338"/>
      <c r="EWJ1" s="338"/>
      <c r="EWK1" s="338"/>
      <c r="EWL1" s="338"/>
      <c r="EWM1" s="338"/>
      <c r="EWN1" s="338"/>
      <c r="EWO1" s="338"/>
      <c r="EWP1" s="338"/>
      <c r="EWQ1" s="338"/>
      <c r="EWR1" s="338"/>
      <c r="EWS1" s="338"/>
      <c r="EWT1" s="338"/>
      <c r="EWU1" s="338"/>
      <c r="EWV1" s="338"/>
      <c r="EWW1" s="338"/>
      <c r="EWX1" s="338"/>
      <c r="EWY1" s="338"/>
      <c r="EWZ1" s="338"/>
      <c r="EXA1" s="338"/>
      <c r="EXB1" s="338"/>
      <c r="EXC1" s="338"/>
      <c r="EXD1" s="338"/>
      <c r="EXE1" s="338"/>
      <c r="EXF1" s="338"/>
      <c r="EXG1" s="338"/>
      <c r="EXH1" s="338"/>
      <c r="EXI1" s="338"/>
      <c r="EXJ1" s="338"/>
      <c r="EXK1" s="338"/>
      <c r="EXL1" s="338"/>
      <c r="EXM1" s="338"/>
      <c r="EXN1" s="338"/>
      <c r="EXO1" s="338"/>
      <c r="EXP1" s="338"/>
      <c r="EXQ1" s="338"/>
      <c r="EXR1" s="338"/>
      <c r="EXS1" s="338"/>
      <c r="EXT1" s="338"/>
      <c r="EXU1" s="338"/>
      <c r="EXV1" s="338"/>
      <c r="EXW1" s="338"/>
      <c r="EXX1" s="338"/>
      <c r="EXY1" s="338"/>
      <c r="EXZ1" s="338"/>
      <c r="EYA1" s="338"/>
      <c r="EYB1" s="338"/>
      <c r="EYC1" s="338"/>
      <c r="EYD1" s="338"/>
      <c r="EYE1" s="338"/>
      <c r="EYF1" s="338"/>
      <c r="EYG1" s="338"/>
      <c r="EYH1" s="338"/>
      <c r="EYI1" s="338"/>
      <c r="EYJ1" s="338"/>
      <c r="EYK1" s="338"/>
      <c r="EYL1" s="338"/>
      <c r="EYM1" s="338"/>
      <c r="EYN1" s="338"/>
      <c r="EYO1" s="338"/>
      <c r="EYP1" s="338"/>
      <c r="EYQ1" s="338"/>
      <c r="EYR1" s="338"/>
      <c r="EYS1" s="338"/>
      <c r="EYT1" s="338"/>
      <c r="EYU1" s="338"/>
      <c r="EYV1" s="338"/>
      <c r="EYW1" s="338"/>
      <c r="EYX1" s="338"/>
      <c r="EYY1" s="338"/>
      <c r="EYZ1" s="338"/>
      <c r="EZA1" s="338"/>
      <c r="EZB1" s="338"/>
      <c r="EZC1" s="338"/>
      <c r="EZD1" s="338"/>
      <c r="EZE1" s="338"/>
      <c r="EZF1" s="338"/>
      <c r="EZG1" s="338"/>
      <c r="EZH1" s="338"/>
      <c r="EZI1" s="338"/>
      <c r="EZJ1" s="338"/>
      <c r="EZK1" s="338"/>
      <c r="EZL1" s="338"/>
      <c r="EZM1" s="338"/>
      <c r="EZN1" s="338"/>
      <c r="EZO1" s="338"/>
      <c r="EZP1" s="338"/>
      <c r="EZQ1" s="338"/>
      <c r="EZR1" s="338"/>
      <c r="EZS1" s="338"/>
      <c r="EZT1" s="338"/>
      <c r="EZU1" s="338"/>
      <c r="EZV1" s="338"/>
      <c r="EZW1" s="338"/>
      <c r="EZX1" s="338"/>
      <c r="EZY1" s="338"/>
      <c r="EZZ1" s="338"/>
      <c r="FAA1" s="338"/>
      <c r="FAB1" s="338"/>
      <c r="FAC1" s="338"/>
      <c r="FAD1" s="338"/>
      <c r="FAE1" s="338"/>
      <c r="FAF1" s="338"/>
      <c r="FAG1" s="338"/>
      <c r="FAH1" s="338"/>
      <c r="FAI1" s="338"/>
      <c r="FAJ1" s="338"/>
      <c r="FAK1" s="338"/>
      <c r="FAL1" s="338"/>
      <c r="FAM1" s="338"/>
      <c r="FAN1" s="338"/>
      <c r="FAO1" s="338"/>
      <c r="FAP1" s="338"/>
      <c r="FAQ1" s="338"/>
      <c r="FAR1" s="338"/>
      <c r="FAS1" s="338"/>
      <c r="FAT1" s="338"/>
      <c r="FAU1" s="338"/>
      <c r="FAV1" s="338"/>
      <c r="FAW1" s="338"/>
      <c r="FAX1" s="338"/>
      <c r="FAY1" s="338"/>
      <c r="FAZ1" s="338"/>
      <c r="FBA1" s="338"/>
      <c r="FBB1" s="338"/>
      <c r="FBC1" s="338"/>
      <c r="FBD1" s="338"/>
      <c r="FBE1" s="338"/>
      <c r="FBF1" s="338"/>
      <c r="FBG1" s="338"/>
      <c r="FBH1" s="338"/>
      <c r="FBI1" s="338"/>
      <c r="FBJ1" s="338"/>
      <c r="FBK1" s="338"/>
      <c r="FBL1" s="338"/>
      <c r="FBM1" s="338"/>
      <c r="FBN1" s="338"/>
      <c r="FBO1" s="338"/>
      <c r="FBP1" s="338"/>
      <c r="FBQ1" s="338"/>
      <c r="FBR1" s="338"/>
      <c r="FBS1" s="338"/>
      <c r="FBT1" s="338"/>
      <c r="FBU1" s="338"/>
      <c r="FBV1" s="338"/>
      <c r="FBW1" s="338"/>
      <c r="FBX1" s="338"/>
      <c r="FBY1" s="338"/>
      <c r="FBZ1" s="338"/>
      <c r="FCA1" s="338"/>
      <c r="FCB1" s="338"/>
      <c r="FCC1" s="338"/>
      <c r="FCD1" s="338"/>
      <c r="FCE1" s="338"/>
      <c r="FCF1" s="338"/>
      <c r="FCG1" s="338"/>
      <c r="FCH1" s="338"/>
      <c r="FCI1" s="338"/>
      <c r="FCJ1" s="338"/>
      <c r="FCK1" s="338"/>
      <c r="FCL1" s="338"/>
      <c r="FCM1" s="338"/>
      <c r="FCN1" s="338"/>
      <c r="FCO1" s="338"/>
      <c r="FCP1" s="338"/>
      <c r="FCQ1" s="338"/>
      <c r="FCR1" s="338"/>
      <c r="FCS1" s="338"/>
      <c r="FCT1" s="338"/>
      <c r="FCU1" s="338"/>
      <c r="FCV1" s="338"/>
      <c r="FCW1" s="338"/>
      <c r="FCX1" s="338"/>
      <c r="FCY1" s="338"/>
      <c r="FCZ1" s="338"/>
      <c r="FDA1" s="338"/>
      <c r="FDB1" s="338"/>
      <c r="FDC1" s="338"/>
      <c r="FDD1" s="338"/>
      <c r="FDE1" s="338"/>
      <c r="FDF1" s="338"/>
      <c r="FDG1" s="338"/>
      <c r="FDH1" s="338"/>
      <c r="FDI1" s="338"/>
      <c r="FDJ1" s="338"/>
      <c r="FDK1" s="338"/>
      <c r="FDL1" s="338"/>
      <c r="FDM1" s="338"/>
      <c r="FDN1" s="338"/>
      <c r="FDO1" s="338"/>
      <c r="FDP1" s="338"/>
      <c r="FDQ1" s="338"/>
      <c r="FDR1" s="338"/>
      <c r="FDS1" s="338"/>
      <c r="FDT1" s="338"/>
      <c r="FDU1" s="338"/>
      <c r="FDV1" s="338"/>
      <c r="FDW1" s="338"/>
      <c r="FDX1" s="338"/>
      <c r="FDY1" s="338"/>
      <c r="FDZ1" s="338"/>
      <c r="FEA1" s="338"/>
      <c r="FEB1" s="338"/>
      <c r="FEC1" s="338"/>
      <c r="FED1" s="338"/>
      <c r="FEE1" s="338"/>
      <c r="FEF1" s="338"/>
      <c r="FEG1" s="338"/>
      <c r="FEH1" s="338"/>
      <c r="FEI1" s="338"/>
      <c r="FEJ1" s="338"/>
      <c r="FEK1" s="338"/>
      <c r="FEL1" s="338"/>
      <c r="FEM1" s="338"/>
      <c r="FEN1" s="338"/>
      <c r="FEO1" s="338"/>
      <c r="FEP1" s="338"/>
      <c r="FEQ1" s="338"/>
      <c r="FER1" s="338"/>
      <c r="FES1" s="338"/>
      <c r="FET1" s="338"/>
      <c r="FEU1" s="338"/>
      <c r="FEV1" s="338"/>
      <c r="FEW1" s="338"/>
      <c r="FEX1" s="338"/>
      <c r="FEY1" s="338"/>
      <c r="FEZ1" s="338"/>
      <c r="FFA1" s="338"/>
      <c r="FFB1" s="338"/>
      <c r="FFC1" s="338"/>
      <c r="FFD1" s="338"/>
      <c r="FFE1" s="338"/>
      <c r="FFF1" s="338"/>
      <c r="FFG1" s="338"/>
      <c r="FFH1" s="338"/>
      <c r="FFI1" s="338"/>
      <c r="FFJ1" s="338"/>
      <c r="FFK1" s="338"/>
      <c r="FFL1" s="338"/>
      <c r="FFM1" s="338"/>
      <c r="FFN1" s="338"/>
      <c r="FFO1" s="338"/>
      <c r="FFP1" s="338"/>
      <c r="FFQ1" s="338"/>
      <c r="FFR1" s="338"/>
      <c r="FFS1" s="338"/>
      <c r="FFT1" s="338"/>
      <c r="FFU1" s="338"/>
      <c r="FFV1" s="338"/>
      <c r="FFW1" s="338"/>
      <c r="FFX1" s="338"/>
      <c r="FFY1" s="338"/>
      <c r="FFZ1" s="338"/>
      <c r="FGA1" s="338"/>
      <c r="FGB1" s="338"/>
      <c r="FGC1" s="338"/>
      <c r="FGD1" s="338"/>
      <c r="FGE1" s="338"/>
      <c r="FGF1" s="338"/>
      <c r="FGG1" s="338"/>
      <c r="FGH1" s="338"/>
      <c r="FGI1" s="338"/>
      <c r="FGJ1" s="338"/>
      <c r="FGK1" s="338"/>
      <c r="FGL1" s="338"/>
      <c r="FGM1" s="338"/>
      <c r="FGN1" s="338"/>
      <c r="FGO1" s="338"/>
      <c r="FGP1" s="338"/>
      <c r="FGQ1" s="338"/>
      <c r="FGR1" s="338"/>
      <c r="FGS1" s="338"/>
      <c r="FGT1" s="338"/>
      <c r="FGU1" s="338"/>
      <c r="FGV1" s="338"/>
      <c r="FGW1" s="338"/>
      <c r="FGX1" s="338"/>
      <c r="FGY1" s="338"/>
      <c r="FGZ1" s="338"/>
      <c r="FHA1" s="338"/>
      <c r="FHB1" s="338"/>
      <c r="FHC1" s="338"/>
      <c r="FHD1" s="338"/>
      <c r="FHE1" s="338"/>
      <c r="FHF1" s="338"/>
      <c r="FHG1" s="338"/>
      <c r="FHH1" s="338"/>
      <c r="FHI1" s="338"/>
      <c r="FHJ1" s="338"/>
      <c r="FHK1" s="338"/>
      <c r="FHL1" s="338"/>
      <c r="FHM1" s="338"/>
      <c r="FHN1" s="338"/>
      <c r="FHO1" s="338"/>
      <c r="FHP1" s="338"/>
      <c r="FHQ1" s="338"/>
      <c r="FHR1" s="338"/>
      <c r="FHS1" s="338"/>
      <c r="FHT1" s="338"/>
      <c r="FHU1" s="338"/>
      <c r="FHV1" s="338"/>
      <c r="FHW1" s="338"/>
      <c r="FHX1" s="338"/>
      <c r="FHY1" s="338"/>
      <c r="FHZ1" s="338"/>
      <c r="FIA1" s="338"/>
      <c r="FIB1" s="338"/>
      <c r="FIC1" s="338"/>
      <c r="FID1" s="338"/>
      <c r="FIE1" s="338"/>
      <c r="FIF1" s="338"/>
      <c r="FIG1" s="338"/>
      <c r="FIH1" s="338"/>
      <c r="FII1" s="338"/>
      <c r="FIJ1" s="338"/>
      <c r="FIK1" s="338"/>
      <c r="FIL1" s="338"/>
      <c r="FIM1" s="338"/>
      <c r="FIN1" s="338"/>
      <c r="FIO1" s="338"/>
      <c r="FIP1" s="338"/>
      <c r="FIQ1" s="338"/>
      <c r="FIR1" s="338"/>
      <c r="FIS1" s="338"/>
      <c r="FIT1" s="338"/>
      <c r="FIU1" s="338"/>
      <c r="FIV1" s="338"/>
      <c r="FIW1" s="338"/>
      <c r="FIX1" s="338"/>
      <c r="FIY1" s="338"/>
      <c r="FIZ1" s="338"/>
      <c r="FJA1" s="338"/>
      <c r="FJB1" s="338"/>
      <c r="FJC1" s="338"/>
      <c r="FJD1" s="338"/>
      <c r="FJE1" s="338"/>
      <c r="FJF1" s="338"/>
      <c r="FJG1" s="338"/>
      <c r="FJH1" s="338"/>
      <c r="FJI1" s="338"/>
      <c r="FJJ1" s="338"/>
      <c r="FJK1" s="338"/>
      <c r="FJL1" s="338"/>
      <c r="FJM1" s="338"/>
      <c r="FJN1" s="338"/>
      <c r="FJO1" s="338"/>
      <c r="FJP1" s="338"/>
      <c r="FJQ1" s="338"/>
      <c r="FJR1" s="338"/>
      <c r="FJS1" s="338"/>
      <c r="FJT1" s="338"/>
      <c r="FJU1" s="338"/>
      <c r="FJV1" s="338"/>
      <c r="FJW1" s="338"/>
      <c r="FJX1" s="338"/>
      <c r="FJY1" s="338"/>
      <c r="FJZ1" s="338"/>
      <c r="FKA1" s="338"/>
      <c r="FKB1" s="338"/>
      <c r="FKC1" s="338"/>
      <c r="FKD1" s="338"/>
      <c r="FKE1" s="338"/>
      <c r="FKF1" s="338"/>
      <c r="FKG1" s="338"/>
      <c r="FKH1" s="338"/>
      <c r="FKI1" s="338"/>
      <c r="FKJ1" s="338"/>
      <c r="FKK1" s="338"/>
      <c r="FKL1" s="338"/>
      <c r="FKM1" s="338"/>
      <c r="FKN1" s="338"/>
      <c r="FKO1" s="338"/>
      <c r="FKP1" s="338"/>
      <c r="FKQ1" s="338"/>
      <c r="FKR1" s="338"/>
      <c r="FKS1" s="338"/>
      <c r="FKT1" s="338"/>
      <c r="FKU1" s="338"/>
      <c r="FKV1" s="338"/>
      <c r="FKW1" s="338"/>
      <c r="FKX1" s="338"/>
      <c r="FKY1" s="338"/>
      <c r="FKZ1" s="338"/>
      <c r="FLA1" s="338"/>
      <c r="FLB1" s="338"/>
      <c r="FLC1" s="338"/>
      <c r="FLD1" s="338"/>
      <c r="FLE1" s="338"/>
      <c r="FLF1" s="338"/>
      <c r="FLG1" s="338"/>
      <c r="FLH1" s="338"/>
      <c r="FLI1" s="338"/>
      <c r="FLJ1" s="338"/>
      <c r="FLK1" s="338"/>
      <c r="FLL1" s="338"/>
      <c r="FLM1" s="338"/>
      <c r="FLN1" s="338"/>
      <c r="FLO1" s="338"/>
      <c r="FLP1" s="338"/>
      <c r="FLQ1" s="338"/>
      <c r="FLR1" s="338"/>
      <c r="FLS1" s="338"/>
      <c r="FLT1" s="338"/>
      <c r="FLU1" s="338"/>
      <c r="FLV1" s="338"/>
      <c r="FLW1" s="338"/>
      <c r="FLX1" s="338"/>
      <c r="FLY1" s="338"/>
      <c r="FLZ1" s="338"/>
      <c r="FMA1" s="338"/>
      <c r="FMB1" s="338"/>
      <c r="FMC1" s="338"/>
      <c r="FMD1" s="338"/>
      <c r="FME1" s="338"/>
      <c r="FMF1" s="338"/>
      <c r="FMG1" s="338"/>
      <c r="FMH1" s="338"/>
      <c r="FMI1" s="338"/>
      <c r="FMJ1" s="338"/>
      <c r="FMK1" s="338"/>
      <c r="FML1" s="338"/>
      <c r="FMM1" s="338"/>
      <c r="FMN1" s="338"/>
      <c r="FMO1" s="338"/>
      <c r="FMP1" s="338"/>
      <c r="FMQ1" s="338"/>
      <c r="FMR1" s="338"/>
      <c r="FMS1" s="338"/>
      <c r="FMT1" s="338"/>
      <c r="FMU1" s="338"/>
      <c r="FMV1" s="338"/>
      <c r="FMW1" s="338"/>
      <c r="FMX1" s="338"/>
      <c r="FMY1" s="338"/>
      <c r="FMZ1" s="338"/>
      <c r="FNA1" s="338"/>
      <c r="FNB1" s="338"/>
      <c r="FNC1" s="338"/>
      <c r="FND1" s="338"/>
      <c r="FNE1" s="338"/>
      <c r="FNF1" s="338"/>
      <c r="FNG1" s="338"/>
      <c r="FNH1" s="338"/>
      <c r="FNI1" s="338"/>
      <c r="FNJ1" s="338"/>
      <c r="FNK1" s="338"/>
      <c r="FNL1" s="338"/>
      <c r="FNM1" s="338"/>
      <c r="FNN1" s="338"/>
      <c r="FNO1" s="338"/>
      <c r="FNP1" s="338"/>
      <c r="FNQ1" s="338"/>
      <c r="FNR1" s="338"/>
      <c r="FNS1" s="338"/>
      <c r="FNT1" s="338"/>
      <c r="FNU1" s="338"/>
      <c r="FNV1" s="338"/>
      <c r="FNW1" s="338"/>
      <c r="FNX1" s="338"/>
      <c r="FNY1" s="338"/>
      <c r="FNZ1" s="338"/>
      <c r="FOA1" s="338"/>
      <c r="FOB1" s="338"/>
      <c r="FOC1" s="338"/>
      <c r="FOD1" s="338"/>
      <c r="FOE1" s="338"/>
      <c r="FOF1" s="338"/>
      <c r="FOG1" s="338"/>
      <c r="FOH1" s="338"/>
      <c r="FOI1" s="338"/>
      <c r="FOJ1" s="338"/>
      <c r="FOK1" s="338"/>
      <c r="FOL1" s="338"/>
      <c r="FOM1" s="338"/>
      <c r="FON1" s="338"/>
      <c r="FOO1" s="338"/>
      <c r="FOP1" s="338"/>
      <c r="FOQ1" s="338"/>
      <c r="FOR1" s="338"/>
      <c r="FOS1" s="338"/>
      <c r="FOT1" s="338"/>
      <c r="FOU1" s="338"/>
      <c r="FOV1" s="338"/>
      <c r="FOW1" s="338"/>
      <c r="FOX1" s="338"/>
      <c r="FOY1" s="338"/>
      <c r="FOZ1" s="338"/>
      <c r="FPA1" s="338"/>
      <c r="FPB1" s="338"/>
      <c r="FPC1" s="338"/>
      <c r="FPD1" s="338"/>
      <c r="FPE1" s="338"/>
      <c r="FPF1" s="338"/>
      <c r="FPG1" s="338"/>
      <c r="FPH1" s="338"/>
      <c r="FPI1" s="338"/>
      <c r="FPJ1" s="338"/>
      <c r="FPK1" s="338"/>
      <c r="FPL1" s="338"/>
      <c r="FPM1" s="338"/>
      <c r="FPN1" s="338"/>
      <c r="FPO1" s="338"/>
      <c r="FPP1" s="338"/>
      <c r="FPQ1" s="338"/>
      <c r="FPR1" s="338"/>
      <c r="FPS1" s="338"/>
      <c r="FPT1" s="338"/>
      <c r="FPU1" s="338"/>
      <c r="FPV1" s="338"/>
      <c r="FPW1" s="338"/>
      <c r="FPX1" s="338"/>
      <c r="FPY1" s="338"/>
      <c r="FPZ1" s="338"/>
      <c r="FQA1" s="338"/>
      <c r="FQB1" s="338"/>
      <c r="FQC1" s="338"/>
      <c r="FQD1" s="338"/>
      <c r="FQE1" s="338"/>
      <c r="FQF1" s="338"/>
      <c r="FQG1" s="338"/>
      <c r="FQH1" s="338"/>
      <c r="FQI1" s="338"/>
      <c r="FQJ1" s="338"/>
      <c r="FQK1" s="338"/>
      <c r="FQL1" s="338"/>
      <c r="FQM1" s="338"/>
      <c r="FQN1" s="338"/>
      <c r="FQO1" s="338"/>
      <c r="FQP1" s="338"/>
      <c r="FQQ1" s="338"/>
      <c r="FQR1" s="338"/>
      <c r="FQS1" s="338"/>
      <c r="FQT1" s="338"/>
      <c r="FQU1" s="338"/>
      <c r="FQV1" s="338"/>
      <c r="FQW1" s="338"/>
      <c r="FQX1" s="338"/>
      <c r="FQY1" s="338"/>
      <c r="FQZ1" s="338"/>
      <c r="FRA1" s="338"/>
      <c r="FRB1" s="338"/>
      <c r="FRC1" s="338"/>
      <c r="FRD1" s="338"/>
      <c r="FRE1" s="338"/>
      <c r="FRF1" s="338"/>
      <c r="FRG1" s="338"/>
      <c r="FRH1" s="338"/>
      <c r="FRI1" s="338"/>
      <c r="FRJ1" s="338"/>
      <c r="FRK1" s="338"/>
      <c r="FRL1" s="338"/>
      <c r="FRM1" s="338"/>
      <c r="FRN1" s="338"/>
      <c r="FRO1" s="338"/>
      <c r="FRP1" s="338"/>
      <c r="FRQ1" s="338"/>
      <c r="FRR1" s="338"/>
      <c r="FRS1" s="338"/>
      <c r="FRT1" s="338"/>
      <c r="FRU1" s="338"/>
      <c r="FRV1" s="338"/>
      <c r="FRW1" s="338"/>
      <c r="FRX1" s="338"/>
      <c r="FRY1" s="338"/>
      <c r="FRZ1" s="338"/>
      <c r="FSA1" s="338"/>
      <c r="FSB1" s="338"/>
      <c r="FSC1" s="338"/>
      <c r="FSD1" s="338"/>
      <c r="FSE1" s="338"/>
      <c r="FSF1" s="338"/>
      <c r="FSG1" s="338"/>
      <c r="FSH1" s="338"/>
      <c r="FSI1" s="338"/>
      <c r="FSJ1" s="338"/>
      <c r="FSK1" s="338"/>
      <c r="FSL1" s="338"/>
      <c r="FSM1" s="338"/>
      <c r="FSN1" s="338"/>
      <c r="FSO1" s="338"/>
      <c r="FSP1" s="338"/>
      <c r="FSQ1" s="338"/>
      <c r="FSR1" s="338"/>
      <c r="FSS1" s="338"/>
      <c r="FST1" s="338"/>
      <c r="FSU1" s="338"/>
      <c r="FSV1" s="338"/>
      <c r="FSW1" s="338"/>
      <c r="FSX1" s="338"/>
      <c r="FSY1" s="338"/>
      <c r="FSZ1" s="338"/>
      <c r="FTA1" s="338"/>
      <c r="FTB1" s="338"/>
      <c r="FTC1" s="338"/>
      <c r="FTD1" s="338"/>
      <c r="FTE1" s="338"/>
      <c r="FTF1" s="338"/>
      <c r="FTG1" s="338"/>
      <c r="FTH1" s="338"/>
      <c r="FTI1" s="338"/>
      <c r="FTJ1" s="338"/>
      <c r="FTK1" s="338"/>
      <c r="FTL1" s="338"/>
      <c r="FTM1" s="338"/>
      <c r="FTN1" s="338"/>
      <c r="FTO1" s="338"/>
      <c r="FTP1" s="338"/>
      <c r="FTQ1" s="338"/>
      <c r="FTR1" s="338"/>
      <c r="FTS1" s="338"/>
      <c r="FTT1" s="338"/>
      <c r="FTU1" s="338"/>
      <c r="FTV1" s="338"/>
      <c r="FTW1" s="338"/>
      <c r="FTX1" s="338"/>
      <c r="FTY1" s="338"/>
      <c r="FTZ1" s="338"/>
      <c r="FUA1" s="338"/>
      <c r="FUB1" s="338"/>
      <c r="FUC1" s="338"/>
      <c r="FUD1" s="338"/>
      <c r="FUE1" s="338"/>
      <c r="FUF1" s="338"/>
      <c r="FUG1" s="338"/>
      <c r="FUH1" s="338"/>
      <c r="FUI1" s="338"/>
      <c r="FUJ1" s="338"/>
      <c r="FUK1" s="338"/>
      <c r="FUL1" s="338"/>
      <c r="FUM1" s="338"/>
      <c r="FUN1" s="338"/>
      <c r="FUO1" s="338"/>
      <c r="FUP1" s="338"/>
      <c r="FUQ1" s="338"/>
      <c r="FUR1" s="338"/>
      <c r="FUS1" s="338"/>
      <c r="FUT1" s="338"/>
      <c r="FUU1" s="338"/>
      <c r="FUV1" s="338"/>
      <c r="FUW1" s="338"/>
      <c r="FUX1" s="338"/>
      <c r="FUY1" s="338"/>
      <c r="FUZ1" s="338"/>
      <c r="FVA1" s="338"/>
      <c r="FVB1" s="338"/>
      <c r="FVC1" s="338"/>
      <c r="FVD1" s="338"/>
      <c r="FVE1" s="338"/>
      <c r="FVF1" s="338"/>
      <c r="FVG1" s="338"/>
      <c r="FVH1" s="338"/>
      <c r="FVI1" s="338"/>
      <c r="FVJ1" s="338"/>
      <c r="FVK1" s="338"/>
      <c r="FVL1" s="338"/>
      <c r="FVM1" s="338"/>
      <c r="FVN1" s="338"/>
      <c r="FVO1" s="338"/>
      <c r="FVP1" s="338"/>
      <c r="FVQ1" s="338"/>
      <c r="FVR1" s="338"/>
      <c r="FVS1" s="338"/>
      <c r="FVT1" s="338"/>
      <c r="FVU1" s="338"/>
      <c r="FVV1" s="338"/>
      <c r="FVW1" s="338"/>
      <c r="FVX1" s="338"/>
      <c r="FVY1" s="338"/>
      <c r="FVZ1" s="338"/>
      <c r="FWA1" s="338"/>
      <c r="FWB1" s="338"/>
      <c r="FWC1" s="338"/>
      <c r="FWD1" s="338"/>
      <c r="FWE1" s="338"/>
      <c r="FWF1" s="338"/>
      <c r="FWG1" s="338"/>
      <c r="FWH1" s="338"/>
      <c r="FWI1" s="338"/>
      <c r="FWJ1" s="338"/>
      <c r="FWK1" s="338"/>
      <c r="FWL1" s="338"/>
      <c r="FWM1" s="338"/>
      <c r="FWN1" s="338"/>
      <c r="FWO1" s="338"/>
      <c r="FWP1" s="338"/>
      <c r="FWQ1" s="338"/>
      <c r="FWR1" s="338"/>
      <c r="FWS1" s="338"/>
      <c r="FWT1" s="338"/>
      <c r="FWU1" s="338"/>
      <c r="FWV1" s="338"/>
      <c r="FWW1" s="338"/>
      <c r="FWX1" s="338"/>
      <c r="FWY1" s="338"/>
      <c r="FWZ1" s="338"/>
      <c r="FXA1" s="338"/>
      <c r="FXB1" s="338"/>
      <c r="FXC1" s="338"/>
      <c r="FXD1" s="338"/>
      <c r="FXE1" s="338"/>
      <c r="FXF1" s="338"/>
      <c r="FXG1" s="338"/>
      <c r="FXH1" s="338"/>
      <c r="FXI1" s="338"/>
      <c r="FXJ1" s="338"/>
      <c r="FXK1" s="338"/>
      <c r="FXL1" s="338"/>
      <c r="FXM1" s="338"/>
      <c r="FXN1" s="338"/>
      <c r="FXO1" s="338"/>
      <c r="FXP1" s="338"/>
      <c r="FXQ1" s="338"/>
      <c r="FXR1" s="338"/>
      <c r="FXS1" s="338"/>
      <c r="FXT1" s="338"/>
      <c r="FXU1" s="338"/>
      <c r="FXV1" s="338"/>
      <c r="FXW1" s="338"/>
      <c r="FXX1" s="338"/>
      <c r="FXY1" s="338"/>
      <c r="FXZ1" s="338"/>
      <c r="FYA1" s="338"/>
      <c r="FYB1" s="338"/>
      <c r="FYC1" s="338"/>
      <c r="FYD1" s="338"/>
      <c r="FYE1" s="338"/>
      <c r="FYF1" s="338"/>
      <c r="FYG1" s="338"/>
      <c r="FYH1" s="338"/>
      <c r="FYI1" s="338"/>
      <c r="FYJ1" s="338"/>
      <c r="FYK1" s="338"/>
      <c r="FYL1" s="338"/>
      <c r="FYM1" s="338"/>
      <c r="FYN1" s="338"/>
      <c r="FYO1" s="338"/>
      <c r="FYP1" s="338"/>
      <c r="FYQ1" s="338"/>
      <c r="FYR1" s="338"/>
      <c r="FYS1" s="338"/>
      <c r="FYT1" s="338"/>
      <c r="FYU1" s="338"/>
      <c r="FYV1" s="338"/>
      <c r="FYW1" s="338"/>
      <c r="FYX1" s="338"/>
      <c r="FYY1" s="338"/>
      <c r="FYZ1" s="338"/>
      <c r="FZA1" s="338"/>
      <c r="FZB1" s="338"/>
      <c r="FZC1" s="338"/>
      <c r="FZD1" s="338"/>
      <c r="FZE1" s="338"/>
      <c r="FZF1" s="338"/>
      <c r="FZG1" s="338"/>
      <c r="FZH1" s="338"/>
      <c r="FZI1" s="338"/>
      <c r="FZJ1" s="338"/>
      <c r="FZK1" s="338"/>
      <c r="FZL1" s="338"/>
      <c r="FZM1" s="338"/>
      <c r="FZN1" s="338"/>
      <c r="FZO1" s="338"/>
      <c r="FZP1" s="338"/>
      <c r="FZQ1" s="338"/>
      <c r="FZR1" s="338"/>
      <c r="FZS1" s="338"/>
      <c r="FZT1" s="338"/>
      <c r="FZU1" s="338"/>
      <c r="FZV1" s="338"/>
      <c r="FZW1" s="338"/>
      <c r="FZX1" s="338"/>
      <c r="FZY1" s="338"/>
      <c r="FZZ1" s="338"/>
      <c r="GAA1" s="338"/>
      <c r="GAB1" s="338"/>
      <c r="GAC1" s="338"/>
      <c r="GAD1" s="338"/>
      <c r="GAE1" s="338"/>
      <c r="GAF1" s="338"/>
      <c r="GAG1" s="338"/>
      <c r="GAH1" s="338"/>
      <c r="GAI1" s="338"/>
      <c r="GAJ1" s="338"/>
      <c r="GAK1" s="338"/>
      <c r="GAL1" s="338"/>
      <c r="GAM1" s="338"/>
      <c r="GAN1" s="338"/>
      <c r="GAO1" s="338"/>
      <c r="GAP1" s="338"/>
      <c r="GAQ1" s="338"/>
      <c r="GAR1" s="338"/>
      <c r="GAS1" s="338"/>
      <c r="GAT1" s="338"/>
      <c r="GAU1" s="338"/>
      <c r="GAV1" s="338"/>
      <c r="GAW1" s="338"/>
      <c r="GAX1" s="338"/>
      <c r="GAY1" s="338"/>
      <c r="GAZ1" s="338"/>
      <c r="GBA1" s="338"/>
      <c r="GBB1" s="338"/>
      <c r="GBC1" s="338"/>
      <c r="GBD1" s="338"/>
      <c r="GBE1" s="338"/>
      <c r="GBF1" s="338"/>
      <c r="GBG1" s="338"/>
      <c r="GBH1" s="338"/>
      <c r="GBI1" s="338"/>
      <c r="GBJ1" s="338"/>
      <c r="GBK1" s="338"/>
      <c r="GBL1" s="338"/>
      <c r="GBM1" s="338"/>
      <c r="GBN1" s="338"/>
      <c r="GBO1" s="338"/>
      <c r="GBP1" s="338"/>
      <c r="GBQ1" s="338"/>
      <c r="GBR1" s="338"/>
      <c r="GBS1" s="338"/>
      <c r="GBT1" s="338"/>
      <c r="GBU1" s="338"/>
      <c r="GBV1" s="338"/>
      <c r="GBW1" s="338"/>
      <c r="GBX1" s="338"/>
      <c r="GBY1" s="338"/>
      <c r="GBZ1" s="338"/>
      <c r="GCA1" s="338"/>
      <c r="GCB1" s="338"/>
      <c r="GCC1" s="338"/>
      <c r="GCD1" s="338"/>
      <c r="GCE1" s="338"/>
      <c r="GCF1" s="338"/>
      <c r="GCG1" s="338"/>
      <c r="GCH1" s="338"/>
      <c r="GCI1" s="338"/>
      <c r="GCJ1" s="338"/>
      <c r="GCK1" s="338"/>
      <c r="GCL1" s="338"/>
      <c r="GCM1" s="338"/>
      <c r="GCN1" s="338"/>
      <c r="GCO1" s="338"/>
      <c r="GCP1" s="338"/>
      <c r="GCQ1" s="338"/>
      <c r="GCR1" s="338"/>
      <c r="GCS1" s="338"/>
      <c r="GCT1" s="338"/>
      <c r="GCU1" s="338"/>
      <c r="GCV1" s="338"/>
      <c r="GCW1" s="338"/>
      <c r="GCX1" s="338"/>
      <c r="GCY1" s="338"/>
      <c r="GCZ1" s="338"/>
      <c r="GDA1" s="338"/>
      <c r="GDB1" s="338"/>
      <c r="GDC1" s="338"/>
      <c r="GDD1" s="338"/>
      <c r="GDE1" s="338"/>
      <c r="GDF1" s="338"/>
      <c r="GDG1" s="338"/>
      <c r="GDH1" s="338"/>
      <c r="GDI1" s="338"/>
      <c r="GDJ1" s="338"/>
      <c r="GDK1" s="338"/>
      <c r="GDL1" s="338"/>
      <c r="GDM1" s="338"/>
      <c r="GDN1" s="338"/>
      <c r="GDO1" s="338"/>
      <c r="GDP1" s="338"/>
      <c r="GDQ1" s="338"/>
      <c r="GDR1" s="338"/>
      <c r="GDS1" s="338"/>
      <c r="GDT1" s="338"/>
      <c r="GDU1" s="338"/>
      <c r="GDV1" s="338"/>
      <c r="GDW1" s="338"/>
      <c r="GDX1" s="338"/>
      <c r="GDY1" s="338"/>
      <c r="GDZ1" s="338"/>
      <c r="GEA1" s="338"/>
      <c r="GEB1" s="338"/>
      <c r="GEC1" s="338"/>
      <c r="GED1" s="338"/>
      <c r="GEE1" s="338"/>
      <c r="GEF1" s="338"/>
      <c r="GEG1" s="338"/>
      <c r="GEH1" s="338"/>
      <c r="GEI1" s="338"/>
      <c r="GEJ1" s="338"/>
      <c r="GEK1" s="338"/>
      <c r="GEL1" s="338"/>
      <c r="GEM1" s="338"/>
      <c r="GEN1" s="338"/>
      <c r="GEO1" s="338"/>
      <c r="GEP1" s="338"/>
      <c r="GEQ1" s="338"/>
      <c r="GER1" s="338"/>
      <c r="GES1" s="338"/>
      <c r="GET1" s="338"/>
      <c r="GEU1" s="338"/>
      <c r="GEV1" s="338"/>
      <c r="GEW1" s="338"/>
      <c r="GEX1" s="338"/>
      <c r="GEY1" s="338"/>
      <c r="GEZ1" s="338"/>
      <c r="GFA1" s="338"/>
      <c r="GFB1" s="338"/>
      <c r="GFC1" s="338"/>
      <c r="GFD1" s="338"/>
      <c r="GFE1" s="338"/>
      <c r="GFF1" s="338"/>
      <c r="GFG1" s="338"/>
      <c r="GFH1" s="338"/>
      <c r="GFI1" s="338"/>
      <c r="GFJ1" s="338"/>
      <c r="GFK1" s="338"/>
      <c r="GFL1" s="338"/>
      <c r="GFM1" s="338"/>
      <c r="GFN1" s="338"/>
      <c r="GFO1" s="338"/>
      <c r="GFP1" s="338"/>
      <c r="GFQ1" s="338"/>
      <c r="GFR1" s="338"/>
      <c r="GFS1" s="338"/>
      <c r="GFT1" s="338"/>
      <c r="GFU1" s="338"/>
      <c r="GFV1" s="338"/>
      <c r="GFW1" s="338"/>
      <c r="GFX1" s="338"/>
      <c r="GFY1" s="338"/>
      <c r="GFZ1" s="338"/>
      <c r="GGA1" s="338"/>
      <c r="GGB1" s="338"/>
      <c r="GGC1" s="338"/>
      <c r="GGD1" s="338"/>
      <c r="GGE1" s="338"/>
      <c r="GGF1" s="338"/>
      <c r="GGG1" s="338"/>
      <c r="GGH1" s="338"/>
      <c r="GGI1" s="338"/>
      <c r="GGJ1" s="338"/>
      <c r="GGK1" s="338"/>
      <c r="GGL1" s="338"/>
      <c r="GGM1" s="338"/>
      <c r="GGN1" s="338"/>
      <c r="GGO1" s="338"/>
      <c r="GGP1" s="338"/>
      <c r="GGQ1" s="338"/>
      <c r="GGR1" s="338"/>
      <c r="GGS1" s="338"/>
      <c r="GGT1" s="338"/>
      <c r="GGU1" s="338"/>
      <c r="GGV1" s="338"/>
      <c r="GGW1" s="338"/>
      <c r="GGX1" s="338"/>
      <c r="GGY1" s="338"/>
      <c r="GGZ1" s="338"/>
      <c r="GHA1" s="338"/>
      <c r="GHB1" s="338"/>
      <c r="GHC1" s="338"/>
      <c r="GHD1" s="338"/>
      <c r="GHE1" s="338"/>
      <c r="GHF1" s="338"/>
      <c r="GHG1" s="338"/>
      <c r="GHH1" s="338"/>
      <c r="GHI1" s="338"/>
      <c r="GHJ1" s="338"/>
      <c r="GHK1" s="338"/>
      <c r="GHL1" s="338"/>
      <c r="GHM1" s="338"/>
      <c r="GHN1" s="338"/>
      <c r="GHO1" s="338"/>
      <c r="GHP1" s="338"/>
      <c r="GHQ1" s="338"/>
      <c r="GHR1" s="338"/>
      <c r="GHS1" s="338"/>
      <c r="GHT1" s="338"/>
      <c r="GHU1" s="338"/>
      <c r="GHV1" s="338"/>
      <c r="GHW1" s="338"/>
      <c r="GHX1" s="338"/>
      <c r="GHY1" s="338"/>
      <c r="GHZ1" s="338"/>
      <c r="GIA1" s="338"/>
      <c r="GIB1" s="338"/>
      <c r="GIC1" s="338"/>
      <c r="GID1" s="338"/>
      <c r="GIE1" s="338"/>
      <c r="GIF1" s="338"/>
      <c r="GIG1" s="338"/>
      <c r="GIH1" s="338"/>
      <c r="GII1" s="338"/>
      <c r="GIJ1" s="338"/>
      <c r="GIK1" s="338"/>
      <c r="GIL1" s="338"/>
      <c r="GIM1" s="338"/>
      <c r="GIN1" s="338"/>
      <c r="GIO1" s="338"/>
      <c r="GIP1" s="338"/>
      <c r="GIQ1" s="338"/>
      <c r="GIR1" s="338"/>
      <c r="GIS1" s="338"/>
      <c r="GIT1" s="338"/>
      <c r="GIU1" s="338"/>
      <c r="GIV1" s="338"/>
      <c r="GIW1" s="338"/>
      <c r="GIX1" s="338"/>
      <c r="GIY1" s="338"/>
      <c r="GIZ1" s="338"/>
      <c r="GJA1" s="338"/>
      <c r="GJB1" s="338"/>
      <c r="GJC1" s="338"/>
      <c r="GJD1" s="338"/>
      <c r="GJE1" s="338"/>
      <c r="GJF1" s="338"/>
      <c r="GJG1" s="338"/>
      <c r="GJH1" s="338"/>
      <c r="GJI1" s="338"/>
      <c r="GJJ1" s="338"/>
      <c r="GJK1" s="338"/>
      <c r="GJL1" s="338"/>
      <c r="GJM1" s="338"/>
      <c r="GJN1" s="338"/>
      <c r="GJO1" s="338"/>
      <c r="GJP1" s="338"/>
      <c r="GJQ1" s="338"/>
      <c r="GJR1" s="338"/>
      <c r="GJS1" s="338"/>
      <c r="GJT1" s="338"/>
      <c r="GJU1" s="338"/>
      <c r="GJV1" s="338"/>
      <c r="GJW1" s="338"/>
      <c r="GJX1" s="338"/>
      <c r="GJY1" s="338"/>
      <c r="GJZ1" s="338"/>
      <c r="GKA1" s="338"/>
      <c r="GKB1" s="338"/>
      <c r="GKC1" s="338"/>
      <c r="GKD1" s="338"/>
      <c r="GKE1" s="338"/>
      <c r="GKF1" s="338"/>
      <c r="GKG1" s="338"/>
      <c r="GKH1" s="338"/>
      <c r="GKI1" s="338"/>
      <c r="GKJ1" s="338"/>
      <c r="GKK1" s="338"/>
      <c r="GKL1" s="338"/>
      <c r="GKM1" s="338"/>
      <c r="GKN1" s="338"/>
      <c r="GKO1" s="338"/>
      <c r="GKP1" s="338"/>
      <c r="GKQ1" s="338"/>
      <c r="GKR1" s="338"/>
      <c r="GKS1" s="338"/>
      <c r="GKT1" s="338"/>
      <c r="GKU1" s="338"/>
      <c r="GKV1" s="338"/>
      <c r="GKW1" s="338"/>
      <c r="GKX1" s="338"/>
      <c r="GKY1" s="338"/>
      <c r="GKZ1" s="338"/>
      <c r="GLA1" s="338"/>
      <c r="GLB1" s="338"/>
      <c r="GLC1" s="338"/>
      <c r="GLD1" s="338"/>
      <c r="GLE1" s="338"/>
      <c r="GLF1" s="338"/>
      <c r="GLG1" s="338"/>
      <c r="GLH1" s="338"/>
      <c r="GLI1" s="338"/>
      <c r="GLJ1" s="338"/>
      <c r="GLK1" s="338"/>
      <c r="GLL1" s="338"/>
      <c r="GLM1" s="338"/>
      <c r="GLN1" s="338"/>
      <c r="GLO1" s="338"/>
      <c r="GLP1" s="338"/>
      <c r="GLQ1" s="338"/>
      <c r="GLR1" s="338"/>
      <c r="GLS1" s="338"/>
      <c r="GLT1" s="338"/>
      <c r="GLU1" s="338"/>
      <c r="GLV1" s="338"/>
      <c r="GLW1" s="338"/>
      <c r="GLX1" s="338"/>
      <c r="GLY1" s="338"/>
      <c r="GLZ1" s="338"/>
      <c r="GMA1" s="338"/>
      <c r="GMB1" s="338"/>
      <c r="GMC1" s="338"/>
      <c r="GMD1" s="338"/>
      <c r="GME1" s="338"/>
      <c r="GMF1" s="338"/>
      <c r="GMG1" s="338"/>
      <c r="GMH1" s="338"/>
      <c r="GMI1" s="338"/>
      <c r="GMJ1" s="338"/>
      <c r="GMK1" s="338"/>
      <c r="GML1" s="338"/>
      <c r="GMM1" s="338"/>
      <c r="GMN1" s="338"/>
      <c r="GMO1" s="338"/>
      <c r="GMP1" s="338"/>
      <c r="GMQ1" s="338"/>
      <c r="GMR1" s="338"/>
      <c r="GMS1" s="338"/>
      <c r="GMT1" s="338"/>
      <c r="GMU1" s="338"/>
      <c r="GMV1" s="338"/>
      <c r="GMW1" s="338"/>
      <c r="GMX1" s="338"/>
      <c r="GMY1" s="338"/>
      <c r="GMZ1" s="338"/>
      <c r="GNA1" s="338"/>
      <c r="GNB1" s="338"/>
      <c r="GNC1" s="338"/>
      <c r="GND1" s="338"/>
      <c r="GNE1" s="338"/>
      <c r="GNF1" s="338"/>
      <c r="GNG1" s="338"/>
      <c r="GNH1" s="338"/>
      <c r="GNI1" s="338"/>
      <c r="GNJ1" s="338"/>
      <c r="GNK1" s="338"/>
      <c r="GNL1" s="338"/>
      <c r="GNM1" s="338"/>
      <c r="GNN1" s="338"/>
      <c r="GNO1" s="338"/>
      <c r="GNP1" s="338"/>
      <c r="GNQ1" s="338"/>
      <c r="GNR1" s="338"/>
      <c r="GNS1" s="338"/>
      <c r="GNT1" s="338"/>
      <c r="GNU1" s="338"/>
      <c r="GNV1" s="338"/>
      <c r="GNW1" s="338"/>
      <c r="GNX1" s="338"/>
      <c r="GNY1" s="338"/>
      <c r="GNZ1" s="338"/>
      <c r="GOA1" s="338"/>
      <c r="GOB1" s="338"/>
      <c r="GOC1" s="338"/>
      <c r="GOD1" s="338"/>
      <c r="GOE1" s="338"/>
      <c r="GOF1" s="338"/>
      <c r="GOG1" s="338"/>
      <c r="GOH1" s="338"/>
      <c r="GOI1" s="338"/>
      <c r="GOJ1" s="338"/>
      <c r="GOK1" s="338"/>
      <c r="GOL1" s="338"/>
      <c r="GOM1" s="338"/>
      <c r="GON1" s="338"/>
      <c r="GOO1" s="338"/>
      <c r="GOP1" s="338"/>
      <c r="GOQ1" s="338"/>
      <c r="GOR1" s="338"/>
      <c r="GOS1" s="338"/>
      <c r="GOT1" s="338"/>
      <c r="GOU1" s="338"/>
      <c r="GOV1" s="338"/>
      <c r="GOW1" s="338"/>
      <c r="GOX1" s="338"/>
      <c r="GOY1" s="338"/>
      <c r="GOZ1" s="338"/>
      <c r="GPA1" s="338"/>
      <c r="GPB1" s="338"/>
      <c r="GPC1" s="338"/>
      <c r="GPD1" s="338"/>
      <c r="GPE1" s="338"/>
      <c r="GPF1" s="338"/>
      <c r="GPG1" s="338"/>
      <c r="GPH1" s="338"/>
      <c r="GPI1" s="338"/>
      <c r="GPJ1" s="338"/>
      <c r="GPK1" s="338"/>
      <c r="GPL1" s="338"/>
      <c r="GPM1" s="338"/>
      <c r="GPN1" s="338"/>
      <c r="GPO1" s="338"/>
      <c r="GPP1" s="338"/>
      <c r="GPQ1" s="338"/>
      <c r="GPR1" s="338"/>
      <c r="GPS1" s="338"/>
      <c r="GPT1" s="338"/>
      <c r="GPU1" s="338"/>
      <c r="GPV1" s="338"/>
      <c r="GPW1" s="338"/>
      <c r="GPX1" s="338"/>
      <c r="GPY1" s="338"/>
      <c r="GPZ1" s="338"/>
      <c r="GQA1" s="338"/>
      <c r="GQB1" s="338"/>
      <c r="GQC1" s="338"/>
      <c r="GQD1" s="338"/>
      <c r="GQE1" s="338"/>
      <c r="GQF1" s="338"/>
      <c r="GQG1" s="338"/>
      <c r="GQH1" s="338"/>
      <c r="GQI1" s="338"/>
      <c r="GQJ1" s="338"/>
      <c r="GQK1" s="338"/>
      <c r="GQL1" s="338"/>
      <c r="GQM1" s="338"/>
      <c r="GQN1" s="338"/>
      <c r="GQO1" s="338"/>
      <c r="GQP1" s="338"/>
      <c r="GQQ1" s="338"/>
      <c r="GQR1" s="338"/>
      <c r="GQS1" s="338"/>
      <c r="GQT1" s="338"/>
      <c r="GQU1" s="338"/>
      <c r="GQV1" s="338"/>
      <c r="GQW1" s="338"/>
      <c r="GQX1" s="338"/>
      <c r="GQY1" s="338"/>
      <c r="GQZ1" s="338"/>
      <c r="GRA1" s="338"/>
      <c r="GRB1" s="338"/>
      <c r="GRC1" s="338"/>
      <c r="GRD1" s="338"/>
      <c r="GRE1" s="338"/>
      <c r="GRF1" s="338"/>
      <c r="GRG1" s="338"/>
      <c r="GRH1" s="338"/>
      <c r="GRI1" s="338"/>
      <c r="GRJ1" s="338"/>
      <c r="GRK1" s="338"/>
      <c r="GRL1" s="338"/>
      <c r="GRM1" s="338"/>
      <c r="GRN1" s="338"/>
      <c r="GRO1" s="338"/>
      <c r="GRP1" s="338"/>
      <c r="GRQ1" s="338"/>
      <c r="GRR1" s="338"/>
      <c r="GRS1" s="338"/>
      <c r="GRT1" s="338"/>
      <c r="GRU1" s="338"/>
      <c r="GRV1" s="338"/>
      <c r="GRW1" s="338"/>
      <c r="GRX1" s="338"/>
      <c r="GRY1" s="338"/>
      <c r="GRZ1" s="338"/>
      <c r="GSA1" s="338"/>
      <c r="GSB1" s="338"/>
      <c r="GSC1" s="338"/>
      <c r="GSD1" s="338"/>
      <c r="GSE1" s="338"/>
      <c r="GSF1" s="338"/>
      <c r="GSG1" s="338"/>
      <c r="GSH1" s="338"/>
      <c r="GSI1" s="338"/>
      <c r="GSJ1" s="338"/>
      <c r="GSK1" s="338"/>
      <c r="GSL1" s="338"/>
      <c r="GSM1" s="338"/>
      <c r="GSN1" s="338"/>
      <c r="GSO1" s="338"/>
      <c r="GSP1" s="338"/>
      <c r="GSQ1" s="338"/>
      <c r="GSR1" s="338"/>
      <c r="GSS1" s="338"/>
      <c r="GST1" s="338"/>
      <c r="GSU1" s="338"/>
      <c r="GSV1" s="338"/>
      <c r="GSW1" s="338"/>
      <c r="GSX1" s="338"/>
      <c r="GSY1" s="338"/>
      <c r="GSZ1" s="338"/>
      <c r="GTA1" s="338"/>
      <c r="GTB1" s="338"/>
      <c r="GTC1" s="338"/>
      <c r="GTD1" s="338"/>
      <c r="GTE1" s="338"/>
      <c r="GTF1" s="338"/>
      <c r="GTG1" s="338"/>
      <c r="GTH1" s="338"/>
      <c r="GTI1" s="338"/>
      <c r="GTJ1" s="338"/>
      <c r="GTK1" s="338"/>
      <c r="GTL1" s="338"/>
      <c r="GTM1" s="338"/>
      <c r="GTN1" s="338"/>
      <c r="GTO1" s="338"/>
      <c r="GTP1" s="338"/>
      <c r="GTQ1" s="338"/>
      <c r="GTR1" s="338"/>
      <c r="GTS1" s="338"/>
      <c r="GTT1" s="338"/>
      <c r="GTU1" s="338"/>
      <c r="GTV1" s="338"/>
      <c r="GTW1" s="338"/>
      <c r="GTX1" s="338"/>
      <c r="GTY1" s="338"/>
      <c r="GTZ1" s="338"/>
      <c r="GUA1" s="338"/>
      <c r="GUB1" s="338"/>
      <c r="GUC1" s="338"/>
      <c r="GUD1" s="338"/>
      <c r="GUE1" s="338"/>
      <c r="GUF1" s="338"/>
      <c r="GUG1" s="338"/>
      <c r="GUH1" s="338"/>
      <c r="GUI1" s="338"/>
      <c r="GUJ1" s="338"/>
      <c r="GUK1" s="338"/>
      <c r="GUL1" s="338"/>
      <c r="GUM1" s="338"/>
      <c r="GUN1" s="338"/>
      <c r="GUO1" s="338"/>
      <c r="GUP1" s="338"/>
      <c r="GUQ1" s="338"/>
      <c r="GUR1" s="338"/>
      <c r="GUS1" s="338"/>
      <c r="GUT1" s="338"/>
      <c r="GUU1" s="338"/>
      <c r="GUV1" s="338"/>
      <c r="GUW1" s="338"/>
      <c r="GUX1" s="338"/>
      <c r="GUY1" s="338"/>
      <c r="GUZ1" s="338"/>
      <c r="GVA1" s="338"/>
      <c r="GVB1" s="338"/>
      <c r="GVC1" s="338"/>
      <c r="GVD1" s="338"/>
      <c r="GVE1" s="338"/>
      <c r="GVF1" s="338"/>
      <c r="GVG1" s="338"/>
      <c r="GVH1" s="338"/>
      <c r="GVI1" s="338"/>
      <c r="GVJ1" s="338"/>
      <c r="GVK1" s="338"/>
      <c r="GVL1" s="338"/>
      <c r="GVM1" s="338"/>
      <c r="GVN1" s="338"/>
      <c r="GVO1" s="338"/>
      <c r="GVP1" s="338"/>
      <c r="GVQ1" s="338"/>
      <c r="GVR1" s="338"/>
      <c r="GVS1" s="338"/>
      <c r="GVT1" s="338"/>
      <c r="GVU1" s="338"/>
      <c r="GVV1" s="338"/>
      <c r="GVW1" s="338"/>
      <c r="GVX1" s="338"/>
      <c r="GVY1" s="338"/>
      <c r="GVZ1" s="338"/>
      <c r="GWA1" s="338"/>
      <c r="GWB1" s="338"/>
      <c r="GWC1" s="338"/>
      <c r="GWD1" s="338"/>
      <c r="GWE1" s="338"/>
      <c r="GWF1" s="338"/>
      <c r="GWG1" s="338"/>
      <c r="GWH1" s="338"/>
      <c r="GWI1" s="338"/>
      <c r="GWJ1" s="338"/>
      <c r="GWK1" s="338"/>
      <c r="GWL1" s="338"/>
      <c r="GWM1" s="338"/>
      <c r="GWN1" s="338"/>
      <c r="GWO1" s="338"/>
      <c r="GWP1" s="338"/>
      <c r="GWQ1" s="338"/>
      <c r="GWR1" s="338"/>
      <c r="GWS1" s="338"/>
      <c r="GWT1" s="338"/>
      <c r="GWU1" s="338"/>
      <c r="GWV1" s="338"/>
      <c r="GWW1" s="338"/>
      <c r="GWX1" s="338"/>
      <c r="GWY1" s="338"/>
      <c r="GWZ1" s="338"/>
      <c r="GXA1" s="338"/>
      <c r="GXB1" s="338"/>
      <c r="GXC1" s="338"/>
      <c r="GXD1" s="338"/>
      <c r="GXE1" s="338"/>
      <c r="GXF1" s="338"/>
      <c r="GXG1" s="338"/>
      <c r="GXH1" s="338"/>
      <c r="GXI1" s="338"/>
      <c r="GXJ1" s="338"/>
      <c r="GXK1" s="338"/>
      <c r="GXL1" s="338"/>
      <c r="GXM1" s="338"/>
      <c r="GXN1" s="338"/>
      <c r="GXO1" s="338"/>
      <c r="GXP1" s="338"/>
      <c r="GXQ1" s="338"/>
      <c r="GXR1" s="338"/>
      <c r="GXS1" s="338"/>
      <c r="GXT1" s="338"/>
      <c r="GXU1" s="338"/>
      <c r="GXV1" s="338"/>
      <c r="GXW1" s="338"/>
      <c r="GXX1" s="338"/>
      <c r="GXY1" s="338"/>
      <c r="GXZ1" s="338"/>
      <c r="GYA1" s="338"/>
      <c r="GYB1" s="338"/>
      <c r="GYC1" s="338"/>
      <c r="GYD1" s="338"/>
      <c r="GYE1" s="338"/>
      <c r="GYF1" s="338"/>
      <c r="GYG1" s="338"/>
      <c r="GYH1" s="338"/>
      <c r="GYI1" s="338"/>
      <c r="GYJ1" s="338"/>
      <c r="GYK1" s="338"/>
      <c r="GYL1" s="338"/>
      <c r="GYM1" s="338"/>
      <c r="GYN1" s="338"/>
      <c r="GYO1" s="338"/>
      <c r="GYP1" s="338"/>
      <c r="GYQ1" s="338"/>
      <c r="GYR1" s="338"/>
      <c r="GYS1" s="338"/>
      <c r="GYT1" s="338"/>
      <c r="GYU1" s="338"/>
      <c r="GYV1" s="338"/>
      <c r="GYW1" s="338"/>
      <c r="GYX1" s="338"/>
      <c r="GYY1" s="338"/>
      <c r="GYZ1" s="338"/>
      <c r="GZA1" s="338"/>
      <c r="GZB1" s="338"/>
      <c r="GZC1" s="338"/>
      <c r="GZD1" s="338"/>
      <c r="GZE1" s="338"/>
      <c r="GZF1" s="338"/>
      <c r="GZG1" s="338"/>
      <c r="GZH1" s="338"/>
      <c r="GZI1" s="338"/>
      <c r="GZJ1" s="338"/>
      <c r="GZK1" s="338"/>
      <c r="GZL1" s="338"/>
      <c r="GZM1" s="338"/>
      <c r="GZN1" s="338"/>
      <c r="GZO1" s="338"/>
      <c r="GZP1" s="338"/>
      <c r="GZQ1" s="338"/>
      <c r="GZR1" s="338"/>
      <c r="GZS1" s="338"/>
      <c r="GZT1" s="338"/>
      <c r="GZU1" s="338"/>
      <c r="GZV1" s="338"/>
      <c r="GZW1" s="338"/>
      <c r="GZX1" s="338"/>
      <c r="GZY1" s="338"/>
      <c r="GZZ1" s="338"/>
      <c r="HAA1" s="338"/>
      <c r="HAB1" s="338"/>
      <c r="HAC1" s="338"/>
      <c r="HAD1" s="338"/>
      <c r="HAE1" s="338"/>
      <c r="HAF1" s="338"/>
      <c r="HAG1" s="338"/>
      <c r="HAH1" s="338"/>
      <c r="HAI1" s="338"/>
      <c r="HAJ1" s="338"/>
      <c r="HAK1" s="338"/>
      <c r="HAL1" s="338"/>
      <c r="HAM1" s="338"/>
      <c r="HAN1" s="338"/>
      <c r="HAO1" s="338"/>
      <c r="HAP1" s="338"/>
      <c r="HAQ1" s="338"/>
      <c r="HAR1" s="338"/>
      <c r="HAS1" s="338"/>
      <c r="HAT1" s="338"/>
      <c r="HAU1" s="338"/>
      <c r="HAV1" s="338"/>
      <c r="HAW1" s="338"/>
      <c r="HAX1" s="338"/>
      <c r="HAY1" s="338"/>
      <c r="HAZ1" s="338"/>
      <c r="HBA1" s="338"/>
      <c r="HBB1" s="338"/>
      <c r="HBC1" s="338"/>
      <c r="HBD1" s="338"/>
      <c r="HBE1" s="338"/>
      <c r="HBF1" s="338"/>
      <c r="HBG1" s="338"/>
      <c r="HBH1" s="338"/>
      <c r="HBI1" s="338"/>
      <c r="HBJ1" s="338"/>
      <c r="HBK1" s="338"/>
      <c r="HBL1" s="338"/>
      <c r="HBM1" s="338"/>
      <c r="HBN1" s="338"/>
      <c r="HBO1" s="338"/>
      <c r="HBP1" s="338"/>
      <c r="HBQ1" s="338"/>
      <c r="HBR1" s="338"/>
      <c r="HBS1" s="338"/>
      <c r="HBT1" s="338"/>
      <c r="HBU1" s="338"/>
      <c r="HBV1" s="338"/>
      <c r="HBW1" s="338"/>
      <c r="HBX1" s="338"/>
      <c r="HBY1" s="338"/>
      <c r="HBZ1" s="338"/>
      <c r="HCA1" s="338"/>
      <c r="HCB1" s="338"/>
      <c r="HCC1" s="338"/>
      <c r="HCD1" s="338"/>
      <c r="HCE1" s="338"/>
      <c r="HCF1" s="338"/>
      <c r="HCG1" s="338"/>
      <c r="HCH1" s="338"/>
      <c r="HCI1" s="338"/>
      <c r="HCJ1" s="338"/>
      <c r="HCK1" s="338"/>
      <c r="HCL1" s="338"/>
      <c r="HCM1" s="338"/>
      <c r="HCN1" s="338"/>
      <c r="HCO1" s="338"/>
      <c r="HCP1" s="338"/>
      <c r="HCQ1" s="338"/>
      <c r="HCR1" s="338"/>
      <c r="HCS1" s="338"/>
      <c r="HCT1" s="338"/>
      <c r="HCU1" s="338"/>
      <c r="HCV1" s="338"/>
      <c r="HCW1" s="338"/>
      <c r="HCX1" s="338"/>
      <c r="HCY1" s="338"/>
      <c r="HCZ1" s="338"/>
      <c r="HDA1" s="338"/>
      <c r="HDB1" s="338"/>
      <c r="HDC1" s="338"/>
      <c r="HDD1" s="338"/>
      <c r="HDE1" s="338"/>
      <c r="HDF1" s="338"/>
      <c r="HDG1" s="338"/>
      <c r="HDH1" s="338"/>
      <c r="HDI1" s="338"/>
      <c r="HDJ1" s="338"/>
      <c r="HDK1" s="338"/>
      <c r="HDL1" s="338"/>
      <c r="HDM1" s="338"/>
      <c r="HDN1" s="338"/>
      <c r="HDO1" s="338"/>
      <c r="HDP1" s="338"/>
      <c r="HDQ1" s="338"/>
      <c r="HDR1" s="338"/>
      <c r="HDS1" s="338"/>
      <c r="HDT1" s="338"/>
      <c r="HDU1" s="338"/>
      <c r="HDV1" s="338"/>
      <c r="HDW1" s="338"/>
      <c r="HDX1" s="338"/>
      <c r="HDY1" s="338"/>
      <c r="HDZ1" s="338"/>
      <c r="HEA1" s="338"/>
      <c r="HEB1" s="338"/>
      <c r="HEC1" s="338"/>
      <c r="HED1" s="338"/>
      <c r="HEE1" s="338"/>
      <c r="HEF1" s="338"/>
      <c r="HEG1" s="338"/>
      <c r="HEH1" s="338"/>
      <c r="HEI1" s="338"/>
      <c r="HEJ1" s="338"/>
      <c r="HEK1" s="338"/>
      <c r="HEL1" s="338"/>
      <c r="HEM1" s="338"/>
      <c r="HEN1" s="338"/>
      <c r="HEO1" s="338"/>
      <c r="HEP1" s="338"/>
      <c r="HEQ1" s="338"/>
      <c r="HER1" s="338"/>
      <c r="HES1" s="338"/>
      <c r="HET1" s="338"/>
      <c r="HEU1" s="338"/>
      <c r="HEV1" s="338"/>
      <c r="HEW1" s="338"/>
      <c r="HEX1" s="338"/>
      <c r="HEY1" s="338"/>
      <c r="HEZ1" s="338"/>
      <c r="HFA1" s="338"/>
      <c r="HFB1" s="338"/>
      <c r="HFC1" s="338"/>
      <c r="HFD1" s="338"/>
      <c r="HFE1" s="338"/>
      <c r="HFF1" s="338"/>
      <c r="HFG1" s="338"/>
      <c r="HFH1" s="338"/>
      <c r="HFI1" s="338"/>
      <c r="HFJ1" s="338"/>
      <c r="HFK1" s="338"/>
      <c r="HFL1" s="338"/>
      <c r="HFM1" s="338"/>
      <c r="HFN1" s="338"/>
      <c r="HFO1" s="338"/>
      <c r="HFP1" s="338"/>
      <c r="HFQ1" s="338"/>
      <c r="HFR1" s="338"/>
      <c r="HFS1" s="338"/>
      <c r="HFT1" s="338"/>
      <c r="HFU1" s="338"/>
      <c r="HFV1" s="338"/>
      <c r="HFW1" s="338"/>
      <c r="HFX1" s="338"/>
      <c r="HFY1" s="338"/>
      <c r="HFZ1" s="338"/>
      <c r="HGA1" s="338"/>
      <c r="HGB1" s="338"/>
      <c r="HGC1" s="338"/>
      <c r="HGD1" s="338"/>
      <c r="HGE1" s="338"/>
      <c r="HGF1" s="338"/>
      <c r="HGG1" s="338"/>
      <c r="HGH1" s="338"/>
      <c r="HGI1" s="338"/>
      <c r="HGJ1" s="338"/>
      <c r="HGK1" s="338"/>
      <c r="HGL1" s="338"/>
      <c r="HGM1" s="338"/>
      <c r="HGN1" s="338"/>
      <c r="HGO1" s="338"/>
      <c r="HGP1" s="338"/>
      <c r="HGQ1" s="338"/>
      <c r="HGR1" s="338"/>
      <c r="HGS1" s="338"/>
      <c r="HGT1" s="338"/>
      <c r="HGU1" s="338"/>
      <c r="HGV1" s="338"/>
      <c r="HGW1" s="338"/>
      <c r="HGX1" s="338"/>
      <c r="HGY1" s="338"/>
      <c r="HGZ1" s="338"/>
      <c r="HHA1" s="338"/>
      <c r="HHB1" s="338"/>
      <c r="HHC1" s="338"/>
      <c r="HHD1" s="338"/>
      <c r="HHE1" s="338"/>
      <c r="HHF1" s="338"/>
      <c r="HHG1" s="338"/>
      <c r="HHH1" s="338"/>
      <c r="HHI1" s="338"/>
      <c r="HHJ1" s="338"/>
      <c r="HHK1" s="338"/>
      <c r="HHL1" s="338"/>
      <c r="HHM1" s="338"/>
      <c r="HHN1" s="338"/>
      <c r="HHO1" s="338"/>
      <c r="HHP1" s="338"/>
      <c r="HHQ1" s="338"/>
      <c r="HHR1" s="338"/>
      <c r="HHS1" s="338"/>
      <c r="HHT1" s="338"/>
      <c r="HHU1" s="338"/>
      <c r="HHV1" s="338"/>
      <c r="HHW1" s="338"/>
      <c r="HHX1" s="338"/>
      <c r="HHY1" s="338"/>
      <c r="HHZ1" s="338"/>
      <c r="HIA1" s="338"/>
      <c r="HIB1" s="338"/>
      <c r="HIC1" s="338"/>
      <c r="HID1" s="338"/>
      <c r="HIE1" s="338"/>
      <c r="HIF1" s="338"/>
      <c r="HIG1" s="338"/>
      <c r="HIH1" s="338"/>
      <c r="HII1" s="338"/>
      <c r="HIJ1" s="338"/>
      <c r="HIK1" s="338"/>
      <c r="HIL1" s="338"/>
      <c r="HIM1" s="338"/>
      <c r="HIN1" s="338"/>
      <c r="HIO1" s="338"/>
      <c r="HIP1" s="338"/>
      <c r="HIQ1" s="338"/>
      <c r="HIR1" s="338"/>
      <c r="HIS1" s="338"/>
      <c r="HIT1" s="338"/>
      <c r="HIU1" s="338"/>
      <c r="HIV1" s="338"/>
      <c r="HIW1" s="338"/>
      <c r="HIX1" s="338"/>
      <c r="HIY1" s="338"/>
      <c r="HIZ1" s="338"/>
      <c r="HJA1" s="338"/>
      <c r="HJB1" s="338"/>
      <c r="HJC1" s="338"/>
      <c r="HJD1" s="338"/>
      <c r="HJE1" s="338"/>
      <c r="HJF1" s="338"/>
      <c r="HJG1" s="338"/>
      <c r="HJH1" s="338"/>
      <c r="HJI1" s="338"/>
      <c r="HJJ1" s="338"/>
      <c r="HJK1" s="338"/>
      <c r="HJL1" s="338"/>
      <c r="HJM1" s="338"/>
      <c r="HJN1" s="338"/>
      <c r="HJO1" s="338"/>
      <c r="HJP1" s="338"/>
      <c r="HJQ1" s="338"/>
      <c r="HJR1" s="338"/>
      <c r="HJS1" s="338"/>
      <c r="HJT1" s="338"/>
      <c r="HJU1" s="338"/>
      <c r="HJV1" s="338"/>
      <c r="HJW1" s="338"/>
      <c r="HJX1" s="338"/>
      <c r="HJY1" s="338"/>
      <c r="HJZ1" s="338"/>
      <c r="HKA1" s="338"/>
      <c r="HKB1" s="338"/>
      <c r="HKC1" s="338"/>
      <c r="HKD1" s="338"/>
      <c r="HKE1" s="338"/>
      <c r="HKF1" s="338"/>
      <c r="HKG1" s="338"/>
      <c r="HKH1" s="338"/>
      <c r="HKI1" s="338"/>
      <c r="HKJ1" s="338"/>
      <c r="HKK1" s="338"/>
      <c r="HKL1" s="338"/>
      <c r="HKM1" s="338"/>
      <c r="HKN1" s="338"/>
      <c r="HKO1" s="338"/>
      <c r="HKP1" s="338"/>
      <c r="HKQ1" s="338"/>
      <c r="HKR1" s="338"/>
      <c r="HKS1" s="338"/>
      <c r="HKT1" s="338"/>
      <c r="HKU1" s="338"/>
      <c r="HKV1" s="338"/>
      <c r="HKW1" s="338"/>
      <c r="HKX1" s="338"/>
      <c r="HKY1" s="338"/>
      <c r="HKZ1" s="338"/>
      <c r="HLA1" s="338"/>
      <c r="HLB1" s="338"/>
      <c r="HLC1" s="338"/>
      <c r="HLD1" s="338"/>
      <c r="HLE1" s="338"/>
      <c r="HLF1" s="338"/>
      <c r="HLG1" s="338"/>
      <c r="HLH1" s="338"/>
      <c r="HLI1" s="338"/>
      <c r="HLJ1" s="338"/>
      <c r="HLK1" s="338"/>
      <c r="HLL1" s="338"/>
      <c r="HLM1" s="338"/>
      <c r="HLN1" s="338"/>
      <c r="HLO1" s="338"/>
      <c r="HLP1" s="338"/>
      <c r="HLQ1" s="338"/>
      <c r="HLR1" s="338"/>
      <c r="HLS1" s="338"/>
      <c r="HLT1" s="338"/>
      <c r="HLU1" s="338"/>
      <c r="HLV1" s="338"/>
      <c r="HLW1" s="338"/>
      <c r="HLX1" s="338"/>
      <c r="HLY1" s="338"/>
      <c r="HLZ1" s="338"/>
      <c r="HMA1" s="338"/>
      <c r="HMB1" s="338"/>
      <c r="HMC1" s="338"/>
      <c r="HMD1" s="338"/>
      <c r="HME1" s="338"/>
      <c r="HMF1" s="338"/>
      <c r="HMG1" s="338"/>
      <c r="HMH1" s="338"/>
      <c r="HMI1" s="338"/>
      <c r="HMJ1" s="338"/>
      <c r="HMK1" s="338"/>
      <c r="HML1" s="338"/>
      <c r="HMM1" s="338"/>
      <c r="HMN1" s="338"/>
      <c r="HMO1" s="338"/>
      <c r="HMP1" s="338"/>
      <c r="HMQ1" s="338"/>
      <c r="HMR1" s="338"/>
      <c r="HMS1" s="338"/>
      <c r="HMT1" s="338"/>
      <c r="HMU1" s="338"/>
      <c r="HMV1" s="338"/>
      <c r="HMW1" s="338"/>
      <c r="HMX1" s="338"/>
      <c r="HMY1" s="338"/>
      <c r="HMZ1" s="338"/>
      <c r="HNA1" s="338"/>
      <c r="HNB1" s="338"/>
      <c r="HNC1" s="338"/>
      <c r="HND1" s="338"/>
      <c r="HNE1" s="338"/>
      <c r="HNF1" s="338"/>
      <c r="HNG1" s="338"/>
      <c r="HNH1" s="338"/>
      <c r="HNI1" s="338"/>
      <c r="HNJ1" s="338"/>
      <c r="HNK1" s="338"/>
      <c r="HNL1" s="338"/>
      <c r="HNM1" s="338"/>
      <c r="HNN1" s="338"/>
      <c r="HNO1" s="338"/>
      <c r="HNP1" s="338"/>
      <c r="HNQ1" s="338"/>
      <c r="HNR1" s="338"/>
      <c r="HNS1" s="338"/>
      <c r="HNT1" s="338"/>
      <c r="HNU1" s="338"/>
      <c r="HNV1" s="338"/>
      <c r="HNW1" s="338"/>
      <c r="HNX1" s="338"/>
      <c r="HNY1" s="338"/>
      <c r="HNZ1" s="338"/>
      <c r="HOA1" s="338"/>
      <c r="HOB1" s="338"/>
      <c r="HOC1" s="338"/>
      <c r="HOD1" s="338"/>
      <c r="HOE1" s="338"/>
      <c r="HOF1" s="338"/>
      <c r="HOG1" s="338"/>
      <c r="HOH1" s="338"/>
      <c r="HOI1" s="338"/>
      <c r="HOJ1" s="338"/>
      <c r="HOK1" s="338"/>
      <c r="HOL1" s="338"/>
      <c r="HOM1" s="338"/>
      <c r="HON1" s="338"/>
      <c r="HOO1" s="338"/>
      <c r="HOP1" s="338"/>
      <c r="HOQ1" s="338"/>
      <c r="HOR1" s="338"/>
      <c r="HOS1" s="338"/>
      <c r="HOT1" s="338"/>
      <c r="HOU1" s="338"/>
      <c r="HOV1" s="338"/>
      <c r="HOW1" s="338"/>
      <c r="HOX1" s="338"/>
      <c r="HOY1" s="338"/>
      <c r="HOZ1" s="338"/>
      <c r="HPA1" s="338"/>
      <c r="HPB1" s="338"/>
      <c r="HPC1" s="338"/>
      <c r="HPD1" s="338"/>
      <c r="HPE1" s="338"/>
      <c r="HPF1" s="338"/>
      <c r="HPG1" s="338"/>
      <c r="HPH1" s="338"/>
      <c r="HPI1" s="338"/>
      <c r="HPJ1" s="338"/>
      <c r="HPK1" s="338"/>
      <c r="HPL1" s="338"/>
      <c r="HPM1" s="338"/>
      <c r="HPN1" s="338"/>
      <c r="HPO1" s="338"/>
      <c r="HPP1" s="338"/>
      <c r="HPQ1" s="338"/>
      <c r="HPR1" s="338"/>
      <c r="HPS1" s="338"/>
      <c r="HPT1" s="338"/>
      <c r="HPU1" s="338"/>
      <c r="HPV1" s="338"/>
      <c r="HPW1" s="338"/>
      <c r="HPX1" s="338"/>
      <c r="HPY1" s="338"/>
      <c r="HPZ1" s="338"/>
      <c r="HQA1" s="338"/>
      <c r="HQB1" s="338"/>
      <c r="HQC1" s="338"/>
      <c r="HQD1" s="338"/>
      <c r="HQE1" s="338"/>
      <c r="HQF1" s="338"/>
      <c r="HQG1" s="338"/>
      <c r="HQH1" s="338"/>
      <c r="HQI1" s="338"/>
      <c r="HQJ1" s="338"/>
      <c r="HQK1" s="338"/>
      <c r="HQL1" s="338"/>
      <c r="HQM1" s="338"/>
      <c r="HQN1" s="338"/>
      <c r="HQO1" s="338"/>
      <c r="HQP1" s="338"/>
      <c r="HQQ1" s="338"/>
      <c r="HQR1" s="338"/>
      <c r="HQS1" s="338"/>
      <c r="HQT1" s="338"/>
      <c r="HQU1" s="338"/>
      <c r="HQV1" s="338"/>
      <c r="HQW1" s="338"/>
      <c r="HQX1" s="338"/>
      <c r="HQY1" s="338"/>
      <c r="HQZ1" s="338"/>
      <c r="HRA1" s="338"/>
      <c r="HRB1" s="338"/>
      <c r="HRC1" s="338"/>
      <c r="HRD1" s="338"/>
      <c r="HRE1" s="338"/>
      <c r="HRF1" s="338"/>
      <c r="HRG1" s="338"/>
      <c r="HRH1" s="338"/>
      <c r="HRI1" s="338"/>
      <c r="HRJ1" s="338"/>
      <c r="HRK1" s="338"/>
      <c r="HRL1" s="338"/>
      <c r="HRM1" s="338"/>
      <c r="HRN1" s="338"/>
      <c r="HRO1" s="338"/>
      <c r="HRP1" s="338"/>
      <c r="HRQ1" s="338"/>
      <c r="HRR1" s="338"/>
      <c r="HRS1" s="338"/>
      <c r="HRT1" s="338"/>
      <c r="HRU1" s="338"/>
      <c r="HRV1" s="338"/>
      <c r="HRW1" s="338"/>
      <c r="HRX1" s="338"/>
      <c r="HRY1" s="338"/>
      <c r="HRZ1" s="338"/>
      <c r="HSA1" s="338"/>
      <c r="HSB1" s="338"/>
      <c r="HSC1" s="338"/>
      <c r="HSD1" s="338"/>
      <c r="HSE1" s="338"/>
      <c r="HSF1" s="338"/>
      <c r="HSG1" s="338"/>
      <c r="HSH1" s="338"/>
      <c r="HSI1" s="338"/>
      <c r="HSJ1" s="338"/>
      <c r="HSK1" s="338"/>
      <c r="HSL1" s="338"/>
      <c r="HSM1" s="338"/>
      <c r="HSN1" s="338"/>
      <c r="HSO1" s="338"/>
      <c r="HSP1" s="338"/>
      <c r="HSQ1" s="338"/>
      <c r="HSR1" s="338"/>
      <c r="HSS1" s="338"/>
      <c r="HST1" s="338"/>
      <c r="HSU1" s="338"/>
      <c r="HSV1" s="338"/>
      <c r="HSW1" s="338"/>
      <c r="HSX1" s="338"/>
      <c r="HSY1" s="338"/>
      <c r="HSZ1" s="338"/>
      <c r="HTA1" s="338"/>
      <c r="HTB1" s="338"/>
      <c r="HTC1" s="338"/>
      <c r="HTD1" s="338"/>
      <c r="HTE1" s="338"/>
      <c r="HTF1" s="338"/>
      <c r="HTG1" s="338"/>
      <c r="HTH1" s="338"/>
      <c r="HTI1" s="338"/>
      <c r="HTJ1" s="338"/>
      <c r="HTK1" s="338"/>
      <c r="HTL1" s="338"/>
      <c r="HTM1" s="338"/>
      <c r="HTN1" s="338"/>
      <c r="HTO1" s="338"/>
      <c r="HTP1" s="338"/>
      <c r="HTQ1" s="338"/>
      <c r="HTR1" s="338"/>
      <c r="HTS1" s="338"/>
      <c r="HTT1" s="338"/>
      <c r="HTU1" s="338"/>
      <c r="HTV1" s="338"/>
      <c r="HTW1" s="338"/>
      <c r="HTX1" s="338"/>
      <c r="HTY1" s="338"/>
      <c r="HTZ1" s="338"/>
      <c r="HUA1" s="338"/>
      <c r="HUB1" s="338"/>
      <c r="HUC1" s="338"/>
      <c r="HUD1" s="338"/>
      <c r="HUE1" s="338"/>
      <c r="HUF1" s="338"/>
      <c r="HUG1" s="338"/>
      <c r="HUH1" s="338"/>
      <c r="HUI1" s="338"/>
      <c r="HUJ1" s="338"/>
      <c r="HUK1" s="338"/>
      <c r="HUL1" s="338"/>
      <c r="HUM1" s="338"/>
      <c r="HUN1" s="338"/>
      <c r="HUO1" s="338"/>
      <c r="HUP1" s="338"/>
      <c r="HUQ1" s="338"/>
      <c r="HUR1" s="338"/>
      <c r="HUS1" s="338"/>
      <c r="HUT1" s="338"/>
      <c r="HUU1" s="338"/>
      <c r="HUV1" s="338"/>
      <c r="HUW1" s="338"/>
      <c r="HUX1" s="338"/>
      <c r="HUY1" s="338"/>
      <c r="HUZ1" s="338"/>
      <c r="HVA1" s="338"/>
      <c r="HVB1" s="338"/>
      <c r="HVC1" s="338"/>
      <c r="HVD1" s="338"/>
      <c r="HVE1" s="338"/>
      <c r="HVF1" s="338"/>
      <c r="HVG1" s="338"/>
      <c r="HVH1" s="338"/>
      <c r="HVI1" s="338"/>
      <c r="HVJ1" s="338"/>
      <c r="HVK1" s="338"/>
      <c r="HVL1" s="338"/>
      <c r="HVM1" s="338"/>
      <c r="HVN1" s="338"/>
      <c r="HVO1" s="338"/>
      <c r="HVP1" s="338"/>
      <c r="HVQ1" s="338"/>
      <c r="HVR1" s="338"/>
      <c r="HVS1" s="338"/>
      <c r="HVT1" s="338"/>
      <c r="HVU1" s="338"/>
      <c r="HVV1" s="338"/>
      <c r="HVW1" s="338"/>
      <c r="HVX1" s="338"/>
      <c r="HVY1" s="338"/>
      <c r="HVZ1" s="338"/>
      <c r="HWA1" s="338"/>
      <c r="HWB1" s="338"/>
      <c r="HWC1" s="338"/>
      <c r="HWD1" s="338"/>
      <c r="HWE1" s="338"/>
      <c r="HWF1" s="338"/>
      <c r="HWG1" s="338"/>
      <c r="HWH1" s="338"/>
      <c r="HWI1" s="338"/>
      <c r="HWJ1" s="338"/>
      <c r="HWK1" s="338"/>
      <c r="HWL1" s="338"/>
      <c r="HWM1" s="338"/>
      <c r="HWN1" s="338"/>
      <c r="HWO1" s="338"/>
      <c r="HWP1" s="338"/>
      <c r="HWQ1" s="338"/>
      <c r="HWR1" s="338"/>
      <c r="HWS1" s="338"/>
      <c r="HWT1" s="338"/>
      <c r="HWU1" s="338"/>
      <c r="HWV1" s="338"/>
      <c r="HWW1" s="338"/>
      <c r="HWX1" s="338"/>
      <c r="HWY1" s="338"/>
      <c r="HWZ1" s="338"/>
      <c r="HXA1" s="338"/>
      <c r="HXB1" s="338"/>
      <c r="HXC1" s="338"/>
      <c r="HXD1" s="338"/>
      <c r="HXE1" s="338"/>
      <c r="HXF1" s="338"/>
      <c r="HXG1" s="338"/>
      <c r="HXH1" s="338"/>
      <c r="HXI1" s="338"/>
      <c r="HXJ1" s="338"/>
      <c r="HXK1" s="338"/>
      <c r="HXL1" s="338"/>
      <c r="HXM1" s="338"/>
      <c r="HXN1" s="338"/>
      <c r="HXO1" s="338"/>
      <c r="HXP1" s="338"/>
      <c r="HXQ1" s="338"/>
      <c r="HXR1" s="338"/>
      <c r="HXS1" s="338"/>
      <c r="HXT1" s="338"/>
      <c r="HXU1" s="338"/>
      <c r="HXV1" s="338"/>
      <c r="HXW1" s="338"/>
      <c r="HXX1" s="338"/>
      <c r="HXY1" s="338"/>
      <c r="HXZ1" s="338"/>
      <c r="HYA1" s="338"/>
      <c r="HYB1" s="338"/>
      <c r="HYC1" s="338"/>
      <c r="HYD1" s="338"/>
      <c r="HYE1" s="338"/>
      <c r="HYF1" s="338"/>
      <c r="HYG1" s="338"/>
      <c r="HYH1" s="338"/>
      <c r="HYI1" s="338"/>
      <c r="HYJ1" s="338"/>
      <c r="HYK1" s="338"/>
      <c r="HYL1" s="338"/>
      <c r="HYM1" s="338"/>
      <c r="HYN1" s="338"/>
      <c r="HYO1" s="338"/>
      <c r="HYP1" s="338"/>
      <c r="HYQ1" s="338"/>
      <c r="HYR1" s="338"/>
      <c r="HYS1" s="338"/>
      <c r="HYT1" s="338"/>
      <c r="HYU1" s="338"/>
      <c r="HYV1" s="338"/>
      <c r="HYW1" s="338"/>
      <c r="HYX1" s="338"/>
      <c r="HYY1" s="338"/>
      <c r="HYZ1" s="338"/>
      <c r="HZA1" s="338"/>
      <c r="HZB1" s="338"/>
      <c r="HZC1" s="338"/>
      <c r="HZD1" s="338"/>
      <c r="HZE1" s="338"/>
      <c r="HZF1" s="338"/>
      <c r="HZG1" s="338"/>
      <c r="HZH1" s="338"/>
      <c r="HZI1" s="338"/>
      <c r="HZJ1" s="338"/>
      <c r="HZK1" s="338"/>
      <c r="HZL1" s="338"/>
      <c r="HZM1" s="338"/>
      <c r="HZN1" s="338"/>
      <c r="HZO1" s="338"/>
      <c r="HZP1" s="338"/>
      <c r="HZQ1" s="338"/>
      <c r="HZR1" s="338"/>
      <c r="HZS1" s="338"/>
      <c r="HZT1" s="338"/>
      <c r="HZU1" s="338"/>
      <c r="HZV1" s="338"/>
      <c r="HZW1" s="338"/>
      <c r="HZX1" s="338"/>
      <c r="HZY1" s="338"/>
      <c r="HZZ1" s="338"/>
      <c r="IAA1" s="338"/>
      <c r="IAB1" s="338"/>
      <c r="IAC1" s="338"/>
      <c r="IAD1" s="338"/>
      <c r="IAE1" s="338"/>
      <c r="IAF1" s="338"/>
      <c r="IAG1" s="338"/>
      <c r="IAH1" s="338"/>
      <c r="IAI1" s="338"/>
      <c r="IAJ1" s="338"/>
      <c r="IAK1" s="338"/>
      <c r="IAL1" s="338"/>
      <c r="IAM1" s="338"/>
      <c r="IAN1" s="338"/>
      <c r="IAO1" s="338"/>
      <c r="IAP1" s="338"/>
      <c r="IAQ1" s="338"/>
      <c r="IAR1" s="338"/>
      <c r="IAS1" s="338"/>
      <c r="IAT1" s="338"/>
      <c r="IAU1" s="338"/>
      <c r="IAV1" s="338"/>
      <c r="IAW1" s="338"/>
      <c r="IAX1" s="338"/>
      <c r="IAY1" s="338"/>
      <c r="IAZ1" s="338"/>
      <c r="IBA1" s="338"/>
      <c r="IBB1" s="338"/>
      <c r="IBC1" s="338"/>
      <c r="IBD1" s="338"/>
      <c r="IBE1" s="338"/>
      <c r="IBF1" s="338"/>
      <c r="IBG1" s="338"/>
      <c r="IBH1" s="338"/>
      <c r="IBI1" s="338"/>
      <c r="IBJ1" s="338"/>
      <c r="IBK1" s="338"/>
      <c r="IBL1" s="338"/>
      <c r="IBM1" s="338"/>
      <c r="IBN1" s="338"/>
      <c r="IBO1" s="338"/>
      <c r="IBP1" s="338"/>
      <c r="IBQ1" s="338"/>
      <c r="IBR1" s="338"/>
      <c r="IBS1" s="338"/>
      <c r="IBT1" s="338"/>
      <c r="IBU1" s="338"/>
      <c r="IBV1" s="338"/>
      <c r="IBW1" s="338"/>
      <c r="IBX1" s="338"/>
      <c r="IBY1" s="338"/>
      <c r="IBZ1" s="338"/>
      <c r="ICA1" s="338"/>
      <c r="ICB1" s="338"/>
      <c r="ICC1" s="338"/>
      <c r="ICD1" s="338"/>
      <c r="ICE1" s="338"/>
      <c r="ICF1" s="338"/>
      <c r="ICG1" s="338"/>
      <c r="ICH1" s="338"/>
      <c r="ICI1" s="338"/>
      <c r="ICJ1" s="338"/>
      <c r="ICK1" s="338"/>
      <c r="ICL1" s="338"/>
      <c r="ICM1" s="338"/>
      <c r="ICN1" s="338"/>
      <c r="ICO1" s="338"/>
      <c r="ICP1" s="338"/>
      <c r="ICQ1" s="338"/>
      <c r="ICR1" s="338"/>
      <c r="ICS1" s="338"/>
      <c r="ICT1" s="338"/>
      <c r="ICU1" s="338"/>
      <c r="ICV1" s="338"/>
      <c r="ICW1" s="338"/>
      <c r="ICX1" s="338"/>
      <c r="ICY1" s="338"/>
      <c r="ICZ1" s="338"/>
      <c r="IDA1" s="338"/>
      <c r="IDB1" s="338"/>
      <c r="IDC1" s="338"/>
      <c r="IDD1" s="338"/>
      <c r="IDE1" s="338"/>
      <c r="IDF1" s="338"/>
      <c r="IDG1" s="338"/>
      <c r="IDH1" s="338"/>
      <c r="IDI1" s="338"/>
      <c r="IDJ1" s="338"/>
      <c r="IDK1" s="338"/>
      <c r="IDL1" s="338"/>
      <c r="IDM1" s="338"/>
      <c r="IDN1" s="338"/>
      <c r="IDO1" s="338"/>
      <c r="IDP1" s="338"/>
      <c r="IDQ1" s="338"/>
      <c r="IDR1" s="338"/>
      <c r="IDS1" s="338"/>
      <c r="IDT1" s="338"/>
      <c r="IDU1" s="338"/>
      <c r="IDV1" s="338"/>
      <c r="IDW1" s="338"/>
      <c r="IDX1" s="338"/>
      <c r="IDY1" s="338"/>
      <c r="IDZ1" s="338"/>
      <c r="IEA1" s="338"/>
      <c r="IEB1" s="338"/>
      <c r="IEC1" s="338"/>
      <c r="IED1" s="338"/>
      <c r="IEE1" s="338"/>
      <c r="IEF1" s="338"/>
      <c r="IEG1" s="338"/>
      <c r="IEH1" s="338"/>
      <c r="IEI1" s="338"/>
      <c r="IEJ1" s="338"/>
      <c r="IEK1" s="338"/>
      <c r="IEL1" s="338"/>
      <c r="IEM1" s="338"/>
      <c r="IEN1" s="338"/>
      <c r="IEO1" s="338"/>
      <c r="IEP1" s="338"/>
      <c r="IEQ1" s="338"/>
      <c r="IER1" s="338"/>
      <c r="IES1" s="338"/>
      <c r="IET1" s="338"/>
      <c r="IEU1" s="338"/>
      <c r="IEV1" s="338"/>
      <c r="IEW1" s="338"/>
      <c r="IEX1" s="338"/>
      <c r="IEY1" s="338"/>
      <c r="IEZ1" s="338"/>
      <c r="IFA1" s="338"/>
      <c r="IFB1" s="338"/>
      <c r="IFC1" s="338"/>
      <c r="IFD1" s="338"/>
      <c r="IFE1" s="338"/>
      <c r="IFF1" s="338"/>
      <c r="IFG1" s="338"/>
      <c r="IFH1" s="338"/>
      <c r="IFI1" s="338"/>
      <c r="IFJ1" s="338"/>
      <c r="IFK1" s="338"/>
      <c r="IFL1" s="338"/>
      <c r="IFM1" s="338"/>
      <c r="IFN1" s="338"/>
      <c r="IFO1" s="338"/>
      <c r="IFP1" s="338"/>
      <c r="IFQ1" s="338"/>
      <c r="IFR1" s="338"/>
      <c r="IFS1" s="338"/>
      <c r="IFT1" s="338"/>
      <c r="IFU1" s="338"/>
      <c r="IFV1" s="338"/>
      <c r="IFW1" s="338"/>
      <c r="IFX1" s="338"/>
      <c r="IFY1" s="338"/>
      <c r="IFZ1" s="338"/>
      <c r="IGA1" s="338"/>
      <c r="IGB1" s="338"/>
      <c r="IGC1" s="338"/>
      <c r="IGD1" s="338"/>
      <c r="IGE1" s="338"/>
      <c r="IGF1" s="338"/>
      <c r="IGG1" s="338"/>
      <c r="IGH1" s="338"/>
      <c r="IGI1" s="338"/>
      <c r="IGJ1" s="338"/>
      <c r="IGK1" s="338"/>
      <c r="IGL1" s="338"/>
      <c r="IGM1" s="338"/>
      <c r="IGN1" s="338"/>
      <c r="IGO1" s="338"/>
      <c r="IGP1" s="338"/>
      <c r="IGQ1" s="338"/>
      <c r="IGR1" s="338"/>
      <c r="IGS1" s="338"/>
      <c r="IGT1" s="338"/>
      <c r="IGU1" s="338"/>
      <c r="IGV1" s="338"/>
      <c r="IGW1" s="338"/>
      <c r="IGX1" s="338"/>
      <c r="IGY1" s="338"/>
      <c r="IGZ1" s="338"/>
      <c r="IHA1" s="338"/>
      <c r="IHB1" s="338"/>
      <c r="IHC1" s="338"/>
      <c r="IHD1" s="338"/>
      <c r="IHE1" s="338"/>
      <c r="IHF1" s="338"/>
      <c r="IHG1" s="338"/>
      <c r="IHH1" s="338"/>
      <c r="IHI1" s="338"/>
      <c r="IHJ1" s="338"/>
      <c r="IHK1" s="338"/>
      <c r="IHL1" s="338"/>
      <c r="IHM1" s="338"/>
      <c r="IHN1" s="338"/>
      <c r="IHO1" s="338"/>
      <c r="IHP1" s="338"/>
      <c r="IHQ1" s="338"/>
      <c r="IHR1" s="338"/>
      <c r="IHS1" s="338"/>
      <c r="IHT1" s="338"/>
      <c r="IHU1" s="338"/>
      <c r="IHV1" s="338"/>
      <c r="IHW1" s="338"/>
      <c r="IHX1" s="338"/>
      <c r="IHY1" s="338"/>
      <c r="IHZ1" s="338"/>
      <c r="IIA1" s="338"/>
      <c r="IIB1" s="338"/>
      <c r="IIC1" s="338"/>
      <c r="IID1" s="338"/>
      <c r="IIE1" s="338"/>
      <c r="IIF1" s="338"/>
      <c r="IIG1" s="338"/>
      <c r="IIH1" s="338"/>
      <c r="III1" s="338"/>
      <c r="IIJ1" s="338"/>
      <c r="IIK1" s="338"/>
      <c r="IIL1" s="338"/>
      <c r="IIM1" s="338"/>
      <c r="IIN1" s="338"/>
      <c r="IIO1" s="338"/>
      <c r="IIP1" s="338"/>
      <c r="IIQ1" s="338"/>
      <c r="IIR1" s="338"/>
      <c r="IIS1" s="338"/>
      <c r="IIT1" s="338"/>
      <c r="IIU1" s="338"/>
      <c r="IIV1" s="338"/>
      <c r="IIW1" s="338"/>
      <c r="IIX1" s="338"/>
      <c r="IIY1" s="338"/>
      <c r="IIZ1" s="338"/>
      <c r="IJA1" s="338"/>
      <c r="IJB1" s="338"/>
      <c r="IJC1" s="338"/>
      <c r="IJD1" s="338"/>
      <c r="IJE1" s="338"/>
      <c r="IJF1" s="338"/>
      <c r="IJG1" s="338"/>
      <c r="IJH1" s="338"/>
      <c r="IJI1" s="338"/>
      <c r="IJJ1" s="338"/>
      <c r="IJK1" s="338"/>
      <c r="IJL1" s="338"/>
      <c r="IJM1" s="338"/>
      <c r="IJN1" s="338"/>
      <c r="IJO1" s="338"/>
      <c r="IJP1" s="338"/>
      <c r="IJQ1" s="338"/>
      <c r="IJR1" s="338"/>
      <c r="IJS1" s="338"/>
      <c r="IJT1" s="338"/>
      <c r="IJU1" s="338"/>
      <c r="IJV1" s="338"/>
      <c r="IJW1" s="338"/>
      <c r="IJX1" s="338"/>
      <c r="IJY1" s="338"/>
      <c r="IJZ1" s="338"/>
      <c r="IKA1" s="338"/>
      <c r="IKB1" s="338"/>
      <c r="IKC1" s="338"/>
      <c r="IKD1" s="338"/>
      <c r="IKE1" s="338"/>
      <c r="IKF1" s="338"/>
      <c r="IKG1" s="338"/>
      <c r="IKH1" s="338"/>
      <c r="IKI1" s="338"/>
      <c r="IKJ1" s="338"/>
      <c r="IKK1" s="338"/>
      <c r="IKL1" s="338"/>
      <c r="IKM1" s="338"/>
      <c r="IKN1" s="338"/>
      <c r="IKO1" s="338"/>
      <c r="IKP1" s="338"/>
      <c r="IKQ1" s="338"/>
      <c r="IKR1" s="338"/>
      <c r="IKS1" s="338"/>
      <c r="IKT1" s="338"/>
      <c r="IKU1" s="338"/>
      <c r="IKV1" s="338"/>
      <c r="IKW1" s="338"/>
      <c r="IKX1" s="338"/>
      <c r="IKY1" s="338"/>
      <c r="IKZ1" s="338"/>
      <c r="ILA1" s="338"/>
      <c r="ILB1" s="338"/>
      <c r="ILC1" s="338"/>
      <c r="ILD1" s="338"/>
      <c r="ILE1" s="338"/>
      <c r="ILF1" s="338"/>
      <c r="ILG1" s="338"/>
      <c r="ILH1" s="338"/>
      <c r="ILI1" s="338"/>
      <c r="ILJ1" s="338"/>
      <c r="ILK1" s="338"/>
      <c r="ILL1" s="338"/>
      <c r="ILM1" s="338"/>
      <c r="ILN1" s="338"/>
      <c r="ILO1" s="338"/>
      <c r="ILP1" s="338"/>
      <c r="ILQ1" s="338"/>
      <c r="ILR1" s="338"/>
      <c r="ILS1" s="338"/>
      <c r="ILT1" s="338"/>
      <c r="ILU1" s="338"/>
      <c r="ILV1" s="338"/>
      <c r="ILW1" s="338"/>
      <c r="ILX1" s="338"/>
      <c r="ILY1" s="338"/>
      <c r="ILZ1" s="338"/>
      <c r="IMA1" s="338"/>
      <c r="IMB1" s="338"/>
      <c r="IMC1" s="338"/>
      <c r="IMD1" s="338"/>
      <c r="IME1" s="338"/>
      <c r="IMF1" s="338"/>
      <c r="IMG1" s="338"/>
      <c r="IMH1" s="338"/>
      <c r="IMI1" s="338"/>
      <c r="IMJ1" s="338"/>
      <c r="IMK1" s="338"/>
      <c r="IML1" s="338"/>
      <c r="IMM1" s="338"/>
      <c r="IMN1" s="338"/>
      <c r="IMO1" s="338"/>
      <c r="IMP1" s="338"/>
      <c r="IMQ1" s="338"/>
      <c r="IMR1" s="338"/>
      <c r="IMS1" s="338"/>
      <c r="IMT1" s="338"/>
      <c r="IMU1" s="338"/>
      <c r="IMV1" s="338"/>
      <c r="IMW1" s="338"/>
      <c r="IMX1" s="338"/>
      <c r="IMY1" s="338"/>
      <c r="IMZ1" s="338"/>
      <c r="INA1" s="338"/>
      <c r="INB1" s="338"/>
      <c r="INC1" s="338"/>
      <c r="IND1" s="338"/>
      <c r="INE1" s="338"/>
      <c r="INF1" s="338"/>
      <c r="ING1" s="338"/>
      <c r="INH1" s="338"/>
      <c r="INI1" s="338"/>
      <c r="INJ1" s="338"/>
      <c r="INK1" s="338"/>
      <c r="INL1" s="338"/>
      <c r="INM1" s="338"/>
      <c r="INN1" s="338"/>
      <c r="INO1" s="338"/>
      <c r="INP1" s="338"/>
      <c r="INQ1" s="338"/>
      <c r="INR1" s="338"/>
      <c r="INS1" s="338"/>
      <c r="INT1" s="338"/>
      <c r="INU1" s="338"/>
      <c r="INV1" s="338"/>
      <c r="INW1" s="338"/>
      <c r="INX1" s="338"/>
      <c r="INY1" s="338"/>
      <c r="INZ1" s="338"/>
      <c r="IOA1" s="338"/>
      <c r="IOB1" s="338"/>
      <c r="IOC1" s="338"/>
      <c r="IOD1" s="338"/>
      <c r="IOE1" s="338"/>
      <c r="IOF1" s="338"/>
      <c r="IOG1" s="338"/>
      <c r="IOH1" s="338"/>
      <c r="IOI1" s="338"/>
      <c r="IOJ1" s="338"/>
      <c r="IOK1" s="338"/>
      <c r="IOL1" s="338"/>
      <c r="IOM1" s="338"/>
      <c r="ION1" s="338"/>
      <c r="IOO1" s="338"/>
      <c r="IOP1" s="338"/>
      <c r="IOQ1" s="338"/>
      <c r="IOR1" s="338"/>
      <c r="IOS1" s="338"/>
      <c r="IOT1" s="338"/>
      <c r="IOU1" s="338"/>
      <c r="IOV1" s="338"/>
      <c r="IOW1" s="338"/>
      <c r="IOX1" s="338"/>
      <c r="IOY1" s="338"/>
      <c r="IOZ1" s="338"/>
      <c r="IPA1" s="338"/>
      <c r="IPB1" s="338"/>
      <c r="IPC1" s="338"/>
      <c r="IPD1" s="338"/>
      <c r="IPE1" s="338"/>
      <c r="IPF1" s="338"/>
      <c r="IPG1" s="338"/>
      <c r="IPH1" s="338"/>
      <c r="IPI1" s="338"/>
      <c r="IPJ1" s="338"/>
      <c r="IPK1" s="338"/>
      <c r="IPL1" s="338"/>
      <c r="IPM1" s="338"/>
      <c r="IPN1" s="338"/>
      <c r="IPO1" s="338"/>
      <c r="IPP1" s="338"/>
      <c r="IPQ1" s="338"/>
      <c r="IPR1" s="338"/>
      <c r="IPS1" s="338"/>
      <c r="IPT1" s="338"/>
      <c r="IPU1" s="338"/>
      <c r="IPV1" s="338"/>
      <c r="IPW1" s="338"/>
      <c r="IPX1" s="338"/>
      <c r="IPY1" s="338"/>
      <c r="IPZ1" s="338"/>
      <c r="IQA1" s="338"/>
      <c r="IQB1" s="338"/>
      <c r="IQC1" s="338"/>
      <c r="IQD1" s="338"/>
      <c r="IQE1" s="338"/>
      <c r="IQF1" s="338"/>
      <c r="IQG1" s="338"/>
      <c r="IQH1" s="338"/>
      <c r="IQI1" s="338"/>
      <c r="IQJ1" s="338"/>
      <c r="IQK1" s="338"/>
      <c r="IQL1" s="338"/>
      <c r="IQM1" s="338"/>
      <c r="IQN1" s="338"/>
      <c r="IQO1" s="338"/>
      <c r="IQP1" s="338"/>
      <c r="IQQ1" s="338"/>
      <c r="IQR1" s="338"/>
      <c r="IQS1" s="338"/>
      <c r="IQT1" s="338"/>
      <c r="IQU1" s="338"/>
      <c r="IQV1" s="338"/>
      <c r="IQW1" s="338"/>
      <c r="IQX1" s="338"/>
      <c r="IQY1" s="338"/>
      <c r="IQZ1" s="338"/>
      <c r="IRA1" s="338"/>
      <c r="IRB1" s="338"/>
      <c r="IRC1" s="338"/>
      <c r="IRD1" s="338"/>
      <c r="IRE1" s="338"/>
      <c r="IRF1" s="338"/>
      <c r="IRG1" s="338"/>
      <c r="IRH1" s="338"/>
      <c r="IRI1" s="338"/>
      <c r="IRJ1" s="338"/>
      <c r="IRK1" s="338"/>
      <c r="IRL1" s="338"/>
      <c r="IRM1" s="338"/>
      <c r="IRN1" s="338"/>
      <c r="IRO1" s="338"/>
      <c r="IRP1" s="338"/>
      <c r="IRQ1" s="338"/>
      <c r="IRR1" s="338"/>
      <c r="IRS1" s="338"/>
      <c r="IRT1" s="338"/>
      <c r="IRU1" s="338"/>
      <c r="IRV1" s="338"/>
      <c r="IRW1" s="338"/>
      <c r="IRX1" s="338"/>
      <c r="IRY1" s="338"/>
      <c r="IRZ1" s="338"/>
      <c r="ISA1" s="338"/>
      <c r="ISB1" s="338"/>
      <c r="ISC1" s="338"/>
      <c r="ISD1" s="338"/>
      <c r="ISE1" s="338"/>
      <c r="ISF1" s="338"/>
      <c r="ISG1" s="338"/>
      <c r="ISH1" s="338"/>
      <c r="ISI1" s="338"/>
      <c r="ISJ1" s="338"/>
      <c r="ISK1" s="338"/>
      <c r="ISL1" s="338"/>
      <c r="ISM1" s="338"/>
      <c r="ISN1" s="338"/>
      <c r="ISO1" s="338"/>
      <c r="ISP1" s="338"/>
      <c r="ISQ1" s="338"/>
      <c r="ISR1" s="338"/>
      <c r="ISS1" s="338"/>
      <c r="IST1" s="338"/>
      <c r="ISU1" s="338"/>
      <c r="ISV1" s="338"/>
      <c r="ISW1" s="338"/>
      <c r="ISX1" s="338"/>
      <c r="ISY1" s="338"/>
      <c r="ISZ1" s="338"/>
      <c r="ITA1" s="338"/>
      <c r="ITB1" s="338"/>
      <c r="ITC1" s="338"/>
      <c r="ITD1" s="338"/>
      <c r="ITE1" s="338"/>
      <c r="ITF1" s="338"/>
      <c r="ITG1" s="338"/>
      <c r="ITH1" s="338"/>
      <c r="ITI1" s="338"/>
      <c r="ITJ1" s="338"/>
      <c r="ITK1" s="338"/>
      <c r="ITL1" s="338"/>
      <c r="ITM1" s="338"/>
      <c r="ITN1" s="338"/>
      <c r="ITO1" s="338"/>
      <c r="ITP1" s="338"/>
      <c r="ITQ1" s="338"/>
      <c r="ITR1" s="338"/>
      <c r="ITS1" s="338"/>
      <c r="ITT1" s="338"/>
      <c r="ITU1" s="338"/>
      <c r="ITV1" s="338"/>
      <c r="ITW1" s="338"/>
      <c r="ITX1" s="338"/>
      <c r="ITY1" s="338"/>
      <c r="ITZ1" s="338"/>
      <c r="IUA1" s="338"/>
      <c r="IUB1" s="338"/>
      <c r="IUC1" s="338"/>
      <c r="IUD1" s="338"/>
      <c r="IUE1" s="338"/>
      <c r="IUF1" s="338"/>
      <c r="IUG1" s="338"/>
      <c r="IUH1" s="338"/>
      <c r="IUI1" s="338"/>
      <c r="IUJ1" s="338"/>
      <c r="IUK1" s="338"/>
      <c r="IUL1" s="338"/>
      <c r="IUM1" s="338"/>
      <c r="IUN1" s="338"/>
      <c r="IUO1" s="338"/>
      <c r="IUP1" s="338"/>
      <c r="IUQ1" s="338"/>
      <c r="IUR1" s="338"/>
      <c r="IUS1" s="338"/>
      <c r="IUT1" s="338"/>
      <c r="IUU1" s="338"/>
      <c r="IUV1" s="338"/>
      <c r="IUW1" s="338"/>
      <c r="IUX1" s="338"/>
      <c r="IUY1" s="338"/>
      <c r="IUZ1" s="338"/>
      <c r="IVA1" s="338"/>
      <c r="IVB1" s="338"/>
      <c r="IVC1" s="338"/>
      <c r="IVD1" s="338"/>
      <c r="IVE1" s="338"/>
      <c r="IVF1" s="338"/>
      <c r="IVG1" s="338"/>
      <c r="IVH1" s="338"/>
      <c r="IVI1" s="338"/>
      <c r="IVJ1" s="338"/>
      <c r="IVK1" s="338"/>
      <c r="IVL1" s="338"/>
      <c r="IVM1" s="338"/>
      <c r="IVN1" s="338"/>
      <c r="IVO1" s="338"/>
      <c r="IVP1" s="338"/>
      <c r="IVQ1" s="338"/>
      <c r="IVR1" s="338"/>
      <c r="IVS1" s="338"/>
      <c r="IVT1" s="338"/>
      <c r="IVU1" s="338"/>
      <c r="IVV1" s="338"/>
      <c r="IVW1" s="338"/>
      <c r="IVX1" s="338"/>
      <c r="IVY1" s="338"/>
      <c r="IVZ1" s="338"/>
      <c r="IWA1" s="338"/>
      <c r="IWB1" s="338"/>
      <c r="IWC1" s="338"/>
      <c r="IWD1" s="338"/>
      <c r="IWE1" s="338"/>
      <c r="IWF1" s="338"/>
      <c r="IWG1" s="338"/>
      <c r="IWH1" s="338"/>
      <c r="IWI1" s="338"/>
      <c r="IWJ1" s="338"/>
      <c r="IWK1" s="338"/>
      <c r="IWL1" s="338"/>
      <c r="IWM1" s="338"/>
      <c r="IWN1" s="338"/>
      <c r="IWO1" s="338"/>
      <c r="IWP1" s="338"/>
      <c r="IWQ1" s="338"/>
      <c r="IWR1" s="338"/>
      <c r="IWS1" s="338"/>
      <c r="IWT1" s="338"/>
      <c r="IWU1" s="338"/>
      <c r="IWV1" s="338"/>
      <c r="IWW1" s="338"/>
      <c r="IWX1" s="338"/>
      <c r="IWY1" s="338"/>
      <c r="IWZ1" s="338"/>
      <c r="IXA1" s="338"/>
      <c r="IXB1" s="338"/>
      <c r="IXC1" s="338"/>
      <c r="IXD1" s="338"/>
      <c r="IXE1" s="338"/>
      <c r="IXF1" s="338"/>
      <c r="IXG1" s="338"/>
      <c r="IXH1" s="338"/>
      <c r="IXI1" s="338"/>
      <c r="IXJ1" s="338"/>
      <c r="IXK1" s="338"/>
      <c r="IXL1" s="338"/>
      <c r="IXM1" s="338"/>
      <c r="IXN1" s="338"/>
      <c r="IXO1" s="338"/>
      <c r="IXP1" s="338"/>
      <c r="IXQ1" s="338"/>
      <c r="IXR1" s="338"/>
      <c r="IXS1" s="338"/>
      <c r="IXT1" s="338"/>
      <c r="IXU1" s="338"/>
      <c r="IXV1" s="338"/>
      <c r="IXW1" s="338"/>
      <c r="IXX1" s="338"/>
      <c r="IXY1" s="338"/>
      <c r="IXZ1" s="338"/>
      <c r="IYA1" s="338"/>
      <c r="IYB1" s="338"/>
      <c r="IYC1" s="338"/>
      <c r="IYD1" s="338"/>
      <c r="IYE1" s="338"/>
      <c r="IYF1" s="338"/>
      <c r="IYG1" s="338"/>
      <c r="IYH1" s="338"/>
      <c r="IYI1" s="338"/>
      <c r="IYJ1" s="338"/>
      <c r="IYK1" s="338"/>
      <c r="IYL1" s="338"/>
      <c r="IYM1" s="338"/>
      <c r="IYN1" s="338"/>
      <c r="IYO1" s="338"/>
      <c r="IYP1" s="338"/>
      <c r="IYQ1" s="338"/>
      <c r="IYR1" s="338"/>
      <c r="IYS1" s="338"/>
      <c r="IYT1" s="338"/>
      <c r="IYU1" s="338"/>
      <c r="IYV1" s="338"/>
      <c r="IYW1" s="338"/>
      <c r="IYX1" s="338"/>
      <c r="IYY1" s="338"/>
      <c r="IYZ1" s="338"/>
      <c r="IZA1" s="338"/>
      <c r="IZB1" s="338"/>
      <c r="IZC1" s="338"/>
      <c r="IZD1" s="338"/>
      <c r="IZE1" s="338"/>
      <c r="IZF1" s="338"/>
      <c r="IZG1" s="338"/>
      <c r="IZH1" s="338"/>
      <c r="IZI1" s="338"/>
      <c r="IZJ1" s="338"/>
      <c r="IZK1" s="338"/>
      <c r="IZL1" s="338"/>
      <c r="IZM1" s="338"/>
      <c r="IZN1" s="338"/>
      <c r="IZO1" s="338"/>
      <c r="IZP1" s="338"/>
      <c r="IZQ1" s="338"/>
      <c r="IZR1" s="338"/>
      <c r="IZS1" s="338"/>
      <c r="IZT1" s="338"/>
      <c r="IZU1" s="338"/>
      <c r="IZV1" s="338"/>
      <c r="IZW1" s="338"/>
      <c r="IZX1" s="338"/>
      <c r="IZY1" s="338"/>
      <c r="IZZ1" s="338"/>
      <c r="JAA1" s="338"/>
      <c r="JAB1" s="338"/>
      <c r="JAC1" s="338"/>
      <c r="JAD1" s="338"/>
      <c r="JAE1" s="338"/>
      <c r="JAF1" s="338"/>
      <c r="JAG1" s="338"/>
      <c r="JAH1" s="338"/>
      <c r="JAI1" s="338"/>
      <c r="JAJ1" s="338"/>
      <c r="JAK1" s="338"/>
      <c r="JAL1" s="338"/>
      <c r="JAM1" s="338"/>
      <c r="JAN1" s="338"/>
      <c r="JAO1" s="338"/>
      <c r="JAP1" s="338"/>
      <c r="JAQ1" s="338"/>
      <c r="JAR1" s="338"/>
      <c r="JAS1" s="338"/>
      <c r="JAT1" s="338"/>
      <c r="JAU1" s="338"/>
      <c r="JAV1" s="338"/>
      <c r="JAW1" s="338"/>
      <c r="JAX1" s="338"/>
      <c r="JAY1" s="338"/>
      <c r="JAZ1" s="338"/>
      <c r="JBA1" s="338"/>
      <c r="JBB1" s="338"/>
      <c r="JBC1" s="338"/>
      <c r="JBD1" s="338"/>
      <c r="JBE1" s="338"/>
      <c r="JBF1" s="338"/>
      <c r="JBG1" s="338"/>
      <c r="JBH1" s="338"/>
      <c r="JBI1" s="338"/>
      <c r="JBJ1" s="338"/>
      <c r="JBK1" s="338"/>
      <c r="JBL1" s="338"/>
      <c r="JBM1" s="338"/>
      <c r="JBN1" s="338"/>
      <c r="JBO1" s="338"/>
      <c r="JBP1" s="338"/>
      <c r="JBQ1" s="338"/>
      <c r="JBR1" s="338"/>
      <c r="JBS1" s="338"/>
      <c r="JBT1" s="338"/>
      <c r="JBU1" s="338"/>
      <c r="JBV1" s="338"/>
      <c r="JBW1" s="338"/>
      <c r="JBX1" s="338"/>
      <c r="JBY1" s="338"/>
      <c r="JBZ1" s="338"/>
      <c r="JCA1" s="338"/>
      <c r="JCB1" s="338"/>
      <c r="JCC1" s="338"/>
      <c r="JCD1" s="338"/>
      <c r="JCE1" s="338"/>
      <c r="JCF1" s="338"/>
      <c r="JCG1" s="338"/>
      <c r="JCH1" s="338"/>
      <c r="JCI1" s="338"/>
      <c r="JCJ1" s="338"/>
      <c r="JCK1" s="338"/>
      <c r="JCL1" s="338"/>
      <c r="JCM1" s="338"/>
      <c r="JCN1" s="338"/>
      <c r="JCO1" s="338"/>
      <c r="JCP1" s="338"/>
      <c r="JCQ1" s="338"/>
      <c r="JCR1" s="338"/>
      <c r="JCS1" s="338"/>
      <c r="JCT1" s="338"/>
      <c r="JCU1" s="338"/>
      <c r="JCV1" s="338"/>
      <c r="JCW1" s="338"/>
      <c r="JCX1" s="338"/>
      <c r="JCY1" s="338"/>
      <c r="JCZ1" s="338"/>
      <c r="JDA1" s="338"/>
      <c r="JDB1" s="338"/>
      <c r="JDC1" s="338"/>
      <c r="JDD1" s="338"/>
      <c r="JDE1" s="338"/>
      <c r="JDF1" s="338"/>
      <c r="JDG1" s="338"/>
      <c r="JDH1" s="338"/>
      <c r="JDI1" s="338"/>
      <c r="JDJ1" s="338"/>
      <c r="JDK1" s="338"/>
      <c r="JDL1" s="338"/>
      <c r="JDM1" s="338"/>
      <c r="JDN1" s="338"/>
      <c r="JDO1" s="338"/>
      <c r="JDP1" s="338"/>
      <c r="JDQ1" s="338"/>
      <c r="JDR1" s="338"/>
      <c r="JDS1" s="338"/>
      <c r="JDT1" s="338"/>
      <c r="JDU1" s="338"/>
      <c r="JDV1" s="338"/>
      <c r="JDW1" s="338"/>
      <c r="JDX1" s="338"/>
      <c r="JDY1" s="338"/>
      <c r="JDZ1" s="338"/>
      <c r="JEA1" s="338"/>
      <c r="JEB1" s="338"/>
      <c r="JEC1" s="338"/>
      <c r="JED1" s="338"/>
      <c r="JEE1" s="338"/>
      <c r="JEF1" s="338"/>
      <c r="JEG1" s="338"/>
      <c r="JEH1" s="338"/>
      <c r="JEI1" s="338"/>
      <c r="JEJ1" s="338"/>
      <c r="JEK1" s="338"/>
      <c r="JEL1" s="338"/>
      <c r="JEM1" s="338"/>
      <c r="JEN1" s="338"/>
      <c r="JEO1" s="338"/>
      <c r="JEP1" s="338"/>
      <c r="JEQ1" s="338"/>
      <c r="JER1" s="338"/>
      <c r="JES1" s="338"/>
      <c r="JET1" s="338"/>
      <c r="JEU1" s="338"/>
      <c r="JEV1" s="338"/>
      <c r="JEW1" s="338"/>
      <c r="JEX1" s="338"/>
      <c r="JEY1" s="338"/>
      <c r="JEZ1" s="338"/>
      <c r="JFA1" s="338"/>
      <c r="JFB1" s="338"/>
      <c r="JFC1" s="338"/>
      <c r="JFD1" s="338"/>
      <c r="JFE1" s="338"/>
      <c r="JFF1" s="338"/>
      <c r="JFG1" s="338"/>
      <c r="JFH1" s="338"/>
      <c r="JFI1" s="338"/>
      <c r="JFJ1" s="338"/>
      <c r="JFK1" s="338"/>
      <c r="JFL1" s="338"/>
      <c r="JFM1" s="338"/>
      <c r="JFN1" s="338"/>
      <c r="JFO1" s="338"/>
      <c r="JFP1" s="338"/>
      <c r="JFQ1" s="338"/>
      <c r="JFR1" s="338"/>
      <c r="JFS1" s="338"/>
      <c r="JFT1" s="338"/>
      <c r="JFU1" s="338"/>
      <c r="JFV1" s="338"/>
      <c r="JFW1" s="338"/>
      <c r="JFX1" s="338"/>
      <c r="JFY1" s="338"/>
      <c r="JFZ1" s="338"/>
      <c r="JGA1" s="338"/>
      <c r="JGB1" s="338"/>
      <c r="JGC1" s="338"/>
      <c r="JGD1" s="338"/>
      <c r="JGE1" s="338"/>
      <c r="JGF1" s="338"/>
      <c r="JGG1" s="338"/>
      <c r="JGH1" s="338"/>
      <c r="JGI1" s="338"/>
      <c r="JGJ1" s="338"/>
      <c r="JGK1" s="338"/>
      <c r="JGL1" s="338"/>
      <c r="JGM1" s="338"/>
      <c r="JGN1" s="338"/>
      <c r="JGO1" s="338"/>
      <c r="JGP1" s="338"/>
      <c r="JGQ1" s="338"/>
      <c r="JGR1" s="338"/>
      <c r="JGS1" s="338"/>
      <c r="JGT1" s="338"/>
      <c r="JGU1" s="338"/>
      <c r="JGV1" s="338"/>
      <c r="JGW1" s="338"/>
      <c r="JGX1" s="338"/>
      <c r="JGY1" s="338"/>
      <c r="JGZ1" s="338"/>
      <c r="JHA1" s="338"/>
      <c r="JHB1" s="338"/>
      <c r="JHC1" s="338"/>
      <c r="JHD1" s="338"/>
      <c r="JHE1" s="338"/>
      <c r="JHF1" s="338"/>
      <c r="JHG1" s="338"/>
      <c r="JHH1" s="338"/>
      <c r="JHI1" s="338"/>
      <c r="JHJ1" s="338"/>
      <c r="JHK1" s="338"/>
      <c r="JHL1" s="338"/>
      <c r="JHM1" s="338"/>
      <c r="JHN1" s="338"/>
      <c r="JHO1" s="338"/>
      <c r="JHP1" s="338"/>
      <c r="JHQ1" s="338"/>
      <c r="JHR1" s="338"/>
      <c r="JHS1" s="338"/>
      <c r="JHT1" s="338"/>
      <c r="JHU1" s="338"/>
      <c r="JHV1" s="338"/>
      <c r="JHW1" s="338"/>
      <c r="JHX1" s="338"/>
      <c r="JHY1" s="338"/>
      <c r="JHZ1" s="338"/>
      <c r="JIA1" s="338"/>
      <c r="JIB1" s="338"/>
      <c r="JIC1" s="338"/>
      <c r="JID1" s="338"/>
      <c r="JIE1" s="338"/>
      <c r="JIF1" s="338"/>
      <c r="JIG1" s="338"/>
      <c r="JIH1" s="338"/>
      <c r="JII1" s="338"/>
      <c r="JIJ1" s="338"/>
      <c r="JIK1" s="338"/>
      <c r="JIL1" s="338"/>
      <c r="JIM1" s="338"/>
      <c r="JIN1" s="338"/>
      <c r="JIO1" s="338"/>
      <c r="JIP1" s="338"/>
      <c r="JIQ1" s="338"/>
      <c r="JIR1" s="338"/>
      <c r="JIS1" s="338"/>
      <c r="JIT1" s="338"/>
      <c r="JIU1" s="338"/>
      <c r="JIV1" s="338"/>
      <c r="JIW1" s="338"/>
      <c r="JIX1" s="338"/>
      <c r="JIY1" s="338"/>
      <c r="JIZ1" s="338"/>
      <c r="JJA1" s="338"/>
      <c r="JJB1" s="338"/>
      <c r="JJC1" s="338"/>
      <c r="JJD1" s="338"/>
      <c r="JJE1" s="338"/>
      <c r="JJF1" s="338"/>
      <c r="JJG1" s="338"/>
      <c r="JJH1" s="338"/>
      <c r="JJI1" s="338"/>
      <c r="JJJ1" s="338"/>
      <c r="JJK1" s="338"/>
      <c r="JJL1" s="338"/>
      <c r="JJM1" s="338"/>
      <c r="JJN1" s="338"/>
      <c r="JJO1" s="338"/>
      <c r="JJP1" s="338"/>
      <c r="JJQ1" s="338"/>
      <c r="JJR1" s="338"/>
      <c r="JJS1" s="338"/>
      <c r="JJT1" s="338"/>
      <c r="JJU1" s="338"/>
      <c r="JJV1" s="338"/>
      <c r="JJW1" s="338"/>
      <c r="JJX1" s="338"/>
      <c r="JJY1" s="338"/>
      <c r="JJZ1" s="338"/>
      <c r="JKA1" s="338"/>
      <c r="JKB1" s="338"/>
      <c r="JKC1" s="338"/>
      <c r="JKD1" s="338"/>
      <c r="JKE1" s="338"/>
      <c r="JKF1" s="338"/>
      <c r="JKG1" s="338"/>
      <c r="JKH1" s="338"/>
      <c r="JKI1" s="338"/>
      <c r="JKJ1" s="338"/>
      <c r="JKK1" s="338"/>
      <c r="JKL1" s="338"/>
      <c r="JKM1" s="338"/>
      <c r="JKN1" s="338"/>
      <c r="JKO1" s="338"/>
      <c r="JKP1" s="338"/>
      <c r="JKQ1" s="338"/>
      <c r="JKR1" s="338"/>
      <c r="JKS1" s="338"/>
      <c r="JKT1" s="338"/>
      <c r="JKU1" s="338"/>
      <c r="JKV1" s="338"/>
      <c r="JKW1" s="338"/>
      <c r="JKX1" s="338"/>
      <c r="JKY1" s="338"/>
      <c r="JKZ1" s="338"/>
      <c r="JLA1" s="338"/>
      <c r="JLB1" s="338"/>
      <c r="JLC1" s="338"/>
      <c r="JLD1" s="338"/>
      <c r="JLE1" s="338"/>
      <c r="JLF1" s="338"/>
      <c r="JLG1" s="338"/>
      <c r="JLH1" s="338"/>
      <c r="JLI1" s="338"/>
      <c r="JLJ1" s="338"/>
      <c r="JLK1" s="338"/>
      <c r="JLL1" s="338"/>
      <c r="JLM1" s="338"/>
      <c r="JLN1" s="338"/>
      <c r="JLO1" s="338"/>
      <c r="JLP1" s="338"/>
      <c r="JLQ1" s="338"/>
      <c r="JLR1" s="338"/>
      <c r="JLS1" s="338"/>
      <c r="JLT1" s="338"/>
      <c r="JLU1" s="338"/>
      <c r="JLV1" s="338"/>
      <c r="JLW1" s="338"/>
      <c r="JLX1" s="338"/>
      <c r="JLY1" s="338"/>
      <c r="JLZ1" s="338"/>
      <c r="JMA1" s="338"/>
      <c r="JMB1" s="338"/>
      <c r="JMC1" s="338"/>
      <c r="JMD1" s="338"/>
      <c r="JME1" s="338"/>
      <c r="JMF1" s="338"/>
      <c r="JMG1" s="338"/>
      <c r="JMH1" s="338"/>
      <c r="JMI1" s="338"/>
      <c r="JMJ1" s="338"/>
      <c r="JMK1" s="338"/>
      <c r="JML1" s="338"/>
      <c r="JMM1" s="338"/>
      <c r="JMN1" s="338"/>
      <c r="JMO1" s="338"/>
      <c r="JMP1" s="338"/>
      <c r="JMQ1" s="338"/>
      <c r="JMR1" s="338"/>
      <c r="JMS1" s="338"/>
      <c r="JMT1" s="338"/>
      <c r="JMU1" s="338"/>
      <c r="JMV1" s="338"/>
      <c r="JMW1" s="338"/>
      <c r="JMX1" s="338"/>
      <c r="JMY1" s="338"/>
      <c r="JMZ1" s="338"/>
      <c r="JNA1" s="338"/>
      <c r="JNB1" s="338"/>
      <c r="JNC1" s="338"/>
      <c r="JND1" s="338"/>
      <c r="JNE1" s="338"/>
      <c r="JNF1" s="338"/>
      <c r="JNG1" s="338"/>
      <c r="JNH1" s="338"/>
      <c r="JNI1" s="338"/>
      <c r="JNJ1" s="338"/>
      <c r="JNK1" s="338"/>
      <c r="JNL1" s="338"/>
      <c r="JNM1" s="338"/>
      <c r="JNN1" s="338"/>
      <c r="JNO1" s="338"/>
      <c r="JNP1" s="338"/>
      <c r="JNQ1" s="338"/>
      <c r="JNR1" s="338"/>
      <c r="JNS1" s="338"/>
      <c r="JNT1" s="338"/>
      <c r="JNU1" s="338"/>
      <c r="JNV1" s="338"/>
      <c r="JNW1" s="338"/>
      <c r="JNX1" s="338"/>
      <c r="JNY1" s="338"/>
      <c r="JNZ1" s="338"/>
      <c r="JOA1" s="338"/>
      <c r="JOB1" s="338"/>
      <c r="JOC1" s="338"/>
      <c r="JOD1" s="338"/>
      <c r="JOE1" s="338"/>
      <c r="JOF1" s="338"/>
      <c r="JOG1" s="338"/>
      <c r="JOH1" s="338"/>
      <c r="JOI1" s="338"/>
      <c r="JOJ1" s="338"/>
      <c r="JOK1" s="338"/>
      <c r="JOL1" s="338"/>
      <c r="JOM1" s="338"/>
      <c r="JON1" s="338"/>
      <c r="JOO1" s="338"/>
      <c r="JOP1" s="338"/>
      <c r="JOQ1" s="338"/>
      <c r="JOR1" s="338"/>
      <c r="JOS1" s="338"/>
      <c r="JOT1" s="338"/>
      <c r="JOU1" s="338"/>
      <c r="JOV1" s="338"/>
      <c r="JOW1" s="338"/>
      <c r="JOX1" s="338"/>
      <c r="JOY1" s="338"/>
      <c r="JOZ1" s="338"/>
      <c r="JPA1" s="338"/>
      <c r="JPB1" s="338"/>
      <c r="JPC1" s="338"/>
      <c r="JPD1" s="338"/>
      <c r="JPE1" s="338"/>
      <c r="JPF1" s="338"/>
      <c r="JPG1" s="338"/>
      <c r="JPH1" s="338"/>
      <c r="JPI1" s="338"/>
      <c r="JPJ1" s="338"/>
      <c r="JPK1" s="338"/>
      <c r="JPL1" s="338"/>
      <c r="JPM1" s="338"/>
      <c r="JPN1" s="338"/>
      <c r="JPO1" s="338"/>
      <c r="JPP1" s="338"/>
      <c r="JPQ1" s="338"/>
      <c r="JPR1" s="338"/>
      <c r="JPS1" s="338"/>
      <c r="JPT1" s="338"/>
      <c r="JPU1" s="338"/>
      <c r="JPV1" s="338"/>
      <c r="JPW1" s="338"/>
      <c r="JPX1" s="338"/>
      <c r="JPY1" s="338"/>
      <c r="JPZ1" s="338"/>
      <c r="JQA1" s="338"/>
      <c r="JQB1" s="338"/>
      <c r="JQC1" s="338"/>
      <c r="JQD1" s="338"/>
      <c r="JQE1" s="338"/>
      <c r="JQF1" s="338"/>
      <c r="JQG1" s="338"/>
      <c r="JQH1" s="338"/>
      <c r="JQI1" s="338"/>
      <c r="JQJ1" s="338"/>
      <c r="JQK1" s="338"/>
      <c r="JQL1" s="338"/>
      <c r="JQM1" s="338"/>
      <c r="JQN1" s="338"/>
      <c r="JQO1" s="338"/>
      <c r="JQP1" s="338"/>
      <c r="JQQ1" s="338"/>
      <c r="JQR1" s="338"/>
      <c r="JQS1" s="338"/>
      <c r="JQT1" s="338"/>
      <c r="JQU1" s="338"/>
      <c r="JQV1" s="338"/>
      <c r="JQW1" s="338"/>
      <c r="JQX1" s="338"/>
      <c r="JQY1" s="338"/>
      <c r="JQZ1" s="338"/>
      <c r="JRA1" s="338"/>
      <c r="JRB1" s="338"/>
      <c r="JRC1" s="338"/>
      <c r="JRD1" s="338"/>
      <c r="JRE1" s="338"/>
      <c r="JRF1" s="338"/>
      <c r="JRG1" s="338"/>
      <c r="JRH1" s="338"/>
      <c r="JRI1" s="338"/>
      <c r="JRJ1" s="338"/>
      <c r="JRK1" s="338"/>
      <c r="JRL1" s="338"/>
      <c r="JRM1" s="338"/>
      <c r="JRN1" s="338"/>
      <c r="JRO1" s="338"/>
      <c r="JRP1" s="338"/>
      <c r="JRQ1" s="338"/>
      <c r="JRR1" s="338"/>
      <c r="JRS1" s="338"/>
      <c r="JRT1" s="338"/>
      <c r="JRU1" s="338"/>
      <c r="JRV1" s="338"/>
      <c r="JRW1" s="338"/>
      <c r="JRX1" s="338"/>
      <c r="JRY1" s="338"/>
      <c r="JRZ1" s="338"/>
      <c r="JSA1" s="338"/>
      <c r="JSB1" s="338"/>
      <c r="JSC1" s="338"/>
      <c r="JSD1" s="338"/>
      <c r="JSE1" s="338"/>
      <c r="JSF1" s="338"/>
      <c r="JSG1" s="338"/>
      <c r="JSH1" s="338"/>
      <c r="JSI1" s="338"/>
      <c r="JSJ1" s="338"/>
      <c r="JSK1" s="338"/>
      <c r="JSL1" s="338"/>
      <c r="JSM1" s="338"/>
      <c r="JSN1" s="338"/>
      <c r="JSO1" s="338"/>
      <c r="JSP1" s="338"/>
      <c r="JSQ1" s="338"/>
      <c r="JSR1" s="338"/>
      <c r="JSS1" s="338"/>
      <c r="JST1" s="338"/>
      <c r="JSU1" s="338"/>
      <c r="JSV1" s="338"/>
      <c r="JSW1" s="338"/>
      <c r="JSX1" s="338"/>
      <c r="JSY1" s="338"/>
      <c r="JSZ1" s="338"/>
      <c r="JTA1" s="338"/>
      <c r="JTB1" s="338"/>
      <c r="JTC1" s="338"/>
      <c r="JTD1" s="338"/>
      <c r="JTE1" s="338"/>
      <c r="JTF1" s="338"/>
      <c r="JTG1" s="338"/>
      <c r="JTH1" s="338"/>
      <c r="JTI1" s="338"/>
      <c r="JTJ1" s="338"/>
      <c r="JTK1" s="338"/>
      <c r="JTL1" s="338"/>
      <c r="JTM1" s="338"/>
      <c r="JTN1" s="338"/>
      <c r="JTO1" s="338"/>
      <c r="JTP1" s="338"/>
      <c r="JTQ1" s="338"/>
      <c r="JTR1" s="338"/>
      <c r="JTS1" s="338"/>
      <c r="JTT1" s="338"/>
      <c r="JTU1" s="338"/>
      <c r="JTV1" s="338"/>
      <c r="JTW1" s="338"/>
      <c r="JTX1" s="338"/>
      <c r="JTY1" s="338"/>
      <c r="JTZ1" s="338"/>
      <c r="JUA1" s="338"/>
      <c r="JUB1" s="338"/>
      <c r="JUC1" s="338"/>
      <c r="JUD1" s="338"/>
      <c r="JUE1" s="338"/>
      <c r="JUF1" s="338"/>
      <c r="JUG1" s="338"/>
      <c r="JUH1" s="338"/>
      <c r="JUI1" s="338"/>
      <c r="JUJ1" s="338"/>
      <c r="JUK1" s="338"/>
      <c r="JUL1" s="338"/>
      <c r="JUM1" s="338"/>
      <c r="JUN1" s="338"/>
      <c r="JUO1" s="338"/>
      <c r="JUP1" s="338"/>
      <c r="JUQ1" s="338"/>
      <c r="JUR1" s="338"/>
      <c r="JUS1" s="338"/>
      <c r="JUT1" s="338"/>
      <c r="JUU1" s="338"/>
      <c r="JUV1" s="338"/>
      <c r="JUW1" s="338"/>
      <c r="JUX1" s="338"/>
      <c r="JUY1" s="338"/>
      <c r="JUZ1" s="338"/>
      <c r="JVA1" s="338"/>
      <c r="JVB1" s="338"/>
      <c r="JVC1" s="338"/>
      <c r="JVD1" s="338"/>
      <c r="JVE1" s="338"/>
      <c r="JVF1" s="338"/>
      <c r="JVG1" s="338"/>
      <c r="JVH1" s="338"/>
      <c r="JVI1" s="338"/>
      <c r="JVJ1" s="338"/>
      <c r="JVK1" s="338"/>
      <c r="JVL1" s="338"/>
      <c r="JVM1" s="338"/>
      <c r="JVN1" s="338"/>
      <c r="JVO1" s="338"/>
      <c r="JVP1" s="338"/>
      <c r="JVQ1" s="338"/>
      <c r="JVR1" s="338"/>
      <c r="JVS1" s="338"/>
      <c r="JVT1" s="338"/>
      <c r="JVU1" s="338"/>
      <c r="JVV1" s="338"/>
      <c r="JVW1" s="338"/>
      <c r="JVX1" s="338"/>
      <c r="JVY1" s="338"/>
      <c r="JVZ1" s="338"/>
      <c r="JWA1" s="338"/>
      <c r="JWB1" s="338"/>
      <c r="JWC1" s="338"/>
      <c r="JWD1" s="338"/>
      <c r="JWE1" s="338"/>
      <c r="JWF1" s="338"/>
      <c r="JWG1" s="338"/>
      <c r="JWH1" s="338"/>
      <c r="JWI1" s="338"/>
      <c r="JWJ1" s="338"/>
      <c r="JWK1" s="338"/>
      <c r="JWL1" s="338"/>
      <c r="JWM1" s="338"/>
      <c r="JWN1" s="338"/>
      <c r="JWO1" s="338"/>
      <c r="JWP1" s="338"/>
      <c r="JWQ1" s="338"/>
      <c r="JWR1" s="338"/>
      <c r="JWS1" s="338"/>
      <c r="JWT1" s="338"/>
      <c r="JWU1" s="338"/>
      <c r="JWV1" s="338"/>
      <c r="JWW1" s="338"/>
      <c r="JWX1" s="338"/>
      <c r="JWY1" s="338"/>
      <c r="JWZ1" s="338"/>
      <c r="JXA1" s="338"/>
      <c r="JXB1" s="338"/>
      <c r="JXC1" s="338"/>
      <c r="JXD1" s="338"/>
      <c r="JXE1" s="338"/>
      <c r="JXF1" s="338"/>
      <c r="JXG1" s="338"/>
      <c r="JXH1" s="338"/>
      <c r="JXI1" s="338"/>
      <c r="JXJ1" s="338"/>
      <c r="JXK1" s="338"/>
      <c r="JXL1" s="338"/>
      <c r="JXM1" s="338"/>
      <c r="JXN1" s="338"/>
      <c r="JXO1" s="338"/>
      <c r="JXP1" s="338"/>
      <c r="JXQ1" s="338"/>
      <c r="JXR1" s="338"/>
      <c r="JXS1" s="338"/>
      <c r="JXT1" s="338"/>
      <c r="JXU1" s="338"/>
      <c r="JXV1" s="338"/>
      <c r="JXW1" s="338"/>
      <c r="JXX1" s="338"/>
      <c r="JXY1" s="338"/>
      <c r="JXZ1" s="338"/>
      <c r="JYA1" s="338"/>
      <c r="JYB1" s="338"/>
      <c r="JYC1" s="338"/>
      <c r="JYD1" s="338"/>
      <c r="JYE1" s="338"/>
      <c r="JYF1" s="338"/>
      <c r="JYG1" s="338"/>
      <c r="JYH1" s="338"/>
      <c r="JYI1" s="338"/>
      <c r="JYJ1" s="338"/>
      <c r="JYK1" s="338"/>
      <c r="JYL1" s="338"/>
      <c r="JYM1" s="338"/>
      <c r="JYN1" s="338"/>
      <c r="JYO1" s="338"/>
      <c r="JYP1" s="338"/>
      <c r="JYQ1" s="338"/>
      <c r="JYR1" s="338"/>
      <c r="JYS1" s="338"/>
      <c r="JYT1" s="338"/>
      <c r="JYU1" s="338"/>
      <c r="JYV1" s="338"/>
      <c r="JYW1" s="338"/>
      <c r="JYX1" s="338"/>
      <c r="JYY1" s="338"/>
      <c r="JYZ1" s="338"/>
      <c r="JZA1" s="338"/>
      <c r="JZB1" s="338"/>
      <c r="JZC1" s="338"/>
      <c r="JZD1" s="338"/>
      <c r="JZE1" s="338"/>
      <c r="JZF1" s="338"/>
      <c r="JZG1" s="338"/>
      <c r="JZH1" s="338"/>
      <c r="JZI1" s="338"/>
      <c r="JZJ1" s="338"/>
      <c r="JZK1" s="338"/>
      <c r="JZL1" s="338"/>
      <c r="JZM1" s="338"/>
      <c r="JZN1" s="338"/>
      <c r="JZO1" s="338"/>
      <c r="JZP1" s="338"/>
      <c r="JZQ1" s="338"/>
      <c r="JZR1" s="338"/>
      <c r="JZS1" s="338"/>
      <c r="JZT1" s="338"/>
      <c r="JZU1" s="338"/>
      <c r="JZV1" s="338"/>
      <c r="JZW1" s="338"/>
      <c r="JZX1" s="338"/>
      <c r="JZY1" s="338"/>
      <c r="JZZ1" s="338"/>
      <c r="KAA1" s="338"/>
      <c r="KAB1" s="338"/>
      <c r="KAC1" s="338"/>
      <c r="KAD1" s="338"/>
      <c r="KAE1" s="338"/>
      <c r="KAF1" s="338"/>
      <c r="KAG1" s="338"/>
      <c r="KAH1" s="338"/>
      <c r="KAI1" s="338"/>
      <c r="KAJ1" s="338"/>
      <c r="KAK1" s="338"/>
      <c r="KAL1" s="338"/>
      <c r="KAM1" s="338"/>
      <c r="KAN1" s="338"/>
      <c r="KAO1" s="338"/>
      <c r="KAP1" s="338"/>
      <c r="KAQ1" s="338"/>
      <c r="KAR1" s="338"/>
      <c r="KAS1" s="338"/>
      <c r="KAT1" s="338"/>
      <c r="KAU1" s="338"/>
      <c r="KAV1" s="338"/>
      <c r="KAW1" s="338"/>
      <c r="KAX1" s="338"/>
      <c r="KAY1" s="338"/>
      <c r="KAZ1" s="338"/>
      <c r="KBA1" s="338"/>
      <c r="KBB1" s="338"/>
      <c r="KBC1" s="338"/>
      <c r="KBD1" s="338"/>
      <c r="KBE1" s="338"/>
      <c r="KBF1" s="338"/>
      <c r="KBG1" s="338"/>
      <c r="KBH1" s="338"/>
      <c r="KBI1" s="338"/>
      <c r="KBJ1" s="338"/>
      <c r="KBK1" s="338"/>
      <c r="KBL1" s="338"/>
      <c r="KBM1" s="338"/>
      <c r="KBN1" s="338"/>
      <c r="KBO1" s="338"/>
      <c r="KBP1" s="338"/>
      <c r="KBQ1" s="338"/>
      <c r="KBR1" s="338"/>
      <c r="KBS1" s="338"/>
      <c r="KBT1" s="338"/>
      <c r="KBU1" s="338"/>
      <c r="KBV1" s="338"/>
      <c r="KBW1" s="338"/>
      <c r="KBX1" s="338"/>
      <c r="KBY1" s="338"/>
      <c r="KBZ1" s="338"/>
      <c r="KCA1" s="338"/>
      <c r="KCB1" s="338"/>
      <c r="KCC1" s="338"/>
      <c r="KCD1" s="338"/>
      <c r="KCE1" s="338"/>
      <c r="KCF1" s="338"/>
      <c r="KCG1" s="338"/>
      <c r="KCH1" s="338"/>
      <c r="KCI1" s="338"/>
      <c r="KCJ1" s="338"/>
      <c r="KCK1" s="338"/>
      <c r="KCL1" s="338"/>
      <c r="KCM1" s="338"/>
      <c r="KCN1" s="338"/>
      <c r="KCO1" s="338"/>
      <c r="KCP1" s="338"/>
      <c r="KCQ1" s="338"/>
      <c r="KCR1" s="338"/>
      <c r="KCS1" s="338"/>
      <c r="KCT1" s="338"/>
      <c r="KCU1" s="338"/>
      <c r="KCV1" s="338"/>
      <c r="KCW1" s="338"/>
      <c r="KCX1" s="338"/>
      <c r="KCY1" s="338"/>
      <c r="KCZ1" s="338"/>
      <c r="KDA1" s="338"/>
      <c r="KDB1" s="338"/>
      <c r="KDC1" s="338"/>
      <c r="KDD1" s="338"/>
      <c r="KDE1" s="338"/>
      <c r="KDF1" s="338"/>
      <c r="KDG1" s="338"/>
      <c r="KDH1" s="338"/>
      <c r="KDI1" s="338"/>
      <c r="KDJ1" s="338"/>
      <c r="KDK1" s="338"/>
      <c r="KDL1" s="338"/>
      <c r="KDM1" s="338"/>
      <c r="KDN1" s="338"/>
      <c r="KDO1" s="338"/>
      <c r="KDP1" s="338"/>
      <c r="KDQ1" s="338"/>
      <c r="KDR1" s="338"/>
      <c r="KDS1" s="338"/>
      <c r="KDT1" s="338"/>
      <c r="KDU1" s="338"/>
      <c r="KDV1" s="338"/>
      <c r="KDW1" s="338"/>
      <c r="KDX1" s="338"/>
      <c r="KDY1" s="338"/>
      <c r="KDZ1" s="338"/>
      <c r="KEA1" s="338"/>
      <c r="KEB1" s="338"/>
      <c r="KEC1" s="338"/>
      <c r="KED1" s="338"/>
      <c r="KEE1" s="338"/>
      <c r="KEF1" s="338"/>
      <c r="KEG1" s="338"/>
      <c r="KEH1" s="338"/>
      <c r="KEI1" s="338"/>
      <c r="KEJ1" s="338"/>
      <c r="KEK1" s="338"/>
      <c r="KEL1" s="338"/>
      <c r="KEM1" s="338"/>
      <c r="KEN1" s="338"/>
      <c r="KEO1" s="338"/>
      <c r="KEP1" s="338"/>
      <c r="KEQ1" s="338"/>
      <c r="KER1" s="338"/>
      <c r="KES1" s="338"/>
      <c r="KET1" s="338"/>
      <c r="KEU1" s="338"/>
      <c r="KEV1" s="338"/>
      <c r="KEW1" s="338"/>
      <c r="KEX1" s="338"/>
      <c r="KEY1" s="338"/>
      <c r="KEZ1" s="338"/>
      <c r="KFA1" s="338"/>
      <c r="KFB1" s="338"/>
      <c r="KFC1" s="338"/>
      <c r="KFD1" s="338"/>
      <c r="KFE1" s="338"/>
      <c r="KFF1" s="338"/>
      <c r="KFG1" s="338"/>
      <c r="KFH1" s="338"/>
      <c r="KFI1" s="338"/>
      <c r="KFJ1" s="338"/>
      <c r="KFK1" s="338"/>
      <c r="KFL1" s="338"/>
      <c r="KFM1" s="338"/>
      <c r="KFN1" s="338"/>
      <c r="KFO1" s="338"/>
      <c r="KFP1" s="338"/>
      <c r="KFQ1" s="338"/>
      <c r="KFR1" s="338"/>
      <c r="KFS1" s="338"/>
      <c r="KFT1" s="338"/>
      <c r="KFU1" s="338"/>
      <c r="KFV1" s="338"/>
      <c r="KFW1" s="338"/>
      <c r="KFX1" s="338"/>
      <c r="KFY1" s="338"/>
      <c r="KFZ1" s="338"/>
      <c r="KGA1" s="338"/>
      <c r="KGB1" s="338"/>
      <c r="KGC1" s="338"/>
      <c r="KGD1" s="338"/>
      <c r="KGE1" s="338"/>
      <c r="KGF1" s="338"/>
      <c r="KGG1" s="338"/>
      <c r="KGH1" s="338"/>
      <c r="KGI1" s="338"/>
      <c r="KGJ1" s="338"/>
      <c r="KGK1" s="338"/>
      <c r="KGL1" s="338"/>
      <c r="KGM1" s="338"/>
      <c r="KGN1" s="338"/>
      <c r="KGO1" s="338"/>
      <c r="KGP1" s="338"/>
      <c r="KGQ1" s="338"/>
      <c r="KGR1" s="338"/>
      <c r="KGS1" s="338"/>
      <c r="KGT1" s="338"/>
      <c r="KGU1" s="338"/>
      <c r="KGV1" s="338"/>
      <c r="KGW1" s="338"/>
      <c r="KGX1" s="338"/>
      <c r="KGY1" s="338"/>
      <c r="KGZ1" s="338"/>
      <c r="KHA1" s="338"/>
      <c r="KHB1" s="338"/>
      <c r="KHC1" s="338"/>
      <c r="KHD1" s="338"/>
      <c r="KHE1" s="338"/>
      <c r="KHF1" s="338"/>
      <c r="KHG1" s="338"/>
      <c r="KHH1" s="338"/>
      <c r="KHI1" s="338"/>
      <c r="KHJ1" s="338"/>
      <c r="KHK1" s="338"/>
      <c r="KHL1" s="338"/>
      <c r="KHM1" s="338"/>
      <c r="KHN1" s="338"/>
      <c r="KHO1" s="338"/>
      <c r="KHP1" s="338"/>
      <c r="KHQ1" s="338"/>
      <c r="KHR1" s="338"/>
      <c r="KHS1" s="338"/>
      <c r="KHT1" s="338"/>
      <c r="KHU1" s="338"/>
      <c r="KHV1" s="338"/>
      <c r="KHW1" s="338"/>
      <c r="KHX1" s="338"/>
      <c r="KHY1" s="338"/>
      <c r="KHZ1" s="338"/>
      <c r="KIA1" s="338"/>
      <c r="KIB1" s="338"/>
      <c r="KIC1" s="338"/>
      <c r="KID1" s="338"/>
      <c r="KIE1" s="338"/>
      <c r="KIF1" s="338"/>
      <c r="KIG1" s="338"/>
      <c r="KIH1" s="338"/>
      <c r="KII1" s="338"/>
      <c r="KIJ1" s="338"/>
      <c r="KIK1" s="338"/>
      <c r="KIL1" s="338"/>
      <c r="KIM1" s="338"/>
      <c r="KIN1" s="338"/>
      <c r="KIO1" s="338"/>
      <c r="KIP1" s="338"/>
      <c r="KIQ1" s="338"/>
      <c r="KIR1" s="338"/>
      <c r="KIS1" s="338"/>
      <c r="KIT1" s="338"/>
      <c r="KIU1" s="338"/>
      <c r="KIV1" s="338"/>
      <c r="KIW1" s="338"/>
      <c r="KIX1" s="338"/>
      <c r="KIY1" s="338"/>
      <c r="KIZ1" s="338"/>
      <c r="KJA1" s="338"/>
      <c r="KJB1" s="338"/>
      <c r="KJC1" s="338"/>
      <c r="KJD1" s="338"/>
      <c r="KJE1" s="338"/>
      <c r="KJF1" s="338"/>
      <c r="KJG1" s="338"/>
      <c r="KJH1" s="338"/>
      <c r="KJI1" s="338"/>
      <c r="KJJ1" s="338"/>
      <c r="KJK1" s="338"/>
      <c r="KJL1" s="338"/>
      <c r="KJM1" s="338"/>
      <c r="KJN1" s="338"/>
      <c r="KJO1" s="338"/>
      <c r="KJP1" s="338"/>
      <c r="KJQ1" s="338"/>
      <c r="KJR1" s="338"/>
      <c r="KJS1" s="338"/>
      <c r="KJT1" s="338"/>
      <c r="KJU1" s="338"/>
      <c r="KJV1" s="338"/>
      <c r="KJW1" s="338"/>
      <c r="KJX1" s="338"/>
      <c r="KJY1" s="338"/>
      <c r="KJZ1" s="338"/>
      <c r="KKA1" s="338"/>
      <c r="KKB1" s="338"/>
      <c r="KKC1" s="338"/>
      <c r="KKD1" s="338"/>
      <c r="KKE1" s="338"/>
      <c r="KKF1" s="338"/>
      <c r="KKG1" s="338"/>
      <c r="KKH1" s="338"/>
      <c r="KKI1" s="338"/>
      <c r="KKJ1" s="338"/>
      <c r="KKK1" s="338"/>
      <c r="KKL1" s="338"/>
      <c r="KKM1" s="338"/>
      <c r="KKN1" s="338"/>
      <c r="KKO1" s="338"/>
      <c r="KKP1" s="338"/>
      <c r="KKQ1" s="338"/>
      <c r="KKR1" s="338"/>
      <c r="KKS1" s="338"/>
      <c r="KKT1" s="338"/>
      <c r="KKU1" s="338"/>
      <c r="KKV1" s="338"/>
      <c r="KKW1" s="338"/>
      <c r="KKX1" s="338"/>
      <c r="KKY1" s="338"/>
      <c r="KKZ1" s="338"/>
      <c r="KLA1" s="338"/>
      <c r="KLB1" s="338"/>
      <c r="KLC1" s="338"/>
      <c r="KLD1" s="338"/>
      <c r="KLE1" s="338"/>
      <c r="KLF1" s="338"/>
      <c r="KLG1" s="338"/>
      <c r="KLH1" s="338"/>
      <c r="KLI1" s="338"/>
      <c r="KLJ1" s="338"/>
      <c r="KLK1" s="338"/>
      <c r="KLL1" s="338"/>
      <c r="KLM1" s="338"/>
      <c r="KLN1" s="338"/>
      <c r="KLO1" s="338"/>
      <c r="KLP1" s="338"/>
      <c r="KLQ1" s="338"/>
      <c r="KLR1" s="338"/>
      <c r="KLS1" s="338"/>
      <c r="KLT1" s="338"/>
      <c r="KLU1" s="338"/>
      <c r="KLV1" s="338"/>
      <c r="KLW1" s="338"/>
      <c r="KLX1" s="338"/>
      <c r="KLY1" s="338"/>
      <c r="KLZ1" s="338"/>
      <c r="KMA1" s="338"/>
      <c r="KMB1" s="338"/>
      <c r="KMC1" s="338"/>
      <c r="KMD1" s="338"/>
      <c r="KME1" s="338"/>
      <c r="KMF1" s="338"/>
      <c r="KMG1" s="338"/>
      <c r="KMH1" s="338"/>
      <c r="KMI1" s="338"/>
      <c r="KMJ1" s="338"/>
      <c r="KMK1" s="338"/>
      <c r="KML1" s="338"/>
      <c r="KMM1" s="338"/>
      <c r="KMN1" s="338"/>
      <c r="KMO1" s="338"/>
      <c r="KMP1" s="338"/>
      <c r="KMQ1" s="338"/>
      <c r="KMR1" s="338"/>
      <c r="KMS1" s="338"/>
      <c r="KMT1" s="338"/>
      <c r="KMU1" s="338"/>
      <c r="KMV1" s="338"/>
      <c r="KMW1" s="338"/>
      <c r="KMX1" s="338"/>
      <c r="KMY1" s="338"/>
      <c r="KMZ1" s="338"/>
      <c r="KNA1" s="338"/>
      <c r="KNB1" s="338"/>
      <c r="KNC1" s="338"/>
      <c r="KND1" s="338"/>
      <c r="KNE1" s="338"/>
      <c r="KNF1" s="338"/>
      <c r="KNG1" s="338"/>
      <c r="KNH1" s="338"/>
      <c r="KNI1" s="338"/>
      <c r="KNJ1" s="338"/>
      <c r="KNK1" s="338"/>
      <c r="KNL1" s="338"/>
      <c r="KNM1" s="338"/>
      <c r="KNN1" s="338"/>
      <c r="KNO1" s="338"/>
      <c r="KNP1" s="338"/>
      <c r="KNQ1" s="338"/>
      <c r="KNR1" s="338"/>
      <c r="KNS1" s="338"/>
      <c r="KNT1" s="338"/>
      <c r="KNU1" s="338"/>
      <c r="KNV1" s="338"/>
      <c r="KNW1" s="338"/>
      <c r="KNX1" s="338"/>
      <c r="KNY1" s="338"/>
      <c r="KNZ1" s="338"/>
      <c r="KOA1" s="338"/>
      <c r="KOB1" s="338"/>
      <c r="KOC1" s="338"/>
      <c r="KOD1" s="338"/>
      <c r="KOE1" s="338"/>
      <c r="KOF1" s="338"/>
      <c r="KOG1" s="338"/>
      <c r="KOH1" s="338"/>
      <c r="KOI1" s="338"/>
      <c r="KOJ1" s="338"/>
      <c r="KOK1" s="338"/>
      <c r="KOL1" s="338"/>
      <c r="KOM1" s="338"/>
      <c r="KON1" s="338"/>
      <c r="KOO1" s="338"/>
      <c r="KOP1" s="338"/>
      <c r="KOQ1" s="338"/>
      <c r="KOR1" s="338"/>
      <c r="KOS1" s="338"/>
      <c r="KOT1" s="338"/>
      <c r="KOU1" s="338"/>
      <c r="KOV1" s="338"/>
      <c r="KOW1" s="338"/>
      <c r="KOX1" s="338"/>
      <c r="KOY1" s="338"/>
      <c r="KOZ1" s="338"/>
      <c r="KPA1" s="338"/>
      <c r="KPB1" s="338"/>
      <c r="KPC1" s="338"/>
      <c r="KPD1" s="338"/>
      <c r="KPE1" s="338"/>
      <c r="KPF1" s="338"/>
      <c r="KPG1" s="338"/>
      <c r="KPH1" s="338"/>
      <c r="KPI1" s="338"/>
      <c r="KPJ1" s="338"/>
      <c r="KPK1" s="338"/>
      <c r="KPL1" s="338"/>
      <c r="KPM1" s="338"/>
      <c r="KPN1" s="338"/>
      <c r="KPO1" s="338"/>
      <c r="KPP1" s="338"/>
      <c r="KPQ1" s="338"/>
      <c r="KPR1" s="338"/>
      <c r="KPS1" s="338"/>
      <c r="KPT1" s="338"/>
      <c r="KPU1" s="338"/>
      <c r="KPV1" s="338"/>
      <c r="KPW1" s="338"/>
      <c r="KPX1" s="338"/>
      <c r="KPY1" s="338"/>
      <c r="KPZ1" s="338"/>
      <c r="KQA1" s="338"/>
      <c r="KQB1" s="338"/>
      <c r="KQC1" s="338"/>
      <c r="KQD1" s="338"/>
      <c r="KQE1" s="338"/>
      <c r="KQF1" s="338"/>
      <c r="KQG1" s="338"/>
      <c r="KQH1" s="338"/>
      <c r="KQI1" s="338"/>
      <c r="KQJ1" s="338"/>
      <c r="KQK1" s="338"/>
      <c r="KQL1" s="338"/>
      <c r="KQM1" s="338"/>
      <c r="KQN1" s="338"/>
      <c r="KQO1" s="338"/>
      <c r="KQP1" s="338"/>
      <c r="KQQ1" s="338"/>
      <c r="KQR1" s="338"/>
      <c r="KQS1" s="338"/>
      <c r="KQT1" s="338"/>
      <c r="KQU1" s="338"/>
      <c r="KQV1" s="338"/>
      <c r="KQW1" s="338"/>
      <c r="KQX1" s="338"/>
      <c r="KQY1" s="338"/>
      <c r="KQZ1" s="338"/>
      <c r="KRA1" s="338"/>
      <c r="KRB1" s="338"/>
      <c r="KRC1" s="338"/>
      <c r="KRD1" s="338"/>
      <c r="KRE1" s="338"/>
      <c r="KRF1" s="338"/>
      <c r="KRG1" s="338"/>
      <c r="KRH1" s="338"/>
      <c r="KRI1" s="338"/>
      <c r="KRJ1" s="338"/>
      <c r="KRK1" s="338"/>
      <c r="KRL1" s="338"/>
      <c r="KRM1" s="338"/>
      <c r="KRN1" s="338"/>
      <c r="KRO1" s="338"/>
      <c r="KRP1" s="338"/>
      <c r="KRQ1" s="338"/>
      <c r="KRR1" s="338"/>
      <c r="KRS1" s="338"/>
      <c r="KRT1" s="338"/>
      <c r="KRU1" s="338"/>
      <c r="KRV1" s="338"/>
      <c r="KRW1" s="338"/>
      <c r="KRX1" s="338"/>
      <c r="KRY1" s="338"/>
      <c r="KRZ1" s="338"/>
      <c r="KSA1" s="338"/>
      <c r="KSB1" s="338"/>
      <c r="KSC1" s="338"/>
      <c r="KSD1" s="338"/>
      <c r="KSE1" s="338"/>
      <c r="KSF1" s="338"/>
      <c r="KSG1" s="338"/>
      <c r="KSH1" s="338"/>
      <c r="KSI1" s="338"/>
      <c r="KSJ1" s="338"/>
      <c r="KSK1" s="338"/>
      <c r="KSL1" s="338"/>
      <c r="KSM1" s="338"/>
      <c r="KSN1" s="338"/>
      <c r="KSO1" s="338"/>
      <c r="KSP1" s="338"/>
      <c r="KSQ1" s="338"/>
      <c r="KSR1" s="338"/>
      <c r="KSS1" s="338"/>
      <c r="KST1" s="338"/>
      <c r="KSU1" s="338"/>
      <c r="KSV1" s="338"/>
      <c r="KSW1" s="338"/>
      <c r="KSX1" s="338"/>
      <c r="KSY1" s="338"/>
      <c r="KSZ1" s="338"/>
      <c r="KTA1" s="338"/>
      <c r="KTB1" s="338"/>
      <c r="KTC1" s="338"/>
      <c r="KTD1" s="338"/>
      <c r="KTE1" s="338"/>
      <c r="KTF1" s="338"/>
      <c r="KTG1" s="338"/>
      <c r="KTH1" s="338"/>
      <c r="KTI1" s="338"/>
      <c r="KTJ1" s="338"/>
      <c r="KTK1" s="338"/>
      <c r="KTL1" s="338"/>
      <c r="KTM1" s="338"/>
      <c r="KTN1" s="338"/>
      <c r="KTO1" s="338"/>
      <c r="KTP1" s="338"/>
      <c r="KTQ1" s="338"/>
      <c r="KTR1" s="338"/>
      <c r="KTS1" s="338"/>
      <c r="KTT1" s="338"/>
      <c r="KTU1" s="338"/>
      <c r="KTV1" s="338"/>
      <c r="KTW1" s="338"/>
      <c r="KTX1" s="338"/>
      <c r="KTY1" s="338"/>
      <c r="KTZ1" s="338"/>
      <c r="KUA1" s="338"/>
      <c r="KUB1" s="338"/>
      <c r="KUC1" s="338"/>
      <c r="KUD1" s="338"/>
      <c r="KUE1" s="338"/>
      <c r="KUF1" s="338"/>
      <c r="KUG1" s="338"/>
      <c r="KUH1" s="338"/>
      <c r="KUI1" s="338"/>
      <c r="KUJ1" s="338"/>
      <c r="KUK1" s="338"/>
      <c r="KUL1" s="338"/>
      <c r="KUM1" s="338"/>
      <c r="KUN1" s="338"/>
      <c r="KUO1" s="338"/>
      <c r="KUP1" s="338"/>
      <c r="KUQ1" s="338"/>
      <c r="KUR1" s="338"/>
      <c r="KUS1" s="338"/>
      <c r="KUT1" s="338"/>
      <c r="KUU1" s="338"/>
      <c r="KUV1" s="338"/>
      <c r="KUW1" s="338"/>
      <c r="KUX1" s="338"/>
      <c r="KUY1" s="338"/>
      <c r="KUZ1" s="338"/>
      <c r="KVA1" s="338"/>
      <c r="KVB1" s="338"/>
      <c r="KVC1" s="338"/>
      <c r="KVD1" s="338"/>
      <c r="KVE1" s="338"/>
      <c r="KVF1" s="338"/>
      <c r="KVG1" s="338"/>
      <c r="KVH1" s="338"/>
      <c r="KVI1" s="338"/>
      <c r="KVJ1" s="338"/>
      <c r="KVK1" s="338"/>
      <c r="KVL1" s="338"/>
      <c r="KVM1" s="338"/>
      <c r="KVN1" s="338"/>
      <c r="KVO1" s="338"/>
      <c r="KVP1" s="338"/>
      <c r="KVQ1" s="338"/>
      <c r="KVR1" s="338"/>
      <c r="KVS1" s="338"/>
      <c r="KVT1" s="338"/>
      <c r="KVU1" s="338"/>
      <c r="KVV1" s="338"/>
      <c r="KVW1" s="338"/>
      <c r="KVX1" s="338"/>
      <c r="KVY1" s="338"/>
      <c r="KVZ1" s="338"/>
      <c r="KWA1" s="338"/>
      <c r="KWB1" s="338"/>
      <c r="KWC1" s="338"/>
      <c r="KWD1" s="338"/>
      <c r="KWE1" s="338"/>
      <c r="KWF1" s="338"/>
      <c r="KWG1" s="338"/>
      <c r="KWH1" s="338"/>
      <c r="KWI1" s="338"/>
      <c r="KWJ1" s="338"/>
      <c r="KWK1" s="338"/>
      <c r="KWL1" s="338"/>
      <c r="KWM1" s="338"/>
      <c r="KWN1" s="338"/>
      <c r="KWO1" s="338"/>
      <c r="KWP1" s="338"/>
      <c r="KWQ1" s="338"/>
      <c r="KWR1" s="338"/>
      <c r="KWS1" s="338"/>
      <c r="KWT1" s="338"/>
      <c r="KWU1" s="338"/>
      <c r="KWV1" s="338"/>
      <c r="KWW1" s="338"/>
      <c r="KWX1" s="338"/>
      <c r="KWY1" s="338"/>
      <c r="KWZ1" s="338"/>
      <c r="KXA1" s="338"/>
      <c r="KXB1" s="338"/>
      <c r="KXC1" s="338"/>
      <c r="KXD1" s="338"/>
      <c r="KXE1" s="338"/>
      <c r="KXF1" s="338"/>
      <c r="KXG1" s="338"/>
      <c r="KXH1" s="338"/>
      <c r="KXI1" s="338"/>
      <c r="KXJ1" s="338"/>
      <c r="KXK1" s="338"/>
      <c r="KXL1" s="338"/>
      <c r="KXM1" s="338"/>
      <c r="KXN1" s="338"/>
      <c r="KXO1" s="338"/>
      <c r="KXP1" s="338"/>
      <c r="KXQ1" s="338"/>
      <c r="KXR1" s="338"/>
      <c r="KXS1" s="338"/>
      <c r="KXT1" s="338"/>
      <c r="KXU1" s="338"/>
      <c r="KXV1" s="338"/>
      <c r="KXW1" s="338"/>
      <c r="KXX1" s="338"/>
      <c r="KXY1" s="338"/>
      <c r="KXZ1" s="338"/>
      <c r="KYA1" s="338"/>
      <c r="KYB1" s="338"/>
      <c r="KYC1" s="338"/>
      <c r="KYD1" s="338"/>
      <c r="KYE1" s="338"/>
      <c r="KYF1" s="338"/>
      <c r="KYG1" s="338"/>
      <c r="KYH1" s="338"/>
      <c r="KYI1" s="338"/>
      <c r="KYJ1" s="338"/>
      <c r="KYK1" s="338"/>
      <c r="KYL1" s="338"/>
      <c r="KYM1" s="338"/>
      <c r="KYN1" s="338"/>
      <c r="KYO1" s="338"/>
      <c r="KYP1" s="338"/>
      <c r="KYQ1" s="338"/>
      <c r="KYR1" s="338"/>
      <c r="KYS1" s="338"/>
      <c r="KYT1" s="338"/>
      <c r="KYU1" s="338"/>
      <c r="KYV1" s="338"/>
      <c r="KYW1" s="338"/>
      <c r="KYX1" s="338"/>
      <c r="KYY1" s="338"/>
      <c r="KYZ1" s="338"/>
      <c r="KZA1" s="338"/>
      <c r="KZB1" s="338"/>
      <c r="KZC1" s="338"/>
      <c r="KZD1" s="338"/>
      <c r="KZE1" s="338"/>
      <c r="KZF1" s="338"/>
      <c r="KZG1" s="338"/>
      <c r="KZH1" s="338"/>
      <c r="KZI1" s="338"/>
      <c r="KZJ1" s="338"/>
      <c r="KZK1" s="338"/>
      <c r="KZL1" s="338"/>
      <c r="KZM1" s="338"/>
      <c r="KZN1" s="338"/>
      <c r="KZO1" s="338"/>
      <c r="KZP1" s="338"/>
      <c r="KZQ1" s="338"/>
      <c r="KZR1" s="338"/>
      <c r="KZS1" s="338"/>
      <c r="KZT1" s="338"/>
      <c r="KZU1" s="338"/>
      <c r="KZV1" s="338"/>
      <c r="KZW1" s="338"/>
      <c r="KZX1" s="338"/>
      <c r="KZY1" s="338"/>
      <c r="KZZ1" s="338"/>
      <c r="LAA1" s="338"/>
      <c r="LAB1" s="338"/>
      <c r="LAC1" s="338"/>
      <c r="LAD1" s="338"/>
      <c r="LAE1" s="338"/>
      <c r="LAF1" s="338"/>
      <c r="LAG1" s="338"/>
      <c r="LAH1" s="338"/>
      <c r="LAI1" s="338"/>
      <c r="LAJ1" s="338"/>
      <c r="LAK1" s="338"/>
      <c r="LAL1" s="338"/>
      <c r="LAM1" s="338"/>
      <c r="LAN1" s="338"/>
      <c r="LAO1" s="338"/>
      <c r="LAP1" s="338"/>
      <c r="LAQ1" s="338"/>
      <c r="LAR1" s="338"/>
      <c r="LAS1" s="338"/>
      <c r="LAT1" s="338"/>
      <c r="LAU1" s="338"/>
      <c r="LAV1" s="338"/>
      <c r="LAW1" s="338"/>
      <c r="LAX1" s="338"/>
      <c r="LAY1" s="338"/>
      <c r="LAZ1" s="338"/>
      <c r="LBA1" s="338"/>
      <c r="LBB1" s="338"/>
      <c r="LBC1" s="338"/>
      <c r="LBD1" s="338"/>
      <c r="LBE1" s="338"/>
      <c r="LBF1" s="338"/>
      <c r="LBG1" s="338"/>
      <c r="LBH1" s="338"/>
      <c r="LBI1" s="338"/>
      <c r="LBJ1" s="338"/>
      <c r="LBK1" s="338"/>
      <c r="LBL1" s="338"/>
      <c r="LBM1" s="338"/>
      <c r="LBN1" s="338"/>
      <c r="LBO1" s="338"/>
      <c r="LBP1" s="338"/>
      <c r="LBQ1" s="338"/>
      <c r="LBR1" s="338"/>
      <c r="LBS1" s="338"/>
      <c r="LBT1" s="338"/>
      <c r="LBU1" s="338"/>
      <c r="LBV1" s="338"/>
      <c r="LBW1" s="338"/>
      <c r="LBX1" s="338"/>
      <c r="LBY1" s="338"/>
      <c r="LBZ1" s="338"/>
      <c r="LCA1" s="338"/>
      <c r="LCB1" s="338"/>
      <c r="LCC1" s="338"/>
      <c r="LCD1" s="338"/>
      <c r="LCE1" s="338"/>
      <c r="LCF1" s="338"/>
      <c r="LCG1" s="338"/>
      <c r="LCH1" s="338"/>
      <c r="LCI1" s="338"/>
      <c r="LCJ1" s="338"/>
      <c r="LCK1" s="338"/>
      <c r="LCL1" s="338"/>
      <c r="LCM1" s="338"/>
      <c r="LCN1" s="338"/>
      <c r="LCO1" s="338"/>
      <c r="LCP1" s="338"/>
      <c r="LCQ1" s="338"/>
      <c r="LCR1" s="338"/>
      <c r="LCS1" s="338"/>
      <c r="LCT1" s="338"/>
      <c r="LCU1" s="338"/>
      <c r="LCV1" s="338"/>
      <c r="LCW1" s="338"/>
      <c r="LCX1" s="338"/>
      <c r="LCY1" s="338"/>
      <c r="LCZ1" s="338"/>
      <c r="LDA1" s="338"/>
      <c r="LDB1" s="338"/>
      <c r="LDC1" s="338"/>
      <c r="LDD1" s="338"/>
      <c r="LDE1" s="338"/>
      <c r="LDF1" s="338"/>
      <c r="LDG1" s="338"/>
      <c r="LDH1" s="338"/>
      <c r="LDI1" s="338"/>
      <c r="LDJ1" s="338"/>
      <c r="LDK1" s="338"/>
      <c r="LDL1" s="338"/>
      <c r="LDM1" s="338"/>
      <c r="LDN1" s="338"/>
      <c r="LDO1" s="338"/>
      <c r="LDP1" s="338"/>
      <c r="LDQ1" s="338"/>
      <c r="LDR1" s="338"/>
      <c r="LDS1" s="338"/>
      <c r="LDT1" s="338"/>
      <c r="LDU1" s="338"/>
      <c r="LDV1" s="338"/>
      <c r="LDW1" s="338"/>
      <c r="LDX1" s="338"/>
      <c r="LDY1" s="338"/>
      <c r="LDZ1" s="338"/>
      <c r="LEA1" s="338"/>
      <c r="LEB1" s="338"/>
      <c r="LEC1" s="338"/>
      <c r="LED1" s="338"/>
      <c r="LEE1" s="338"/>
      <c r="LEF1" s="338"/>
      <c r="LEG1" s="338"/>
      <c r="LEH1" s="338"/>
      <c r="LEI1" s="338"/>
      <c r="LEJ1" s="338"/>
      <c r="LEK1" s="338"/>
      <c r="LEL1" s="338"/>
      <c r="LEM1" s="338"/>
      <c r="LEN1" s="338"/>
      <c r="LEO1" s="338"/>
      <c r="LEP1" s="338"/>
      <c r="LEQ1" s="338"/>
      <c r="LER1" s="338"/>
      <c r="LES1" s="338"/>
      <c r="LET1" s="338"/>
      <c r="LEU1" s="338"/>
      <c r="LEV1" s="338"/>
      <c r="LEW1" s="338"/>
      <c r="LEX1" s="338"/>
      <c r="LEY1" s="338"/>
      <c r="LEZ1" s="338"/>
      <c r="LFA1" s="338"/>
      <c r="LFB1" s="338"/>
      <c r="LFC1" s="338"/>
      <c r="LFD1" s="338"/>
      <c r="LFE1" s="338"/>
      <c r="LFF1" s="338"/>
      <c r="LFG1" s="338"/>
      <c r="LFH1" s="338"/>
      <c r="LFI1" s="338"/>
      <c r="LFJ1" s="338"/>
      <c r="LFK1" s="338"/>
      <c r="LFL1" s="338"/>
      <c r="LFM1" s="338"/>
      <c r="LFN1" s="338"/>
      <c r="LFO1" s="338"/>
      <c r="LFP1" s="338"/>
      <c r="LFQ1" s="338"/>
      <c r="LFR1" s="338"/>
      <c r="LFS1" s="338"/>
      <c r="LFT1" s="338"/>
      <c r="LFU1" s="338"/>
      <c r="LFV1" s="338"/>
      <c r="LFW1" s="338"/>
      <c r="LFX1" s="338"/>
      <c r="LFY1" s="338"/>
      <c r="LFZ1" s="338"/>
      <c r="LGA1" s="338"/>
      <c r="LGB1" s="338"/>
      <c r="LGC1" s="338"/>
      <c r="LGD1" s="338"/>
      <c r="LGE1" s="338"/>
      <c r="LGF1" s="338"/>
      <c r="LGG1" s="338"/>
      <c r="LGH1" s="338"/>
      <c r="LGI1" s="338"/>
      <c r="LGJ1" s="338"/>
      <c r="LGK1" s="338"/>
      <c r="LGL1" s="338"/>
      <c r="LGM1" s="338"/>
      <c r="LGN1" s="338"/>
      <c r="LGO1" s="338"/>
      <c r="LGP1" s="338"/>
      <c r="LGQ1" s="338"/>
      <c r="LGR1" s="338"/>
      <c r="LGS1" s="338"/>
      <c r="LGT1" s="338"/>
      <c r="LGU1" s="338"/>
      <c r="LGV1" s="338"/>
      <c r="LGW1" s="338"/>
      <c r="LGX1" s="338"/>
      <c r="LGY1" s="338"/>
      <c r="LGZ1" s="338"/>
      <c r="LHA1" s="338"/>
      <c r="LHB1" s="338"/>
      <c r="LHC1" s="338"/>
      <c r="LHD1" s="338"/>
      <c r="LHE1" s="338"/>
      <c r="LHF1" s="338"/>
      <c r="LHG1" s="338"/>
      <c r="LHH1" s="338"/>
      <c r="LHI1" s="338"/>
      <c r="LHJ1" s="338"/>
      <c r="LHK1" s="338"/>
      <c r="LHL1" s="338"/>
      <c r="LHM1" s="338"/>
      <c r="LHN1" s="338"/>
      <c r="LHO1" s="338"/>
      <c r="LHP1" s="338"/>
      <c r="LHQ1" s="338"/>
      <c r="LHR1" s="338"/>
      <c r="LHS1" s="338"/>
      <c r="LHT1" s="338"/>
      <c r="LHU1" s="338"/>
      <c r="LHV1" s="338"/>
      <c r="LHW1" s="338"/>
      <c r="LHX1" s="338"/>
      <c r="LHY1" s="338"/>
      <c r="LHZ1" s="338"/>
      <c r="LIA1" s="338"/>
      <c r="LIB1" s="338"/>
      <c r="LIC1" s="338"/>
      <c r="LID1" s="338"/>
      <c r="LIE1" s="338"/>
      <c r="LIF1" s="338"/>
      <c r="LIG1" s="338"/>
      <c r="LIH1" s="338"/>
      <c r="LII1" s="338"/>
      <c r="LIJ1" s="338"/>
      <c r="LIK1" s="338"/>
      <c r="LIL1" s="338"/>
      <c r="LIM1" s="338"/>
      <c r="LIN1" s="338"/>
      <c r="LIO1" s="338"/>
      <c r="LIP1" s="338"/>
      <c r="LIQ1" s="338"/>
      <c r="LIR1" s="338"/>
      <c r="LIS1" s="338"/>
      <c r="LIT1" s="338"/>
      <c r="LIU1" s="338"/>
      <c r="LIV1" s="338"/>
      <c r="LIW1" s="338"/>
      <c r="LIX1" s="338"/>
      <c r="LIY1" s="338"/>
      <c r="LIZ1" s="338"/>
      <c r="LJA1" s="338"/>
      <c r="LJB1" s="338"/>
      <c r="LJC1" s="338"/>
      <c r="LJD1" s="338"/>
      <c r="LJE1" s="338"/>
      <c r="LJF1" s="338"/>
      <c r="LJG1" s="338"/>
      <c r="LJH1" s="338"/>
      <c r="LJI1" s="338"/>
      <c r="LJJ1" s="338"/>
      <c r="LJK1" s="338"/>
      <c r="LJL1" s="338"/>
      <c r="LJM1" s="338"/>
      <c r="LJN1" s="338"/>
      <c r="LJO1" s="338"/>
      <c r="LJP1" s="338"/>
      <c r="LJQ1" s="338"/>
      <c r="LJR1" s="338"/>
      <c r="LJS1" s="338"/>
      <c r="LJT1" s="338"/>
      <c r="LJU1" s="338"/>
      <c r="LJV1" s="338"/>
      <c r="LJW1" s="338"/>
      <c r="LJX1" s="338"/>
      <c r="LJY1" s="338"/>
      <c r="LJZ1" s="338"/>
      <c r="LKA1" s="338"/>
      <c r="LKB1" s="338"/>
      <c r="LKC1" s="338"/>
      <c r="LKD1" s="338"/>
      <c r="LKE1" s="338"/>
      <c r="LKF1" s="338"/>
      <c r="LKG1" s="338"/>
      <c r="LKH1" s="338"/>
      <c r="LKI1" s="338"/>
      <c r="LKJ1" s="338"/>
      <c r="LKK1" s="338"/>
      <c r="LKL1" s="338"/>
      <c r="LKM1" s="338"/>
      <c r="LKN1" s="338"/>
      <c r="LKO1" s="338"/>
      <c r="LKP1" s="338"/>
      <c r="LKQ1" s="338"/>
      <c r="LKR1" s="338"/>
      <c r="LKS1" s="338"/>
      <c r="LKT1" s="338"/>
      <c r="LKU1" s="338"/>
      <c r="LKV1" s="338"/>
      <c r="LKW1" s="338"/>
      <c r="LKX1" s="338"/>
      <c r="LKY1" s="338"/>
      <c r="LKZ1" s="338"/>
      <c r="LLA1" s="338"/>
      <c r="LLB1" s="338"/>
      <c r="LLC1" s="338"/>
      <c r="LLD1" s="338"/>
      <c r="LLE1" s="338"/>
      <c r="LLF1" s="338"/>
      <c r="LLG1" s="338"/>
      <c r="LLH1" s="338"/>
      <c r="LLI1" s="338"/>
      <c r="LLJ1" s="338"/>
      <c r="LLK1" s="338"/>
      <c r="LLL1" s="338"/>
      <c r="LLM1" s="338"/>
      <c r="LLN1" s="338"/>
      <c r="LLO1" s="338"/>
      <c r="LLP1" s="338"/>
      <c r="LLQ1" s="338"/>
      <c r="LLR1" s="338"/>
      <c r="LLS1" s="338"/>
      <c r="LLT1" s="338"/>
      <c r="LLU1" s="338"/>
      <c r="LLV1" s="338"/>
      <c r="LLW1" s="338"/>
      <c r="LLX1" s="338"/>
      <c r="LLY1" s="338"/>
      <c r="LLZ1" s="338"/>
      <c r="LMA1" s="338"/>
      <c r="LMB1" s="338"/>
      <c r="LMC1" s="338"/>
      <c r="LMD1" s="338"/>
      <c r="LME1" s="338"/>
      <c r="LMF1" s="338"/>
      <c r="LMG1" s="338"/>
      <c r="LMH1" s="338"/>
      <c r="LMI1" s="338"/>
      <c r="LMJ1" s="338"/>
      <c r="LMK1" s="338"/>
      <c r="LML1" s="338"/>
      <c r="LMM1" s="338"/>
      <c r="LMN1" s="338"/>
      <c r="LMO1" s="338"/>
      <c r="LMP1" s="338"/>
      <c r="LMQ1" s="338"/>
      <c r="LMR1" s="338"/>
      <c r="LMS1" s="338"/>
      <c r="LMT1" s="338"/>
      <c r="LMU1" s="338"/>
      <c r="LMV1" s="338"/>
      <c r="LMW1" s="338"/>
      <c r="LMX1" s="338"/>
      <c r="LMY1" s="338"/>
      <c r="LMZ1" s="338"/>
      <c r="LNA1" s="338"/>
      <c r="LNB1" s="338"/>
      <c r="LNC1" s="338"/>
      <c r="LND1" s="338"/>
      <c r="LNE1" s="338"/>
      <c r="LNF1" s="338"/>
      <c r="LNG1" s="338"/>
      <c r="LNH1" s="338"/>
      <c r="LNI1" s="338"/>
      <c r="LNJ1" s="338"/>
      <c r="LNK1" s="338"/>
      <c r="LNL1" s="338"/>
      <c r="LNM1" s="338"/>
      <c r="LNN1" s="338"/>
      <c r="LNO1" s="338"/>
      <c r="LNP1" s="338"/>
      <c r="LNQ1" s="338"/>
      <c r="LNR1" s="338"/>
      <c r="LNS1" s="338"/>
      <c r="LNT1" s="338"/>
      <c r="LNU1" s="338"/>
      <c r="LNV1" s="338"/>
      <c r="LNW1" s="338"/>
      <c r="LNX1" s="338"/>
      <c r="LNY1" s="338"/>
      <c r="LNZ1" s="338"/>
      <c r="LOA1" s="338"/>
      <c r="LOB1" s="338"/>
      <c r="LOC1" s="338"/>
      <c r="LOD1" s="338"/>
      <c r="LOE1" s="338"/>
      <c r="LOF1" s="338"/>
      <c r="LOG1" s="338"/>
      <c r="LOH1" s="338"/>
      <c r="LOI1" s="338"/>
      <c r="LOJ1" s="338"/>
      <c r="LOK1" s="338"/>
      <c r="LOL1" s="338"/>
      <c r="LOM1" s="338"/>
      <c r="LON1" s="338"/>
      <c r="LOO1" s="338"/>
      <c r="LOP1" s="338"/>
      <c r="LOQ1" s="338"/>
      <c r="LOR1" s="338"/>
      <c r="LOS1" s="338"/>
      <c r="LOT1" s="338"/>
      <c r="LOU1" s="338"/>
      <c r="LOV1" s="338"/>
      <c r="LOW1" s="338"/>
      <c r="LOX1" s="338"/>
      <c r="LOY1" s="338"/>
      <c r="LOZ1" s="338"/>
      <c r="LPA1" s="338"/>
      <c r="LPB1" s="338"/>
      <c r="LPC1" s="338"/>
      <c r="LPD1" s="338"/>
      <c r="LPE1" s="338"/>
      <c r="LPF1" s="338"/>
      <c r="LPG1" s="338"/>
      <c r="LPH1" s="338"/>
      <c r="LPI1" s="338"/>
      <c r="LPJ1" s="338"/>
      <c r="LPK1" s="338"/>
      <c r="LPL1" s="338"/>
      <c r="LPM1" s="338"/>
      <c r="LPN1" s="338"/>
      <c r="LPO1" s="338"/>
      <c r="LPP1" s="338"/>
      <c r="LPQ1" s="338"/>
      <c r="LPR1" s="338"/>
      <c r="LPS1" s="338"/>
      <c r="LPT1" s="338"/>
      <c r="LPU1" s="338"/>
      <c r="LPV1" s="338"/>
      <c r="LPW1" s="338"/>
      <c r="LPX1" s="338"/>
      <c r="LPY1" s="338"/>
      <c r="LPZ1" s="338"/>
      <c r="LQA1" s="338"/>
      <c r="LQB1" s="338"/>
      <c r="LQC1" s="338"/>
      <c r="LQD1" s="338"/>
      <c r="LQE1" s="338"/>
      <c r="LQF1" s="338"/>
      <c r="LQG1" s="338"/>
      <c r="LQH1" s="338"/>
      <c r="LQI1" s="338"/>
      <c r="LQJ1" s="338"/>
      <c r="LQK1" s="338"/>
      <c r="LQL1" s="338"/>
      <c r="LQM1" s="338"/>
      <c r="LQN1" s="338"/>
      <c r="LQO1" s="338"/>
      <c r="LQP1" s="338"/>
      <c r="LQQ1" s="338"/>
      <c r="LQR1" s="338"/>
      <c r="LQS1" s="338"/>
      <c r="LQT1" s="338"/>
      <c r="LQU1" s="338"/>
      <c r="LQV1" s="338"/>
      <c r="LQW1" s="338"/>
      <c r="LQX1" s="338"/>
      <c r="LQY1" s="338"/>
      <c r="LQZ1" s="338"/>
      <c r="LRA1" s="338"/>
      <c r="LRB1" s="338"/>
      <c r="LRC1" s="338"/>
      <c r="LRD1" s="338"/>
      <c r="LRE1" s="338"/>
      <c r="LRF1" s="338"/>
      <c r="LRG1" s="338"/>
      <c r="LRH1" s="338"/>
      <c r="LRI1" s="338"/>
      <c r="LRJ1" s="338"/>
      <c r="LRK1" s="338"/>
      <c r="LRL1" s="338"/>
      <c r="LRM1" s="338"/>
      <c r="LRN1" s="338"/>
      <c r="LRO1" s="338"/>
      <c r="LRP1" s="338"/>
      <c r="LRQ1" s="338"/>
      <c r="LRR1" s="338"/>
      <c r="LRS1" s="338"/>
      <c r="LRT1" s="338"/>
      <c r="LRU1" s="338"/>
      <c r="LRV1" s="338"/>
      <c r="LRW1" s="338"/>
      <c r="LRX1" s="338"/>
      <c r="LRY1" s="338"/>
      <c r="LRZ1" s="338"/>
      <c r="LSA1" s="338"/>
      <c r="LSB1" s="338"/>
      <c r="LSC1" s="338"/>
      <c r="LSD1" s="338"/>
      <c r="LSE1" s="338"/>
      <c r="LSF1" s="338"/>
      <c r="LSG1" s="338"/>
      <c r="LSH1" s="338"/>
      <c r="LSI1" s="338"/>
      <c r="LSJ1" s="338"/>
      <c r="LSK1" s="338"/>
      <c r="LSL1" s="338"/>
      <c r="LSM1" s="338"/>
      <c r="LSN1" s="338"/>
      <c r="LSO1" s="338"/>
      <c r="LSP1" s="338"/>
      <c r="LSQ1" s="338"/>
      <c r="LSR1" s="338"/>
      <c r="LSS1" s="338"/>
      <c r="LST1" s="338"/>
      <c r="LSU1" s="338"/>
      <c r="LSV1" s="338"/>
      <c r="LSW1" s="338"/>
      <c r="LSX1" s="338"/>
      <c r="LSY1" s="338"/>
      <c r="LSZ1" s="338"/>
      <c r="LTA1" s="338"/>
      <c r="LTB1" s="338"/>
      <c r="LTC1" s="338"/>
      <c r="LTD1" s="338"/>
      <c r="LTE1" s="338"/>
      <c r="LTF1" s="338"/>
      <c r="LTG1" s="338"/>
      <c r="LTH1" s="338"/>
      <c r="LTI1" s="338"/>
      <c r="LTJ1" s="338"/>
      <c r="LTK1" s="338"/>
      <c r="LTL1" s="338"/>
      <c r="LTM1" s="338"/>
      <c r="LTN1" s="338"/>
      <c r="LTO1" s="338"/>
      <c r="LTP1" s="338"/>
      <c r="LTQ1" s="338"/>
      <c r="LTR1" s="338"/>
      <c r="LTS1" s="338"/>
      <c r="LTT1" s="338"/>
      <c r="LTU1" s="338"/>
      <c r="LTV1" s="338"/>
      <c r="LTW1" s="338"/>
      <c r="LTX1" s="338"/>
      <c r="LTY1" s="338"/>
      <c r="LTZ1" s="338"/>
      <c r="LUA1" s="338"/>
      <c r="LUB1" s="338"/>
      <c r="LUC1" s="338"/>
      <c r="LUD1" s="338"/>
      <c r="LUE1" s="338"/>
      <c r="LUF1" s="338"/>
      <c r="LUG1" s="338"/>
      <c r="LUH1" s="338"/>
      <c r="LUI1" s="338"/>
      <c r="LUJ1" s="338"/>
      <c r="LUK1" s="338"/>
      <c r="LUL1" s="338"/>
      <c r="LUM1" s="338"/>
      <c r="LUN1" s="338"/>
      <c r="LUO1" s="338"/>
      <c r="LUP1" s="338"/>
      <c r="LUQ1" s="338"/>
      <c r="LUR1" s="338"/>
      <c r="LUS1" s="338"/>
      <c r="LUT1" s="338"/>
      <c r="LUU1" s="338"/>
      <c r="LUV1" s="338"/>
      <c r="LUW1" s="338"/>
      <c r="LUX1" s="338"/>
      <c r="LUY1" s="338"/>
      <c r="LUZ1" s="338"/>
      <c r="LVA1" s="338"/>
      <c r="LVB1" s="338"/>
      <c r="LVC1" s="338"/>
      <c r="LVD1" s="338"/>
      <c r="LVE1" s="338"/>
      <c r="LVF1" s="338"/>
      <c r="LVG1" s="338"/>
      <c r="LVH1" s="338"/>
      <c r="LVI1" s="338"/>
      <c r="LVJ1" s="338"/>
      <c r="LVK1" s="338"/>
      <c r="LVL1" s="338"/>
      <c r="LVM1" s="338"/>
      <c r="LVN1" s="338"/>
      <c r="LVO1" s="338"/>
      <c r="LVP1" s="338"/>
      <c r="LVQ1" s="338"/>
      <c r="LVR1" s="338"/>
      <c r="LVS1" s="338"/>
      <c r="LVT1" s="338"/>
      <c r="LVU1" s="338"/>
      <c r="LVV1" s="338"/>
      <c r="LVW1" s="338"/>
      <c r="LVX1" s="338"/>
      <c r="LVY1" s="338"/>
      <c r="LVZ1" s="338"/>
      <c r="LWA1" s="338"/>
      <c r="LWB1" s="338"/>
      <c r="LWC1" s="338"/>
      <c r="LWD1" s="338"/>
      <c r="LWE1" s="338"/>
      <c r="LWF1" s="338"/>
      <c r="LWG1" s="338"/>
      <c r="LWH1" s="338"/>
      <c r="LWI1" s="338"/>
      <c r="LWJ1" s="338"/>
      <c r="LWK1" s="338"/>
      <c r="LWL1" s="338"/>
      <c r="LWM1" s="338"/>
      <c r="LWN1" s="338"/>
      <c r="LWO1" s="338"/>
      <c r="LWP1" s="338"/>
      <c r="LWQ1" s="338"/>
      <c r="LWR1" s="338"/>
      <c r="LWS1" s="338"/>
      <c r="LWT1" s="338"/>
      <c r="LWU1" s="338"/>
      <c r="LWV1" s="338"/>
      <c r="LWW1" s="338"/>
      <c r="LWX1" s="338"/>
      <c r="LWY1" s="338"/>
      <c r="LWZ1" s="338"/>
      <c r="LXA1" s="338"/>
      <c r="LXB1" s="338"/>
      <c r="LXC1" s="338"/>
      <c r="LXD1" s="338"/>
      <c r="LXE1" s="338"/>
      <c r="LXF1" s="338"/>
      <c r="LXG1" s="338"/>
      <c r="LXH1" s="338"/>
      <c r="LXI1" s="338"/>
      <c r="LXJ1" s="338"/>
      <c r="LXK1" s="338"/>
      <c r="LXL1" s="338"/>
      <c r="LXM1" s="338"/>
      <c r="LXN1" s="338"/>
      <c r="LXO1" s="338"/>
      <c r="LXP1" s="338"/>
      <c r="LXQ1" s="338"/>
      <c r="LXR1" s="338"/>
      <c r="LXS1" s="338"/>
      <c r="LXT1" s="338"/>
      <c r="LXU1" s="338"/>
      <c r="LXV1" s="338"/>
      <c r="LXW1" s="338"/>
      <c r="LXX1" s="338"/>
      <c r="LXY1" s="338"/>
      <c r="LXZ1" s="338"/>
      <c r="LYA1" s="338"/>
      <c r="LYB1" s="338"/>
      <c r="LYC1" s="338"/>
      <c r="LYD1" s="338"/>
      <c r="LYE1" s="338"/>
      <c r="LYF1" s="338"/>
      <c r="LYG1" s="338"/>
      <c r="LYH1" s="338"/>
      <c r="LYI1" s="338"/>
      <c r="LYJ1" s="338"/>
      <c r="LYK1" s="338"/>
      <c r="LYL1" s="338"/>
      <c r="LYM1" s="338"/>
      <c r="LYN1" s="338"/>
      <c r="LYO1" s="338"/>
      <c r="LYP1" s="338"/>
      <c r="LYQ1" s="338"/>
      <c r="LYR1" s="338"/>
      <c r="LYS1" s="338"/>
      <c r="LYT1" s="338"/>
      <c r="LYU1" s="338"/>
      <c r="LYV1" s="338"/>
      <c r="LYW1" s="338"/>
      <c r="LYX1" s="338"/>
      <c r="LYY1" s="338"/>
      <c r="LYZ1" s="338"/>
      <c r="LZA1" s="338"/>
      <c r="LZB1" s="338"/>
      <c r="LZC1" s="338"/>
      <c r="LZD1" s="338"/>
      <c r="LZE1" s="338"/>
      <c r="LZF1" s="338"/>
      <c r="LZG1" s="338"/>
      <c r="LZH1" s="338"/>
      <c r="LZI1" s="338"/>
      <c r="LZJ1" s="338"/>
      <c r="LZK1" s="338"/>
      <c r="LZL1" s="338"/>
      <c r="LZM1" s="338"/>
      <c r="LZN1" s="338"/>
      <c r="LZO1" s="338"/>
      <c r="LZP1" s="338"/>
      <c r="LZQ1" s="338"/>
      <c r="LZR1" s="338"/>
      <c r="LZS1" s="338"/>
      <c r="LZT1" s="338"/>
      <c r="LZU1" s="338"/>
      <c r="LZV1" s="338"/>
      <c r="LZW1" s="338"/>
      <c r="LZX1" s="338"/>
      <c r="LZY1" s="338"/>
      <c r="LZZ1" s="338"/>
      <c r="MAA1" s="338"/>
      <c r="MAB1" s="338"/>
      <c r="MAC1" s="338"/>
      <c r="MAD1" s="338"/>
      <c r="MAE1" s="338"/>
      <c r="MAF1" s="338"/>
      <c r="MAG1" s="338"/>
      <c r="MAH1" s="338"/>
      <c r="MAI1" s="338"/>
      <c r="MAJ1" s="338"/>
      <c r="MAK1" s="338"/>
      <c r="MAL1" s="338"/>
      <c r="MAM1" s="338"/>
      <c r="MAN1" s="338"/>
      <c r="MAO1" s="338"/>
      <c r="MAP1" s="338"/>
      <c r="MAQ1" s="338"/>
      <c r="MAR1" s="338"/>
      <c r="MAS1" s="338"/>
      <c r="MAT1" s="338"/>
      <c r="MAU1" s="338"/>
      <c r="MAV1" s="338"/>
      <c r="MAW1" s="338"/>
      <c r="MAX1" s="338"/>
      <c r="MAY1" s="338"/>
      <c r="MAZ1" s="338"/>
      <c r="MBA1" s="338"/>
      <c r="MBB1" s="338"/>
      <c r="MBC1" s="338"/>
      <c r="MBD1" s="338"/>
      <c r="MBE1" s="338"/>
      <c r="MBF1" s="338"/>
      <c r="MBG1" s="338"/>
      <c r="MBH1" s="338"/>
      <c r="MBI1" s="338"/>
      <c r="MBJ1" s="338"/>
      <c r="MBK1" s="338"/>
      <c r="MBL1" s="338"/>
      <c r="MBM1" s="338"/>
      <c r="MBN1" s="338"/>
      <c r="MBO1" s="338"/>
      <c r="MBP1" s="338"/>
      <c r="MBQ1" s="338"/>
      <c r="MBR1" s="338"/>
      <c r="MBS1" s="338"/>
      <c r="MBT1" s="338"/>
      <c r="MBU1" s="338"/>
      <c r="MBV1" s="338"/>
      <c r="MBW1" s="338"/>
      <c r="MBX1" s="338"/>
      <c r="MBY1" s="338"/>
      <c r="MBZ1" s="338"/>
      <c r="MCA1" s="338"/>
      <c r="MCB1" s="338"/>
      <c r="MCC1" s="338"/>
      <c r="MCD1" s="338"/>
      <c r="MCE1" s="338"/>
      <c r="MCF1" s="338"/>
      <c r="MCG1" s="338"/>
      <c r="MCH1" s="338"/>
      <c r="MCI1" s="338"/>
      <c r="MCJ1" s="338"/>
      <c r="MCK1" s="338"/>
      <c r="MCL1" s="338"/>
      <c r="MCM1" s="338"/>
      <c r="MCN1" s="338"/>
      <c r="MCO1" s="338"/>
      <c r="MCP1" s="338"/>
      <c r="MCQ1" s="338"/>
      <c r="MCR1" s="338"/>
      <c r="MCS1" s="338"/>
      <c r="MCT1" s="338"/>
      <c r="MCU1" s="338"/>
      <c r="MCV1" s="338"/>
      <c r="MCW1" s="338"/>
      <c r="MCX1" s="338"/>
      <c r="MCY1" s="338"/>
      <c r="MCZ1" s="338"/>
      <c r="MDA1" s="338"/>
      <c r="MDB1" s="338"/>
      <c r="MDC1" s="338"/>
      <c r="MDD1" s="338"/>
      <c r="MDE1" s="338"/>
      <c r="MDF1" s="338"/>
      <c r="MDG1" s="338"/>
      <c r="MDH1" s="338"/>
      <c r="MDI1" s="338"/>
      <c r="MDJ1" s="338"/>
      <c r="MDK1" s="338"/>
      <c r="MDL1" s="338"/>
      <c r="MDM1" s="338"/>
      <c r="MDN1" s="338"/>
      <c r="MDO1" s="338"/>
      <c r="MDP1" s="338"/>
      <c r="MDQ1" s="338"/>
      <c r="MDR1" s="338"/>
      <c r="MDS1" s="338"/>
      <c r="MDT1" s="338"/>
      <c r="MDU1" s="338"/>
      <c r="MDV1" s="338"/>
      <c r="MDW1" s="338"/>
      <c r="MDX1" s="338"/>
      <c r="MDY1" s="338"/>
      <c r="MDZ1" s="338"/>
      <c r="MEA1" s="338"/>
      <c r="MEB1" s="338"/>
      <c r="MEC1" s="338"/>
      <c r="MED1" s="338"/>
      <c r="MEE1" s="338"/>
      <c r="MEF1" s="338"/>
      <c r="MEG1" s="338"/>
      <c r="MEH1" s="338"/>
      <c r="MEI1" s="338"/>
      <c r="MEJ1" s="338"/>
      <c r="MEK1" s="338"/>
      <c r="MEL1" s="338"/>
      <c r="MEM1" s="338"/>
      <c r="MEN1" s="338"/>
      <c r="MEO1" s="338"/>
      <c r="MEP1" s="338"/>
      <c r="MEQ1" s="338"/>
      <c r="MER1" s="338"/>
      <c r="MES1" s="338"/>
      <c r="MET1" s="338"/>
      <c r="MEU1" s="338"/>
      <c r="MEV1" s="338"/>
      <c r="MEW1" s="338"/>
      <c r="MEX1" s="338"/>
      <c r="MEY1" s="338"/>
      <c r="MEZ1" s="338"/>
      <c r="MFA1" s="338"/>
      <c r="MFB1" s="338"/>
      <c r="MFC1" s="338"/>
      <c r="MFD1" s="338"/>
      <c r="MFE1" s="338"/>
      <c r="MFF1" s="338"/>
      <c r="MFG1" s="338"/>
      <c r="MFH1" s="338"/>
      <c r="MFI1" s="338"/>
      <c r="MFJ1" s="338"/>
      <c r="MFK1" s="338"/>
      <c r="MFL1" s="338"/>
      <c r="MFM1" s="338"/>
      <c r="MFN1" s="338"/>
      <c r="MFO1" s="338"/>
      <c r="MFP1" s="338"/>
      <c r="MFQ1" s="338"/>
      <c r="MFR1" s="338"/>
      <c r="MFS1" s="338"/>
      <c r="MFT1" s="338"/>
      <c r="MFU1" s="338"/>
      <c r="MFV1" s="338"/>
      <c r="MFW1" s="338"/>
      <c r="MFX1" s="338"/>
      <c r="MFY1" s="338"/>
      <c r="MFZ1" s="338"/>
      <c r="MGA1" s="338"/>
      <c r="MGB1" s="338"/>
      <c r="MGC1" s="338"/>
      <c r="MGD1" s="338"/>
      <c r="MGE1" s="338"/>
      <c r="MGF1" s="338"/>
      <c r="MGG1" s="338"/>
      <c r="MGH1" s="338"/>
      <c r="MGI1" s="338"/>
      <c r="MGJ1" s="338"/>
      <c r="MGK1" s="338"/>
      <c r="MGL1" s="338"/>
      <c r="MGM1" s="338"/>
      <c r="MGN1" s="338"/>
      <c r="MGO1" s="338"/>
      <c r="MGP1" s="338"/>
      <c r="MGQ1" s="338"/>
      <c r="MGR1" s="338"/>
      <c r="MGS1" s="338"/>
      <c r="MGT1" s="338"/>
      <c r="MGU1" s="338"/>
      <c r="MGV1" s="338"/>
      <c r="MGW1" s="338"/>
      <c r="MGX1" s="338"/>
      <c r="MGY1" s="338"/>
      <c r="MGZ1" s="338"/>
      <c r="MHA1" s="338"/>
      <c r="MHB1" s="338"/>
      <c r="MHC1" s="338"/>
      <c r="MHD1" s="338"/>
      <c r="MHE1" s="338"/>
      <c r="MHF1" s="338"/>
      <c r="MHG1" s="338"/>
      <c r="MHH1" s="338"/>
      <c r="MHI1" s="338"/>
      <c r="MHJ1" s="338"/>
      <c r="MHK1" s="338"/>
      <c r="MHL1" s="338"/>
      <c r="MHM1" s="338"/>
      <c r="MHN1" s="338"/>
      <c r="MHO1" s="338"/>
      <c r="MHP1" s="338"/>
      <c r="MHQ1" s="338"/>
      <c r="MHR1" s="338"/>
      <c r="MHS1" s="338"/>
      <c r="MHT1" s="338"/>
      <c r="MHU1" s="338"/>
      <c r="MHV1" s="338"/>
      <c r="MHW1" s="338"/>
      <c r="MHX1" s="338"/>
      <c r="MHY1" s="338"/>
      <c r="MHZ1" s="338"/>
      <c r="MIA1" s="338"/>
      <c r="MIB1" s="338"/>
      <c r="MIC1" s="338"/>
      <c r="MID1" s="338"/>
      <c r="MIE1" s="338"/>
      <c r="MIF1" s="338"/>
      <c r="MIG1" s="338"/>
      <c r="MIH1" s="338"/>
      <c r="MII1" s="338"/>
      <c r="MIJ1" s="338"/>
      <c r="MIK1" s="338"/>
      <c r="MIL1" s="338"/>
      <c r="MIM1" s="338"/>
      <c r="MIN1" s="338"/>
      <c r="MIO1" s="338"/>
      <c r="MIP1" s="338"/>
      <c r="MIQ1" s="338"/>
      <c r="MIR1" s="338"/>
      <c r="MIS1" s="338"/>
      <c r="MIT1" s="338"/>
      <c r="MIU1" s="338"/>
      <c r="MIV1" s="338"/>
      <c r="MIW1" s="338"/>
      <c r="MIX1" s="338"/>
      <c r="MIY1" s="338"/>
      <c r="MIZ1" s="338"/>
      <c r="MJA1" s="338"/>
      <c r="MJB1" s="338"/>
      <c r="MJC1" s="338"/>
      <c r="MJD1" s="338"/>
      <c r="MJE1" s="338"/>
      <c r="MJF1" s="338"/>
      <c r="MJG1" s="338"/>
      <c r="MJH1" s="338"/>
      <c r="MJI1" s="338"/>
      <c r="MJJ1" s="338"/>
      <c r="MJK1" s="338"/>
      <c r="MJL1" s="338"/>
      <c r="MJM1" s="338"/>
      <c r="MJN1" s="338"/>
      <c r="MJO1" s="338"/>
      <c r="MJP1" s="338"/>
      <c r="MJQ1" s="338"/>
      <c r="MJR1" s="338"/>
      <c r="MJS1" s="338"/>
      <c r="MJT1" s="338"/>
      <c r="MJU1" s="338"/>
      <c r="MJV1" s="338"/>
      <c r="MJW1" s="338"/>
      <c r="MJX1" s="338"/>
      <c r="MJY1" s="338"/>
      <c r="MJZ1" s="338"/>
      <c r="MKA1" s="338"/>
      <c r="MKB1" s="338"/>
      <c r="MKC1" s="338"/>
      <c r="MKD1" s="338"/>
      <c r="MKE1" s="338"/>
      <c r="MKF1" s="338"/>
      <c r="MKG1" s="338"/>
      <c r="MKH1" s="338"/>
      <c r="MKI1" s="338"/>
      <c r="MKJ1" s="338"/>
      <c r="MKK1" s="338"/>
      <c r="MKL1" s="338"/>
      <c r="MKM1" s="338"/>
      <c r="MKN1" s="338"/>
      <c r="MKO1" s="338"/>
      <c r="MKP1" s="338"/>
      <c r="MKQ1" s="338"/>
      <c r="MKR1" s="338"/>
      <c r="MKS1" s="338"/>
      <c r="MKT1" s="338"/>
      <c r="MKU1" s="338"/>
      <c r="MKV1" s="338"/>
      <c r="MKW1" s="338"/>
      <c r="MKX1" s="338"/>
      <c r="MKY1" s="338"/>
      <c r="MKZ1" s="338"/>
      <c r="MLA1" s="338"/>
      <c r="MLB1" s="338"/>
      <c r="MLC1" s="338"/>
      <c r="MLD1" s="338"/>
      <c r="MLE1" s="338"/>
      <c r="MLF1" s="338"/>
      <c r="MLG1" s="338"/>
      <c r="MLH1" s="338"/>
      <c r="MLI1" s="338"/>
      <c r="MLJ1" s="338"/>
      <c r="MLK1" s="338"/>
      <c r="MLL1" s="338"/>
      <c r="MLM1" s="338"/>
      <c r="MLN1" s="338"/>
      <c r="MLO1" s="338"/>
      <c r="MLP1" s="338"/>
      <c r="MLQ1" s="338"/>
      <c r="MLR1" s="338"/>
      <c r="MLS1" s="338"/>
      <c r="MLT1" s="338"/>
      <c r="MLU1" s="338"/>
      <c r="MLV1" s="338"/>
      <c r="MLW1" s="338"/>
      <c r="MLX1" s="338"/>
      <c r="MLY1" s="338"/>
      <c r="MLZ1" s="338"/>
      <c r="MMA1" s="338"/>
      <c r="MMB1" s="338"/>
      <c r="MMC1" s="338"/>
      <c r="MMD1" s="338"/>
      <c r="MME1" s="338"/>
      <c r="MMF1" s="338"/>
      <c r="MMG1" s="338"/>
      <c r="MMH1" s="338"/>
      <c r="MMI1" s="338"/>
      <c r="MMJ1" s="338"/>
      <c r="MMK1" s="338"/>
      <c r="MML1" s="338"/>
      <c r="MMM1" s="338"/>
      <c r="MMN1" s="338"/>
      <c r="MMO1" s="338"/>
      <c r="MMP1" s="338"/>
      <c r="MMQ1" s="338"/>
      <c r="MMR1" s="338"/>
      <c r="MMS1" s="338"/>
      <c r="MMT1" s="338"/>
      <c r="MMU1" s="338"/>
      <c r="MMV1" s="338"/>
      <c r="MMW1" s="338"/>
      <c r="MMX1" s="338"/>
      <c r="MMY1" s="338"/>
      <c r="MMZ1" s="338"/>
      <c r="MNA1" s="338"/>
      <c r="MNB1" s="338"/>
      <c r="MNC1" s="338"/>
      <c r="MND1" s="338"/>
      <c r="MNE1" s="338"/>
      <c r="MNF1" s="338"/>
      <c r="MNG1" s="338"/>
      <c r="MNH1" s="338"/>
      <c r="MNI1" s="338"/>
      <c r="MNJ1" s="338"/>
      <c r="MNK1" s="338"/>
      <c r="MNL1" s="338"/>
      <c r="MNM1" s="338"/>
      <c r="MNN1" s="338"/>
      <c r="MNO1" s="338"/>
      <c r="MNP1" s="338"/>
      <c r="MNQ1" s="338"/>
      <c r="MNR1" s="338"/>
      <c r="MNS1" s="338"/>
      <c r="MNT1" s="338"/>
      <c r="MNU1" s="338"/>
      <c r="MNV1" s="338"/>
      <c r="MNW1" s="338"/>
      <c r="MNX1" s="338"/>
      <c r="MNY1" s="338"/>
      <c r="MNZ1" s="338"/>
      <c r="MOA1" s="338"/>
      <c r="MOB1" s="338"/>
      <c r="MOC1" s="338"/>
      <c r="MOD1" s="338"/>
      <c r="MOE1" s="338"/>
      <c r="MOF1" s="338"/>
      <c r="MOG1" s="338"/>
      <c r="MOH1" s="338"/>
      <c r="MOI1" s="338"/>
      <c r="MOJ1" s="338"/>
      <c r="MOK1" s="338"/>
      <c r="MOL1" s="338"/>
      <c r="MOM1" s="338"/>
      <c r="MON1" s="338"/>
      <c r="MOO1" s="338"/>
      <c r="MOP1" s="338"/>
      <c r="MOQ1" s="338"/>
      <c r="MOR1" s="338"/>
      <c r="MOS1" s="338"/>
      <c r="MOT1" s="338"/>
      <c r="MOU1" s="338"/>
      <c r="MOV1" s="338"/>
      <c r="MOW1" s="338"/>
      <c r="MOX1" s="338"/>
      <c r="MOY1" s="338"/>
      <c r="MOZ1" s="338"/>
      <c r="MPA1" s="338"/>
      <c r="MPB1" s="338"/>
      <c r="MPC1" s="338"/>
      <c r="MPD1" s="338"/>
      <c r="MPE1" s="338"/>
      <c r="MPF1" s="338"/>
      <c r="MPG1" s="338"/>
      <c r="MPH1" s="338"/>
      <c r="MPI1" s="338"/>
      <c r="MPJ1" s="338"/>
      <c r="MPK1" s="338"/>
      <c r="MPL1" s="338"/>
      <c r="MPM1" s="338"/>
      <c r="MPN1" s="338"/>
      <c r="MPO1" s="338"/>
      <c r="MPP1" s="338"/>
      <c r="MPQ1" s="338"/>
      <c r="MPR1" s="338"/>
      <c r="MPS1" s="338"/>
      <c r="MPT1" s="338"/>
      <c r="MPU1" s="338"/>
      <c r="MPV1" s="338"/>
      <c r="MPW1" s="338"/>
      <c r="MPX1" s="338"/>
      <c r="MPY1" s="338"/>
      <c r="MPZ1" s="338"/>
      <c r="MQA1" s="338"/>
      <c r="MQB1" s="338"/>
      <c r="MQC1" s="338"/>
      <c r="MQD1" s="338"/>
      <c r="MQE1" s="338"/>
      <c r="MQF1" s="338"/>
      <c r="MQG1" s="338"/>
      <c r="MQH1" s="338"/>
      <c r="MQI1" s="338"/>
      <c r="MQJ1" s="338"/>
      <c r="MQK1" s="338"/>
      <c r="MQL1" s="338"/>
      <c r="MQM1" s="338"/>
      <c r="MQN1" s="338"/>
      <c r="MQO1" s="338"/>
      <c r="MQP1" s="338"/>
      <c r="MQQ1" s="338"/>
      <c r="MQR1" s="338"/>
      <c r="MQS1" s="338"/>
      <c r="MQT1" s="338"/>
      <c r="MQU1" s="338"/>
      <c r="MQV1" s="338"/>
      <c r="MQW1" s="338"/>
      <c r="MQX1" s="338"/>
      <c r="MQY1" s="338"/>
      <c r="MQZ1" s="338"/>
      <c r="MRA1" s="338"/>
      <c r="MRB1" s="338"/>
      <c r="MRC1" s="338"/>
      <c r="MRD1" s="338"/>
      <c r="MRE1" s="338"/>
      <c r="MRF1" s="338"/>
      <c r="MRG1" s="338"/>
      <c r="MRH1" s="338"/>
      <c r="MRI1" s="338"/>
      <c r="MRJ1" s="338"/>
      <c r="MRK1" s="338"/>
      <c r="MRL1" s="338"/>
      <c r="MRM1" s="338"/>
      <c r="MRN1" s="338"/>
      <c r="MRO1" s="338"/>
      <c r="MRP1" s="338"/>
      <c r="MRQ1" s="338"/>
      <c r="MRR1" s="338"/>
      <c r="MRS1" s="338"/>
      <c r="MRT1" s="338"/>
      <c r="MRU1" s="338"/>
      <c r="MRV1" s="338"/>
      <c r="MRW1" s="338"/>
      <c r="MRX1" s="338"/>
      <c r="MRY1" s="338"/>
      <c r="MRZ1" s="338"/>
      <c r="MSA1" s="338"/>
      <c r="MSB1" s="338"/>
      <c r="MSC1" s="338"/>
      <c r="MSD1" s="338"/>
      <c r="MSE1" s="338"/>
      <c r="MSF1" s="338"/>
      <c r="MSG1" s="338"/>
      <c r="MSH1" s="338"/>
      <c r="MSI1" s="338"/>
      <c r="MSJ1" s="338"/>
      <c r="MSK1" s="338"/>
      <c r="MSL1" s="338"/>
      <c r="MSM1" s="338"/>
      <c r="MSN1" s="338"/>
      <c r="MSO1" s="338"/>
      <c r="MSP1" s="338"/>
      <c r="MSQ1" s="338"/>
      <c r="MSR1" s="338"/>
      <c r="MSS1" s="338"/>
      <c r="MST1" s="338"/>
      <c r="MSU1" s="338"/>
      <c r="MSV1" s="338"/>
      <c r="MSW1" s="338"/>
      <c r="MSX1" s="338"/>
      <c r="MSY1" s="338"/>
      <c r="MSZ1" s="338"/>
      <c r="MTA1" s="338"/>
      <c r="MTB1" s="338"/>
      <c r="MTC1" s="338"/>
      <c r="MTD1" s="338"/>
      <c r="MTE1" s="338"/>
      <c r="MTF1" s="338"/>
      <c r="MTG1" s="338"/>
      <c r="MTH1" s="338"/>
      <c r="MTI1" s="338"/>
      <c r="MTJ1" s="338"/>
      <c r="MTK1" s="338"/>
      <c r="MTL1" s="338"/>
      <c r="MTM1" s="338"/>
      <c r="MTN1" s="338"/>
      <c r="MTO1" s="338"/>
      <c r="MTP1" s="338"/>
      <c r="MTQ1" s="338"/>
      <c r="MTR1" s="338"/>
      <c r="MTS1" s="338"/>
      <c r="MTT1" s="338"/>
      <c r="MTU1" s="338"/>
      <c r="MTV1" s="338"/>
      <c r="MTW1" s="338"/>
      <c r="MTX1" s="338"/>
      <c r="MTY1" s="338"/>
      <c r="MTZ1" s="338"/>
      <c r="MUA1" s="338"/>
      <c r="MUB1" s="338"/>
      <c r="MUC1" s="338"/>
      <c r="MUD1" s="338"/>
      <c r="MUE1" s="338"/>
      <c r="MUF1" s="338"/>
      <c r="MUG1" s="338"/>
      <c r="MUH1" s="338"/>
      <c r="MUI1" s="338"/>
      <c r="MUJ1" s="338"/>
      <c r="MUK1" s="338"/>
      <c r="MUL1" s="338"/>
      <c r="MUM1" s="338"/>
      <c r="MUN1" s="338"/>
      <c r="MUO1" s="338"/>
      <c r="MUP1" s="338"/>
      <c r="MUQ1" s="338"/>
      <c r="MUR1" s="338"/>
      <c r="MUS1" s="338"/>
      <c r="MUT1" s="338"/>
      <c r="MUU1" s="338"/>
      <c r="MUV1" s="338"/>
      <c r="MUW1" s="338"/>
      <c r="MUX1" s="338"/>
      <c r="MUY1" s="338"/>
      <c r="MUZ1" s="338"/>
      <c r="MVA1" s="338"/>
      <c r="MVB1" s="338"/>
      <c r="MVC1" s="338"/>
      <c r="MVD1" s="338"/>
      <c r="MVE1" s="338"/>
      <c r="MVF1" s="338"/>
      <c r="MVG1" s="338"/>
      <c r="MVH1" s="338"/>
      <c r="MVI1" s="338"/>
      <c r="MVJ1" s="338"/>
      <c r="MVK1" s="338"/>
      <c r="MVL1" s="338"/>
      <c r="MVM1" s="338"/>
      <c r="MVN1" s="338"/>
      <c r="MVO1" s="338"/>
      <c r="MVP1" s="338"/>
      <c r="MVQ1" s="338"/>
      <c r="MVR1" s="338"/>
      <c r="MVS1" s="338"/>
      <c r="MVT1" s="338"/>
      <c r="MVU1" s="338"/>
      <c r="MVV1" s="338"/>
      <c r="MVW1" s="338"/>
      <c r="MVX1" s="338"/>
      <c r="MVY1" s="338"/>
      <c r="MVZ1" s="338"/>
      <c r="MWA1" s="338"/>
      <c r="MWB1" s="338"/>
      <c r="MWC1" s="338"/>
      <c r="MWD1" s="338"/>
      <c r="MWE1" s="338"/>
      <c r="MWF1" s="338"/>
      <c r="MWG1" s="338"/>
      <c r="MWH1" s="338"/>
      <c r="MWI1" s="338"/>
      <c r="MWJ1" s="338"/>
      <c r="MWK1" s="338"/>
      <c r="MWL1" s="338"/>
      <c r="MWM1" s="338"/>
      <c r="MWN1" s="338"/>
      <c r="MWO1" s="338"/>
      <c r="MWP1" s="338"/>
      <c r="MWQ1" s="338"/>
      <c r="MWR1" s="338"/>
      <c r="MWS1" s="338"/>
      <c r="MWT1" s="338"/>
      <c r="MWU1" s="338"/>
      <c r="MWV1" s="338"/>
      <c r="MWW1" s="338"/>
      <c r="MWX1" s="338"/>
      <c r="MWY1" s="338"/>
      <c r="MWZ1" s="338"/>
      <c r="MXA1" s="338"/>
      <c r="MXB1" s="338"/>
      <c r="MXC1" s="338"/>
      <c r="MXD1" s="338"/>
      <c r="MXE1" s="338"/>
      <c r="MXF1" s="338"/>
      <c r="MXG1" s="338"/>
      <c r="MXH1" s="338"/>
      <c r="MXI1" s="338"/>
      <c r="MXJ1" s="338"/>
      <c r="MXK1" s="338"/>
      <c r="MXL1" s="338"/>
      <c r="MXM1" s="338"/>
      <c r="MXN1" s="338"/>
      <c r="MXO1" s="338"/>
      <c r="MXP1" s="338"/>
      <c r="MXQ1" s="338"/>
      <c r="MXR1" s="338"/>
      <c r="MXS1" s="338"/>
      <c r="MXT1" s="338"/>
      <c r="MXU1" s="338"/>
      <c r="MXV1" s="338"/>
      <c r="MXW1" s="338"/>
      <c r="MXX1" s="338"/>
      <c r="MXY1" s="338"/>
      <c r="MXZ1" s="338"/>
      <c r="MYA1" s="338"/>
      <c r="MYB1" s="338"/>
      <c r="MYC1" s="338"/>
      <c r="MYD1" s="338"/>
      <c r="MYE1" s="338"/>
      <c r="MYF1" s="338"/>
      <c r="MYG1" s="338"/>
      <c r="MYH1" s="338"/>
      <c r="MYI1" s="338"/>
      <c r="MYJ1" s="338"/>
      <c r="MYK1" s="338"/>
      <c r="MYL1" s="338"/>
      <c r="MYM1" s="338"/>
      <c r="MYN1" s="338"/>
      <c r="MYO1" s="338"/>
      <c r="MYP1" s="338"/>
      <c r="MYQ1" s="338"/>
      <c r="MYR1" s="338"/>
      <c r="MYS1" s="338"/>
      <c r="MYT1" s="338"/>
      <c r="MYU1" s="338"/>
      <c r="MYV1" s="338"/>
      <c r="MYW1" s="338"/>
      <c r="MYX1" s="338"/>
      <c r="MYY1" s="338"/>
      <c r="MYZ1" s="338"/>
      <c r="MZA1" s="338"/>
      <c r="MZB1" s="338"/>
      <c r="MZC1" s="338"/>
      <c r="MZD1" s="338"/>
      <c r="MZE1" s="338"/>
      <c r="MZF1" s="338"/>
      <c r="MZG1" s="338"/>
      <c r="MZH1" s="338"/>
      <c r="MZI1" s="338"/>
      <c r="MZJ1" s="338"/>
      <c r="MZK1" s="338"/>
      <c r="MZL1" s="338"/>
      <c r="MZM1" s="338"/>
      <c r="MZN1" s="338"/>
      <c r="MZO1" s="338"/>
      <c r="MZP1" s="338"/>
      <c r="MZQ1" s="338"/>
      <c r="MZR1" s="338"/>
      <c r="MZS1" s="338"/>
      <c r="MZT1" s="338"/>
      <c r="MZU1" s="338"/>
      <c r="MZV1" s="338"/>
      <c r="MZW1" s="338"/>
      <c r="MZX1" s="338"/>
      <c r="MZY1" s="338"/>
      <c r="MZZ1" s="338"/>
      <c r="NAA1" s="338"/>
      <c r="NAB1" s="338"/>
      <c r="NAC1" s="338"/>
      <c r="NAD1" s="338"/>
      <c r="NAE1" s="338"/>
      <c r="NAF1" s="338"/>
      <c r="NAG1" s="338"/>
      <c r="NAH1" s="338"/>
      <c r="NAI1" s="338"/>
      <c r="NAJ1" s="338"/>
      <c r="NAK1" s="338"/>
      <c r="NAL1" s="338"/>
      <c r="NAM1" s="338"/>
      <c r="NAN1" s="338"/>
      <c r="NAO1" s="338"/>
      <c r="NAP1" s="338"/>
      <c r="NAQ1" s="338"/>
      <c r="NAR1" s="338"/>
      <c r="NAS1" s="338"/>
      <c r="NAT1" s="338"/>
      <c r="NAU1" s="338"/>
      <c r="NAV1" s="338"/>
      <c r="NAW1" s="338"/>
      <c r="NAX1" s="338"/>
      <c r="NAY1" s="338"/>
      <c r="NAZ1" s="338"/>
      <c r="NBA1" s="338"/>
      <c r="NBB1" s="338"/>
      <c r="NBC1" s="338"/>
      <c r="NBD1" s="338"/>
      <c r="NBE1" s="338"/>
      <c r="NBF1" s="338"/>
      <c r="NBG1" s="338"/>
      <c r="NBH1" s="338"/>
      <c r="NBI1" s="338"/>
      <c r="NBJ1" s="338"/>
      <c r="NBK1" s="338"/>
      <c r="NBL1" s="338"/>
      <c r="NBM1" s="338"/>
      <c r="NBN1" s="338"/>
      <c r="NBO1" s="338"/>
      <c r="NBP1" s="338"/>
      <c r="NBQ1" s="338"/>
      <c r="NBR1" s="338"/>
      <c r="NBS1" s="338"/>
      <c r="NBT1" s="338"/>
      <c r="NBU1" s="338"/>
      <c r="NBV1" s="338"/>
      <c r="NBW1" s="338"/>
      <c r="NBX1" s="338"/>
      <c r="NBY1" s="338"/>
      <c r="NBZ1" s="338"/>
      <c r="NCA1" s="338"/>
      <c r="NCB1" s="338"/>
      <c r="NCC1" s="338"/>
      <c r="NCD1" s="338"/>
      <c r="NCE1" s="338"/>
      <c r="NCF1" s="338"/>
      <c r="NCG1" s="338"/>
      <c r="NCH1" s="338"/>
      <c r="NCI1" s="338"/>
      <c r="NCJ1" s="338"/>
      <c r="NCK1" s="338"/>
      <c r="NCL1" s="338"/>
      <c r="NCM1" s="338"/>
      <c r="NCN1" s="338"/>
      <c r="NCO1" s="338"/>
      <c r="NCP1" s="338"/>
      <c r="NCQ1" s="338"/>
      <c r="NCR1" s="338"/>
      <c r="NCS1" s="338"/>
      <c r="NCT1" s="338"/>
      <c r="NCU1" s="338"/>
      <c r="NCV1" s="338"/>
      <c r="NCW1" s="338"/>
      <c r="NCX1" s="338"/>
      <c r="NCY1" s="338"/>
      <c r="NCZ1" s="338"/>
      <c r="NDA1" s="338"/>
      <c r="NDB1" s="338"/>
      <c r="NDC1" s="338"/>
      <c r="NDD1" s="338"/>
      <c r="NDE1" s="338"/>
      <c r="NDF1" s="338"/>
      <c r="NDG1" s="338"/>
      <c r="NDH1" s="338"/>
      <c r="NDI1" s="338"/>
      <c r="NDJ1" s="338"/>
      <c r="NDK1" s="338"/>
      <c r="NDL1" s="338"/>
      <c r="NDM1" s="338"/>
      <c r="NDN1" s="338"/>
      <c r="NDO1" s="338"/>
      <c r="NDP1" s="338"/>
      <c r="NDQ1" s="338"/>
      <c r="NDR1" s="338"/>
      <c r="NDS1" s="338"/>
      <c r="NDT1" s="338"/>
      <c r="NDU1" s="338"/>
      <c r="NDV1" s="338"/>
      <c r="NDW1" s="338"/>
      <c r="NDX1" s="338"/>
      <c r="NDY1" s="338"/>
      <c r="NDZ1" s="338"/>
      <c r="NEA1" s="338"/>
      <c r="NEB1" s="338"/>
      <c r="NEC1" s="338"/>
      <c r="NED1" s="338"/>
      <c r="NEE1" s="338"/>
      <c r="NEF1" s="338"/>
      <c r="NEG1" s="338"/>
      <c r="NEH1" s="338"/>
      <c r="NEI1" s="338"/>
      <c r="NEJ1" s="338"/>
      <c r="NEK1" s="338"/>
      <c r="NEL1" s="338"/>
      <c r="NEM1" s="338"/>
      <c r="NEN1" s="338"/>
      <c r="NEO1" s="338"/>
      <c r="NEP1" s="338"/>
      <c r="NEQ1" s="338"/>
      <c r="NER1" s="338"/>
      <c r="NES1" s="338"/>
      <c r="NET1" s="338"/>
      <c r="NEU1" s="338"/>
      <c r="NEV1" s="338"/>
      <c r="NEW1" s="338"/>
      <c r="NEX1" s="338"/>
      <c r="NEY1" s="338"/>
      <c r="NEZ1" s="338"/>
      <c r="NFA1" s="338"/>
      <c r="NFB1" s="338"/>
      <c r="NFC1" s="338"/>
      <c r="NFD1" s="338"/>
      <c r="NFE1" s="338"/>
      <c r="NFF1" s="338"/>
      <c r="NFG1" s="338"/>
      <c r="NFH1" s="338"/>
      <c r="NFI1" s="338"/>
      <c r="NFJ1" s="338"/>
      <c r="NFK1" s="338"/>
      <c r="NFL1" s="338"/>
      <c r="NFM1" s="338"/>
      <c r="NFN1" s="338"/>
      <c r="NFO1" s="338"/>
      <c r="NFP1" s="338"/>
      <c r="NFQ1" s="338"/>
      <c r="NFR1" s="338"/>
      <c r="NFS1" s="338"/>
      <c r="NFT1" s="338"/>
      <c r="NFU1" s="338"/>
      <c r="NFV1" s="338"/>
      <c r="NFW1" s="338"/>
      <c r="NFX1" s="338"/>
      <c r="NFY1" s="338"/>
      <c r="NFZ1" s="338"/>
      <c r="NGA1" s="338"/>
      <c r="NGB1" s="338"/>
      <c r="NGC1" s="338"/>
      <c r="NGD1" s="338"/>
      <c r="NGE1" s="338"/>
      <c r="NGF1" s="338"/>
      <c r="NGG1" s="338"/>
      <c r="NGH1" s="338"/>
      <c r="NGI1" s="338"/>
      <c r="NGJ1" s="338"/>
      <c r="NGK1" s="338"/>
      <c r="NGL1" s="338"/>
      <c r="NGM1" s="338"/>
      <c r="NGN1" s="338"/>
      <c r="NGO1" s="338"/>
      <c r="NGP1" s="338"/>
      <c r="NGQ1" s="338"/>
      <c r="NGR1" s="338"/>
      <c r="NGS1" s="338"/>
      <c r="NGT1" s="338"/>
      <c r="NGU1" s="338"/>
      <c r="NGV1" s="338"/>
      <c r="NGW1" s="338"/>
      <c r="NGX1" s="338"/>
      <c r="NGY1" s="338"/>
      <c r="NGZ1" s="338"/>
      <c r="NHA1" s="338"/>
      <c r="NHB1" s="338"/>
      <c r="NHC1" s="338"/>
      <c r="NHD1" s="338"/>
      <c r="NHE1" s="338"/>
      <c r="NHF1" s="338"/>
      <c r="NHG1" s="338"/>
      <c r="NHH1" s="338"/>
      <c r="NHI1" s="338"/>
      <c r="NHJ1" s="338"/>
      <c r="NHK1" s="338"/>
      <c r="NHL1" s="338"/>
      <c r="NHM1" s="338"/>
      <c r="NHN1" s="338"/>
      <c r="NHO1" s="338"/>
      <c r="NHP1" s="338"/>
      <c r="NHQ1" s="338"/>
      <c r="NHR1" s="338"/>
      <c r="NHS1" s="338"/>
      <c r="NHT1" s="338"/>
      <c r="NHU1" s="338"/>
      <c r="NHV1" s="338"/>
      <c r="NHW1" s="338"/>
      <c r="NHX1" s="338"/>
      <c r="NHY1" s="338"/>
      <c r="NHZ1" s="338"/>
      <c r="NIA1" s="338"/>
      <c r="NIB1" s="338"/>
      <c r="NIC1" s="338"/>
      <c r="NID1" s="338"/>
      <c r="NIE1" s="338"/>
      <c r="NIF1" s="338"/>
      <c r="NIG1" s="338"/>
      <c r="NIH1" s="338"/>
      <c r="NII1" s="338"/>
      <c r="NIJ1" s="338"/>
      <c r="NIK1" s="338"/>
      <c r="NIL1" s="338"/>
      <c r="NIM1" s="338"/>
      <c r="NIN1" s="338"/>
      <c r="NIO1" s="338"/>
      <c r="NIP1" s="338"/>
      <c r="NIQ1" s="338"/>
      <c r="NIR1" s="338"/>
      <c r="NIS1" s="338"/>
      <c r="NIT1" s="338"/>
      <c r="NIU1" s="338"/>
      <c r="NIV1" s="338"/>
      <c r="NIW1" s="338"/>
      <c r="NIX1" s="338"/>
      <c r="NIY1" s="338"/>
      <c r="NIZ1" s="338"/>
      <c r="NJA1" s="338"/>
      <c r="NJB1" s="338"/>
      <c r="NJC1" s="338"/>
      <c r="NJD1" s="338"/>
      <c r="NJE1" s="338"/>
      <c r="NJF1" s="338"/>
      <c r="NJG1" s="338"/>
      <c r="NJH1" s="338"/>
      <c r="NJI1" s="338"/>
      <c r="NJJ1" s="338"/>
      <c r="NJK1" s="338"/>
      <c r="NJL1" s="338"/>
      <c r="NJM1" s="338"/>
      <c r="NJN1" s="338"/>
      <c r="NJO1" s="338"/>
      <c r="NJP1" s="338"/>
      <c r="NJQ1" s="338"/>
      <c r="NJR1" s="338"/>
      <c r="NJS1" s="338"/>
      <c r="NJT1" s="338"/>
      <c r="NJU1" s="338"/>
      <c r="NJV1" s="338"/>
      <c r="NJW1" s="338"/>
      <c r="NJX1" s="338"/>
      <c r="NJY1" s="338"/>
      <c r="NJZ1" s="338"/>
      <c r="NKA1" s="338"/>
      <c r="NKB1" s="338"/>
      <c r="NKC1" s="338"/>
      <c r="NKD1" s="338"/>
      <c r="NKE1" s="338"/>
      <c r="NKF1" s="338"/>
      <c r="NKG1" s="338"/>
      <c r="NKH1" s="338"/>
      <c r="NKI1" s="338"/>
      <c r="NKJ1" s="338"/>
      <c r="NKK1" s="338"/>
      <c r="NKL1" s="338"/>
      <c r="NKM1" s="338"/>
      <c r="NKN1" s="338"/>
      <c r="NKO1" s="338"/>
      <c r="NKP1" s="338"/>
      <c r="NKQ1" s="338"/>
      <c r="NKR1" s="338"/>
      <c r="NKS1" s="338"/>
      <c r="NKT1" s="338"/>
      <c r="NKU1" s="338"/>
      <c r="NKV1" s="338"/>
      <c r="NKW1" s="338"/>
      <c r="NKX1" s="338"/>
      <c r="NKY1" s="338"/>
      <c r="NKZ1" s="338"/>
      <c r="NLA1" s="338"/>
      <c r="NLB1" s="338"/>
      <c r="NLC1" s="338"/>
      <c r="NLD1" s="338"/>
      <c r="NLE1" s="338"/>
      <c r="NLF1" s="338"/>
      <c r="NLG1" s="338"/>
      <c r="NLH1" s="338"/>
      <c r="NLI1" s="338"/>
      <c r="NLJ1" s="338"/>
      <c r="NLK1" s="338"/>
      <c r="NLL1" s="338"/>
      <c r="NLM1" s="338"/>
      <c r="NLN1" s="338"/>
      <c r="NLO1" s="338"/>
      <c r="NLP1" s="338"/>
      <c r="NLQ1" s="338"/>
      <c r="NLR1" s="338"/>
      <c r="NLS1" s="338"/>
      <c r="NLT1" s="338"/>
      <c r="NLU1" s="338"/>
      <c r="NLV1" s="338"/>
      <c r="NLW1" s="338"/>
      <c r="NLX1" s="338"/>
      <c r="NLY1" s="338"/>
      <c r="NLZ1" s="338"/>
      <c r="NMA1" s="338"/>
      <c r="NMB1" s="338"/>
      <c r="NMC1" s="338"/>
      <c r="NMD1" s="338"/>
      <c r="NME1" s="338"/>
      <c r="NMF1" s="338"/>
      <c r="NMG1" s="338"/>
      <c r="NMH1" s="338"/>
      <c r="NMI1" s="338"/>
      <c r="NMJ1" s="338"/>
      <c r="NMK1" s="338"/>
      <c r="NML1" s="338"/>
      <c r="NMM1" s="338"/>
      <c r="NMN1" s="338"/>
      <c r="NMO1" s="338"/>
      <c r="NMP1" s="338"/>
      <c r="NMQ1" s="338"/>
      <c r="NMR1" s="338"/>
      <c r="NMS1" s="338"/>
      <c r="NMT1" s="338"/>
      <c r="NMU1" s="338"/>
      <c r="NMV1" s="338"/>
      <c r="NMW1" s="338"/>
      <c r="NMX1" s="338"/>
      <c r="NMY1" s="338"/>
      <c r="NMZ1" s="338"/>
      <c r="NNA1" s="338"/>
      <c r="NNB1" s="338"/>
      <c r="NNC1" s="338"/>
      <c r="NND1" s="338"/>
      <c r="NNE1" s="338"/>
      <c r="NNF1" s="338"/>
      <c r="NNG1" s="338"/>
      <c r="NNH1" s="338"/>
      <c r="NNI1" s="338"/>
      <c r="NNJ1" s="338"/>
      <c r="NNK1" s="338"/>
      <c r="NNL1" s="338"/>
      <c r="NNM1" s="338"/>
      <c r="NNN1" s="338"/>
      <c r="NNO1" s="338"/>
      <c r="NNP1" s="338"/>
      <c r="NNQ1" s="338"/>
      <c r="NNR1" s="338"/>
      <c r="NNS1" s="338"/>
      <c r="NNT1" s="338"/>
      <c r="NNU1" s="338"/>
      <c r="NNV1" s="338"/>
      <c r="NNW1" s="338"/>
      <c r="NNX1" s="338"/>
      <c r="NNY1" s="338"/>
      <c r="NNZ1" s="338"/>
      <c r="NOA1" s="338"/>
      <c r="NOB1" s="338"/>
      <c r="NOC1" s="338"/>
      <c r="NOD1" s="338"/>
      <c r="NOE1" s="338"/>
      <c r="NOF1" s="338"/>
      <c r="NOG1" s="338"/>
      <c r="NOH1" s="338"/>
      <c r="NOI1" s="338"/>
      <c r="NOJ1" s="338"/>
      <c r="NOK1" s="338"/>
      <c r="NOL1" s="338"/>
      <c r="NOM1" s="338"/>
      <c r="NON1" s="338"/>
      <c r="NOO1" s="338"/>
      <c r="NOP1" s="338"/>
      <c r="NOQ1" s="338"/>
      <c r="NOR1" s="338"/>
      <c r="NOS1" s="338"/>
      <c r="NOT1" s="338"/>
      <c r="NOU1" s="338"/>
      <c r="NOV1" s="338"/>
      <c r="NOW1" s="338"/>
      <c r="NOX1" s="338"/>
      <c r="NOY1" s="338"/>
      <c r="NOZ1" s="338"/>
      <c r="NPA1" s="338"/>
      <c r="NPB1" s="338"/>
      <c r="NPC1" s="338"/>
      <c r="NPD1" s="338"/>
      <c r="NPE1" s="338"/>
      <c r="NPF1" s="338"/>
      <c r="NPG1" s="338"/>
      <c r="NPH1" s="338"/>
      <c r="NPI1" s="338"/>
      <c r="NPJ1" s="338"/>
      <c r="NPK1" s="338"/>
      <c r="NPL1" s="338"/>
      <c r="NPM1" s="338"/>
      <c r="NPN1" s="338"/>
      <c r="NPO1" s="338"/>
      <c r="NPP1" s="338"/>
      <c r="NPQ1" s="338"/>
      <c r="NPR1" s="338"/>
      <c r="NPS1" s="338"/>
      <c r="NPT1" s="338"/>
      <c r="NPU1" s="338"/>
      <c r="NPV1" s="338"/>
      <c r="NPW1" s="338"/>
      <c r="NPX1" s="338"/>
      <c r="NPY1" s="338"/>
      <c r="NPZ1" s="338"/>
      <c r="NQA1" s="338"/>
      <c r="NQB1" s="338"/>
      <c r="NQC1" s="338"/>
      <c r="NQD1" s="338"/>
      <c r="NQE1" s="338"/>
      <c r="NQF1" s="338"/>
      <c r="NQG1" s="338"/>
      <c r="NQH1" s="338"/>
      <c r="NQI1" s="338"/>
      <c r="NQJ1" s="338"/>
      <c r="NQK1" s="338"/>
      <c r="NQL1" s="338"/>
      <c r="NQM1" s="338"/>
      <c r="NQN1" s="338"/>
      <c r="NQO1" s="338"/>
      <c r="NQP1" s="338"/>
      <c r="NQQ1" s="338"/>
      <c r="NQR1" s="338"/>
      <c r="NQS1" s="338"/>
      <c r="NQT1" s="338"/>
      <c r="NQU1" s="338"/>
      <c r="NQV1" s="338"/>
      <c r="NQW1" s="338"/>
      <c r="NQX1" s="338"/>
      <c r="NQY1" s="338"/>
      <c r="NQZ1" s="338"/>
      <c r="NRA1" s="338"/>
      <c r="NRB1" s="338"/>
      <c r="NRC1" s="338"/>
      <c r="NRD1" s="338"/>
      <c r="NRE1" s="338"/>
      <c r="NRF1" s="338"/>
      <c r="NRG1" s="338"/>
      <c r="NRH1" s="338"/>
      <c r="NRI1" s="338"/>
      <c r="NRJ1" s="338"/>
      <c r="NRK1" s="338"/>
      <c r="NRL1" s="338"/>
      <c r="NRM1" s="338"/>
      <c r="NRN1" s="338"/>
      <c r="NRO1" s="338"/>
      <c r="NRP1" s="338"/>
      <c r="NRQ1" s="338"/>
      <c r="NRR1" s="338"/>
      <c r="NRS1" s="338"/>
      <c r="NRT1" s="338"/>
      <c r="NRU1" s="338"/>
      <c r="NRV1" s="338"/>
      <c r="NRW1" s="338"/>
      <c r="NRX1" s="338"/>
      <c r="NRY1" s="338"/>
      <c r="NRZ1" s="338"/>
      <c r="NSA1" s="338"/>
      <c r="NSB1" s="338"/>
      <c r="NSC1" s="338"/>
      <c r="NSD1" s="338"/>
      <c r="NSE1" s="338"/>
      <c r="NSF1" s="338"/>
      <c r="NSG1" s="338"/>
      <c r="NSH1" s="338"/>
      <c r="NSI1" s="338"/>
      <c r="NSJ1" s="338"/>
      <c r="NSK1" s="338"/>
      <c r="NSL1" s="338"/>
      <c r="NSM1" s="338"/>
      <c r="NSN1" s="338"/>
      <c r="NSO1" s="338"/>
      <c r="NSP1" s="338"/>
      <c r="NSQ1" s="338"/>
      <c r="NSR1" s="338"/>
      <c r="NSS1" s="338"/>
      <c r="NST1" s="338"/>
      <c r="NSU1" s="338"/>
      <c r="NSV1" s="338"/>
      <c r="NSW1" s="338"/>
      <c r="NSX1" s="338"/>
      <c r="NSY1" s="338"/>
      <c r="NSZ1" s="338"/>
      <c r="NTA1" s="338"/>
      <c r="NTB1" s="338"/>
      <c r="NTC1" s="338"/>
      <c r="NTD1" s="338"/>
      <c r="NTE1" s="338"/>
      <c r="NTF1" s="338"/>
      <c r="NTG1" s="338"/>
      <c r="NTH1" s="338"/>
      <c r="NTI1" s="338"/>
      <c r="NTJ1" s="338"/>
      <c r="NTK1" s="338"/>
      <c r="NTL1" s="338"/>
      <c r="NTM1" s="338"/>
      <c r="NTN1" s="338"/>
      <c r="NTO1" s="338"/>
      <c r="NTP1" s="338"/>
      <c r="NTQ1" s="338"/>
      <c r="NTR1" s="338"/>
      <c r="NTS1" s="338"/>
      <c r="NTT1" s="338"/>
      <c r="NTU1" s="338"/>
      <c r="NTV1" s="338"/>
      <c r="NTW1" s="338"/>
      <c r="NTX1" s="338"/>
      <c r="NTY1" s="338"/>
      <c r="NTZ1" s="338"/>
      <c r="NUA1" s="338"/>
      <c r="NUB1" s="338"/>
      <c r="NUC1" s="338"/>
      <c r="NUD1" s="338"/>
      <c r="NUE1" s="338"/>
      <c r="NUF1" s="338"/>
      <c r="NUG1" s="338"/>
      <c r="NUH1" s="338"/>
      <c r="NUI1" s="338"/>
      <c r="NUJ1" s="338"/>
      <c r="NUK1" s="338"/>
      <c r="NUL1" s="338"/>
      <c r="NUM1" s="338"/>
      <c r="NUN1" s="338"/>
      <c r="NUO1" s="338"/>
      <c r="NUP1" s="338"/>
      <c r="NUQ1" s="338"/>
      <c r="NUR1" s="338"/>
      <c r="NUS1" s="338"/>
      <c r="NUT1" s="338"/>
      <c r="NUU1" s="338"/>
      <c r="NUV1" s="338"/>
      <c r="NUW1" s="338"/>
      <c r="NUX1" s="338"/>
      <c r="NUY1" s="338"/>
      <c r="NUZ1" s="338"/>
      <c r="NVA1" s="338"/>
      <c r="NVB1" s="338"/>
      <c r="NVC1" s="338"/>
      <c r="NVD1" s="338"/>
      <c r="NVE1" s="338"/>
      <c r="NVF1" s="338"/>
      <c r="NVG1" s="338"/>
      <c r="NVH1" s="338"/>
      <c r="NVI1" s="338"/>
      <c r="NVJ1" s="338"/>
      <c r="NVK1" s="338"/>
      <c r="NVL1" s="338"/>
      <c r="NVM1" s="338"/>
      <c r="NVN1" s="338"/>
      <c r="NVO1" s="338"/>
      <c r="NVP1" s="338"/>
      <c r="NVQ1" s="338"/>
      <c r="NVR1" s="338"/>
      <c r="NVS1" s="338"/>
      <c r="NVT1" s="338"/>
      <c r="NVU1" s="338"/>
      <c r="NVV1" s="338"/>
      <c r="NVW1" s="338"/>
      <c r="NVX1" s="338"/>
      <c r="NVY1" s="338"/>
      <c r="NVZ1" s="338"/>
      <c r="NWA1" s="338"/>
      <c r="NWB1" s="338"/>
      <c r="NWC1" s="338"/>
      <c r="NWD1" s="338"/>
      <c r="NWE1" s="338"/>
      <c r="NWF1" s="338"/>
      <c r="NWG1" s="338"/>
      <c r="NWH1" s="338"/>
      <c r="NWI1" s="338"/>
      <c r="NWJ1" s="338"/>
      <c r="NWK1" s="338"/>
      <c r="NWL1" s="338"/>
      <c r="NWM1" s="338"/>
      <c r="NWN1" s="338"/>
      <c r="NWO1" s="338"/>
      <c r="NWP1" s="338"/>
      <c r="NWQ1" s="338"/>
      <c r="NWR1" s="338"/>
      <c r="NWS1" s="338"/>
      <c r="NWT1" s="338"/>
      <c r="NWU1" s="338"/>
      <c r="NWV1" s="338"/>
      <c r="NWW1" s="338"/>
      <c r="NWX1" s="338"/>
      <c r="NWY1" s="338"/>
      <c r="NWZ1" s="338"/>
      <c r="NXA1" s="338"/>
      <c r="NXB1" s="338"/>
      <c r="NXC1" s="338"/>
      <c r="NXD1" s="338"/>
      <c r="NXE1" s="338"/>
      <c r="NXF1" s="338"/>
      <c r="NXG1" s="338"/>
      <c r="NXH1" s="338"/>
      <c r="NXI1" s="338"/>
      <c r="NXJ1" s="338"/>
      <c r="NXK1" s="338"/>
      <c r="NXL1" s="338"/>
      <c r="NXM1" s="338"/>
      <c r="NXN1" s="338"/>
      <c r="NXO1" s="338"/>
      <c r="NXP1" s="338"/>
      <c r="NXQ1" s="338"/>
      <c r="NXR1" s="338"/>
      <c r="NXS1" s="338"/>
      <c r="NXT1" s="338"/>
      <c r="NXU1" s="338"/>
      <c r="NXV1" s="338"/>
      <c r="NXW1" s="338"/>
      <c r="NXX1" s="338"/>
      <c r="NXY1" s="338"/>
      <c r="NXZ1" s="338"/>
      <c r="NYA1" s="338"/>
      <c r="NYB1" s="338"/>
      <c r="NYC1" s="338"/>
      <c r="NYD1" s="338"/>
      <c r="NYE1" s="338"/>
      <c r="NYF1" s="338"/>
      <c r="NYG1" s="338"/>
      <c r="NYH1" s="338"/>
      <c r="NYI1" s="338"/>
      <c r="NYJ1" s="338"/>
      <c r="NYK1" s="338"/>
      <c r="NYL1" s="338"/>
      <c r="NYM1" s="338"/>
      <c r="NYN1" s="338"/>
      <c r="NYO1" s="338"/>
      <c r="NYP1" s="338"/>
      <c r="NYQ1" s="338"/>
      <c r="NYR1" s="338"/>
      <c r="NYS1" s="338"/>
      <c r="NYT1" s="338"/>
      <c r="NYU1" s="338"/>
      <c r="NYV1" s="338"/>
      <c r="NYW1" s="338"/>
      <c r="NYX1" s="338"/>
      <c r="NYY1" s="338"/>
      <c r="NYZ1" s="338"/>
      <c r="NZA1" s="338"/>
      <c r="NZB1" s="338"/>
      <c r="NZC1" s="338"/>
      <c r="NZD1" s="338"/>
      <c r="NZE1" s="338"/>
      <c r="NZF1" s="338"/>
      <c r="NZG1" s="338"/>
      <c r="NZH1" s="338"/>
      <c r="NZI1" s="338"/>
      <c r="NZJ1" s="338"/>
      <c r="NZK1" s="338"/>
      <c r="NZL1" s="338"/>
      <c r="NZM1" s="338"/>
      <c r="NZN1" s="338"/>
      <c r="NZO1" s="338"/>
      <c r="NZP1" s="338"/>
      <c r="NZQ1" s="338"/>
      <c r="NZR1" s="338"/>
      <c r="NZS1" s="338"/>
      <c r="NZT1" s="338"/>
      <c r="NZU1" s="338"/>
      <c r="NZV1" s="338"/>
      <c r="NZW1" s="338"/>
      <c r="NZX1" s="338"/>
      <c r="NZY1" s="338"/>
      <c r="NZZ1" s="338"/>
      <c r="OAA1" s="338"/>
      <c r="OAB1" s="338"/>
      <c r="OAC1" s="338"/>
      <c r="OAD1" s="338"/>
      <c r="OAE1" s="338"/>
      <c r="OAF1" s="338"/>
      <c r="OAG1" s="338"/>
      <c r="OAH1" s="338"/>
      <c r="OAI1" s="338"/>
      <c r="OAJ1" s="338"/>
      <c r="OAK1" s="338"/>
      <c r="OAL1" s="338"/>
      <c r="OAM1" s="338"/>
      <c r="OAN1" s="338"/>
      <c r="OAO1" s="338"/>
      <c r="OAP1" s="338"/>
      <c r="OAQ1" s="338"/>
      <c r="OAR1" s="338"/>
      <c r="OAS1" s="338"/>
      <c r="OAT1" s="338"/>
      <c r="OAU1" s="338"/>
      <c r="OAV1" s="338"/>
      <c r="OAW1" s="338"/>
      <c r="OAX1" s="338"/>
      <c r="OAY1" s="338"/>
      <c r="OAZ1" s="338"/>
      <c r="OBA1" s="338"/>
      <c r="OBB1" s="338"/>
      <c r="OBC1" s="338"/>
      <c r="OBD1" s="338"/>
      <c r="OBE1" s="338"/>
      <c r="OBF1" s="338"/>
      <c r="OBG1" s="338"/>
      <c r="OBH1" s="338"/>
      <c r="OBI1" s="338"/>
      <c r="OBJ1" s="338"/>
      <c r="OBK1" s="338"/>
      <c r="OBL1" s="338"/>
      <c r="OBM1" s="338"/>
      <c r="OBN1" s="338"/>
      <c r="OBO1" s="338"/>
      <c r="OBP1" s="338"/>
      <c r="OBQ1" s="338"/>
      <c r="OBR1" s="338"/>
      <c r="OBS1" s="338"/>
      <c r="OBT1" s="338"/>
      <c r="OBU1" s="338"/>
      <c r="OBV1" s="338"/>
      <c r="OBW1" s="338"/>
      <c r="OBX1" s="338"/>
      <c r="OBY1" s="338"/>
      <c r="OBZ1" s="338"/>
      <c r="OCA1" s="338"/>
      <c r="OCB1" s="338"/>
      <c r="OCC1" s="338"/>
      <c r="OCD1" s="338"/>
      <c r="OCE1" s="338"/>
      <c r="OCF1" s="338"/>
      <c r="OCG1" s="338"/>
      <c r="OCH1" s="338"/>
      <c r="OCI1" s="338"/>
      <c r="OCJ1" s="338"/>
      <c r="OCK1" s="338"/>
      <c r="OCL1" s="338"/>
      <c r="OCM1" s="338"/>
      <c r="OCN1" s="338"/>
      <c r="OCO1" s="338"/>
      <c r="OCP1" s="338"/>
      <c r="OCQ1" s="338"/>
      <c r="OCR1" s="338"/>
      <c r="OCS1" s="338"/>
      <c r="OCT1" s="338"/>
      <c r="OCU1" s="338"/>
      <c r="OCV1" s="338"/>
      <c r="OCW1" s="338"/>
      <c r="OCX1" s="338"/>
      <c r="OCY1" s="338"/>
      <c r="OCZ1" s="338"/>
      <c r="ODA1" s="338"/>
      <c r="ODB1" s="338"/>
      <c r="ODC1" s="338"/>
      <c r="ODD1" s="338"/>
      <c r="ODE1" s="338"/>
      <c r="ODF1" s="338"/>
      <c r="ODG1" s="338"/>
      <c r="ODH1" s="338"/>
      <c r="ODI1" s="338"/>
      <c r="ODJ1" s="338"/>
      <c r="ODK1" s="338"/>
      <c r="ODL1" s="338"/>
      <c r="ODM1" s="338"/>
      <c r="ODN1" s="338"/>
      <c r="ODO1" s="338"/>
      <c r="ODP1" s="338"/>
      <c r="ODQ1" s="338"/>
      <c r="ODR1" s="338"/>
      <c r="ODS1" s="338"/>
      <c r="ODT1" s="338"/>
      <c r="ODU1" s="338"/>
      <c r="ODV1" s="338"/>
      <c r="ODW1" s="338"/>
      <c r="ODX1" s="338"/>
      <c r="ODY1" s="338"/>
      <c r="ODZ1" s="338"/>
      <c r="OEA1" s="338"/>
      <c r="OEB1" s="338"/>
      <c r="OEC1" s="338"/>
      <c r="OED1" s="338"/>
      <c r="OEE1" s="338"/>
      <c r="OEF1" s="338"/>
      <c r="OEG1" s="338"/>
      <c r="OEH1" s="338"/>
      <c r="OEI1" s="338"/>
      <c r="OEJ1" s="338"/>
      <c r="OEK1" s="338"/>
      <c r="OEL1" s="338"/>
      <c r="OEM1" s="338"/>
      <c r="OEN1" s="338"/>
      <c r="OEO1" s="338"/>
      <c r="OEP1" s="338"/>
      <c r="OEQ1" s="338"/>
      <c r="OER1" s="338"/>
      <c r="OES1" s="338"/>
      <c r="OET1" s="338"/>
      <c r="OEU1" s="338"/>
      <c r="OEV1" s="338"/>
      <c r="OEW1" s="338"/>
      <c r="OEX1" s="338"/>
      <c r="OEY1" s="338"/>
      <c r="OEZ1" s="338"/>
      <c r="OFA1" s="338"/>
      <c r="OFB1" s="338"/>
      <c r="OFC1" s="338"/>
      <c r="OFD1" s="338"/>
      <c r="OFE1" s="338"/>
      <c r="OFF1" s="338"/>
      <c r="OFG1" s="338"/>
      <c r="OFH1" s="338"/>
      <c r="OFI1" s="338"/>
      <c r="OFJ1" s="338"/>
      <c r="OFK1" s="338"/>
      <c r="OFL1" s="338"/>
      <c r="OFM1" s="338"/>
      <c r="OFN1" s="338"/>
      <c r="OFO1" s="338"/>
      <c r="OFP1" s="338"/>
      <c r="OFQ1" s="338"/>
      <c r="OFR1" s="338"/>
      <c r="OFS1" s="338"/>
      <c r="OFT1" s="338"/>
      <c r="OFU1" s="338"/>
      <c r="OFV1" s="338"/>
      <c r="OFW1" s="338"/>
      <c r="OFX1" s="338"/>
      <c r="OFY1" s="338"/>
      <c r="OFZ1" s="338"/>
      <c r="OGA1" s="338"/>
      <c r="OGB1" s="338"/>
      <c r="OGC1" s="338"/>
      <c r="OGD1" s="338"/>
      <c r="OGE1" s="338"/>
      <c r="OGF1" s="338"/>
      <c r="OGG1" s="338"/>
      <c r="OGH1" s="338"/>
      <c r="OGI1" s="338"/>
      <c r="OGJ1" s="338"/>
      <c r="OGK1" s="338"/>
      <c r="OGL1" s="338"/>
      <c r="OGM1" s="338"/>
      <c r="OGN1" s="338"/>
      <c r="OGO1" s="338"/>
      <c r="OGP1" s="338"/>
      <c r="OGQ1" s="338"/>
      <c r="OGR1" s="338"/>
      <c r="OGS1" s="338"/>
      <c r="OGT1" s="338"/>
      <c r="OGU1" s="338"/>
      <c r="OGV1" s="338"/>
      <c r="OGW1" s="338"/>
      <c r="OGX1" s="338"/>
      <c r="OGY1" s="338"/>
      <c r="OGZ1" s="338"/>
      <c r="OHA1" s="338"/>
      <c r="OHB1" s="338"/>
      <c r="OHC1" s="338"/>
      <c r="OHD1" s="338"/>
      <c r="OHE1" s="338"/>
      <c r="OHF1" s="338"/>
      <c r="OHG1" s="338"/>
      <c r="OHH1" s="338"/>
      <c r="OHI1" s="338"/>
      <c r="OHJ1" s="338"/>
      <c r="OHK1" s="338"/>
      <c r="OHL1" s="338"/>
      <c r="OHM1" s="338"/>
      <c r="OHN1" s="338"/>
      <c r="OHO1" s="338"/>
      <c r="OHP1" s="338"/>
      <c r="OHQ1" s="338"/>
      <c r="OHR1" s="338"/>
      <c r="OHS1" s="338"/>
      <c r="OHT1" s="338"/>
      <c r="OHU1" s="338"/>
      <c r="OHV1" s="338"/>
      <c r="OHW1" s="338"/>
      <c r="OHX1" s="338"/>
      <c r="OHY1" s="338"/>
      <c r="OHZ1" s="338"/>
      <c r="OIA1" s="338"/>
      <c r="OIB1" s="338"/>
      <c r="OIC1" s="338"/>
      <c r="OID1" s="338"/>
      <c r="OIE1" s="338"/>
      <c r="OIF1" s="338"/>
      <c r="OIG1" s="338"/>
      <c r="OIH1" s="338"/>
      <c r="OII1" s="338"/>
      <c r="OIJ1" s="338"/>
      <c r="OIK1" s="338"/>
      <c r="OIL1" s="338"/>
      <c r="OIM1" s="338"/>
      <c r="OIN1" s="338"/>
      <c r="OIO1" s="338"/>
      <c r="OIP1" s="338"/>
      <c r="OIQ1" s="338"/>
      <c r="OIR1" s="338"/>
      <c r="OIS1" s="338"/>
      <c r="OIT1" s="338"/>
      <c r="OIU1" s="338"/>
      <c r="OIV1" s="338"/>
      <c r="OIW1" s="338"/>
      <c r="OIX1" s="338"/>
      <c r="OIY1" s="338"/>
      <c r="OIZ1" s="338"/>
      <c r="OJA1" s="338"/>
      <c r="OJB1" s="338"/>
      <c r="OJC1" s="338"/>
      <c r="OJD1" s="338"/>
      <c r="OJE1" s="338"/>
      <c r="OJF1" s="338"/>
      <c r="OJG1" s="338"/>
      <c r="OJH1" s="338"/>
      <c r="OJI1" s="338"/>
      <c r="OJJ1" s="338"/>
      <c r="OJK1" s="338"/>
      <c r="OJL1" s="338"/>
      <c r="OJM1" s="338"/>
      <c r="OJN1" s="338"/>
      <c r="OJO1" s="338"/>
      <c r="OJP1" s="338"/>
      <c r="OJQ1" s="338"/>
      <c r="OJR1" s="338"/>
      <c r="OJS1" s="338"/>
      <c r="OJT1" s="338"/>
      <c r="OJU1" s="338"/>
      <c r="OJV1" s="338"/>
      <c r="OJW1" s="338"/>
      <c r="OJX1" s="338"/>
      <c r="OJY1" s="338"/>
      <c r="OJZ1" s="338"/>
      <c r="OKA1" s="338"/>
      <c r="OKB1" s="338"/>
      <c r="OKC1" s="338"/>
      <c r="OKD1" s="338"/>
      <c r="OKE1" s="338"/>
      <c r="OKF1" s="338"/>
      <c r="OKG1" s="338"/>
      <c r="OKH1" s="338"/>
      <c r="OKI1" s="338"/>
      <c r="OKJ1" s="338"/>
      <c r="OKK1" s="338"/>
      <c r="OKL1" s="338"/>
      <c r="OKM1" s="338"/>
      <c r="OKN1" s="338"/>
      <c r="OKO1" s="338"/>
      <c r="OKP1" s="338"/>
      <c r="OKQ1" s="338"/>
      <c r="OKR1" s="338"/>
      <c r="OKS1" s="338"/>
      <c r="OKT1" s="338"/>
      <c r="OKU1" s="338"/>
      <c r="OKV1" s="338"/>
      <c r="OKW1" s="338"/>
      <c r="OKX1" s="338"/>
      <c r="OKY1" s="338"/>
      <c r="OKZ1" s="338"/>
      <c r="OLA1" s="338"/>
      <c r="OLB1" s="338"/>
      <c r="OLC1" s="338"/>
      <c r="OLD1" s="338"/>
      <c r="OLE1" s="338"/>
      <c r="OLF1" s="338"/>
      <c r="OLG1" s="338"/>
      <c r="OLH1" s="338"/>
      <c r="OLI1" s="338"/>
      <c r="OLJ1" s="338"/>
      <c r="OLK1" s="338"/>
      <c r="OLL1" s="338"/>
      <c r="OLM1" s="338"/>
      <c r="OLN1" s="338"/>
      <c r="OLO1" s="338"/>
      <c r="OLP1" s="338"/>
      <c r="OLQ1" s="338"/>
      <c r="OLR1" s="338"/>
      <c r="OLS1" s="338"/>
      <c r="OLT1" s="338"/>
      <c r="OLU1" s="338"/>
      <c r="OLV1" s="338"/>
      <c r="OLW1" s="338"/>
      <c r="OLX1" s="338"/>
      <c r="OLY1" s="338"/>
      <c r="OLZ1" s="338"/>
      <c r="OMA1" s="338"/>
      <c r="OMB1" s="338"/>
      <c r="OMC1" s="338"/>
      <c r="OMD1" s="338"/>
      <c r="OME1" s="338"/>
      <c r="OMF1" s="338"/>
      <c r="OMG1" s="338"/>
      <c r="OMH1" s="338"/>
      <c r="OMI1" s="338"/>
      <c r="OMJ1" s="338"/>
      <c r="OMK1" s="338"/>
      <c r="OML1" s="338"/>
      <c r="OMM1" s="338"/>
      <c r="OMN1" s="338"/>
      <c r="OMO1" s="338"/>
      <c r="OMP1" s="338"/>
      <c r="OMQ1" s="338"/>
      <c r="OMR1" s="338"/>
      <c r="OMS1" s="338"/>
      <c r="OMT1" s="338"/>
      <c r="OMU1" s="338"/>
      <c r="OMV1" s="338"/>
      <c r="OMW1" s="338"/>
      <c r="OMX1" s="338"/>
      <c r="OMY1" s="338"/>
      <c r="OMZ1" s="338"/>
      <c r="ONA1" s="338"/>
      <c r="ONB1" s="338"/>
      <c r="ONC1" s="338"/>
      <c r="OND1" s="338"/>
      <c r="ONE1" s="338"/>
      <c r="ONF1" s="338"/>
      <c r="ONG1" s="338"/>
      <c r="ONH1" s="338"/>
      <c r="ONI1" s="338"/>
      <c r="ONJ1" s="338"/>
      <c r="ONK1" s="338"/>
      <c r="ONL1" s="338"/>
      <c r="ONM1" s="338"/>
      <c r="ONN1" s="338"/>
      <c r="ONO1" s="338"/>
      <c r="ONP1" s="338"/>
      <c r="ONQ1" s="338"/>
      <c r="ONR1" s="338"/>
      <c r="ONS1" s="338"/>
      <c r="ONT1" s="338"/>
      <c r="ONU1" s="338"/>
      <c r="ONV1" s="338"/>
      <c r="ONW1" s="338"/>
      <c r="ONX1" s="338"/>
      <c r="ONY1" s="338"/>
      <c r="ONZ1" s="338"/>
      <c r="OOA1" s="338"/>
      <c r="OOB1" s="338"/>
      <c r="OOC1" s="338"/>
      <c r="OOD1" s="338"/>
      <c r="OOE1" s="338"/>
      <c r="OOF1" s="338"/>
      <c r="OOG1" s="338"/>
      <c r="OOH1" s="338"/>
      <c r="OOI1" s="338"/>
      <c r="OOJ1" s="338"/>
      <c r="OOK1" s="338"/>
      <c r="OOL1" s="338"/>
      <c r="OOM1" s="338"/>
      <c r="OON1" s="338"/>
      <c r="OOO1" s="338"/>
      <c r="OOP1" s="338"/>
      <c r="OOQ1" s="338"/>
      <c r="OOR1" s="338"/>
      <c r="OOS1" s="338"/>
      <c r="OOT1" s="338"/>
      <c r="OOU1" s="338"/>
      <c r="OOV1" s="338"/>
      <c r="OOW1" s="338"/>
      <c r="OOX1" s="338"/>
      <c r="OOY1" s="338"/>
      <c r="OOZ1" s="338"/>
      <c r="OPA1" s="338"/>
      <c r="OPB1" s="338"/>
      <c r="OPC1" s="338"/>
      <c r="OPD1" s="338"/>
      <c r="OPE1" s="338"/>
      <c r="OPF1" s="338"/>
      <c r="OPG1" s="338"/>
      <c r="OPH1" s="338"/>
      <c r="OPI1" s="338"/>
      <c r="OPJ1" s="338"/>
      <c r="OPK1" s="338"/>
      <c r="OPL1" s="338"/>
      <c r="OPM1" s="338"/>
      <c r="OPN1" s="338"/>
      <c r="OPO1" s="338"/>
      <c r="OPP1" s="338"/>
      <c r="OPQ1" s="338"/>
      <c r="OPR1" s="338"/>
      <c r="OPS1" s="338"/>
      <c r="OPT1" s="338"/>
      <c r="OPU1" s="338"/>
      <c r="OPV1" s="338"/>
      <c r="OPW1" s="338"/>
      <c r="OPX1" s="338"/>
      <c r="OPY1" s="338"/>
      <c r="OPZ1" s="338"/>
      <c r="OQA1" s="338"/>
      <c r="OQB1" s="338"/>
      <c r="OQC1" s="338"/>
      <c r="OQD1" s="338"/>
      <c r="OQE1" s="338"/>
      <c r="OQF1" s="338"/>
      <c r="OQG1" s="338"/>
      <c r="OQH1" s="338"/>
      <c r="OQI1" s="338"/>
      <c r="OQJ1" s="338"/>
      <c r="OQK1" s="338"/>
      <c r="OQL1" s="338"/>
      <c r="OQM1" s="338"/>
      <c r="OQN1" s="338"/>
      <c r="OQO1" s="338"/>
      <c r="OQP1" s="338"/>
      <c r="OQQ1" s="338"/>
      <c r="OQR1" s="338"/>
      <c r="OQS1" s="338"/>
      <c r="OQT1" s="338"/>
      <c r="OQU1" s="338"/>
      <c r="OQV1" s="338"/>
      <c r="OQW1" s="338"/>
      <c r="OQX1" s="338"/>
      <c r="OQY1" s="338"/>
      <c r="OQZ1" s="338"/>
      <c r="ORA1" s="338"/>
      <c r="ORB1" s="338"/>
      <c r="ORC1" s="338"/>
      <c r="ORD1" s="338"/>
      <c r="ORE1" s="338"/>
      <c r="ORF1" s="338"/>
      <c r="ORG1" s="338"/>
      <c r="ORH1" s="338"/>
      <c r="ORI1" s="338"/>
      <c r="ORJ1" s="338"/>
      <c r="ORK1" s="338"/>
      <c r="ORL1" s="338"/>
      <c r="ORM1" s="338"/>
      <c r="ORN1" s="338"/>
      <c r="ORO1" s="338"/>
      <c r="ORP1" s="338"/>
      <c r="ORQ1" s="338"/>
      <c r="ORR1" s="338"/>
      <c r="ORS1" s="338"/>
      <c r="ORT1" s="338"/>
      <c r="ORU1" s="338"/>
      <c r="ORV1" s="338"/>
      <c r="ORW1" s="338"/>
      <c r="ORX1" s="338"/>
      <c r="ORY1" s="338"/>
      <c r="ORZ1" s="338"/>
      <c r="OSA1" s="338"/>
      <c r="OSB1" s="338"/>
      <c r="OSC1" s="338"/>
      <c r="OSD1" s="338"/>
      <c r="OSE1" s="338"/>
      <c r="OSF1" s="338"/>
      <c r="OSG1" s="338"/>
      <c r="OSH1" s="338"/>
      <c r="OSI1" s="338"/>
      <c r="OSJ1" s="338"/>
      <c r="OSK1" s="338"/>
      <c r="OSL1" s="338"/>
      <c r="OSM1" s="338"/>
      <c r="OSN1" s="338"/>
      <c r="OSO1" s="338"/>
      <c r="OSP1" s="338"/>
      <c r="OSQ1" s="338"/>
      <c r="OSR1" s="338"/>
      <c r="OSS1" s="338"/>
      <c r="OST1" s="338"/>
      <c r="OSU1" s="338"/>
      <c r="OSV1" s="338"/>
      <c r="OSW1" s="338"/>
      <c r="OSX1" s="338"/>
      <c r="OSY1" s="338"/>
      <c r="OSZ1" s="338"/>
      <c r="OTA1" s="338"/>
      <c r="OTB1" s="338"/>
      <c r="OTC1" s="338"/>
      <c r="OTD1" s="338"/>
      <c r="OTE1" s="338"/>
      <c r="OTF1" s="338"/>
      <c r="OTG1" s="338"/>
      <c r="OTH1" s="338"/>
      <c r="OTI1" s="338"/>
      <c r="OTJ1" s="338"/>
      <c r="OTK1" s="338"/>
      <c r="OTL1" s="338"/>
      <c r="OTM1" s="338"/>
      <c r="OTN1" s="338"/>
      <c r="OTO1" s="338"/>
      <c r="OTP1" s="338"/>
      <c r="OTQ1" s="338"/>
      <c r="OTR1" s="338"/>
      <c r="OTS1" s="338"/>
      <c r="OTT1" s="338"/>
      <c r="OTU1" s="338"/>
      <c r="OTV1" s="338"/>
      <c r="OTW1" s="338"/>
      <c r="OTX1" s="338"/>
      <c r="OTY1" s="338"/>
      <c r="OTZ1" s="338"/>
      <c r="OUA1" s="338"/>
      <c r="OUB1" s="338"/>
      <c r="OUC1" s="338"/>
      <c r="OUD1" s="338"/>
      <c r="OUE1" s="338"/>
      <c r="OUF1" s="338"/>
      <c r="OUG1" s="338"/>
      <c r="OUH1" s="338"/>
      <c r="OUI1" s="338"/>
      <c r="OUJ1" s="338"/>
      <c r="OUK1" s="338"/>
      <c r="OUL1" s="338"/>
      <c r="OUM1" s="338"/>
      <c r="OUN1" s="338"/>
      <c r="OUO1" s="338"/>
      <c r="OUP1" s="338"/>
      <c r="OUQ1" s="338"/>
      <c r="OUR1" s="338"/>
      <c r="OUS1" s="338"/>
      <c r="OUT1" s="338"/>
      <c r="OUU1" s="338"/>
      <c r="OUV1" s="338"/>
      <c r="OUW1" s="338"/>
      <c r="OUX1" s="338"/>
      <c r="OUY1" s="338"/>
      <c r="OUZ1" s="338"/>
      <c r="OVA1" s="338"/>
      <c r="OVB1" s="338"/>
      <c r="OVC1" s="338"/>
      <c r="OVD1" s="338"/>
      <c r="OVE1" s="338"/>
      <c r="OVF1" s="338"/>
      <c r="OVG1" s="338"/>
      <c r="OVH1" s="338"/>
      <c r="OVI1" s="338"/>
      <c r="OVJ1" s="338"/>
      <c r="OVK1" s="338"/>
      <c r="OVL1" s="338"/>
      <c r="OVM1" s="338"/>
      <c r="OVN1" s="338"/>
      <c r="OVO1" s="338"/>
      <c r="OVP1" s="338"/>
      <c r="OVQ1" s="338"/>
      <c r="OVR1" s="338"/>
      <c r="OVS1" s="338"/>
      <c r="OVT1" s="338"/>
      <c r="OVU1" s="338"/>
      <c r="OVV1" s="338"/>
      <c r="OVW1" s="338"/>
      <c r="OVX1" s="338"/>
      <c r="OVY1" s="338"/>
      <c r="OVZ1" s="338"/>
      <c r="OWA1" s="338"/>
      <c r="OWB1" s="338"/>
      <c r="OWC1" s="338"/>
      <c r="OWD1" s="338"/>
      <c r="OWE1" s="338"/>
      <c r="OWF1" s="338"/>
      <c r="OWG1" s="338"/>
      <c r="OWH1" s="338"/>
      <c r="OWI1" s="338"/>
      <c r="OWJ1" s="338"/>
      <c r="OWK1" s="338"/>
      <c r="OWL1" s="338"/>
      <c r="OWM1" s="338"/>
      <c r="OWN1" s="338"/>
      <c r="OWO1" s="338"/>
      <c r="OWP1" s="338"/>
      <c r="OWQ1" s="338"/>
      <c r="OWR1" s="338"/>
      <c r="OWS1" s="338"/>
      <c r="OWT1" s="338"/>
      <c r="OWU1" s="338"/>
      <c r="OWV1" s="338"/>
      <c r="OWW1" s="338"/>
      <c r="OWX1" s="338"/>
      <c r="OWY1" s="338"/>
      <c r="OWZ1" s="338"/>
      <c r="OXA1" s="338"/>
      <c r="OXB1" s="338"/>
      <c r="OXC1" s="338"/>
      <c r="OXD1" s="338"/>
      <c r="OXE1" s="338"/>
      <c r="OXF1" s="338"/>
      <c r="OXG1" s="338"/>
      <c r="OXH1" s="338"/>
      <c r="OXI1" s="338"/>
      <c r="OXJ1" s="338"/>
      <c r="OXK1" s="338"/>
      <c r="OXL1" s="338"/>
      <c r="OXM1" s="338"/>
      <c r="OXN1" s="338"/>
      <c r="OXO1" s="338"/>
      <c r="OXP1" s="338"/>
      <c r="OXQ1" s="338"/>
      <c r="OXR1" s="338"/>
      <c r="OXS1" s="338"/>
      <c r="OXT1" s="338"/>
      <c r="OXU1" s="338"/>
      <c r="OXV1" s="338"/>
      <c r="OXW1" s="338"/>
      <c r="OXX1" s="338"/>
      <c r="OXY1" s="338"/>
      <c r="OXZ1" s="338"/>
      <c r="OYA1" s="338"/>
      <c r="OYB1" s="338"/>
      <c r="OYC1" s="338"/>
      <c r="OYD1" s="338"/>
      <c r="OYE1" s="338"/>
      <c r="OYF1" s="338"/>
      <c r="OYG1" s="338"/>
      <c r="OYH1" s="338"/>
      <c r="OYI1" s="338"/>
      <c r="OYJ1" s="338"/>
      <c r="OYK1" s="338"/>
      <c r="OYL1" s="338"/>
      <c r="OYM1" s="338"/>
      <c r="OYN1" s="338"/>
      <c r="OYO1" s="338"/>
      <c r="OYP1" s="338"/>
      <c r="OYQ1" s="338"/>
      <c r="OYR1" s="338"/>
      <c r="OYS1" s="338"/>
      <c r="OYT1" s="338"/>
      <c r="OYU1" s="338"/>
      <c r="OYV1" s="338"/>
      <c r="OYW1" s="338"/>
      <c r="OYX1" s="338"/>
      <c r="OYY1" s="338"/>
      <c r="OYZ1" s="338"/>
      <c r="OZA1" s="338"/>
      <c r="OZB1" s="338"/>
      <c r="OZC1" s="338"/>
      <c r="OZD1" s="338"/>
      <c r="OZE1" s="338"/>
      <c r="OZF1" s="338"/>
      <c r="OZG1" s="338"/>
      <c r="OZH1" s="338"/>
      <c r="OZI1" s="338"/>
      <c r="OZJ1" s="338"/>
      <c r="OZK1" s="338"/>
      <c r="OZL1" s="338"/>
      <c r="OZM1" s="338"/>
      <c r="OZN1" s="338"/>
      <c r="OZO1" s="338"/>
      <c r="OZP1" s="338"/>
      <c r="OZQ1" s="338"/>
      <c r="OZR1" s="338"/>
      <c r="OZS1" s="338"/>
      <c r="OZT1" s="338"/>
      <c r="OZU1" s="338"/>
      <c r="OZV1" s="338"/>
      <c r="OZW1" s="338"/>
      <c r="OZX1" s="338"/>
      <c r="OZY1" s="338"/>
      <c r="OZZ1" s="338"/>
      <c r="PAA1" s="338"/>
      <c r="PAB1" s="338"/>
      <c r="PAC1" s="338"/>
      <c r="PAD1" s="338"/>
      <c r="PAE1" s="338"/>
      <c r="PAF1" s="338"/>
      <c r="PAG1" s="338"/>
      <c r="PAH1" s="338"/>
      <c r="PAI1" s="338"/>
      <c r="PAJ1" s="338"/>
      <c r="PAK1" s="338"/>
      <c r="PAL1" s="338"/>
      <c r="PAM1" s="338"/>
      <c r="PAN1" s="338"/>
      <c r="PAO1" s="338"/>
      <c r="PAP1" s="338"/>
      <c r="PAQ1" s="338"/>
      <c r="PAR1" s="338"/>
      <c r="PAS1" s="338"/>
      <c r="PAT1" s="338"/>
      <c r="PAU1" s="338"/>
      <c r="PAV1" s="338"/>
      <c r="PAW1" s="338"/>
      <c r="PAX1" s="338"/>
      <c r="PAY1" s="338"/>
      <c r="PAZ1" s="338"/>
      <c r="PBA1" s="338"/>
      <c r="PBB1" s="338"/>
      <c r="PBC1" s="338"/>
      <c r="PBD1" s="338"/>
      <c r="PBE1" s="338"/>
      <c r="PBF1" s="338"/>
      <c r="PBG1" s="338"/>
      <c r="PBH1" s="338"/>
      <c r="PBI1" s="338"/>
      <c r="PBJ1" s="338"/>
      <c r="PBK1" s="338"/>
      <c r="PBL1" s="338"/>
      <c r="PBM1" s="338"/>
      <c r="PBN1" s="338"/>
      <c r="PBO1" s="338"/>
      <c r="PBP1" s="338"/>
      <c r="PBQ1" s="338"/>
      <c r="PBR1" s="338"/>
      <c r="PBS1" s="338"/>
      <c r="PBT1" s="338"/>
      <c r="PBU1" s="338"/>
      <c r="PBV1" s="338"/>
      <c r="PBW1" s="338"/>
      <c r="PBX1" s="338"/>
      <c r="PBY1" s="338"/>
      <c r="PBZ1" s="338"/>
      <c r="PCA1" s="338"/>
      <c r="PCB1" s="338"/>
      <c r="PCC1" s="338"/>
      <c r="PCD1" s="338"/>
      <c r="PCE1" s="338"/>
      <c r="PCF1" s="338"/>
      <c r="PCG1" s="338"/>
      <c r="PCH1" s="338"/>
      <c r="PCI1" s="338"/>
      <c r="PCJ1" s="338"/>
      <c r="PCK1" s="338"/>
      <c r="PCL1" s="338"/>
      <c r="PCM1" s="338"/>
      <c r="PCN1" s="338"/>
      <c r="PCO1" s="338"/>
      <c r="PCP1" s="338"/>
      <c r="PCQ1" s="338"/>
      <c r="PCR1" s="338"/>
      <c r="PCS1" s="338"/>
      <c r="PCT1" s="338"/>
      <c r="PCU1" s="338"/>
      <c r="PCV1" s="338"/>
      <c r="PCW1" s="338"/>
      <c r="PCX1" s="338"/>
      <c r="PCY1" s="338"/>
      <c r="PCZ1" s="338"/>
      <c r="PDA1" s="338"/>
      <c r="PDB1" s="338"/>
      <c r="PDC1" s="338"/>
      <c r="PDD1" s="338"/>
      <c r="PDE1" s="338"/>
      <c r="PDF1" s="338"/>
      <c r="PDG1" s="338"/>
      <c r="PDH1" s="338"/>
      <c r="PDI1" s="338"/>
      <c r="PDJ1" s="338"/>
      <c r="PDK1" s="338"/>
      <c r="PDL1" s="338"/>
      <c r="PDM1" s="338"/>
      <c r="PDN1" s="338"/>
      <c r="PDO1" s="338"/>
      <c r="PDP1" s="338"/>
      <c r="PDQ1" s="338"/>
      <c r="PDR1" s="338"/>
      <c r="PDS1" s="338"/>
      <c r="PDT1" s="338"/>
      <c r="PDU1" s="338"/>
      <c r="PDV1" s="338"/>
      <c r="PDW1" s="338"/>
      <c r="PDX1" s="338"/>
      <c r="PDY1" s="338"/>
      <c r="PDZ1" s="338"/>
      <c r="PEA1" s="338"/>
      <c r="PEB1" s="338"/>
      <c r="PEC1" s="338"/>
      <c r="PED1" s="338"/>
      <c r="PEE1" s="338"/>
      <c r="PEF1" s="338"/>
      <c r="PEG1" s="338"/>
      <c r="PEH1" s="338"/>
      <c r="PEI1" s="338"/>
      <c r="PEJ1" s="338"/>
      <c r="PEK1" s="338"/>
      <c r="PEL1" s="338"/>
      <c r="PEM1" s="338"/>
      <c r="PEN1" s="338"/>
      <c r="PEO1" s="338"/>
      <c r="PEP1" s="338"/>
      <c r="PEQ1" s="338"/>
      <c r="PER1" s="338"/>
      <c r="PES1" s="338"/>
      <c r="PET1" s="338"/>
      <c r="PEU1" s="338"/>
      <c r="PEV1" s="338"/>
      <c r="PEW1" s="338"/>
      <c r="PEX1" s="338"/>
      <c r="PEY1" s="338"/>
      <c r="PEZ1" s="338"/>
      <c r="PFA1" s="338"/>
      <c r="PFB1" s="338"/>
      <c r="PFC1" s="338"/>
      <c r="PFD1" s="338"/>
      <c r="PFE1" s="338"/>
      <c r="PFF1" s="338"/>
      <c r="PFG1" s="338"/>
      <c r="PFH1" s="338"/>
      <c r="PFI1" s="338"/>
      <c r="PFJ1" s="338"/>
      <c r="PFK1" s="338"/>
      <c r="PFL1" s="338"/>
      <c r="PFM1" s="338"/>
      <c r="PFN1" s="338"/>
      <c r="PFO1" s="338"/>
      <c r="PFP1" s="338"/>
      <c r="PFQ1" s="338"/>
      <c r="PFR1" s="338"/>
      <c r="PFS1" s="338"/>
      <c r="PFT1" s="338"/>
      <c r="PFU1" s="338"/>
      <c r="PFV1" s="338"/>
      <c r="PFW1" s="338"/>
      <c r="PFX1" s="338"/>
      <c r="PFY1" s="338"/>
      <c r="PFZ1" s="338"/>
      <c r="PGA1" s="338"/>
      <c r="PGB1" s="338"/>
      <c r="PGC1" s="338"/>
      <c r="PGD1" s="338"/>
      <c r="PGE1" s="338"/>
      <c r="PGF1" s="338"/>
      <c r="PGG1" s="338"/>
      <c r="PGH1" s="338"/>
      <c r="PGI1" s="338"/>
      <c r="PGJ1" s="338"/>
      <c r="PGK1" s="338"/>
      <c r="PGL1" s="338"/>
      <c r="PGM1" s="338"/>
      <c r="PGN1" s="338"/>
      <c r="PGO1" s="338"/>
      <c r="PGP1" s="338"/>
      <c r="PGQ1" s="338"/>
      <c r="PGR1" s="338"/>
      <c r="PGS1" s="338"/>
      <c r="PGT1" s="338"/>
      <c r="PGU1" s="338"/>
      <c r="PGV1" s="338"/>
      <c r="PGW1" s="338"/>
      <c r="PGX1" s="338"/>
      <c r="PGY1" s="338"/>
      <c r="PGZ1" s="338"/>
      <c r="PHA1" s="338"/>
      <c r="PHB1" s="338"/>
      <c r="PHC1" s="338"/>
      <c r="PHD1" s="338"/>
      <c r="PHE1" s="338"/>
      <c r="PHF1" s="338"/>
      <c r="PHG1" s="338"/>
      <c r="PHH1" s="338"/>
      <c r="PHI1" s="338"/>
      <c r="PHJ1" s="338"/>
      <c r="PHK1" s="338"/>
      <c r="PHL1" s="338"/>
      <c r="PHM1" s="338"/>
      <c r="PHN1" s="338"/>
      <c r="PHO1" s="338"/>
      <c r="PHP1" s="338"/>
      <c r="PHQ1" s="338"/>
      <c r="PHR1" s="338"/>
      <c r="PHS1" s="338"/>
      <c r="PHT1" s="338"/>
      <c r="PHU1" s="338"/>
      <c r="PHV1" s="338"/>
      <c r="PHW1" s="338"/>
      <c r="PHX1" s="338"/>
      <c r="PHY1" s="338"/>
      <c r="PHZ1" s="338"/>
      <c r="PIA1" s="338"/>
      <c r="PIB1" s="338"/>
      <c r="PIC1" s="338"/>
      <c r="PID1" s="338"/>
      <c r="PIE1" s="338"/>
      <c r="PIF1" s="338"/>
      <c r="PIG1" s="338"/>
      <c r="PIH1" s="338"/>
      <c r="PII1" s="338"/>
      <c r="PIJ1" s="338"/>
      <c r="PIK1" s="338"/>
      <c r="PIL1" s="338"/>
      <c r="PIM1" s="338"/>
      <c r="PIN1" s="338"/>
      <c r="PIO1" s="338"/>
      <c r="PIP1" s="338"/>
      <c r="PIQ1" s="338"/>
      <c r="PIR1" s="338"/>
      <c r="PIS1" s="338"/>
      <c r="PIT1" s="338"/>
      <c r="PIU1" s="338"/>
      <c r="PIV1" s="338"/>
      <c r="PIW1" s="338"/>
      <c r="PIX1" s="338"/>
      <c r="PIY1" s="338"/>
      <c r="PIZ1" s="338"/>
      <c r="PJA1" s="338"/>
      <c r="PJB1" s="338"/>
      <c r="PJC1" s="338"/>
      <c r="PJD1" s="338"/>
      <c r="PJE1" s="338"/>
      <c r="PJF1" s="338"/>
      <c r="PJG1" s="338"/>
      <c r="PJH1" s="338"/>
      <c r="PJI1" s="338"/>
      <c r="PJJ1" s="338"/>
      <c r="PJK1" s="338"/>
      <c r="PJL1" s="338"/>
      <c r="PJM1" s="338"/>
      <c r="PJN1" s="338"/>
      <c r="PJO1" s="338"/>
      <c r="PJP1" s="338"/>
      <c r="PJQ1" s="338"/>
      <c r="PJR1" s="338"/>
      <c r="PJS1" s="338"/>
      <c r="PJT1" s="338"/>
      <c r="PJU1" s="338"/>
      <c r="PJV1" s="338"/>
      <c r="PJW1" s="338"/>
      <c r="PJX1" s="338"/>
      <c r="PJY1" s="338"/>
      <c r="PJZ1" s="338"/>
      <c r="PKA1" s="338"/>
      <c r="PKB1" s="338"/>
      <c r="PKC1" s="338"/>
      <c r="PKD1" s="338"/>
      <c r="PKE1" s="338"/>
      <c r="PKF1" s="338"/>
      <c r="PKG1" s="338"/>
      <c r="PKH1" s="338"/>
      <c r="PKI1" s="338"/>
      <c r="PKJ1" s="338"/>
      <c r="PKK1" s="338"/>
      <c r="PKL1" s="338"/>
      <c r="PKM1" s="338"/>
      <c r="PKN1" s="338"/>
      <c r="PKO1" s="338"/>
      <c r="PKP1" s="338"/>
      <c r="PKQ1" s="338"/>
      <c r="PKR1" s="338"/>
      <c r="PKS1" s="338"/>
      <c r="PKT1" s="338"/>
      <c r="PKU1" s="338"/>
      <c r="PKV1" s="338"/>
      <c r="PKW1" s="338"/>
      <c r="PKX1" s="338"/>
      <c r="PKY1" s="338"/>
      <c r="PKZ1" s="338"/>
      <c r="PLA1" s="338"/>
      <c r="PLB1" s="338"/>
      <c r="PLC1" s="338"/>
      <c r="PLD1" s="338"/>
      <c r="PLE1" s="338"/>
      <c r="PLF1" s="338"/>
      <c r="PLG1" s="338"/>
      <c r="PLH1" s="338"/>
      <c r="PLI1" s="338"/>
      <c r="PLJ1" s="338"/>
      <c r="PLK1" s="338"/>
      <c r="PLL1" s="338"/>
      <c r="PLM1" s="338"/>
      <c r="PLN1" s="338"/>
      <c r="PLO1" s="338"/>
      <c r="PLP1" s="338"/>
      <c r="PLQ1" s="338"/>
      <c r="PLR1" s="338"/>
      <c r="PLS1" s="338"/>
      <c r="PLT1" s="338"/>
      <c r="PLU1" s="338"/>
      <c r="PLV1" s="338"/>
      <c r="PLW1" s="338"/>
      <c r="PLX1" s="338"/>
      <c r="PLY1" s="338"/>
      <c r="PLZ1" s="338"/>
      <c r="PMA1" s="338"/>
      <c r="PMB1" s="338"/>
      <c r="PMC1" s="338"/>
      <c r="PMD1" s="338"/>
      <c r="PME1" s="338"/>
      <c r="PMF1" s="338"/>
      <c r="PMG1" s="338"/>
      <c r="PMH1" s="338"/>
      <c r="PMI1" s="338"/>
      <c r="PMJ1" s="338"/>
      <c r="PMK1" s="338"/>
      <c r="PML1" s="338"/>
      <c r="PMM1" s="338"/>
      <c r="PMN1" s="338"/>
      <c r="PMO1" s="338"/>
      <c r="PMP1" s="338"/>
      <c r="PMQ1" s="338"/>
      <c r="PMR1" s="338"/>
      <c r="PMS1" s="338"/>
      <c r="PMT1" s="338"/>
      <c r="PMU1" s="338"/>
      <c r="PMV1" s="338"/>
      <c r="PMW1" s="338"/>
      <c r="PMX1" s="338"/>
      <c r="PMY1" s="338"/>
      <c r="PMZ1" s="338"/>
      <c r="PNA1" s="338"/>
      <c r="PNB1" s="338"/>
      <c r="PNC1" s="338"/>
      <c r="PND1" s="338"/>
      <c r="PNE1" s="338"/>
      <c r="PNF1" s="338"/>
      <c r="PNG1" s="338"/>
      <c r="PNH1" s="338"/>
      <c r="PNI1" s="338"/>
      <c r="PNJ1" s="338"/>
      <c r="PNK1" s="338"/>
      <c r="PNL1" s="338"/>
      <c r="PNM1" s="338"/>
      <c r="PNN1" s="338"/>
      <c r="PNO1" s="338"/>
      <c r="PNP1" s="338"/>
      <c r="PNQ1" s="338"/>
      <c r="PNR1" s="338"/>
      <c r="PNS1" s="338"/>
      <c r="PNT1" s="338"/>
      <c r="PNU1" s="338"/>
      <c r="PNV1" s="338"/>
      <c r="PNW1" s="338"/>
      <c r="PNX1" s="338"/>
      <c r="PNY1" s="338"/>
      <c r="PNZ1" s="338"/>
      <c r="POA1" s="338"/>
      <c r="POB1" s="338"/>
      <c r="POC1" s="338"/>
      <c r="POD1" s="338"/>
      <c r="POE1" s="338"/>
      <c r="POF1" s="338"/>
      <c r="POG1" s="338"/>
      <c r="POH1" s="338"/>
      <c r="POI1" s="338"/>
      <c r="POJ1" s="338"/>
      <c r="POK1" s="338"/>
      <c r="POL1" s="338"/>
      <c r="POM1" s="338"/>
      <c r="PON1" s="338"/>
      <c r="POO1" s="338"/>
      <c r="POP1" s="338"/>
      <c r="POQ1" s="338"/>
      <c r="POR1" s="338"/>
      <c r="POS1" s="338"/>
      <c r="POT1" s="338"/>
      <c r="POU1" s="338"/>
      <c r="POV1" s="338"/>
      <c r="POW1" s="338"/>
      <c r="POX1" s="338"/>
      <c r="POY1" s="338"/>
      <c r="POZ1" s="338"/>
      <c r="PPA1" s="338"/>
      <c r="PPB1" s="338"/>
      <c r="PPC1" s="338"/>
      <c r="PPD1" s="338"/>
      <c r="PPE1" s="338"/>
      <c r="PPF1" s="338"/>
      <c r="PPG1" s="338"/>
      <c r="PPH1" s="338"/>
      <c r="PPI1" s="338"/>
      <c r="PPJ1" s="338"/>
      <c r="PPK1" s="338"/>
      <c r="PPL1" s="338"/>
      <c r="PPM1" s="338"/>
      <c r="PPN1" s="338"/>
      <c r="PPO1" s="338"/>
      <c r="PPP1" s="338"/>
      <c r="PPQ1" s="338"/>
      <c r="PPR1" s="338"/>
      <c r="PPS1" s="338"/>
      <c r="PPT1" s="338"/>
      <c r="PPU1" s="338"/>
      <c r="PPV1" s="338"/>
      <c r="PPW1" s="338"/>
      <c r="PPX1" s="338"/>
      <c r="PPY1" s="338"/>
      <c r="PPZ1" s="338"/>
      <c r="PQA1" s="338"/>
      <c r="PQB1" s="338"/>
      <c r="PQC1" s="338"/>
      <c r="PQD1" s="338"/>
      <c r="PQE1" s="338"/>
      <c r="PQF1" s="338"/>
      <c r="PQG1" s="338"/>
      <c r="PQH1" s="338"/>
      <c r="PQI1" s="338"/>
      <c r="PQJ1" s="338"/>
      <c r="PQK1" s="338"/>
      <c r="PQL1" s="338"/>
      <c r="PQM1" s="338"/>
      <c r="PQN1" s="338"/>
      <c r="PQO1" s="338"/>
      <c r="PQP1" s="338"/>
      <c r="PQQ1" s="338"/>
      <c r="PQR1" s="338"/>
      <c r="PQS1" s="338"/>
      <c r="PQT1" s="338"/>
      <c r="PQU1" s="338"/>
      <c r="PQV1" s="338"/>
      <c r="PQW1" s="338"/>
      <c r="PQX1" s="338"/>
      <c r="PQY1" s="338"/>
      <c r="PQZ1" s="338"/>
      <c r="PRA1" s="338"/>
      <c r="PRB1" s="338"/>
      <c r="PRC1" s="338"/>
      <c r="PRD1" s="338"/>
      <c r="PRE1" s="338"/>
      <c r="PRF1" s="338"/>
      <c r="PRG1" s="338"/>
      <c r="PRH1" s="338"/>
      <c r="PRI1" s="338"/>
      <c r="PRJ1" s="338"/>
      <c r="PRK1" s="338"/>
      <c r="PRL1" s="338"/>
      <c r="PRM1" s="338"/>
      <c r="PRN1" s="338"/>
      <c r="PRO1" s="338"/>
      <c r="PRP1" s="338"/>
      <c r="PRQ1" s="338"/>
      <c r="PRR1" s="338"/>
      <c r="PRS1" s="338"/>
      <c r="PRT1" s="338"/>
      <c r="PRU1" s="338"/>
      <c r="PRV1" s="338"/>
      <c r="PRW1" s="338"/>
      <c r="PRX1" s="338"/>
      <c r="PRY1" s="338"/>
      <c r="PRZ1" s="338"/>
      <c r="PSA1" s="338"/>
      <c r="PSB1" s="338"/>
      <c r="PSC1" s="338"/>
      <c r="PSD1" s="338"/>
      <c r="PSE1" s="338"/>
      <c r="PSF1" s="338"/>
      <c r="PSG1" s="338"/>
      <c r="PSH1" s="338"/>
      <c r="PSI1" s="338"/>
      <c r="PSJ1" s="338"/>
      <c r="PSK1" s="338"/>
      <c r="PSL1" s="338"/>
      <c r="PSM1" s="338"/>
      <c r="PSN1" s="338"/>
      <c r="PSO1" s="338"/>
      <c r="PSP1" s="338"/>
      <c r="PSQ1" s="338"/>
      <c r="PSR1" s="338"/>
      <c r="PSS1" s="338"/>
      <c r="PST1" s="338"/>
      <c r="PSU1" s="338"/>
      <c r="PSV1" s="338"/>
      <c r="PSW1" s="338"/>
      <c r="PSX1" s="338"/>
      <c r="PSY1" s="338"/>
      <c r="PSZ1" s="338"/>
      <c r="PTA1" s="338"/>
      <c r="PTB1" s="338"/>
      <c r="PTC1" s="338"/>
      <c r="PTD1" s="338"/>
      <c r="PTE1" s="338"/>
      <c r="PTF1" s="338"/>
      <c r="PTG1" s="338"/>
      <c r="PTH1" s="338"/>
      <c r="PTI1" s="338"/>
      <c r="PTJ1" s="338"/>
      <c r="PTK1" s="338"/>
      <c r="PTL1" s="338"/>
      <c r="PTM1" s="338"/>
      <c r="PTN1" s="338"/>
      <c r="PTO1" s="338"/>
      <c r="PTP1" s="338"/>
      <c r="PTQ1" s="338"/>
      <c r="PTR1" s="338"/>
      <c r="PTS1" s="338"/>
      <c r="PTT1" s="338"/>
      <c r="PTU1" s="338"/>
      <c r="PTV1" s="338"/>
      <c r="PTW1" s="338"/>
      <c r="PTX1" s="338"/>
      <c r="PTY1" s="338"/>
      <c r="PTZ1" s="338"/>
      <c r="PUA1" s="338"/>
      <c r="PUB1" s="338"/>
      <c r="PUC1" s="338"/>
      <c r="PUD1" s="338"/>
      <c r="PUE1" s="338"/>
      <c r="PUF1" s="338"/>
      <c r="PUG1" s="338"/>
      <c r="PUH1" s="338"/>
      <c r="PUI1" s="338"/>
      <c r="PUJ1" s="338"/>
      <c r="PUK1" s="338"/>
      <c r="PUL1" s="338"/>
      <c r="PUM1" s="338"/>
      <c r="PUN1" s="338"/>
      <c r="PUO1" s="338"/>
      <c r="PUP1" s="338"/>
      <c r="PUQ1" s="338"/>
      <c r="PUR1" s="338"/>
      <c r="PUS1" s="338"/>
      <c r="PUT1" s="338"/>
      <c r="PUU1" s="338"/>
      <c r="PUV1" s="338"/>
      <c r="PUW1" s="338"/>
      <c r="PUX1" s="338"/>
      <c r="PUY1" s="338"/>
      <c r="PUZ1" s="338"/>
      <c r="PVA1" s="338"/>
      <c r="PVB1" s="338"/>
      <c r="PVC1" s="338"/>
      <c r="PVD1" s="338"/>
      <c r="PVE1" s="338"/>
      <c r="PVF1" s="338"/>
      <c r="PVG1" s="338"/>
      <c r="PVH1" s="338"/>
      <c r="PVI1" s="338"/>
      <c r="PVJ1" s="338"/>
      <c r="PVK1" s="338"/>
      <c r="PVL1" s="338"/>
      <c r="PVM1" s="338"/>
      <c r="PVN1" s="338"/>
      <c r="PVO1" s="338"/>
      <c r="PVP1" s="338"/>
      <c r="PVQ1" s="338"/>
      <c r="PVR1" s="338"/>
      <c r="PVS1" s="338"/>
      <c r="PVT1" s="338"/>
      <c r="PVU1" s="338"/>
      <c r="PVV1" s="338"/>
      <c r="PVW1" s="338"/>
      <c r="PVX1" s="338"/>
      <c r="PVY1" s="338"/>
      <c r="PVZ1" s="338"/>
      <c r="PWA1" s="338"/>
      <c r="PWB1" s="338"/>
      <c r="PWC1" s="338"/>
      <c r="PWD1" s="338"/>
      <c r="PWE1" s="338"/>
      <c r="PWF1" s="338"/>
      <c r="PWG1" s="338"/>
      <c r="PWH1" s="338"/>
      <c r="PWI1" s="338"/>
      <c r="PWJ1" s="338"/>
      <c r="PWK1" s="338"/>
      <c r="PWL1" s="338"/>
      <c r="PWM1" s="338"/>
      <c r="PWN1" s="338"/>
      <c r="PWO1" s="338"/>
      <c r="PWP1" s="338"/>
      <c r="PWQ1" s="338"/>
      <c r="PWR1" s="338"/>
      <c r="PWS1" s="338"/>
      <c r="PWT1" s="338"/>
      <c r="PWU1" s="338"/>
      <c r="PWV1" s="338"/>
      <c r="PWW1" s="338"/>
      <c r="PWX1" s="338"/>
      <c r="PWY1" s="338"/>
      <c r="PWZ1" s="338"/>
      <c r="PXA1" s="338"/>
      <c r="PXB1" s="338"/>
      <c r="PXC1" s="338"/>
      <c r="PXD1" s="338"/>
      <c r="PXE1" s="338"/>
      <c r="PXF1" s="338"/>
      <c r="PXG1" s="338"/>
      <c r="PXH1" s="338"/>
      <c r="PXI1" s="338"/>
      <c r="PXJ1" s="338"/>
      <c r="PXK1" s="338"/>
      <c r="PXL1" s="338"/>
      <c r="PXM1" s="338"/>
      <c r="PXN1" s="338"/>
      <c r="PXO1" s="338"/>
      <c r="PXP1" s="338"/>
      <c r="PXQ1" s="338"/>
      <c r="PXR1" s="338"/>
      <c r="PXS1" s="338"/>
      <c r="PXT1" s="338"/>
      <c r="PXU1" s="338"/>
      <c r="PXV1" s="338"/>
      <c r="PXW1" s="338"/>
      <c r="PXX1" s="338"/>
      <c r="PXY1" s="338"/>
      <c r="PXZ1" s="338"/>
      <c r="PYA1" s="338"/>
      <c r="PYB1" s="338"/>
      <c r="PYC1" s="338"/>
      <c r="PYD1" s="338"/>
      <c r="PYE1" s="338"/>
      <c r="PYF1" s="338"/>
      <c r="PYG1" s="338"/>
      <c r="PYH1" s="338"/>
      <c r="PYI1" s="338"/>
      <c r="PYJ1" s="338"/>
      <c r="PYK1" s="338"/>
      <c r="PYL1" s="338"/>
      <c r="PYM1" s="338"/>
      <c r="PYN1" s="338"/>
      <c r="PYO1" s="338"/>
      <c r="PYP1" s="338"/>
      <c r="PYQ1" s="338"/>
      <c r="PYR1" s="338"/>
      <c r="PYS1" s="338"/>
      <c r="PYT1" s="338"/>
      <c r="PYU1" s="338"/>
      <c r="PYV1" s="338"/>
      <c r="PYW1" s="338"/>
      <c r="PYX1" s="338"/>
      <c r="PYY1" s="338"/>
      <c r="PYZ1" s="338"/>
      <c r="PZA1" s="338"/>
      <c r="PZB1" s="338"/>
      <c r="PZC1" s="338"/>
      <c r="PZD1" s="338"/>
      <c r="PZE1" s="338"/>
      <c r="PZF1" s="338"/>
      <c r="PZG1" s="338"/>
      <c r="PZH1" s="338"/>
      <c r="PZI1" s="338"/>
      <c r="PZJ1" s="338"/>
      <c r="PZK1" s="338"/>
      <c r="PZL1" s="338"/>
      <c r="PZM1" s="338"/>
      <c r="PZN1" s="338"/>
      <c r="PZO1" s="338"/>
      <c r="PZP1" s="338"/>
      <c r="PZQ1" s="338"/>
      <c r="PZR1" s="338"/>
      <c r="PZS1" s="338"/>
      <c r="PZT1" s="338"/>
      <c r="PZU1" s="338"/>
      <c r="PZV1" s="338"/>
      <c r="PZW1" s="338"/>
      <c r="PZX1" s="338"/>
      <c r="PZY1" s="338"/>
      <c r="PZZ1" s="338"/>
      <c r="QAA1" s="338"/>
      <c r="QAB1" s="338"/>
      <c r="QAC1" s="338"/>
      <c r="QAD1" s="338"/>
      <c r="QAE1" s="338"/>
      <c r="QAF1" s="338"/>
      <c r="QAG1" s="338"/>
      <c r="QAH1" s="338"/>
      <c r="QAI1" s="338"/>
      <c r="QAJ1" s="338"/>
      <c r="QAK1" s="338"/>
      <c r="QAL1" s="338"/>
      <c r="QAM1" s="338"/>
      <c r="QAN1" s="338"/>
      <c r="QAO1" s="338"/>
      <c r="QAP1" s="338"/>
      <c r="QAQ1" s="338"/>
      <c r="QAR1" s="338"/>
      <c r="QAS1" s="338"/>
      <c r="QAT1" s="338"/>
      <c r="QAU1" s="338"/>
      <c r="QAV1" s="338"/>
      <c r="QAW1" s="338"/>
      <c r="QAX1" s="338"/>
      <c r="QAY1" s="338"/>
      <c r="QAZ1" s="338"/>
      <c r="QBA1" s="338"/>
      <c r="QBB1" s="338"/>
      <c r="QBC1" s="338"/>
      <c r="QBD1" s="338"/>
      <c r="QBE1" s="338"/>
      <c r="QBF1" s="338"/>
      <c r="QBG1" s="338"/>
      <c r="QBH1" s="338"/>
      <c r="QBI1" s="338"/>
      <c r="QBJ1" s="338"/>
      <c r="QBK1" s="338"/>
      <c r="QBL1" s="338"/>
      <c r="QBM1" s="338"/>
      <c r="QBN1" s="338"/>
      <c r="QBO1" s="338"/>
      <c r="QBP1" s="338"/>
      <c r="QBQ1" s="338"/>
      <c r="QBR1" s="338"/>
      <c r="QBS1" s="338"/>
      <c r="QBT1" s="338"/>
      <c r="QBU1" s="338"/>
      <c r="QBV1" s="338"/>
      <c r="QBW1" s="338"/>
      <c r="QBX1" s="338"/>
      <c r="QBY1" s="338"/>
      <c r="QBZ1" s="338"/>
      <c r="QCA1" s="338"/>
      <c r="QCB1" s="338"/>
      <c r="QCC1" s="338"/>
      <c r="QCD1" s="338"/>
      <c r="QCE1" s="338"/>
      <c r="QCF1" s="338"/>
      <c r="QCG1" s="338"/>
      <c r="QCH1" s="338"/>
      <c r="QCI1" s="338"/>
      <c r="QCJ1" s="338"/>
      <c r="QCK1" s="338"/>
      <c r="QCL1" s="338"/>
      <c r="QCM1" s="338"/>
      <c r="QCN1" s="338"/>
      <c r="QCO1" s="338"/>
      <c r="QCP1" s="338"/>
      <c r="QCQ1" s="338"/>
      <c r="QCR1" s="338"/>
      <c r="QCS1" s="338"/>
      <c r="QCT1" s="338"/>
      <c r="QCU1" s="338"/>
      <c r="QCV1" s="338"/>
      <c r="QCW1" s="338"/>
      <c r="QCX1" s="338"/>
      <c r="QCY1" s="338"/>
      <c r="QCZ1" s="338"/>
      <c r="QDA1" s="338"/>
      <c r="QDB1" s="338"/>
      <c r="QDC1" s="338"/>
      <c r="QDD1" s="338"/>
      <c r="QDE1" s="338"/>
      <c r="QDF1" s="338"/>
      <c r="QDG1" s="338"/>
      <c r="QDH1" s="338"/>
      <c r="QDI1" s="338"/>
      <c r="QDJ1" s="338"/>
      <c r="QDK1" s="338"/>
      <c r="QDL1" s="338"/>
      <c r="QDM1" s="338"/>
      <c r="QDN1" s="338"/>
      <c r="QDO1" s="338"/>
      <c r="QDP1" s="338"/>
      <c r="QDQ1" s="338"/>
      <c r="QDR1" s="338"/>
      <c r="QDS1" s="338"/>
      <c r="QDT1" s="338"/>
      <c r="QDU1" s="338"/>
      <c r="QDV1" s="338"/>
      <c r="QDW1" s="338"/>
      <c r="QDX1" s="338"/>
      <c r="QDY1" s="338"/>
      <c r="QDZ1" s="338"/>
      <c r="QEA1" s="338"/>
      <c r="QEB1" s="338"/>
      <c r="QEC1" s="338"/>
      <c r="QED1" s="338"/>
      <c r="QEE1" s="338"/>
      <c r="QEF1" s="338"/>
      <c r="QEG1" s="338"/>
      <c r="QEH1" s="338"/>
      <c r="QEI1" s="338"/>
      <c r="QEJ1" s="338"/>
      <c r="QEK1" s="338"/>
      <c r="QEL1" s="338"/>
      <c r="QEM1" s="338"/>
      <c r="QEN1" s="338"/>
      <c r="QEO1" s="338"/>
      <c r="QEP1" s="338"/>
      <c r="QEQ1" s="338"/>
      <c r="QER1" s="338"/>
      <c r="QES1" s="338"/>
      <c r="QET1" s="338"/>
      <c r="QEU1" s="338"/>
      <c r="QEV1" s="338"/>
      <c r="QEW1" s="338"/>
      <c r="QEX1" s="338"/>
      <c r="QEY1" s="338"/>
      <c r="QEZ1" s="338"/>
      <c r="QFA1" s="338"/>
      <c r="QFB1" s="338"/>
      <c r="QFC1" s="338"/>
      <c r="QFD1" s="338"/>
      <c r="QFE1" s="338"/>
      <c r="QFF1" s="338"/>
      <c r="QFG1" s="338"/>
      <c r="QFH1" s="338"/>
      <c r="QFI1" s="338"/>
      <c r="QFJ1" s="338"/>
      <c r="QFK1" s="338"/>
      <c r="QFL1" s="338"/>
      <c r="QFM1" s="338"/>
      <c r="QFN1" s="338"/>
      <c r="QFO1" s="338"/>
      <c r="QFP1" s="338"/>
      <c r="QFQ1" s="338"/>
      <c r="QFR1" s="338"/>
      <c r="QFS1" s="338"/>
      <c r="QFT1" s="338"/>
      <c r="QFU1" s="338"/>
      <c r="QFV1" s="338"/>
      <c r="QFW1" s="338"/>
      <c r="QFX1" s="338"/>
      <c r="QFY1" s="338"/>
      <c r="QFZ1" s="338"/>
      <c r="QGA1" s="338"/>
      <c r="QGB1" s="338"/>
      <c r="QGC1" s="338"/>
      <c r="QGD1" s="338"/>
      <c r="QGE1" s="338"/>
      <c r="QGF1" s="338"/>
      <c r="QGG1" s="338"/>
      <c r="QGH1" s="338"/>
      <c r="QGI1" s="338"/>
      <c r="QGJ1" s="338"/>
      <c r="QGK1" s="338"/>
      <c r="QGL1" s="338"/>
      <c r="QGM1" s="338"/>
      <c r="QGN1" s="338"/>
      <c r="QGO1" s="338"/>
      <c r="QGP1" s="338"/>
      <c r="QGQ1" s="338"/>
      <c r="QGR1" s="338"/>
      <c r="QGS1" s="338"/>
      <c r="QGT1" s="338"/>
      <c r="QGU1" s="338"/>
      <c r="QGV1" s="338"/>
      <c r="QGW1" s="338"/>
      <c r="QGX1" s="338"/>
      <c r="QGY1" s="338"/>
      <c r="QGZ1" s="338"/>
      <c r="QHA1" s="338"/>
      <c r="QHB1" s="338"/>
      <c r="QHC1" s="338"/>
      <c r="QHD1" s="338"/>
      <c r="QHE1" s="338"/>
      <c r="QHF1" s="338"/>
      <c r="QHG1" s="338"/>
      <c r="QHH1" s="338"/>
      <c r="QHI1" s="338"/>
      <c r="QHJ1" s="338"/>
      <c r="QHK1" s="338"/>
      <c r="QHL1" s="338"/>
      <c r="QHM1" s="338"/>
      <c r="QHN1" s="338"/>
      <c r="QHO1" s="338"/>
      <c r="QHP1" s="338"/>
      <c r="QHQ1" s="338"/>
      <c r="QHR1" s="338"/>
      <c r="QHS1" s="338"/>
      <c r="QHT1" s="338"/>
      <c r="QHU1" s="338"/>
      <c r="QHV1" s="338"/>
      <c r="QHW1" s="338"/>
      <c r="QHX1" s="338"/>
      <c r="QHY1" s="338"/>
      <c r="QHZ1" s="338"/>
      <c r="QIA1" s="338"/>
      <c r="QIB1" s="338"/>
      <c r="QIC1" s="338"/>
      <c r="QID1" s="338"/>
      <c r="QIE1" s="338"/>
      <c r="QIF1" s="338"/>
      <c r="QIG1" s="338"/>
      <c r="QIH1" s="338"/>
      <c r="QII1" s="338"/>
      <c r="QIJ1" s="338"/>
      <c r="QIK1" s="338"/>
      <c r="QIL1" s="338"/>
      <c r="QIM1" s="338"/>
      <c r="QIN1" s="338"/>
      <c r="QIO1" s="338"/>
      <c r="QIP1" s="338"/>
      <c r="QIQ1" s="338"/>
      <c r="QIR1" s="338"/>
      <c r="QIS1" s="338"/>
      <c r="QIT1" s="338"/>
      <c r="QIU1" s="338"/>
      <c r="QIV1" s="338"/>
      <c r="QIW1" s="338"/>
      <c r="QIX1" s="338"/>
      <c r="QIY1" s="338"/>
      <c r="QIZ1" s="338"/>
      <c r="QJA1" s="338"/>
      <c r="QJB1" s="338"/>
      <c r="QJC1" s="338"/>
      <c r="QJD1" s="338"/>
      <c r="QJE1" s="338"/>
      <c r="QJF1" s="338"/>
      <c r="QJG1" s="338"/>
      <c r="QJH1" s="338"/>
      <c r="QJI1" s="338"/>
      <c r="QJJ1" s="338"/>
      <c r="QJK1" s="338"/>
      <c r="QJL1" s="338"/>
      <c r="QJM1" s="338"/>
      <c r="QJN1" s="338"/>
      <c r="QJO1" s="338"/>
      <c r="QJP1" s="338"/>
      <c r="QJQ1" s="338"/>
      <c r="QJR1" s="338"/>
      <c r="QJS1" s="338"/>
      <c r="QJT1" s="338"/>
      <c r="QJU1" s="338"/>
      <c r="QJV1" s="338"/>
      <c r="QJW1" s="338"/>
      <c r="QJX1" s="338"/>
      <c r="QJY1" s="338"/>
      <c r="QJZ1" s="338"/>
      <c r="QKA1" s="338"/>
      <c r="QKB1" s="338"/>
      <c r="QKC1" s="338"/>
      <c r="QKD1" s="338"/>
      <c r="QKE1" s="338"/>
      <c r="QKF1" s="338"/>
      <c r="QKG1" s="338"/>
      <c r="QKH1" s="338"/>
      <c r="QKI1" s="338"/>
      <c r="QKJ1" s="338"/>
      <c r="QKK1" s="338"/>
      <c r="QKL1" s="338"/>
      <c r="QKM1" s="338"/>
      <c r="QKN1" s="338"/>
      <c r="QKO1" s="338"/>
      <c r="QKP1" s="338"/>
      <c r="QKQ1" s="338"/>
      <c r="QKR1" s="338"/>
      <c r="QKS1" s="338"/>
      <c r="QKT1" s="338"/>
      <c r="QKU1" s="338"/>
      <c r="QKV1" s="338"/>
      <c r="QKW1" s="338"/>
      <c r="QKX1" s="338"/>
      <c r="QKY1" s="338"/>
      <c r="QKZ1" s="338"/>
      <c r="QLA1" s="338"/>
      <c r="QLB1" s="338"/>
      <c r="QLC1" s="338"/>
      <c r="QLD1" s="338"/>
      <c r="QLE1" s="338"/>
      <c r="QLF1" s="338"/>
      <c r="QLG1" s="338"/>
      <c r="QLH1" s="338"/>
      <c r="QLI1" s="338"/>
      <c r="QLJ1" s="338"/>
      <c r="QLK1" s="338"/>
      <c r="QLL1" s="338"/>
      <c r="QLM1" s="338"/>
      <c r="QLN1" s="338"/>
      <c r="QLO1" s="338"/>
      <c r="QLP1" s="338"/>
      <c r="QLQ1" s="338"/>
      <c r="QLR1" s="338"/>
      <c r="QLS1" s="338"/>
      <c r="QLT1" s="338"/>
      <c r="QLU1" s="338"/>
      <c r="QLV1" s="338"/>
      <c r="QLW1" s="338"/>
      <c r="QLX1" s="338"/>
      <c r="QLY1" s="338"/>
      <c r="QLZ1" s="338"/>
      <c r="QMA1" s="338"/>
      <c r="QMB1" s="338"/>
      <c r="QMC1" s="338"/>
      <c r="QMD1" s="338"/>
      <c r="QME1" s="338"/>
      <c r="QMF1" s="338"/>
      <c r="QMG1" s="338"/>
      <c r="QMH1" s="338"/>
      <c r="QMI1" s="338"/>
      <c r="QMJ1" s="338"/>
      <c r="QMK1" s="338"/>
      <c r="QML1" s="338"/>
      <c r="QMM1" s="338"/>
      <c r="QMN1" s="338"/>
      <c r="QMO1" s="338"/>
      <c r="QMP1" s="338"/>
      <c r="QMQ1" s="338"/>
      <c r="QMR1" s="338"/>
      <c r="QMS1" s="338"/>
      <c r="QMT1" s="338"/>
      <c r="QMU1" s="338"/>
      <c r="QMV1" s="338"/>
      <c r="QMW1" s="338"/>
      <c r="QMX1" s="338"/>
      <c r="QMY1" s="338"/>
      <c r="QMZ1" s="338"/>
      <c r="QNA1" s="338"/>
      <c r="QNB1" s="338"/>
      <c r="QNC1" s="338"/>
      <c r="QND1" s="338"/>
      <c r="QNE1" s="338"/>
      <c r="QNF1" s="338"/>
      <c r="QNG1" s="338"/>
      <c r="QNH1" s="338"/>
      <c r="QNI1" s="338"/>
      <c r="QNJ1" s="338"/>
      <c r="QNK1" s="338"/>
      <c r="QNL1" s="338"/>
      <c r="QNM1" s="338"/>
      <c r="QNN1" s="338"/>
      <c r="QNO1" s="338"/>
      <c r="QNP1" s="338"/>
      <c r="QNQ1" s="338"/>
      <c r="QNR1" s="338"/>
      <c r="QNS1" s="338"/>
      <c r="QNT1" s="338"/>
      <c r="QNU1" s="338"/>
      <c r="QNV1" s="338"/>
      <c r="QNW1" s="338"/>
      <c r="QNX1" s="338"/>
      <c r="QNY1" s="338"/>
      <c r="QNZ1" s="338"/>
      <c r="QOA1" s="338"/>
      <c r="QOB1" s="338"/>
      <c r="QOC1" s="338"/>
      <c r="QOD1" s="338"/>
      <c r="QOE1" s="338"/>
      <c r="QOF1" s="338"/>
      <c r="QOG1" s="338"/>
      <c r="QOH1" s="338"/>
      <c r="QOI1" s="338"/>
      <c r="QOJ1" s="338"/>
      <c r="QOK1" s="338"/>
      <c r="QOL1" s="338"/>
      <c r="QOM1" s="338"/>
      <c r="QON1" s="338"/>
      <c r="QOO1" s="338"/>
      <c r="QOP1" s="338"/>
      <c r="QOQ1" s="338"/>
      <c r="QOR1" s="338"/>
      <c r="QOS1" s="338"/>
      <c r="QOT1" s="338"/>
      <c r="QOU1" s="338"/>
      <c r="QOV1" s="338"/>
      <c r="QOW1" s="338"/>
      <c r="QOX1" s="338"/>
      <c r="QOY1" s="338"/>
      <c r="QOZ1" s="338"/>
      <c r="QPA1" s="338"/>
      <c r="QPB1" s="338"/>
      <c r="QPC1" s="338"/>
      <c r="QPD1" s="338"/>
      <c r="QPE1" s="338"/>
      <c r="QPF1" s="338"/>
      <c r="QPG1" s="338"/>
      <c r="QPH1" s="338"/>
      <c r="QPI1" s="338"/>
      <c r="QPJ1" s="338"/>
      <c r="QPK1" s="338"/>
      <c r="QPL1" s="338"/>
      <c r="QPM1" s="338"/>
      <c r="QPN1" s="338"/>
      <c r="QPO1" s="338"/>
      <c r="QPP1" s="338"/>
      <c r="QPQ1" s="338"/>
      <c r="QPR1" s="338"/>
      <c r="QPS1" s="338"/>
      <c r="QPT1" s="338"/>
      <c r="QPU1" s="338"/>
      <c r="QPV1" s="338"/>
      <c r="QPW1" s="338"/>
      <c r="QPX1" s="338"/>
      <c r="QPY1" s="338"/>
      <c r="QPZ1" s="338"/>
      <c r="QQA1" s="338"/>
      <c r="QQB1" s="338"/>
      <c r="QQC1" s="338"/>
      <c r="QQD1" s="338"/>
      <c r="QQE1" s="338"/>
      <c r="QQF1" s="338"/>
      <c r="QQG1" s="338"/>
      <c r="QQH1" s="338"/>
      <c r="QQI1" s="338"/>
      <c r="QQJ1" s="338"/>
      <c r="QQK1" s="338"/>
      <c r="QQL1" s="338"/>
      <c r="QQM1" s="338"/>
      <c r="QQN1" s="338"/>
      <c r="QQO1" s="338"/>
      <c r="QQP1" s="338"/>
      <c r="QQQ1" s="338"/>
      <c r="QQR1" s="338"/>
      <c r="QQS1" s="338"/>
      <c r="QQT1" s="338"/>
      <c r="QQU1" s="338"/>
      <c r="QQV1" s="338"/>
      <c r="QQW1" s="338"/>
      <c r="QQX1" s="338"/>
      <c r="QQY1" s="338"/>
      <c r="QQZ1" s="338"/>
      <c r="QRA1" s="338"/>
      <c r="QRB1" s="338"/>
      <c r="QRC1" s="338"/>
      <c r="QRD1" s="338"/>
      <c r="QRE1" s="338"/>
      <c r="QRF1" s="338"/>
      <c r="QRG1" s="338"/>
      <c r="QRH1" s="338"/>
      <c r="QRI1" s="338"/>
      <c r="QRJ1" s="338"/>
      <c r="QRK1" s="338"/>
      <c r="QRL1" s="338"/>
      <c r="QRM1" s="338"/>
      <c r="QRN1" s="338"/>
      <c r="QRO1" s="338"/>
      <c r="QRP1" s="338"/>
      <c r="QRQ1" s="338"/>
      <c r="QRR1" s="338"/>
      <c r="QRS1" s="338"/>
      <c r="QRT1" s="338"/>
      <c r="QRU1" s="338"/>
      <c r="QRV1" s="338"/>
      <c r="QRW1" s="338"/>
      <c r="QRX1" s="338"/>
      <c r="QRY1" s="338"/>
      <c r="QRZ1" s="338"/>
      <c r="QSA1" s="338"/>
      <c r="QSB1" s="338"/>
      <c r="QSC1" s="338"/>
      <c r="QSD1" s="338"/>
      <c r="QSE1" s="338"/>
      <c r="QSF1" s="338"/>
      <c r="QSG1" s="338"/>
      <c r="QSH1" s="338"/>
      <c r="QSI1" s="338"/>
      <c r="QSJ1" s="338"/>
      <c r="QSK1" s="338"/>
      <c r="QSL1" s="338"/>
      <c r="QSM1" s="338"/>
      <c r="QSN1" s="338"/>
      <c r="QSO1" s="338"/>
      <c r="QSP1" s="338"/>
      <c r="QSQ1" s="338"/>
      <c r="QSR1" s="338"/>
      <c r="QSS1" s="338"/>
      <c r="QST1" s="338"/>
      <c r="QSU1" s="338"/>
      <c r="QSV1" s="338"/>
      <c r="QSW1" s="338"/>
      <c r="QSX1" s="338"/>
      <c r="QSY1" s="338"/>
      <c r="QSZ1" s="338"/>
      <c r="QTA1" s="338"/>
      <c r="QTB1" s="338"/>
      <c r="QTC1" s="338"/>
      <c r="QTD1" s="338"/>
      <c r="QTE1" s="338"/>
      <c r="QTF1" s="338"/>
      <c r="QTG1" s="338"/>
      <c r="QTH1" s="338"/>
      <c r="QTI1" s="338"/>
      <c r="QTJ1" s="338"/>
      <c r="QTK1" s="338"/>
      <c r="QTL1" s="338"/>
      <c r="QTM1" s="338"/>
      <c r="QTN1" s="338"/>
      <c r="QTO1" s="338"/>
      <c r="QTP1" s="338"/>
      <c r="QTQ1" s="338"/>
      <c r="QTR1" s="338"/>
      <c r="QTS1" s="338"/>
      <c r="QTT1" s="338"/>
      <c r="QTU1" s="338"/>
      <c r="QTV1" s="338"/>
      <c r="QTW1" s="338"/>
      <c r="QTX1" s="338"/>
      <c r="QTY1" s="338"/>
      <c r="QTZ1" s="338"/>
      <c r="QUA1" s="338"/>
      <c r="QUB1" s="338"/>
      <c r="QUC1" s="338"/>
      <c r="QUD1" s="338"/>
      <c r="QUE1" s="338"/>
      <c r="QUF1" s="338"/>
      <c r="QUG1" s="338"/>
      <c r="QUH1" s="338"/>
      <c r="QUI1" s="338"/>
      <c r="QUJ1" s="338"/>
      <c r="QUK1" s="338"/>
      <c r="QUL1" s="338"/>
      <c r="QUM1" s="338"/>
      <c r="QUN1" s="338"/>
      <c r="QUO1" s="338"/>
      <c r="QUP1" s="338"/>
      <c r="QUQ1" s="338"/>
      <c r="QUR1" s="338"/>
      <c r="QUS1" s="338"/>
      <c r="QUT1" s="338"/>
      <c r="QUU1" s="338"/>
      <c r="QUV1" s="338"/>
      <c r="QUW1" s="338"/>
      <c r="QUX1" s="338"/>
      <c r="QUY1" s="338"/>
      <c r="QUZ1" s="338"/>
      <c r="QVA1" s="338"/>
      <c r="QVB1" s="338"/>
      <c r="QVC1" s="338"/>
      <c r="QVD1" s="338"/>
      <c r="QVE1" s="338"/>
      <c r="QVF1" s="338"/>
      <c r="QVG1" s="338"/>
      <c r="QVH1" s="338"/>
      <c r="QVI1" s="338"/>
      <c r="QVJ1" s="338"/>
      <c r="QVK1" s="338"/>
      <c r="QVL1" s="338"/>
      <c r="QVM1" s="338"/>
      <c r="QVN1" s="338"/>
      <c r="QVO1" s="338"/>
      <c r="QVP1" s="338"/>
      <c r="QVQ1" s="338"/>
      <c r="QVR1" s="338"/>
      <c r="QVS1" s="338"/>
      <c r="QVT1" s="338"/>
      <c r="QVU1" s="338"/>
      <c r="QVV1" s="338"/>
      <c r="QVW1" s="338"/>
      <c r="QVX1" s="338"/>
      <c r="QVY1" s="338"/>
      <c r="QVZ1" s="338"/>
      <c r="QWA1" s="338"/>
      <c r="QWB1" s="338"/>
      <c r="QWC1" s="338"/>
      <c r="QWD1" s="338"/>
      <c r="QWE1" s="338"/>
      <c r="QWF1" s="338"/>
      <c r="QWG1" s="338"/>
      <c r="QWH1" s="338"/>
      <c r="QWI1" s="338"/>
      <c r="QWJ1" s="338"/>
      <c r="QWK1" s="338"/>
      <c r="QWL1" s="338"/>
      <c r="QWM1" s="338"/>
      <c r="QWN1" s="338"/>
      <c r="QWO1" s="338"/>
      <c r="QWP1" s="338"/>
      <c r="QWQ1" s="338"/>
      <c r="QWR1" s="338"/>
      <c r="QWS1" s="338"/>
      <c r="QWT1" s="338"/>
      <c r="QWU1" s="338"/>
      <c r="QWV1" s="338"/>
      <c r="QWW1" s="338"/>
      <c r="QWX1" s="338"/>
      <c r="QWY1" s="338"/>
      <c r="QWZ1" s="338"/>
      <c r="QXA1" s="338"/>
      <c r="QXB1" s="338"/>
      <c r="QXC1" s="338"/>
      <c r="QXD1" s="338"/>
      <c r="QXE1" s="338"/>
      <c r="QXF1" s="338"/>
      <c r="QXG1" s="338"/>
      <c r="QXH1" s="338"/>
      <c r="QXI1" s="338"/>
      <c r="QXJ1" s="338"/>
      <c r="QXK1" s="338"/>
      <c r="QXL1" s="338"/>
      <c r="QXM1" s="338"/>
      <c r="QXN1" s="338"/>
      <c r="QXO1" s="338"/>
      <c r="QXP1" s="338"/>
      <c r="QXQ1" s="338"/>
      <c r="QXR1" s="338"/>
      <c r="QXS1" s="338"/>
      <c r="QXT1" s="338"/>
      <c r="QXU1" s="338"/>
      <c r="QXV1" s="338"/>
      <c r="QXW1" s="338"/>
      <c r="QXX1" s="338"/>
      <c r="QXY1" s="338"/>
      <c r="QXZ1" s="338"/>
      <c r="QYA1" s="338"/>
      <c r="QYB1" s="338"/>
      <c r="QYC1" s="338"/>
      <c r="QYD1" s="338"/>
      <c r="QYE1" s="338"/>
      <c r="QYF1" s="338"/>
      <c r="QYG1" s="338"/>
      <c r="QYH1" s="338"/>
      <c r="QYI1" s="338"/>
      <c r="QYJ1" s="338"/>
      <c r="QYK1" s="338"/>
      <c r="QYL1" s="338"/>
      <c r="QYM1" s="338"/>
      <c r="QYN1" s="338"/>
      <c r="QYO1" s="338"/>
      <c r="QYP1" s="338"/>
      <c r="QYQ1" s="338"/>
      <c r="QYR1" s="338"/>
      <c r="QYS1" s="338"/>
      <c r="QYT1" s="338"/>
      <c r="QYU1" s="338"/>
      <c r="QYV1" s="338"/>
      <c r="QYW1" s="338"/>
      <c r="QYX1" s="338"/>
      <c r="QYY1" s="338"/>
      <c r="QYZ1" s="338"/>
      <c r="QZA1" s="338"/>
      <c r="QZB1" s="338"/>
      <c r="QZC1" s="338"/>
      <c r="QZD1" s="338"/>
      <c r="QZE1" s="338"/>
      <c r="QZF1" s="338"/>
      <c r="QZG1" s="338"/>
      <c r="QZH1" s="338"/>
      <c r="QZI1" s="338"/>
      <c r="QZJ1" s="338"/>
      <c r="QZK1" s="338"/>
      <c r="QZL1" s="338"/>
      <c r="QZM1" s="338"/>
      <c r="QZN1" s="338"/>
      <c r="QZO1" s="338"/>
      <c r="QZP1" s="338"/>
      <c r="QZQ1" s="338"/>
      <c r="QZR1" s="338"/>
      <c r="QZS1" s="338"/>
      <c r="QZT1" s="338"/>
      <c r="QZU1" s="338"/>
      <c r="QZV1" s="338"/>
      <c r="QZW1" s="338"/>
      <c r="QZX1" s="338"/>
      <c r="QZY1" s="338"/>
      <c r="QZZ1" s="338"/>
      <c r="RAA1" s="338"/>
      <c r="RAB1" s="338"/>
      <c r="RAC1" s="338"/>
      <c r="RAD1" s="338"/>
      <c r="RAE1" s="338"/>
      <c r="RAF1" s="338"/>
      <c r="RAG1" s="338"/>
      <c r="RAH1" s="338"/>
      <c r="RAI1" s="338"/>
      <c r="RAJ1" s="338"/>
      <c r="RAK1" s="338"/>
      <c r="RAL1" s="338"/>
      <c r="RAM1" s="338"/>
      <c r="RAN1" s="338"/>
      <c r="RAO1" s="338"/>
      <c r="RAP1" s="338"/>
      <c r="RAQ1" s="338"/>
      <c r="RAR1" s="338"/>
      <c r="RAS1" s="338"/>
      <c r="RAT1" s="338"/>
      <c r="RAU1" s="338"/>
      <c r="RAV1" s="338"/>
      <c r="RAW1" s="338"/>
      <c r="RAX1" s="338"/>
      <c r="RAY1" s="338"/>
      <c r="RAZ1" s="338"/>
      <c r="RBA1" s="338"/>
      <c r="RBB1" s="338"/>
      <c r="RBC1" s="338"/>
      <c r="RBD1" s="338"/>
      <c r="RBE1" s="338"/>
      <c r="RBF1" s="338"/>
      <c r="RBG1" s="338"/>
      <c r="RBH1" s="338"/>
      <c r="RBI1" s="338"/>
      <c r="RBJ1" s="338"/>
      <c r="RBK1" s="338"/>
      <c r="RBL1" s="338"/>
      <c r="RBM1" s="338"/>
      <c r="RBN1" s="338"/>
      <c r="RBO1" s="338"/>
      <c r="RBP1" s="338"/>
      <c r="RBQ1" s="338"/>
      <c r="RBR1" s="338"/>
      <c r="RBS1" s="338"/>
      <c r="RBT1" s="338"/>
      <c r="RBU1" s="338"/>
      <c r="RBV1" s="338"/>
      <c r="RBW1" s="338"/>
      <c r="RBX1" s="338"/>
      <c r="RBY1" s="338"/>
      <c r="RBZ1" s="338"/>
      <c r="RCA1" s="338"/>
      <c r="RCB1" s="338"/>
      <c r="RCC1" s="338"/>
      <c r="RCD1" s="338"/>
      <c r="RCE1" s="338"/>
      <c r="RCF1" s="338"/>
      <c r="RCG1" s="338"/>
      <c r="RCH1" s="338"/>
      <c r="RCI1" s="338"/>
      <c r="RCJ1" s="338"/>
      <c r="RCK1" s="338"/>
      <c r="RCL1" s="338"/>
      <c r="RCM1" s="338"/>
      <c r="RCN1" s="338"/>
      <c r="RCO1" s="338"/>
      <c r="RCP1" s="338"/>
      <c r="RCQ1" s="338"/>
      <c r="RCR1" s="338"/>
      <c r="RCS1" s="338"/>
      <c r="RCT1" s="338"/>
      <c r="RCU1" s="338"/>
      <c r="RCV1" s="338"/>
      <c r="RCW1" s="338"/>
      <c r="RCX1" s="338"/>
      <c r="RCY1" s="338"/>
      <c r="RCZ1" s="338"/>
      <c r="RDA1" s="338"/>
      <c r="RDB1" s="338"/>
      <c r="RDC1" s="338"/>
      <c r="RDD1" s="338"/>
      <c r="RDE1" s="338"/>
      <c r="RDF1" s="338"/>
      <c r="RDG1" s="338"/>
      <c r="RDH1" s="338"/>
      <c r="RDI1" s="338"/>
      <c r="RDJ1" s="338"/>
      <c r="RDK1" s="338"/>
      <c r="RDL1" s="338"/>
      <c r="RDM1" s="338"/>
      <c r="RDN1" s="338"/>
      <c r="RDO1" s="338"/>
      <c r="RDP1" s="338"/>
      <c r="RDQ1" s="338"/>
      <c r="RDR1" s="338"/>
      <c r="RDS1" s="338"/>
      <c r="RDT1" s="338"/>
      <c r="RDU1" s="338"/>
      <c r="RDV1" s="338"/>
      <c r="RDW1" s="338"/>
      <c r="RDX1" s="338"/>
      <c r="RDY1" s="338"/>
      <c r="RDZ1" s="338"/>
      <c r="REA1" s="338"/>
      <c r="REB1" s="338"/>
      <c r="REC1" s="338"/>
      <c r="RED1" s="338"/>
      <c r="REE1" s="338"/>
      <c r="REF1" s="338"/>
      <c r="REG1" s="338"/>
      <c r="REH1" s="338"/>
      <c r="REI1" s="338"/>
      <c r="REJ1" s="338"/>
      <c r="REK1" s="338"/>
      <c r="REL1" s="338"/>
      <c r="REM1" s="338"/>
      <c r="REN1" s="338"/>
      <c r="REO1" s="338"/>
      <c r="REP1" s="338"/>
      <c r="REQ1" s="338"/>
      <c r="RER1" s="338"/>
      <c r="RES1" s="338"/>
      <c r="RET1" s="338"/>
      <c r="REU1" s="338"/>
      <c r="REV1" s="338"/>
      <c r="REW1" s="338"/>
      <c r="REX1" s="338"/>
      <c r="REY1" s="338"/>
      <c r="REZ1" s="338"/>
      <c r="RFA1" s="338"/>
      <c r="RFB1" s="338"/>
      <c r="RFC1" s="338"/>
      <c r="RFD1" s="338"/>
      <c r="RFE1" s="338"/>
      <c r="RFF1" s="338"/>
      <c r="RFG1" s="338"/>
      <c r="RFH1" s="338"/>
      <c r="RFI1" s="338"/>
      <c r="RFJ1" s="338"/>
      <c r="RFK1" s="338"/>
      <c r="RFL1" s="338"/>
      <c r="RFM1" s="338"/>
      <c r="RFN1" s="338"/>
      <c r="RFO1" s="338"/>
      <c r="RFP1" s="338"/>
      <c r="RFQ1" s="338"/>
      <c r="RFR1" s="338"/>
      <c r="RFS1" s="338"/>
      <c r="RFT1" s="338"/>
      <c r="RFU1" s="338"/>
      <c r="RFV1" s="338"/>
      <c r="RFW1" s="338"/>
      <c r="RFX1" s="338"/>
      <c r="RFY1" s="338"/>
      <c r="RFZ1" s="338"/>
      <c r="RGA1" s="338"/>
      <c r="RGB1" s="338"/>
      <c r="RGC1" s="338"/>
      <c r="RGD1" s="338"/>
      <c r="RGE1" s="338"/>
      <c r="RGF1" s="338"/>
      <c r="RGG1" s="338"/>
      <c r="RGH1" s="338"/>
      <c r="RGI1" s="338"/>
      <c r="RGJ1" s="338"/>
      <c r="RGK1" s="338"/>
      <c r="RGL1" s="338"/>
      <c r="RGM1" s="338"/>
      <c r="RGN1" s="338"/>
      <c r="RGO1" s="338"/>
      <c r="RGP1" s="338"/>
      <c r="RGQ1" s="338"/>
      <c r="RGR1" s="338"/>
      <c r="RGS1" s="338"/>
      <c r="RGT1" s="338"/>
      <c r="RGU1" s="338"/>
      <c r="RGV1" s="338"/>
      <c r="RGW1" s="338"/>
      <c r="RGX1" s="338"/>
      <c r="RGY1" s="338"/>
      <c r="RGZ1" s="338"/>
      <c r="RHA1" s="338"/>
      <c r="RHB1" s="338"/>
      <c r="RHC1" s="338"/>
      <c r="RHD1" s="338"/>
      <c r="RHE1" s="338"/>
      <c r="RHF1" s="338"/>
      <c r="RHG1" s="338"/>
      <c r="RHH1" s="338"/>
      <c r="RHI1" s="338"/>
      <c r="RHJ1" s="338"/>
      <c r="RHK1" s="338"/>
      <c r="RHL1" s="338"/>
      <c r="RHM1" s="338"/>
      <c r="RHN1" s="338"/>
      <c r="RHO1" s="338"/>
      <c r="RHP1" s="338"/>
      <c r="RHQ1" s="338"/>
      <c r="RHR1" s="338"/>
      <c r="RHS1" s="338"/>
      <c r="RHT1" s="338"/>
      <c r="RHU1" s="338"/>
      <c r="RHV1" s="338"/>
      <c r="RHW1" s="338"/>
      <c r="RHX1" s="338"/>
      <c r="RHY1" s="338"/>
      <c r="RHZ1" s="338"/>
      <c r="RIA1" s="338"/>
      <c r="RIB1" s="338"/>
      <c r="RIC1" s="338"/>
      <c r="RID1" s="338"/>
      <c r="RIE1" s="338"/>
      <c r="RIF1" s="338"/>
      <c r="RIG1" s="338"/>
      <c r="RIH1" s="338"/>
      <c r="RII1" s="338"/>
      <c r="RIJ1" s="338"/>
      <c r="RIK1" s="338"/>
      <c r="RIL1" s="338"/>
      <c r="RIM1" s="338"/>
      <c r="RIN1" s="338"/>
      <c r="RIO1" s="338"/>
      <c r="RIP1" s="338"/>
      <c r="RIQ1" s="338"/>
      <c r="RIR1" s="338"/>
      <c r="RIS1" s="338"/>
      <c r="RIT1" s="338"/>
      <c r="RIU1" s="338"/>
      <c r="RIV1" s="338"/>
      <c r="RIW1" s="338"/>
      <c r="RIX1" s="338"/>
      <c r="RIY1" s="338"/>
      <c r="RIZ1" s="338"/>
      <c r="RJA1" s="338"/>
      <c r="RJB1" s="338"/>
      <c r="RJC1" s="338"/>
      <c r="RJD1" s="338"/>
      <c r="RJE1" s="338"/>
      <c r="RJF1" s="338"/>
      <c r="RJG1" s="338"/>
      <c r="RJH1" s="338"/>
      <c r="RJI1" s="338"/>
      <c r="RJJ1" s="338"/>
      <c r="RJK1" s="338"/>
      <c r="RJL1" s="338"/>
      <c r="RJM1" s="338"/>
      <c r="RJN1" s="338"/>
      <c r="RJO1" s="338"/>
      <c r="RJP1" s="338"/>
      <c r="RJQ1" s="338"/>
      <c r="RJR1" s="338"/>
      <c r="RJS1" s="338"/>
      <c r="RJT1" s="338"/>
      <c r="RJU1" s="338"/>
      <c r="RJV1" s="338"/>
      <c r="RJW1" s="338"/>
      <c r="RJX1" s="338"/>
      <c r="RJY1" s="338"/>
      <c r="RJZ1" s="338"/>
      <c r="RKA1" s="338"/>
      <c r="RKB1" s="338"/>
      <c r="RKC1" s="338"/>
      <c r="RKD1" s="338"/>
      <c r="RKE1" s="338"/>
      <c r="RKF1" s="338"/>
      <c r="RKG1" s="338"/>
      <c r="RKH1" s="338"/>
      <c r="RKI1" s="338"/>
      <c r="RKJ1" s="338"/>
      <c r="RKK1" s="338"/>
      <c r="RKL1" s="338"/>
      <c r="RKM1" s="338"/>
      <c r="RKN1" s="338"/>
      <c r="RKO1" s="338"/>
      <c r="RKP1" s="338"/>
      <c r="RKQ1" s="338"/>
      <c r="RKR1" s="338"/>
      <c r="RKS1" s="338"/>
      <c r="RKT1" s="338"/>
      <c r="RKU1" s="338"/>
      <c r="RKV1" s="338"/>
      <c r="RKW1" s="338"/>
      <c r="RKX1" s="338"/>
      <c r="RKY1" s="338"/>
      <c r="RKZ1" s="338"/>
      <c r="RLA1" s="338"/>
      <c r="RLB1" s="338"/>
      <c r="RLC1" s="338"/>
      <c r="RLD1" s="338"/>
      <c r="RLE1" s="338"/>
      <c r="RLF1" s="338"/>
      <c r="RLG1" s="338"/>
      <c r="RLH1" s="338"/>
      <c r="RLI1" s="338"/>
      <c r="RLJ1" s="338"/>
      <c r="RLK1" s="338"/>
      <c r="RLL1" s="338"/>
      <c r="RLM1" s="338"/>
      <c r="RLN1" s="338"/>
      <c r="RLO1" s="338"/>
      <c r="RLP1" s="338"/>
      <c r="RLQ1" s="338"/>
      <c r="RLR1" s="338"/>
      <c r="RLS1" s="338"/>
      <c r="RLT1" s="338"/>
      <c r="RLU1" s="338"/>
      <c r="RLV1" s="338"/>
      <c r="RLW1" s="338"/>
      <c r="RLX1" s="338"/>
      <c r="RLY1" s="338"/>
      <c r="RLZ1" s="338"/>
      <c r="RMA1" s="338"/>
      <c r="RMB1" s="338"/>
      <c r="RMC1" s="338"/>
      <c r="RMD1" s="338"/>
      <c r="RME1" s="338"/>
      <c r="RMF1" s="338"/>
      <c r="RMG1" s="338"/>
      <c r="RMH1" s="338"/>
      <c r="RMI1" s="338"/>
      <c r="RMJ1" s="338"/>
      <c r="RMK1" s="338"/>
      <c r="RML1" s="338"/>
      <c r="RMM1" s="338"/>
      <c r="RMN1" s="338"/>
      <c r="RMO1" s="338"/>
      <c r="RMP1" s="338"/>
      <c r="RMQ1" s="338"/>
      <c r="RMR1" s="338"/>
      <c r="RMS1" s="338"/>
      <c r="RMT1" s="338"/>
      <c r="RMU1" s="338"/>
      <c r="RMV1" s="338"/>
      <c r="RMW1" s="338"/>
      <c r="RMX1" s="338"/>
      <c r="RMY1" s="338"/>
      <c r="RMZ1" s="338"/>
      <c r="RNA1" s="338"/>
      <c r="RNB1" s="338"/>
      <c r="RNC1" s="338"/>
      <c r="RND1" s="338"/>
      <c r="RNE1" s="338"/>
      <c r="RNF1" s="338"/>
      <c r="RNG1" s="338"/>
      <c r="RNH1" s="338"/>
      <c r="RNI1" s="338"/>
      <c r="RNJ1" s="338"/>
      <c r="RNK1" s="338"/>
      <c r="RNL1" s="338"/>
      <c r="RNM1" s="338"/>
      <c r="RNN1" s="338"/>
      <c r="RNO1" s="338"/>
      <c r="RNP1" s="338"/>
      <c r="RNQ1" s="338"/>
      <c r="RNR1" s="338"/>
      <c r="RNS1" s="338"/>
      <c r="RNT1" s="338"/>
      <c r="RNU1" s="338"/>
      <c r="RNV1" s="338"/>
      <c r="RNW1" s="338"/>
      <c r="RNX1" s="338"/>
      <c r="RNY1" s="338"/>
      <c r="RNZ1" s="338"/>
      <c r="ROA1" s="338"/>
      <c r="ROB1" s="338"/>
      <c r="ROC1" s="338"/>
      <c r="ROD1" s="338"/>
      <c r="ROE1" s="338"/>
      <c r="ROF1" s="338"/>
      <c r="ROG1" s="338"/>
      <c r="ROH1" s="338"/>
      <c r="ROI1" s="338"/>
      <c r="ROJ1" s="338"/>
      <c r="ROK1" s="338"/>
      <c r="ROL1" s="338"/>
      <c r="ROM1" s="338"/>
      <c r="RON1" s="338"/>
      <c r="ROO1" s="338"/>
      <c r="ROP1" s="338"/>
      <c r="ROQ1" s="338"/>
      <c r="ROR1" s="338"/>
      <c r="ROS1" s="338"/>
      <c r="ROT1" s="338"/>
      <c r="ROU1" s="338"/>
      <c r="ROV1" s="338"/>
      <c r="ROW1" s="338"/>
      <c r="ROX1" s="338"/>
      <c r="ROY1" s="338"/>
      <c r="ROZ1" s="338"/>
      <c r="RPA1" s="338"/>
      <c r="RPB1" s="338"/>
      <c r="RPC1" s="338"/>
      <c r="RPD1" s="338"/>
      <c r="RPE1" s="338"/>
      <c r="RPF1" s="338"/>
      <c r="RPG1" s="338"/>
      <c r="RPH1" s="338"/>
      <c r="RPI1" s="338"/>
      <c r="RPJ1" s="338"/>
      <c r="RPK1" s="338"/>
      <c r="RPL1" s="338"/>
      <c r="RPM1" s="338"/>
      <c r="RPN1" s="338"/>
      <c r="RPO1" s="338"/>
      <c r="RPP1" s="338"/>
      <c r="RPQ1" s="338"/>
      <c r="RPR1" s="338"/>
      <c r="RPS1" s="338"/>
      <c r="RPT1" s="338"/>
      <c r="RPU1" s="338"/>
      <c r="RPV1" s="338"/>
      <c r="RPW1" s="338"/>
      <c r="RPX1" s="338"/>
      <c r="RPY1" s="338"/>
      <c r="RPZ1" s="338"/>
      <c r="RQA1" s="338"/>
      <c r="RQB1" s="338"/>
      <c r="RQC1" s="338"/>
      <c r="RQD1" s="338"/>
      <c r="RQE1" s="338"/>
      <c r="RQF1" s="338"/>
      <c r="RQG1" s="338"/>
      <c r="RQH1" s="338"/>
      <c r="RQI1" s="338"/>
      <c r="RQJ1" s="338"/>
      <c r="RQK1" s="338"/>
      <c r="RQL1" s="338"/>
      <c r="RQM1" s="338"/>
      <c r="RQN1" s="338"/>
      <c r="RQO1" s="338"/>
      <c r="RQP1" s="338"/>
      <c r="RQQ1" s="338"/>
      <c r="RQR1" s="338"/>
      <c r="RQS1" s="338"/>
      <c r="RQT1" s="338"/>
      <c r="RQU1" s="338"/>
      <c r="RQV1" s="338"/>
      <c r="RQW1" s="338"/>
      <c r="RQX1" s="338"/>
      <c r="RQY1" s="338"/>
      <c r="RQZ1" s="338"/>
      <c r="RRA1" s="338"/>
      <c r="RRB1" s="338"/>
      <c r="RRC1" s="338"/>
      <c r="RRD1" s="338"/>
      <c r="RRE1" s="338"/>
      <c r="RRF1" s="338"/>
      <c r="RRG1" s="338"/>
      <c r="RRH1" s="338"/>
      <c r="RRI1" s="338"/>
      <c r="RRJ1" s="338"/>
      <c r="RRK1" s="338"/>
      <c r="RRL1" s="338"/>
      <c r="RRM1" s="338"/>
      <c r="RRN1" s="338"/>
      <c r="RRO1" s="338"/>
      <c r="RRP1" s="338"/>
      <c r="RRQ1" s="338"/>
      <c r="RRR1" s="338"/>
      <c r="RRS1" s="338"/>
      <c r="RRT1" s="338"/>
      <c r="RRU1" s="338"/>
      <c r="RRV1" s="338"/>
      <c r="RRW1" s="338"/>
      <c r="RRX1" s="338"/>
      <c r="RRY1" s="338"/>
      <c r="RRZ1" s="338"/>
      <c r="RSA1" s="338"/>
      <c r="RSB1" s="338"/>
      <c r="RSC1" s="338"/>
      <c r="RSD1" s="338"/>
      <c r="RSE1" s="338"/>
      <c r="RSF1" s="338"/>
      <c r="RSG1" s="338"/>
      <c r="RSH1" s="338"/>
      <c r="RSI1" s="338"/>
      <c r="RSJ1" s="338"/>
      <c r="RSK1" s="338"/>
      <c r="RSL1" s="338"/>
      <c r="RSM1" s="338"/>
      <c r="RSN1" s="338"/>
      <c r="RSO1" s="338"/>
      <c r="RSP1" s="338"/>
      <c r="RSQ1" s="338"/>
      <c r="RSR1" s="338"/>
      <c r="RSS1" s="338"/>
      <c r="RST1" s="338"/>
      <c r="RSU1" s="338"/>
      <c r="RSV1" s="338"/>
      <c r="RSW1" s="338"/>
      <c r="RSX1" s="338"/>
      <c r="RSY1" s="338"/>
      <c r="RSZ1" s="338"/>
      <c r="RTA1" s="338"/>
      <c r="RTB1" s="338"/>
      <c r="RTC1" s="338"/>
      <c r="RTD1" s="338"/>
      <c r="RTE1" s="338"/>
      <c r="RTF1" s="338"/>
      <c r="RTG1" s="338"/>
      <c r="RTH1" s="338"/>
      <c r="RTI1" s="338"/>
      <c r="RTJ1" s="338"/>
      <c r="RTK1" s="338"/>
      <c r="RTL1" s="338"/>
      <c r="RTM1" s="338"/>
      <c r="RTN1" s="338"/>
      <c r="RTO1" s="338"/>
      <c r="RTP1" s="338"/>
      <c r="RTQ1" s="338"/>
      <c r="RTR1" s="338"/>
      <c r="RTS1" s="338"/>
      <c r="RTT1" s="338"/>
      <c r="RTU1" s="338"/>
      <c r="RTV1" s="338"/>
      <c r="RTW1" s="338"/>
      <c r="RTX1" s="338"/>
      <c r="RTY1" s="338"/>
      <c r="RTZ1" s="338"/>
      <c r="RUA1" s="338"/>
      <c r="RUB1" s="338"/>
      <c r="RUC1" s="338"/>
      <c r="RUD1" s="338"/>
      <c r="RUE1" s="338"/>
      <c r="RUF1" s="338"/>
      <c r="RUG1" s="338"/>
      <c r="RUH1" s="338"/>
      <c r="RUI1" s="338"/>
      <c r="RUJ1" s="338"/>
      <c r="RUK1" s="338"/>
      <c r="RUL1" s="338"/>
      <c r="RUM1" s="338"/>
      <c r="RUN1" s="338"/>
      <c r="RUO1" s="338"/>
      <c r="RUP1" s="338"/>
      <c r="RUQ1" s="338"/>
      <c r="RUR1" s="338"/>
      <c r="RUS1" s="338"/>
      <c r="RUT1" s="338"/>
      <c r="RUU1" s="338"/>
      <c r="RUV1" s="338"/>
      <c r="RUW1" s="338"/>
      <c r="RUX1" s="338"/>
      <c r="RUY1" s="338"/>
      <c r="RUZ1" s="338"/>
      <c r="RVA1" s="338"/>
      <c r="RVB1" s="338"/>
      <c r="RVC1" s="338"/>
      <c r="RVD1" s="338"/>
      <c r="RVE1" s="338"/>
      <c r="RVF1" s="338"/>
      <c r="RVG1" s="338"/>
      <c r="RVH1" s="338"/>
      <c r="RVI1" s="338"/>
      <c r="RVJ1" s="338"/>
      <c r="RVK1" s="338"/>
      <c r="RVL1" s="338"/>
      <c r="RVM1" s="338"/>
      <c r="RVN1" s="338"/>
      <c r="RVO1" s="338"/>
      <c r="RVP1" s="338"/>
      <c r="RVQ1" s="338"/>
      <c r="RVR1" s="338"/>
      <c r="RVS1" s="338"/>
      <c r="RVT1" s="338"/>
      <c r="RVU1" s="338"/>
      <c r="RVV1" s="338"/>
      <c r="RVW1" s="338"/>
      <c r="RVX1" s="338"/>
      <c r="RVY1" s="338"/>
      <c r="RVZ1" s="338"/>
      <c r="RWA1" s="338"/>
      <c r="RWB1" s="338"/>
      <c r="RWC1" s="338"/>
      <c r="RWD1" s="338"/>
      <c r="RWE1" s="338"/>
      <c r="RWF1" s="338"/>
      <c r="RWG1" s="338"/>
      <c r="RWH1" s="338"/>
      <c r="RWI1" s="338"/>
      <c r="RWJ1" s="338"/>
      <c r="RWK1" s="338"/>
      <c r="RWL1" s="338"/>
      <c r="RWM1" s="338"/>
      <c r="RWN1" s="338"/>
      <c r="RWO1" s="338"/>
      <c r="RWP1" s="338"/>
      <c r="RWQ1" s="338"/>
      <c r="RWR1" s="338"/>
      <c r="RWS1" s="338"/>
      <c r="RWT1" s="338"/>
      <c r="RWU1" s="338"/>
      <c r="RWV1" s="338"/>
      <c r="RWW1" s="338"/>
      <c r="RWX1" s="338"/>
      <c r="RWY1" s="338"/>
      <c r="RWZ1" s="338"/>
      <c r="RXA1" s="338"/>
      <c r="RXB1" s="338"/>
      <c r="RXC1" s="338"/>
      <c r="RXD1" s="338"/>
      <c r="RXE1" s="338"/>
      <c r="RXF1" s="338"/>
      <c r="RXG1" s="338"/>
      <c r="RXH1" s="338"/>
      <c r="RXI1" s="338"/>
      <c r="RXJ1" s="338"/>
      <c r="RXK1" s="338"/>
      <c r="RXL1" s="338"/>
      <c r="RXM1" s="338"/>
      <c r="RXN1" s="338"/>
      <c r="RXO1" s="338"/>
      <c r="RXP1" s="338"/>
      <c r="RXQ1" s="338"/>
      <c r="RXR1" s="338"/>
      <c r="RXS1" s="338"/>
      <c r="RXT1" s="338"/>
      <c r="RXU1" s="338"/>
      <c r="RXV1" s="338"/>
      <c r="RXW1" s="338"/>
      <c r="RXX1" s="338"/>
      <c r="RXY1" s="338"/>
      <c r="RXZ1" s="338"/>
      <c r="RYA1" s="338"/>
      <c r="RYB1" s="338"/>
      <c r="RYC1" s="338"/>
      <c r="RYD1" s="338"/>
      <c r="RYE1" s="338"/>
      <c r="RYF1" s="338"/>
      <c r="RYG1" s="338"/>
      <c r="RYH1" s="338"/>
      <c r="RYI1" s="338"/>
      <c r="RYJ1" s="338"/>
      <c r="RYK1" s="338"/>
      <c r="RYL1" s="338"/>
      <c r="RYM1" s="338"/>
      <c r="RYN1" s="338"/>
      <c r="RYO1" s="338"/>
      <c r="RYP1" s="338"/>
      <c r="RYQ1" s="338"/>
      <c r="RYR1" s="338"/>
      <c r="RYS1" s="338"/>
      <c r="RYT1" s="338"/>
      <c r="RYU1" s="338"/>
      <c r="RYV1" s="338"/>
      <c r="RYW1" s="338"/>
      <c r="RYX1" s="338"/>
      <c r="RYY1" s="338"/>
      <c r="RYZ1" s="338"/>
      <c r="RZA1" s="338"/>
      <c r="RZB1" s="338"/>
      <c r="RZC1" s="338"/>
      <c r="RZD1" s="338"/>
      <c r="RZE1" s="338"/>
      <c r="RZF1" s="338"/>
      <c r="RZG1" s="338"/>
      <c r="RZH1" s="338"/>
      <c r="RZI1" s="338"/>
      <c r="RZJ1" s="338"/>
      <c r="RZK1" s="338"/>
      <c r="RZL1" s="338"/>
      <c r="RZM1" s="338"/>
      <c r="RZN1" s="338"/>
      <c r="RZO1" s="338"/>
      <c r="RZP1" s="338"/>
      <c r="RZQ1" s="338"/>
      <c r="RZR1" s="338"/>
      <c r="RZS1" s="338"/>
      <c r="RZT1" s="338"/>
      <c r="RZU1" s="338"/>
      <c r="RZV1" s="338"/>
      <c r="RZW1" s="338"/>
      <c r="RZX1" s="338"/>
      <c r="RZY1" s="338"/>
      <c r="RZZ1" s="338"/>
      <c r="SAA1" s="338"/>
      <c r="SAB1" s="338"/>
      <c r="SAC1" s="338"/>
      <c r="SAD1" s="338"/>
      <c r="SAE1" s="338"/>
      <c r="SAF1" s="338"/>
      <c r="SAG1" s="338"/>
      <c r="SAH1" s="338"/>
      <c r="SAI1" s="338"/>
      <c r="SAJ1" s="338"/>
      <c r="SAK1" s="338"/>
      <c r="SAL1" s="338"/>
      <c r="SAM1" s="338"/>
      <c r="SAN1" s="338"/>
      <c r="SAO1" s="338"/>
      <c r="SAP1" s="338"/>
      <c r="SAQ1" s="338"/>
      <c r="SAR1" s="338"/>
      <c r="SAS1" s="338"/>
      <c r="SAT1" s="338"/>
      <c r="SAU1" s="338"/>
      <c r="SAV1" s="338"/>
      <c r="SAW1" s="338"/>
      <c r="SAX1" s="338"/>
      <c r="SAY1" s="338"/>
      <c r="SAZ1" s="338"/>
      <c r="SBA1" s="338"/>
      <c r="SBB1" s="338"/>
      <c r="SBC1" s="338"/>
      <c r="SBD1" s="338"/>
      <c r="SBE1" s="338"/>
      <c r="SBF1" s="338"/>
      <c r="SBG1" s="338"/>
      <c r="SBH1" s="338"/>
      <c r="SBI1" s="338"/>
      <c r="SBJ1" s="338"/>
      <c r="SBK1" s="338"/>
      <c r="SBL1" s="338"/>
      <c r="SBM1" s="338"/>
      <c r="SBN1" s="338"/>
      <c r="SBO1" s="338"/>
      <c r="SBP1" s="338"/>
      <c r="SBQ1" s="338"/>
      <c r="SBR1" s="338"/>
      <c r="SBS1" s="338"/>
      <c r="SBT1" s="338"/>
      <c r="SBU1" s="338"/>
      <c r="SBV1" s="338"/>
      <c r="SBW1" s="338"/>
      <c r="SBX1" s="338"/>
      <c r="SBY1" s="338"/>
      <c r="SBZ1" s="338"/>
      <c r="SCA1" s="338"/>
      <c r="SCB1" s="338"/>
      <c r="SCC1" s="338"/>
      <c r="SCD1" s="338"/>
      <c r="SCE1" s="338"/>
      <c r="SCF1" s="338"/>
      <c r="SCG1" s="338"/>
      <c r="SCH1" s="338"/>
      <c r="SCI1" s="338"/>
      <c r="SCJ1" s="338"/>
      <c r="SCK1" s="338"/>
      <c r="SCL1" s="338"/>
      <c r="SCM1" s="338"/>
      <c r="SCN1" s="338"/>
      <c r="SCO1" s="338"/>
      <c r="SCP1" s="338"/>
      <c r="SCQ1" s="338"/>
      <c r="SCR1" s="338"/>
      <c r="SCS1" s="338"/>
      <c r="SCT1" s="338"/>
      <c r="SCU1" s="338"/>
      <c r="SCV1" s="338"/>
      <c r="SCW1" s="338"/>
      <c r="SCX1" s="338"/>
      <c r="SCY1" s="338"/>
      <c r="SCZ1" s="338"/>
      <c r="SDA1" s="338"/>
      <c r="SDB1" s="338"/>
      <c r="SDC1" s="338"/>
      <c r="SDD1" s="338"/>
      <c r="SDE1" s="338"/>
      <c r="SDF1" s="338"/>
      <c r="SDG1" s="338"/>
      <c r="SDH1" s="338"/>
      <c r="SDI1" s="338"/>
      <c r="SDJ1" s="338"/>
      <c r="SDK1" s="338"/>
      <c r="SDL1" s="338"/>
      <c r="SDM1" s="338"/>
      <c r="SDN1" s="338"/>
      <c r="SDO1" s="338"/>
      <c r="SDP1" s="338"/>
      <c r="SDQ1" s="338"/>
      <c r="SDR1" s="338"/>
      <c r="SDS1" s="338"/>
      <c r="SDT1" s="338"/>
      <c r="SDU1" s="338"/>
      <c r="SDV1" s="338"/>
      <c r="SDW1" s="338"/>
      <c r="SDX1" s="338"/>
      <c r="SDY1" s="338"/>
      <c r="SDZ1" s="338"/>
      <c r="SEA1" s="338"/>
      <c r="SEB1" s="338"/>
      <c r="SEC1" s="338"/>
      <c r="SED1" s="338"/>
      <c r="SEE1" s="338"/>
      <c r="SEF1" s="338"/>
      <c r="SEG1" s="338"/>
      <c r="SEH1" s="338"/>
      <c r="SEI1" s="338"/>
      <c r="SEJ1" s="338"/>
      <c r="SEK1" s="338"/>
      <c r="SEL1" s="338"/>
      <c r="SEM1" s="338"/>
      <c r="SEN1" s="338"/>
      <c r="SEO1" s="338"/>
      <c r="SEP1" s="338"/>
      <c r="SEQ1" s="338"/>
      <c r="SER1" s="338"/>
      <c r="SES1" s="338"/>
      <c r="SET1" s="338"/>
      <c r="SEU1" s="338"/>
      <c r="SEV1" s="338"/>
      <c r="SEW1" s="338"/>
      <c r="SEX1" s="338"/>
      <c r="SEY1" s="338"/>
      <c r="SEZ1" s="338"/>
      <c r="SFA1" s="338"/>
      <c r="SFB1" s="338"/>
      <c r="SFC1" s="338"/>
      <c r="SFD1" s="338"/>
      <c r="SFE1" s="338"/>
      <c r="SFF1" s="338"/>
      <c r="SFG1" s="338"/>
      <c r="SFH1" s="338"/>
      <c r="SFI1" s="338"/>
      <c r="SFJ1" s="338"/>
      <c r="SFK1" s="338"/>
      <c r="SFL1" s="338"/>
      <c r="SFM1" s="338"/>
      <c r="SFN1" s="338"/>
      <c r="SFO1" s="338"/>
      <c r="SFP1" s="338"/>
      <c r="SFQ1" s="338"/>
      <c r="SFR1" s="338"/>
      <c r="SFS1" s="338"/>
      <c r="SFT1" s="338"/>
      <c r="SFU1" s="338"/>
      <c r="SFV1" s="338"/>
      <c r="SFW1" s="338"/>
      <c r="SFX1" s="338"/>
      <c r="SFY1" s="338"/>
      <c r="SFZ1" s="338"/>
      <c r="SGA1" s="338"/>
      <c r="SGB1" s="338"/>
      <c r="SGC1" s="338"/>
      <c r="SGD1" s="338"/>
      <c r="SGE1" s="338"/>
      <c r="SGF1" s="338"/>
      <c r="SGG1" s="338"/>
      <c r="SGH1" s="338"/>
      <c r="SGI1" s="338"/>
      <c r="SGJ1" s="338"/>
      <c r="SGK1" s="338"/>
      <c r="SGL1" s="338"/>
      <c r="SGM1" s="338"/>
      <c r="SGN1" s="338"/>
      <c r="SGO1" s="338"/>
      <c r="SGP1" s="338"/>
      <c r="SGQ1" s="338"/>
      <c r="SGR1" s="338"/>
      <c r="SGS1" s="338"/>
      <c r="SGT1" s="338"/>
      <c r="SGU1" s="338"/>
      <c r="SGV1" s="338"/>
      <c r="SGW1" s="338"/>
      <c r="SGX1" s="338"/>
      <c r="SGY1" s="338"/>
      <c r="SGZ1" s="338"/>
      <c r="SHA1" s="338"/>
      <c r="SHB1" s="338"/>
      <c r="SHC1" s="338"/>
      <c r="SHD1" s="338"/>
      <c r="SHE1" s="338"/>
      <c r="SHF1" s="338"/>
      <c r="SHG1" s="338"/>
      <c r="SHH1" s="338"/>
      <c r="SHI1" s="338"/>
      <c r="SHJ1" s="338"/>
      <c r="SHK1" s="338"/>
      <c r="SHL1" s="338"/>
      <c r="SHM1" s="338"/>
      <c r="SHN1" s="338"/>
      <c r="SHO1" s="338"/>
      <c r="SHP1" s="338"/>
      <c r="SHQ1" s="338"/>
      <c r="SHR1" s="338"/>
      <c r="SHS1" s="338"/>
      <c r="SHT1" s="338"/>
      <c r="SHU1" s="338"/>
      <c r="SHV1" s="338"/>
      <c r="SHW1" s="338"/>
      <c r="SHX1" s="338"/>
      <c r="SHY1" s="338"/>
      <c r="SHZ1" s="338"/>
      <c r="SIA1" s="338"/>
      <c r="SIB1" s="338"/>
      <c r="SIC1" s="338"/>
      <c r="SID1" s="338"/>
      <c r="SIE1" s="338"/>
      <c r="SIF1" s="338"/>
      <c r="SIG1" s="338"/>
      <c r="SIH1" s="338"/>
      <c r="SII1" s="338"/>
      <c r="SIJ1" s="338"/>
      <c r="SIK1" s="338"/>
      <c r="SIL1" s="338"/>
      <c r="SIM1" s="338"/>
      <c r="SIN1" s="338"/>
      <c r="SIO1" s="338"/>
      <c r="SIP1" s="338"/>
      <c r="SIQ1" s="338"/>
      <c r="SIR1" s="338"/>
      <c r="SIS1" s="338"/>
      <c r="SIT1" s="338"/>
      <c r="SIU1" s="338"/>
      <c r="SIV1" s="338"/>
      <c r="SIW1" s="338"/>
      <c r="SIX1" s="338"/>
      <c r="SIY1" s="338"/>
      <c r="SIZ1" s="338"/>
      <c r="SJA1" s="338"/>
      <c r="SJB1" s="338"/>
      <c r="SJC1" s="338"/>
      <c r="SJD1" s="338"/>
      <c r="SJE1" s="338"/>
      <c r="SJF1" s="338"/>
      <c r="SJG1" s="338"/>
      <c r="SJH1" s="338"/>
      <c r="SJI1" s="338"/>
      <c r="SJJ1" s="338"/>
      <c r="SJK1" s="338"/>
      <c r="SJL1" s="338"/>
      <c r="SJM1" s="338"/>
      <c r="SJN1" s="338"/>
      <c r="SJO1" s="338"/>
      <c r="SJP1" s="338"/>
      <c r="SJQ1" s="338"/>
      <c r="SJR1" s="338"/>
      <c r="SJS1" s="338"/>
      <c r="SJT1" s="338"/>
      <c r="SJU1" s="338"/>
      <c r="SJV1" s="338"/>
      <c r="SJW1" s="338"/>
      <c r="SJX1" s="338"/>
      <c r="SJY1" s="338"/>
      <c r="SJZ1" s="338"/>
      <c r="SKA1" s="338"/>
      <c r="SKB1" s="338"/>
      <c r="SKC1" s="338"/>
      <c r="SKD1" s="338"/>
      <c r="SKE1" s="338"/>
      <c r="SKF1" s="338"/>
      <c r="SKG1" s="338"/>
      <c r="SKH1" s="338"/>
      <c r="SKI1" s="338"/>
      <c r="SKJ1" s="338"/>
      <c r="SKK1" s="338"/>
      <c r="SKL1" s="338"/>
      <c r="SKM1" s="338"/>
      <c r="SKN1" s="338"/>
      <c r="SKO1" s="338"/>
      <c r="SKP1" s="338"/>
      <c r="SKQ1" s="338"/>
      <c r="SKR1" s="338"/>
      <c r="SKS1" s="338"/>
      <c r="SKT1" s="338"/>
      <c r="SKU1" s="338"/>
      <c r="SKV1" s="338"/>
      <c r="SKW1" s="338"/>
      <c r="SKX1" s="338"/>
      <c r="SKY1" s="338"/>
      <c r="SKZ1" s="338"/>
      <c r="SLA1" s="338"/>
      <c r="SLB1" s="338"/>
      <c r="SLC1" s="338"/>
      <c r="SLD1" s="338"/>
      <c r="SLE1" s="338"/>
      <c r="SLF1" s="338"/>
      <c r="SLG1" s="338"/>
      <c r="SLH1" s="338"/>
      <c r="SLI1" s="338"/>
      <c r="SLJ1" s="338"/>
      <c r="SLK1" s="338"/>
      <c r="SLL1" s="338"/>
      <c r="SLM1" s="338"/>
      <c r="SLN1" s="338"/>
      <c r="SLO1" s="338"/>
      <c r="SLP1" s="338"/>
      <c r="SLQ1" s="338"/>
      <c r="SLR1" s="338"/>
      <c r="SLS1" s="338"/>
      <c r="SLT1" s="338"/>
      <c r="SLU1" s="338"/>
      <c r="SLV1" s="338"/>
      <c r="SLW1" s="338"/>
      <c r="SLX1" s="338"/>
      <c r="SLY1" s="338"/>
      <c r="SLZ1" s="338"/>
      <c r="SMA1" s="338"/>
      <c r="SMB1" s="338"/>
      <c r="SMC1" s="338"/>
      <c r="SMD1" s="338"/>
      <c r="SME1" s="338"/>
      <c r="SMF1" s="338"/>
      <c r="SMG1" s="338"/>
      <c r="SMH1" s="338"/>
      <c r="SMI1" s="338"/>
      <c r="SMJ1" s="338"/>
      <c r="SMK1" s="338"/>
      <c r="SML1" s="338"/>
      <c r="SMM1" s="338"/>
      <c r="SMN1" s="338"/>
      <c r="SMO1" s="338"/>
      <c r="SMP1" s="338"/>
      <c r="SMQ1" s="338"/>
      <c r="SMR1" s="338"/>
      <c r="SMS1" s="338"/>
      <c r="SMT1" s="338"/>
      <c r="SMU1" s="338"/>
      <c r="SMV1" s="338"/>
      <c r="SMW1" s="338"/>
      <c r="SMX1" s="338"/>
      <c r="SMY1" s="338"/>
      <c r="SMZ1" s="338"/>
      <c r="SNA1" s="338"/>
      <c r="SNB1" s="338"/>
      <c r="SNC1" s="338"/>
      <c r="SND1" s="338"/>
      <c r="SNE1" s="338"/>
      <c r="SNF1" s="338"/>
      <c r="SNG1" s="338"/>
      <c r="SNH1" s="338"/>
      <c r="SNI1" s="338"/>
      <c r="SNJ1" s="338"/>
      <c r="SNK1" s="338"/>
      <c r="SNL1" s="338"/>
      <c r="SNM1" s="338"/>
      <c r="SNN1" s="338"/>
      <c r="SNO1" s="338"/>
      <c r="SNP1" s="338"/>
      <c r="SNQ1" s="338"/>
      <c r="SNR1" s="338"/>
      <c r="SNS1" s="338"/>
      <c r="SNT1" s="338"/>
      <c r="SNU1" s="338"/>
      <c r="SNV1" s="338"/>
      <c r="SNW1" s="338"/>
      <c r="SNX1" s="338"/>
      <c r="SNY1" s="338"/>
      <c r="SNZ1" s="338"/>
      <c r="SOA1" s="338"/>
      <c r="SOB1" s="338"/>
      <c r="SOC1" s="338"/>
      <c r="SOD1" s="338"/>
      <c r="SOE1" s="338"/>
      <c r="SOF1" s="338"/>
      <c r="SOG1" s="338"/>
      <c r="SOH1" s="338"/>
      <c r="SOI1" s="338"/>
      <c r="SOJ1" s="338"/>
      <c r="SOK1" s="338"/>
      <c r="SOL1" s="338"/>
      <c r="SOM1" s="338"/>
      <c r="SON1" s="338"/>
      <c r="SOO1" s="338"/>
      <c r="SOP1" s="338"/>
      <c r="SOQ1" s="338"/>
      <c r="SOR1" s="338"/>
      <c r="SOS1" s="338"/>
      <c r="SOT1" s="338"/>
      <c r="SOU1" s="338"/>
      <c r="SOV1" s="338"/>
      <c r="SOW1" s="338"/>
      <c r="SOX1" s="338"/>
      <c r="SOY1" s="338"/>
      <c r="SOZ1" s="338"/>
      <c r="SPA1" s="338"/>
      <c r="SPB1" s="338"/>
      <c r="SPC1" s="338"/>
      <c r="SPD1" s="338"/>
      <c r="SPE1" s="338"/>
      <c r="SPF1" s="338"/>
      <c r="SPG1" s="338"/>
      <c r="SPH1" s="338"/>
      <c r="SPI1" s="338"/>
      <c r="SPJ1" s="338"/>
      <c r="SPK1" s="338"/>
      <c r="SPL1" s="338"/>
      <c r="SPM1" s="338"/>
      <c r="SPN1" s="338"/>
      <c r="SPO1" s="338"/>
      <c r="SPP1" s="338"/>
      <c r="SPQ1" s="338"/>
      <c r="SPR1" s="338"/>
      <c r="SPS1" s="338"/>
      <c r="SPT1" s="338"/>
      <c r="SPU1" s="338"/>
      <c r="SPV1" s="338"/>
      <c r="SPW1" s="338"/>
      <c r="SPX1" s="338"/>
      <c r="SPY1" s="338"/>
      <c r="SPZ1" s="338"/>
      <c r="SQA1" s="338"/>
      <c r="SQB1" s="338"/>
      <c r="SQC1" s="338"/>
      <c r="SQD1" s="338"/>
      <c r="SQE1" s="338"/>
      <c r="SQF1" s="338"/>
      <c r="SQG1" s="338"/>
      <c r="SQH1" s="338"/>
      <c r="SQI1" s="338"/>
      <c r="SQJ1" s="338"/>
      <c r="SQK1" s="338"/>
      <c r="SQL1" s="338"/>
      <c r="SQM1" s="338"/>
      <c r="SQN1" s="338"/>
      <c r="SQO1" s="338"/>
      <c r="SQP1" s="338"/>
      <c r="SQQ1" s="338"/>
      <c r="SQR1" s="338"/>
      <c r="SQS1" s="338"/>
      <c r="SQT1" s="338"/>
      <c r="SQU1" s="338"/>
      <c r="SQV1" s="338"/>
      <c r="SQW1" s="338"/>
      <c r="SQX1" s="338"/>
      <c r="SQY1" s="338"/>
      <c r="SQZ1" s="338"/>
      <c r="SRA1" s="338"/>
      <c r="SRB1" s="338"/>
      <c r="SRC1" s="338"/>
      <c r="SRD1" s="338"/>
      <c r="SRE1" s="338"/>
      <c r="SRF1" s="338"/>
      <c r="SRG1" s="338"/>
      <c r="SRH1" s="338"/>
      <c r="SRI1" s="338"/>
      <c r="SRJ1" s="338"/>
      <c r="SRK1" s="338"/>
      <c r="SRL1" s="338"/>
      <c r="SRM1" s="338"/>
      <c r="SRN1" s="338"/>
      <c r="SRO1" s="338"/>
      <c r="SRP1" s="338"/>
      <c r="SRQ1" s="338"/>
      <c r="SRR1" s="338"/>
      <c r="SRS1" s="338"/>
      <c r="SRT1" s="338"/>
      <c r="SRU1" s="338"/>
      <c r="SRV1" s="338"/>
      <c r="SRW1" s="338"/>
      <c r="SRX1" s="338"/>
      <c r="SRY1" s="338"/>
      <c r="SRZ1" s="338"/>
      <c r="SSA1" s="338"/>
      <c r="SSB1" s="338"/>
      <c r="SSC1" s="338"/>
      <c r="SSD1" s="338"/>
      <c r="SSE1" s="338"/>
      <c r="SSF1" s="338"/>
      <c r="SSG1" s="338"/>
      <c r="SSH1" s="338"/>
      <c r="SSI1" s="338"/>
      <c r="SSJ1" s="338"/>
      <c r="SSK1" s="338"/>
      <c r="SSL1" s="338"/>
      <c r="SSM1" s="338"/>
      <c r="SSN1" s="338"/>
      <c r="SSO1" s="338"/>
      <c r="SSP1" s="338"/>
      <c r="SSQ1" s="338"/>
      <c r="SSR1" s="338"/>
      <c r="SSS1" s="338"/>
      <c r="SST1" s="338"/>
      <c r="SSU1" s="338"/>
      <c r="SSV1" s="338"/>
      <c r="SSW1" s="338"/>
      <c r="SSX1" s="338"/>
      <c r="SSY1" s="338"/>
      <c r="SSZ1" s="338"/>
      <c r="STA1" s="338"/>
      <c r="STB1" s="338"/>
      <c r="STC1" s="338"/>
      <c r="STD1" s="338"/>
      <c r="STE1" s="338"/>
      <c r="STF1" s="338"/>
      <c r="STG1" s="338"/>
      <c r="STH1" s="338"/>
      <c r="STI1" s="338"/>
      <c r="STJ1" s="338"/>
      <c r="STK1" s="338"/>
      <c r="STL1" s="338"/>
      <c r="STM1" s="338"/>
      <c r="STN1" s="338"/>
      <c r="STO1" s="338"/>
      <c r="STP1" s="338"/>
      <c r="STQ1" s="338"/>
      <c r="STR1" s="338"/>
      <c r="STS1" s="338"/>
      <c r="STT1" s="338"/>
      <c r="STU1" s="338"/>
      <c r="STV1" s="338"/>
      <c r="STW1" s="338"/>
      <c r="STX1" s="338"/>
      <c r="STY1" s="338"/>
      <c r="STZ1" s="338"/>
      <c r="SUA1" s="338"/>
      <c r="SUB1" s="338"/>
      <c r="SUC1" s="338"/>
      <c r="SUD1" s="338"/>
      <c r="SUE1" s="338"/>
      <c r="SUF1" s="338"/>
      <c r="SUG1" s="338"/>
      <c r="SUH1" s="338"/>
      <c r="SUI1" s="338"/>
      <c r="SUJ1" s="338"/>
      <c r="SUK1" s="338"/>
      <c r="SUL1" s="338"/>
      <c r="SUM1" s="338"/>
      <c r="SUN1" s="338"/>
      <c r="SUO1" s="338"/>
      <c r="SUP1" s="338"/>
      <c r="SUQ1" s="338"/>
      <c r="SUR1" s="338"/>
      <c r="SUS1" s="338"/>
      <c r="SUT1" s="338"/>
      <c r="SUU1" s="338"/>
      <c r="SUV1" s="338"/>
      <c r="SUW1" s="338"/>
      <c r="SUX1" s="338"/>
      <c r="SUY1" s="338"/>
      <c r="SUZ1" s="338"/>
      <c r="SVA1" s="338"/>
      <c r="SVB1" s="338"/>
      <c r="SVC1" s="338"/>
      <c r="SVD1" s="338"/>
      <c r="SVE1" s="338"/>
      <c r="SVF1" s="338"/>
      <c r="SVG1" s="338"/>
      <c r="SVH1" s="338"/>
      <c r="SVI1" s="338"/>
      <c r="SVJ1" s="338"/>
      <c r="SVK1" s="338"/>
      <c r="SVL1" s="338"/>
      <c r="SVM1" s="338"/>
      <c r="SVN1" s="338"/>
      <c r="SVO1" s="338"/>
      <c r="SVP1" s="338"/>
      <c r="SVQ1" s="338"/>
      <c r="SVR1" s="338"/>
      <c r="SVS1" s="338"/>
      <c r="SVT1" s="338"/>
      <c r="SVU1" s="338"/>
      <c r="SVV1" s="338"/>
      <c r="SVW1" s="338"/>
      <c r="SVX1" s="338"/>
      <c r="SVY1" s="338"/>
      <c r="SVZ1" s="338"/>
      <c r="SWA1" s="338"/>
      <c r="SWB1" s="338"/>
      <c r="SWC1" s="338"/>
      <c r="SWD1" s="338"/>
      <c r="SWE1" s="338"/>
      <c r="SWF1" s="338"/>
      <c r="SWG1" s="338"/>
      <c r="SWH1" s="338"/>
      <c r="SWI1" s="338"/>
      <c r="SWJ1" s="338"/>
      <c r="SWK1" s="338"/>
      <c r="SWL1" s="338"/>
      <c r="SWM1" s="338"/>
      <c r="SWN1" s="338"/>
      <c r="SWO1" s="338"/>
      <c r="SWP1" s="338"/>
      <c r="SWQ1" s="338"/>
      <c r="SWR1" s="338"/>
      <c r="SWS1" s="338"/>
      <c r="SWT1" s="338"/>
      <c r="SWU1" s="338"/>
      <c r="SWV1" s="338"/>
      <c r="SWW1" s="338"/>
      <c r="SWX1" s="338"/>
      <c r="SWY1" s="338"/>
      <c r="SWZ1" s="338"/>
      <c r="SXA1" s="338"/>
      <c r="SXB1" s="338"/>
      <c r="SXC1" s="338"/>
      <c r="SXD1" s="338"/>
      <c r="SXE1" s="338"/>
      <c r="SXF1" s="338"/>
      <c r="SXG1" s="338"/>
      <c r="SXH1" s="338"/>
      <c r="SXI1" s="338"/>
      <c r="SXJ1" s="338"/>
      <c r="SXK1" s="338"/>
      <c r="SXL1" s="338"/>
      <c r="SXM1" s="338"/>
      <c r="SXN1" s="338"/>
      <c r="SXO1" s="338"/>
      <c r="SXP1" s="338"/>
      <c r="SXQ1" s="338"/>
      <c r="SXR1" s="338"/>
      <c r="SXS1" s="338"/>
      <c r="SXT1" s="338"/>
      <c r="SXU1" s="338"/>
      <c r="SXV1" s="338"/>
      <c r="SXW1" s="338"/>
      <c r="SXX1" s="338"/>
      <c r="SXY1" s="338"/>
      <c r="SXZ1" s="338"/>
      <c r="SYA1" s="338"/>
      <c r="SYB1" s="338"/>
      <c r="SYC1" s="338"/>
      <c r="SYD1" s="338"/>
      <c r="SYE1" s="338"/>
      <c r="SYF1" s="338"/>
      <c r="SYG1" s="338"/>
      <c r="SYH1" s="338"/>
      <c r="SYI1" s="338"/>
      <c r="SYJ1" s="338"/>
      <c r="SYK1" s="338"/>
      <c r="SYL1" s="338"/>
      <c r="SYM1" s="338"/>
      <c r="SYN1" s="338"/>
      <c r="SYO1" s="338"/>
      <c r="SYP1" s="338"/>
      <c r="SYQ1" s="338"/>
      <c r="SYR1" s="338"/>
      <c r="SYS1" s="338"/>
      <c r="SYT1" s="338"/>
      <c r="SYU1" s="338"/>
      <c r="SYV1" s="338"/>
      <c r="SYW1" s="338"/>
      <c r="SYX1" s="338"/>
      <c r="SYY1" s="338"/>
      <c r="SYZ1" s="338"/>
      <c r="SZA1" s="338"/>
      <c r="SZB1" s="338"/>
      <c r="SZC1" s="338"/>
      <c r="SZD1" s="338"/>
      <c r="SZE1" s="338"/>
      <c r="SZF1" s="338"/>
      <c r="SZG1" s="338"/>
      <c r="SZH1" s="338"/>
      <c r="SZI1" s="338"/>
      <c r="SZJ1" s="338"/>
      <c r="SZK1" s="338"/>
      <c r="SZL1" s="338"/>
      <c r="SZM1" s="338"/>
      <c r="SZN1" s="338"/>
      <c r="SZO1" s="338"/>
      <c r="SZP1" s="338"/>
      <c r="SZQ1" s="338"/>
      <c r="SZR1" s="338"/>
      <c r="SZS1" s="338"/>
      <c r="SZT1" s="338"/>
      <c r="SZU1" s="338"/>
      <c r="SZV1" s="338"/>
      <c r="SZW1" s="338"/>
      <c r="SZX1" s="338"/>
      <c r="SZY1" s="338"/>
      <c r="SZZ1" s="338"/>
      <c r="TAA1" s="338"/>
      <c r="TAB1" s="338"/>
      <c r="TAC1" s="338"/>
      <c r="TAD1" s="338"/>
      <c r="TAE1" s="338"/>
      <c r="TAF1" s="338"/>
      <c r="TAG1" s="338"/>
      <c r="TAH1" s="338"/>
      <c r="TAI1" s="338"/>
      <c r="TAJ1" s="338"/>
      <c r="TAK1" s="338"/>
      <c r="TAL1" s="338"/>
      <c r="TAM1" s="338"/>
      <c r="TAN1" s="338"/>
      <c r="TAO1" s="338"/>
      <c r="TAP1" s="338"/>
      <c r="TAQ1" s="338"/>
      <c r="TAR1" s="338"/>
      <c r="TAS1" s="338"/>
      <c r="TAT1" s="338"/>
      <c r="TAU1" s="338"/>
      <c r="TAV1" s="338"/>
      <c r="TAW1" s="338"/>
      <c r="TAX1" s="338"/>
      <c r="TAY1" s="338"/>
      <c r="TAZ1" s="338"/>
      <c r="TBA1" s="338"/>
      <c r="TBB1" s="338"/>
      <c r="TBC1" s="338"/>
      <c r="TBD1" s="338"/>
      <c r="TBE1" s="338"/>
      <c r="TBF1" s="338"/>
      <c r="TBG1" s="338"/>
      <c r="TBH1" s="338"/>
      <c r="TBI1" s="338"/>
      <c r="TBJ1" s="338"/>
      <c r="TBK1" s="338"/>
      <c r="TBL1" s="338"/>
      <c r="TBM1" s="338"/>
      <c r="TBN1" s="338"/>
      <c r="TBO1" s="338"/>
      <c r="TBP1" s="338"/>
      <c r="TBQ1" s="338"/>
      <c r="TBR1" s="338"/>
      <c r="TBS1" s="338"/>
      <c r="TBT1" s="338"/>
      <c r="TBU1" s="338"/>
      <c r="TBV1" s="338"/>
      <c r="TBW1" s="338"/>
      <c r="TBX1" s="338"/>
      <c r="TBY1" s="338"/>
      <c r="TBZ1" s="338"/>
      <c r="TCA1" s="338"/>
      <c r="TCB1" s="338"/>
      <c r="TCC1" s="338"/>
      <c r="TCD1" s="338"/>
      <c r="TCE1" s="338"/>
      <c r="TCF1" s="338"/>
      <c r="TCG1" s="338"/>
      <c r="TCH1" s="338"/>
      <c r="TCI1" s="338"/>
      <c r="TCJ1" s="338"/>
      <c r="TCK1" s="338"/>
      <c r="TCL1" s="338"/>
      <c r="TCM1" s="338"/>
      <c r="TCN1" s="338"/>
      <c r="TCO1" s="338"/>
      <c r="TCP1" s="338"/>
      <c r="TCQ1" s="338"/>
      <c r="TCR1" s="338"/>
      <c r="TCS1" s="338"/>
      <c r="TCT1" s="338"/>
      <c r="TCU1" s="338"/>
      <c r="TCV1" s="338"/>
      <c r="TCW1" s="338"/>
      <c r="TCX1" s="338"/>
      <c r="TCY1" s="338"/>
      <c r="TCZ1" s="338"/>
      <c r="TDA1" s="338"/>
      <c r="TDB1" s="338"/>
      <c r="TDC1" s="338"/>
      <c r="TDD1" s="338"/>
      <c r="TDE1" s="338"/>
      <c r="TDF1" s="338"/>
      <c r="TDG1" s="338"/>
      <c r="TDH1" s="338"/>
      <c r="TDI1" s="338"/>
      <c r="TDJ1" s="338"/>
      <c r="TDK1" s="338"/>
      <c r="TDL1" s="338"/>
      <c r="TDM1" s="338"/>
      <c r="TDN1" s="338"/>
      <c r="TDO1" s="338"/>
      <c r="TDP1" s="338"/>
      <c r="TDQ1" s="338"/>
      <c r="TDR1" s="338"/>
      <c r="TDS1" s="338"/>
      <c r="TDT1" s="338"/>
      <c r="TDU1" s="338"/>
      <c r="TDV1" s="338"/>
      <c r="TDW1" s="338"/>
      <c r="TDX1" s="338"/>
      <c r="TDY1" s="338"/>
      <c r="TDZ1" s="338"/>
      <c r="TEA1" s="338"/>
      <c r="TEB1" s="338"/>
      <c r="TEC1" s="338"/>
      <c r="TED1" s="338"/>
      <c r="TEE1" s="338"/>
      <c r="TEF1" s="338"/>
      <c r="TEG1" s="338"/>
      <c r="TEH1" s="338"/>
      <c r="TEI1" s="338"/>
      <c r="TEJ1" s="338"/>
      <c r="TEK1" s="338"/>
      <c r="TEL1" s="338"/>
      <c r="TEM1" s="338"/>
      <c r="TEN1" s="338"/>
      <c r="TEO1" s="338"/>
      <c r="TEP1" s="338"/>
      <c r="TEQ1" s="338"/>
      <c r="TER1" s="338"/>
      <c r="TES1" s="338"/>
      <c r="TET1" s="338"/>
      <c r="TEU1" s="338"/>
      <c r="TEV1" s="338"/>
      <c r="TEW1" s="338"/>
      <c r="TEX1" s="338"/>
      <c r="TEY1" s="338"/>
      <c r="TEZ1" s="338"/>
      <c r="TFA1" s="338"/>
      <c r="TFB1" s="338"/>
      <c r="TFC1" s="338"/>
      <c r="TFD1" s="338"/>
      <c r="TFE1" s="338"/>
      <c r="TFF1" s="338"/>
      <c r="TFG1" s="338"/>
      <c r="TFH1" s="338"/>
      <c r="TFI1" s="338"/>
      <c r="TFJ1" s="338"/>
      <c r="TFK1" s="338"/>
      <c r="TFL1" s="338"/>
      <c r="TFM1" s="338"/>
      <c r="TFN1" s="338"/>
      <c r="TFO1" s="338"/>
      <c r="TFP1" s="338"/>
      <c r="TFQ1" s="338"/>
      <c r="TFR1" s="338"/>
      <c r="TFS1" s="338"/>
      <c r="TFT1" s="338"/>
      <c r="TFU1" s="338"/>
      <c r="TFV1" s="338"/>
      <c r="TFW1" s="338"/>
      <c r="TFX1" s="338"/>
      <c r="TFY1" s="338"/>
      <c r="TFZ1" s="338"/>
      <c r="TGA1" s="338"/>
      <c r="TGB1" s="338"/>
      <c r="TGC1" s="338"/>
      <c r="TGD1" s="338"/>
      <c r="TGE1" s="338"/>
      <c r="TGF1" s="338"/>
      <c r="TGG1" s="338"/>
      <c r="TGH1" s="338"/>
      <c r="TGI1" s="338"/>
      <c r="TGJ1" s="338"/>
      <c r="TGK1" s="338"/>
      <c r="TGL1" s="338"/>
      <c r="TGM1" s="338"/>
      <c r="TGN1" s="338"/>
      <c r="TGO1" s="338"/>
      <c r="TGP1" s="338"/>
      <c r="TGQ1" s="338"/>
      <c r="TGR1" s="338"/>
      <c r="TGS1" s="338"/>
      <c r="TGT1" s="338"/>
      <c r="TGU1" s="338"/>
      <c r="TGV1" s="338"/>
      <c r="TGW1" s="338"/>
      <c r="TGX1" s="338"/>
      <c r="TGY1" s="338"/>
      <c r="TGZ1" s="338"/>
      <c r="THA1" s="338"/>
      <c r="THB1" s="338"/>
      <c r="THC1" s="338"/>
      <c r="THD1" s="338"/>
      <c r="THE1" s="338"/>
      <c r="THF1" s="338"/>
      <c r="THG1" s="338"/>
      <c r="THH1" s="338"/>
      <c r="THI1" s="338"/>
      <c r="THJ1" s="338"/>
      <c r="THK1" s="338"/>
      <c r="THL1" s="338"/>
      <c r="THM1" s="338"/>
      <c r="THN1" s="338"/>
      <c r="THO1" s="338"/>
      <c r="THP1" s="338"/>
      <c r="THQ1" s="338"/>
      <c r="THR1" s="338"/>
      <c r="THS1" s="338"/>
      <c r="THT1" s="338"/>
      <c r="THU1" s="338"/>
      <c r="THV1" s="338"/>
      <c r="THW1" s="338"/>
      <c r="THX1" s="338"/>
      <c r="THY1" s="338"/>
      <c r="THZ1" s="338"/>
      <c r="TIA1" s="338"/>
      <c r="TIB1" s="338"/>
      <c r="TIC1" s="338"/>
      <c r="TID1" s="338"/>
      <c r="TIE1" s="338"/>
      <c r="TIF1" s="338"/>
      <c r="TIG1" s="338"/>
      <c r="TIH1" s="338"/>
      <c r="TII1" s="338"/>
      <c r="TIJ1" s="338"/>
      <c r="TIK1" s="338"/>
      <c r="TIL1" s="338"/>
      <c r="TIM1" s="338"/>
      <c r="TIN1" s="338"/>
      <c r="TIO1" s="338"/>
      <c r="TIP1" s="338"/>
      <c r="TIQ1" s="338"/>
      <c r="TIR1" s="338"/>
      <c r="TIS1" s="338"/>
      <c r="TIT1" s="338"/>
      <c r="TIU1" s="338"/>
      <c r="TIV1" s="338"/>
      <c r="TIW1" s="338"/>
      <c r="TIX1" s="338"/>
      <c r="TIY1" s="338"/>
      <c r="TIZ1" s="338"/>
      <c r="TJA1" s="338"/>
      <c r="TJB1" s="338"/>
      <c r="TJC1" s="338"/>
      <c r="TJD1" s="338"/>
      <c r="TJE1" s="338"/>
      <c r="TJF1" s="338"/>
      <c r="TJG1" s="338"/>
      <c r="TJH1" s="338"/>
      <c r="TJI1" s="338"/>
      <c r="TJJ1" s="338"/>
      <c r="TJK1" s="338"/>
      <c r="TJL1" s="338"/>
      <c r="TJM1" s="338"/>
      <c r="TJN1" s="338"/>
      <c r="TJO1" s="338"/>
      <c r="TJP1" s="338"/>
      <c r="TJQ1" s="338"/>
      <c r="TJR1" s="338"/>
      <c r="TJS1" s="338"/>
      <c r="TJT1" s="338"/>
      <c r="TJU1" s="338"/>
      <c r="TJV1" s="338"/>
      <c r="TJW1" s="338"/>
      <c r="TJX1" s="338"/>
      <c r="TJY1" s="338"/>
      <c r="TJZ1" s="338"/>
      <c r="TKA1" s="338"/>
      <c r="TKB1" s="338"/>
      <c r="TKC1" s="338"/>
      <c r="TKD1" s="338"/>
      <c r="TKE1" s="338"/>
      <c r="TKF1" s="338"/>
      <c r="TKG1" s="338"/>
      <c r="TKH1" s="338"/>
      <c r="TKI1" s="338"/>
      <c r="TKJ1" s="338"/>
      <c r="TKK1" s="338"/>
      <c r="TKL1" s="338"/>
      <c r="TKM1" s="338"/>
      <c r="TKN1" s="338"/>
      <c r="TKO1" s="338"/>
      <c r="TKP1" s="338"/>
      <c r="TKQ1" s="338"/>
      <c r="TKR1" s="338"/>
      <c r="TKS1" s="338"/>
      <c r="TKT1" s="338"/>
      <c r="TKU1" s="338"/>
      <c r="TKV1" s="338"/>
      <c r="TKW1" s="338"/>
      <c r="TKX1" s="338"/>
      <c r="TKY1" s="338"/>
      <c r="TKZ1" s="338"/>
      <c r="TLA1" s="338"/>
      <c r="TLB1" s="338"/>
      <c r="TLC1" s="338"/>
      <c r="TLD1" s="338"/>
      <c r="TLE1" s="338"/>
      <c r="TLF1" s="338"/>
      <c r="TLG1" s="338"/>
      <c r="TLH1" s="338"/>
      <c r="TLI1" s="338"/>
      <c r="TLJ1" s="338"/>
      <c r="TLK1" s="338"/>
      <c r="TLL1" s="338"/>
      <c r="TLM1" s="338"/>
      <c r="TLN1" s="338"/>
      <c r="TLO1" s="338"/>
      <c r="TLP1" s="338"/>
      <c r="TLQ1" s="338"/>
      <c r="TLR1" s="338"/>
      <c r="TLS1" s="338"/>
      <c r="TLT1" s="338"/>
      <c r="TLU1" s="338"/>
      <c r="TLV1" s="338"/>
      <c r="TLW1" s="338"/>
      <c r="TLX1" s="338"/>
      <c r="TLY1" s="338"/>
      <c r="TLZ1" s="338"/>
      <c r="TMA1" s="338"/>
      <c r="TMB1" s="338"/>
      <c r="TMC1" s="338"/>
      <c r="TMD1" s="338"/>
      <c r="TME1" s="338"/>
      <c r="TMF1" s="338"/>
      <c r="TMG1" s="338"/>
      <c r="TMH1" s="338"/>
      <c r="TMI1" s="338"/>
      <c r="TMJ1" s="338"/>
      <c r="TMK1" s="338"/>
      <c r="TML1" s="338"/>
      <c r="TMM1" s="338"/>
      <c r="TMN1" s="338"/>
      <c r="TMO1" s="338"/>
      <c r="TMP1" s="338"/>
      <c r="TMQ1" s="338"/>
      <c r="TMR1" s="338"/>
      <c r="TMS1" s="338"/>
      <c r="TMT1" s="338"/>
      <c r="TMU1" s="338"/>
      <c r="TMV1" s="338"/>
      <c r="TMW1" s="338"/>
      <c r="TMX1" s="338"/>
      <c r="TMY1" s="338"/>
      <c r="TMZ1" s="338"/>
      <c r="TNA1" s="338"/>
      <c r="TNB1" s="338"/>
      <c r="TNC1" s="338"/>
      <c r="TND1" s="338"/>
      <c r="TNE1" s="338"/>
      <c r="TNF1" s="338"/>
      <c r="TNG1" s="338"/>
      <c r="TNH1" s="338"/>
      <c r="TNI1" s="338"/>
      <c r="TNJ1" s="338"/>
      <c r="TNK1" s="338"/>
      <c r="TNL1" s="338"/>
      <c r="TNM1" s="338"/>
      <c r="TNN1" s="338"/>
      <c r="TNO1" s="338"/>
      <c r="TNP1" s="338"/>
      <c r="TNQ1" s="338"/>
      <c r="TNR1" s="338"/>
      <c r="TNS1" s="338"/>
      <c r="TNT1" s="338"/>
      <c r="TNU1" s="338"/>
      <c r="TNV1" s="338"/>
      <c r="TNW1" s="338"/>
      <c r="TNX1" s="338"/>
      <c r="TNY1" s="338"/>
      <c r="TNZ1" s="338"/>
      <c r="TOA1" s="338"/>
      <c r="TOB1" s="338"/>
      <c r="TOC1" s="338"/>
      <c r="TOD1" s="338"/>
      <c r="TOE1" s="338"/>
      <c r="TOF1" s="338"/>
      <c r="TOG1" s="338"/>
      <c r="TOH1" s="338"/>
      <c r="TOI1" s="338"/>
      <c r="TOJ1" s="338"/>
      <c r="TOK1" s="338"/>
      <c r="TOL1" s="338"/>
      <c r="TOM1" s="338"/>
      <c r="TON1" s="338"/>
      <c r="TOO1" s="338"/>
      <c r="TOP1" s="338"/>
      <c r="TOQ1" s="338"/>
      <c r="TOR1" s="338"/>
      <c r="TOS1" s="338"/>
      <c r="TOT1" s="338"/>
      <c r="TOU1" s="338"/>
      <c r="TOV1" s="338"/>
      <c r="TOW1" s="338"/>
      <c r="TOX1" s="338"/>
      <c r="TOY1" s="338"/>
      <c r="TOZ1" s="338"/>
      <c r="TPA1" s="338"/>
      <c r="TPB1" s="338"/>
      <c r="TPC1" s="338"/>
      <c r="TPD1" s="338"/>
      <c r="TPE1" s="338"/>
      <c r="TPF1" s="338"/>
      <c r="TPG1" s="338"/>
      <c r="TPH1" s="338"/>
      <c r="TPI1" s="338"/>
      <c r="TPJ1" s="338"/>
      <c r="TPK1" s="338"/>
      <c r="TPL1" s="338"/>
      <c r="TPM1" s="338"/>
      <c r="TPN1" s="338"/>
      <c r="TPO1" s="338"/>
      <c r="TPP1" s="338"/>
      <c r="TPQ1" s="338"/>
      <c r="TPR1" s="338"/>
      <c r="TPS1" s="338"/>
      <c r="TPT1" s="338"/>
      <c r="TPU1" s="338"/>
      <c r="TPV1" s="338"/>
      <c r="TPW1" s="338"/>
      <c r="TPX1" s="338"/>
      <c r="TPY1" s="338"/>
      <c r="TPZ1" s="338"/>
      <c r="TQA1" s="338"/>
      <c r="TQB1" s="338"/>
      <c r="TQC1" s="338"/>
      <c r="TQD1" s="338"/>
      <c r="TQE1" s="338"/>
      <c r="TQF1" s="338"/>
      <c r="TQG1" s="338"/>
      <c r="TQH1" s="338"/>
      <c r="TQI1" s="338"/>
      <c r="TQJ1" s="338"/>
      <c r="TQK1" s="338"/>
      <c r="TQL1" s="338"/>
      <c r="TQM1" s="338"/>
      <c r="TQN1" s="338"/>
      <c r="TQO1" s="338"/>
      <c r="TQP1" s="338"/>
      <c r="TQQ1" s="338"/>
      <c r="TQR1" s="338"/>
      <c r="TQS1" s="338"/>
      <c r="TQT1" s="338"/>
      <c r="TQU1" s="338"/>
      <c r="TQV1" s="338"/>
      <c r="TQW1" s="338"/>
      <c r="TQX1" s="338"/>
      <c r="TQY1" s="338"/>
      <c r="TQZ1" s="338"/>
      <c r="TRA1" s="338"/>
      <c r="TRB1" s="338"/>
      <c r="TRC1" s="338"/>
      <c r="TRD1" s="338"/>
      <c r="TRE1" s="338"/>
      <c r="TRF1" s="338"/>
      <c r="TRG1" s="338"/>
      <c r="TRH1" s="338"/>
      <c r="TRI1" s="338"/>
      <c r="TRJ1" s="338"/>
      <c r="TRK1" s="338"/>
      <c r="TRL1" s="338"/>
      <c r="TRM1" s="338"/>
      <c r="TRN1" s="338"/>
      <c r="TRO1" s="338"/>
      <c r="TRP1" s="338"/>
      <c r="TRQ1" s="338"/>
      <c r="TRR1" s="338"/>
      <c r="TRS1" s="338"/>
      <c r="TRT1" s="338"/>
      <c r="TRU1" s="338"/>
      <c r="TRV1" s="338"/>
      <c r="TRW1" s="338"/>
      <c r="TRX1" s="338"/>
      <c r="TRY1" s="338"/>
      <c r="TRZ1" s="338"/>
      <c r="TSA1" s="338"/>
      <c r="TSB1" s="338"/>
      <c r="TSC1" s="338"/>
      <c r="TSD1" s="338"/>
      <c r="TSE1" s="338"/>
      <c r="TSF1" s="338"/>
      <c r="TSG1" s="338"/>
      <c r="TSH1" s="338"/>
      <c r="TSI1" s="338"/>
      <c r="TSJ1" s="338"/>
      <c r="TSK1" s="338"/>
      <c r="TSL1" s="338"/>
      <c r="TSM1" s="338"/>
      <c r="TSN1" s="338"/>
      <c r="TSO1" s="338"/>
      <c r="TSP1" s="338"/>
      <c r="TSQ1" s="338"/>
      <c r="TSR1" s="338"/>
      <c r="TSS1" s="338"/>
      <c r="TST1" s="338"/>
      <c r="TSU1" s="338"/>
      <c r="TSV1" s="338"/>
      <c r="TSW1" s="338"/>
      <c r="TSX1" s="338"/>
      <c r="TSY1" s="338"/>
      <c r="TSZ1" s="338"/>
      <c r="TTA1" s="338"/>
      <c r="TTB1" s="338"/>
      <c r="TTC1" s="338"/>
      <c r="TTD1" s="338"/>
      <c r="TTE1" s="338"/>
      <c r="TTF1" s="338"/>
      <c r="TTG1" s="338"/>
      <c r="TTH1" s="338"/>
      <c r="TTI1" s="338"/>
      <c r="TTJ1" s="338"/>
      <c r="TTK1" s="338"/>
      <c r="TTL1" s="338"/>
      <c r="TTM1" s="338"/>
      <c r="TTN1" s="338"/>
      <c r="TTO1" s="338"/>
      <c r="TTP1" s="338"/>
      <c r="TTQ1" s="338"/>
      <c r="TTR1" s="338"/>
      <c r="TTS1" s="338"/>
      <c r="TTT1" s="338"/>
      <c r="TTU1" s="338"/>
      <c r="TTV1" s="338"/>
      <c r="TTW1" s="338"/>
      <c r="TTX1" s="338"/>
      <c r="TTY1" s="338"/>
      <c r="TTZ1" s="338"/>
      <c r="TUA1" s="338"/>
      <c r="TUB1" s="338"/>
      <c r="TUC1" s="338"/>
      <c r="TUD1" s="338"/>
      <c r="TUE1" s="338"/>
      <c r="TUF1" s="338"/>
      <c r="TUG1" s="338"/>
      <c r="TUH1" s="338"/>
      <c r="TUI1" s="338"/>
      <c r="TUJ1" s="338"/>
      <c r="TUK1" s="338"/>
      <c r="TUL1" s="338"/>
      <c r="TUM1" s="338"/>
      <c r="TUN1" s="338"/>
      <c r="TUO1" s="338"/>
      <c r="TUP1" s="338"/>
      <c r="TUQ1" s="338"/>
      <c r="TUR1" s="338"/>
      <c r="TUS1" s="338"/>
      <c r="TUT1" s="338"/>
      <c r="TUU1" s="338"/>
      <c r="TUV1" s="338"/>
      <c r="TUW1" s="338"/>
      <c r="TUX1" s="338"/>
      <c r="TUY1" s="338"/>
      <c r="TUZ1" s="338"/>
      <c r="TVA1" s="338"/>
      <c r="TVB1" s="338"/>
      <c r="TVC1" s="338"/>
      <c r="TVD1" s="338"/>
      <c r="TVE1" s="338"/>
      <c r="TVF1" s="338"/>
      <c r="TVG1" s="338"/>
      <c r="TVH1" s="338"/>
      <c r="TVI1" s="338"/>
      <c r="TVJ1" s="338"/>
      <c r="TVK1" s="338"/>
      <c r="TVL1" s="338"/>
      <c r="TVM1" s="338"/>
      <c r="TVN1" s="338"/>
      <c r="TVO1" s="338"/>
      <c r="TVP1" s="338"/>
      <c r="TVQ1" s="338"/>
      <c r="TVR1" s="338"/>
      <c r="TVS1" s="338"/>
      <c r="TVT1" s="338"/>
      <c r="TVU1" s="338"/>
      <c r="TVV1" s="338"/>
      <c r="TVW1" s="338"/>
      <c r="TVX1" s="338"/>
      <c r="TVY1" s="338"/>
      <c r="TVZ1" s="338"/>
      <c r="TWA1" s="338"/>
      <c r="TWB1" s="338"/>
      <c r="TWC1" s="338"/>
      <c r="TWD1" s="338"/>
      <c r="TWE1" s="338"/>
      <c r="TWF1" s="338"/>
      <c r="TWG1" s="338"/>
      <c r="TWH1" s="338"/>
      <c r="TWI1" s="338"/>
      <c r="TWJ1" s="338"/>
      <c r="TWK1" s="338"/>
      <c r="TWL1" s="338"/>
      <c r="TWM1" s="338"/>
      <c r="TWN1" s="338"/>
      <c r="TWO1" s="338"/>
      <c r="TWP1" s="338"/>
      <c r="TWQ1" s="338"/>
      <c r="TWR1" s="338"/>
      <c r="TWS1" s="338"/>
      <c r="TWT1" s="338"/>
      <c r="TWU1" s="338"/>
      <c r="TWV1" s="338"/>
      <c r="TWW1" s="338"/>
      <c r="TWX1" s="338"/>
      <c r="TWY1" s="338"/>
      <c r="TWZ1" s="338"/>
      <c r="TXA1" s="338"/>
      <c r="TXB1" s="338"/>
      <c r="TXC1" s="338"/>
      <c r="TXD1" s="338"/>
      <c r="TXE1" s="338"/>
      <c r="TXF1" s="338"/>
      <c r="TXG1" s="338"/>
      <c r="TXH1" s="338"/>
      <c r="TXI1" s="338"/>
      <c r="TXJ1" s="338"/>
      <c r="TXK1" s="338"/>
      <c r="TXL1" s="338"/>
      <c r="TXM1" s="338"/>
      <c r="TXN1" s="338"/>
      <c r="TXO1" s="338"/>
      <c r="TXP1" s="338"/>
      <c r="TXQ1" s="338"/>
      <c r="TXR1" s="338"/>
      <c r="TXS1" s="338"/>
      <c r="TXT1" s="338"/>
      <c r="TXU1" s="338"/>
      <c r="TXV1" s="338"/>
      <c r="TXW1" s="338"/>
      <c r="TXX1" s="338"/>
      <c r="TXY1" s="338"/>
      <c r="TXZ1" s="338"/>
      <c r="TYA1" s="338"/>
      <c r="TYB1" s="338"/>
      <c r="TYC1" s="338"/>
      <c r="TYD1" s="338"/>
      <c r="TYE1" s="338"/>
      <c r="TYF1" s="338"/>
      <c r="TYG1" s="338"/>
      <c r="TYH1" s="338"/>
      <c r="TYI1" s="338"/>
      <c r="TYJ1" s="338"/>
      <c r="TYK1" s="338"/>
      <c r="TYL1" s="338"/>
      <c r="TYM1" s="338"/>
      <c r="TYN1" s="338"/>
      <c r="TYO1" s="338"/>
      <c r="TYP1" s="338"/>
      <c r="TYQ1" s="338"/>
      <c r="TYR1" s="338"/>
      <c r="TYS1" s="338"/>
      <c r="TYT1" s="338"/>
      <c r="TYU1" s="338"/>
      <c r="TYV1" s="338"/>
      <c r="TYW1" s="338"/>
      <c r="TYX1" s="338"/>
      <c r="TYY1" s="338"/>
      <c r="TYZ1" s="338"/>
      <c r="TZA1" s="338"/>
      <c r="TZB1" s="338"/>
      <c r="TZC1" s="338"/>
      <c r="TZD1" s="338"/>
      <c r="TZE1" s="338"/>
      <c r="TZF1" s="338"/>
      <c r="TZG1" s="338"/>
      <c r="TZH1" s="338"/>
      <c r="TZI1" s="338"/>
      <c r="TZJ1" s="338"/>
      <c r="TZK1" s="338"/>
      <c r="TZL1" s="338"/>
      <c r="TZM1" s="338"/>
      <c r="TZN1" s="338"/>
      <c r="TZO1" s="338"/>
      <c r="TZP1" s="338"/>
      <c r="TZQ1" s="338"/>
      <c r="TZR1" s="338"/>
      <c r="TZS1" s="338"/>
      <c r="TZT1" s="338"/>
      <c r="TZU1" s="338"/>
      <c r="TZV1" s="338"/>
      <c r="TZW1" s="338"/>
      <c r="TZX1" s="338"/>
      <c r="TZY1" s="338"/>
      <c r="TZZ1" s="338"/>
      <c r="UAA1" s="338"/>
      <c r="UAB1" s="338"/>
      <c r="UAC1" s="338"/>
      <c r="UAD1" s="338"/>
      <c r="UAE1" s="338"/>
      <c r="UAF1" s="338"/>
      <c r="UAG1" s="338"/>
      <c r="UAH1" s="338"/>
      <c r="UAI1" s="338"/>
      <c r="UAJ1" s="338"/>
      <c r="UAK1" s="338"/>
      <c r="UAL1" s="338"/>
      <c r="UAM1" s="338"/>
      <c r="UAN1" s="338"/>
      <c r="UAO1" s="338"/>
      <c r="UAP1" s="338"/>
      <c r="UAQ1" s="338"/>
      <c r="UAR1" s="338"/>
      <c r="UAS1" s="338"/>
      <c r="UAT1" s="338"/>
      <c r="UAU1" s="338"/>
      <c r="UAV1" s="338"/>
      <c r="UAW1" s="338"/>
      <c r="UAX1" s="338"/>
      <c r="UAY1" s="338"/>
      <c r="UAZ1" s="338"/>
      <c r="UBA1" s="338"/>
      <c r="UBB1" s="338"/>
      <c r="UBC1" s="338"/>
      <c r="UBD1" s="338"/>
      <c r="UBE1" s="338"/>
      <c r="UBF1" s="338"/>
      <c r="UBG1" s="338"/>
      <c r="UBH1" s="338"/>
      <c r="UBI1" s="338"/>
      <c r="UBJ1" s="338"/>
      <c r="UBK1" s="338"/>
      <c r="UBL1" s="338"/>
      <c r="UBM1" s="338"/>
      <c r="UBN1" s="338"/>
      <c r="UBO1" s="338"/>
      <c r="UBP1" s="338"/>
      <c r="UBQ1" s="338"/>
      <c r="UBR1" s="338"/>
      <c r="UBS1" s="338"/>
      <c r="UBT1" s="338"/>
      <c r="UBU1" s="338"/>
      <c r="UBV1" s="338"/>
      <c r="UBW1" s="338"/>
      <c r="UBX1" s="338"/>
      <c r="UBY1" s="338"/>
      <c r="UBZ1" s="338"/>
      <c r="UCA1" s="338"/>
      <c r="UCB1" s="338"/>
      <c r="UCC1" s="338"/>
      <c r="UCD1" s="338"/>
      <c r="UCE1" s="338"/>
      <c r="UCF1" s="338"/>
      <c r="UCG1" s="338"/>
      <c r="UCH1" s="338"/>
      <c r="UCI1" s="338"/>
      <c r="UCJ1" s="338"/>
      <c r="UCK1" s="338"/>
      <c r="UCL1" s="338"/>
      <c r="UCM1" s="338"/>
      <c r="UCN1" s="338"/>
      <c r="UCO1" s="338"/>
      <c r="UCP1" s="338"/>
      <c r="UCQ1" s="338"/>
      <c r="UCR1" s="338"/>
      <c r="UCS1" s="338"/>
      <c r="UCT1" s="338"/>
      <c r="UCU1" s="338"/>
      <c r="UCV1" s="338"/>
      <c r="UCW1" s="338"/>
      <c r="UCX1" s="338"/>
      <c r="UCY1" s="338"/>
      <c r="UCZ1" s="338"/>
      <c r="UDA1" s="338"/>
      <c r="UDB1" s="338"/>
      <c r="UDC1" s="338"/>
      <c r="UDD1" s="338"/>
      <c r="UDE1" s="338"/>
      <c r="UDF1" s="338"/>
      <c r="UDG1" s="338"/>
      <c r="UDH1" s="338"/>
      <c r="UDI1" s="338"/>
      <c r="UDJ1" s="338"/>
      <c r="UDK1" s="338"/>
      <c r="UDL1" s="338"/>
      <c r="UDM1" s="338"/>
      <c r="UDN1" s="338"/>
      <c r="UDO1" s="338"/>
      <c r="UDP1" s="338"/>
      <c r="UDQ1" s="338"/>
      <c r="UDR1" s="338"/>
      <c r="UDS1" s="338"/>
      <c r="UDT1" s="338"/>
      <c r="UDU1" s="338"/>
      <c r="UDV1" s="338"/>
      <c r="UDW1" s="338"/>
      <c r="UDX1" s="338"/>
      <c r="UDY1" s="338"/>
      <c r="UDZ1" s="338"/>
      <c r="UEA1" s="338"/>
      <c r="UEB1" s="338"/>
      <c r="UEC1" s="338"/>
      <c r="UED1" s="338"/>
      <c r="UEE1" s="338"/>
      <c r="UEF1" s="338"/>
      <c r="UEG1" s="338"/>
      <c r="UEH1" s="338"/>
      <c r="UEI1" s="338"/>
      <c r="UEJ1" s="338"/>
      <c r="UEK1" s="338"/>
      <c r="UEL1" s="338"/>
      <c r="UEM1" s="338"/>
      <c r="UEN1" s="338"/>
      <c r="UEO1" s="338"/>
      <c r="UEP1" s="338"/>
      <c r="UEQ1" s="338"/>
      <c r="UER1" s="338"/>
      <c r="UES1" s="338"/>
      <c r="UET1" s="338"/>
      <c r="UEU1" s="338"/>
      <c r="UEV1" s="338"/>
      <c r="UEW1" s="338"/>
      <c r="UEX1" s="338"/>
      <c r="UEY1" s="338"/>
      <c r="UEZ1" s="338"/>
      <c r="UFA1" s="338"/>
      <c r="UFB1" s="338"/>
      <c r="UFC1" s="338"/>
      <c r="UFD1" s="338"/>
      <c r="UFE1" s="338"/>
      <c r="UFF1" s="338"/>
      <c r="UFG1" s="338"/>
      <c r="UFH1" s="338"/>
      <c r="UFI1" s="338"/>
      <c r="UFJ1" s="338"/>
      <c r="UFK1" s="338"/>
      <c r="UFL1" s="338"/>
      <c r="UFM1" s="338"/>
      <c r="UFN1" s="338"/>
      <c r="UFO1" s="338"/>
      <c r="UFP1" s="338"/>
      <c r="UFQ1" s="338"/>
      <c r="UFR1" s="338"/>
      <c r="UFS1" s="338"/>
      <c r="UFT1" s="338"/>
      <c r="UFU1" s="338"/>
      <c r="UFV1" s="338"/>
      <c r="UFW1" s="338"/>
      <c r="UFX1" s="338"/>
      <c r="UFY1" s="338"/>
      <c r="UFZ1" s="338"/>
      <c r="UGA1" s="338"/>
      <c r="UGB1" s="338"/>
      <c r="UGC1" s="338"/>
      <c r="UGD1" s="338"/>
      <c r="UGE1" s="338"/>
      <c r="UGF1" s="338"/>
      <c r="UGG1" s="338"/>
      <c r="UGH1" s="338"/>
      <c r="UGI1" s="338"/>
      <c r="UGJ1" s="338"/>
      <c r="UGK1" s="338"/>
      <c r="UGL1" s="338"/>
      <c r="UGM1" s="338"/>
      <c r="UGN1" s="338"/>
      <c r="UGO1" s="338"/>
      <c r="UGP1" s="338"/>
      <c r="UGQ1" s="338"/>
      <c r="UGR1" s="338"/>
      <c r="UGS1" s="338"/>
      <c r="UGT1" s="338"/>
      <c r="UGU1" s="338"/>
      <c r="UGV1" s="338"/>
      <c r="UGW1" s="338"/>
      <c r="UGX1" s="338"/>
      <c r="UGY1" s="338"/>
      <c r="UGZ1" s="338"/>
      <c r="UHA1" s="338"/>
      <c r="UHB1" s="338"/>
      <c r="UHC1" s="338"/>
      <c r="UHD1" s="338"/>
      <c r="UHE1" s="338"/>
      <c r="UHF1" s="338"/>
      <c r="UHG1" s="338"/>
      <c r="UHH1" s="338"/>
      <c r="UHI1" s="338"/>
      <c r="UHJ1" s="338"/>
      <c r="UHK1" s="338"/>
      <c r="UHL1" s="338"/>
      <c r="UHM1" s="338"/>
      <c r="UHN1" s="338"/>
      <c r="UHO1" s="338"/>
      <c r="UHP1" s="338"/>
      <c r="UHQ1" s="338"/>
      <c r="UHR1" s="338"/>
      <c r="UHS1" s="338"/>
      <c r="UHT1" s="338"/>
      <c r="UHU1" s="338"/>
      <c r="UHV1" s="338"/>
      <c r="UHW1" s="338"/>
      <c r="UHX1" s="338"/>
      <c r="UHY1" s="338"/>
      <c r="UHZ1" s="338"/>
      <c r="UIA1" s="338"/>
      <c r="UIB1" s="338"/>
      <c r="UIC1" s="338"/>
      <c r="UID1" s="338"/>
      <c r="UIE1" s="338"/>
      <c r="UIF1" s="338"/>
      <c r="UIG1" s="338"/>
      <c r="UIH1" s="338"/>
      <c r="UII1" s="338"/>
      <c r="UIJ1" s="338"/>
      <c r="UIK1" s="338"/>
      <c r="UIL1" s="338"/>
      <c r="UIM1" s="338"/>
      <c r="UIN1" s="338"/>
      <c r="UIO1" s="338"/>
      <c r="UIP1" s="338"/>
      <c r="UIQ1" s="338"/>
      <c r="UIR1" s="338"/>
      <c r="UIS1" s="338"/>
      <c r="UIT1" s="338"/>
      <c r="UIU1" s="338"/>
      <c r="UIV1" s="338"/>
      <c r="UIW1" s="338"/>
      <c r="UIX1" s="338"/>
      <c r="UIY1" s="338"/>
      <c r="UIZ1" s="338"/>
      <c r="UJA1" s="338"/>
      <c r="UJB1" s="338"/>
      <c r="UJC1" s="338"/>
      <c r="UJD1" s="338"/>
      <c r="UJE1" s="338"/>
      <c r="UJF1" s="338"/>
      <c r="UJG1" s="338"/>
      <c r="UJH1" s="338"/>
      <c r="UJI1" s="338"/>
      <c r="UJJ1" s="338"/>
      <c r="UJK1" s="338"/>
      <c r="UJL1" s="338"/>
      <c r="UJM1" s="338"/>
      <c r="UJN1" s="338"/>
      <c r="UJO1" s="338"/>
      <c r="UJP1" s="338"/>
      <c r="UJQ1" s="338"/>
      <c r="UJR1" s="338"/>
      <c r="UJS1" s="338"/>
      <c r="UJT1" s="338"/>
      <c r="UJU1" s="338"/>
      <c r="UJV1" s="338"/>
      <c r="UJW1" s="338"/>
      <c r="UJX1" s="338"/>
      <c r="UJY1" s="338"/>
      <c r="UJZ1" s="338"/>
      <c r="UKA1" s="338"/>
      <c r="UKB1" s="338"/>
      <c r="UKC1" s="338"/>
      <c r="UKD1" s="338"/>
      <c r="UKE1" s="338"/>
      <c r="UKF1" s="338"/>
      <c r="UKG1" s="338"/>
      <c r="UKH1" s="338"/>
      <c r="UKI1" s="338"/>
      <c r="UKJ1" s="338"/>
      <c r="UKK1" s="338"/>
      <c r="UKL1" s="338"/>
      <c r="UKM1" s="338"/>
      <c r="UKN1" s="338"/>
      <c r="UKO1" s="338"/>
      <c r="UKP1" s="338"/>
      <c r="UKQ1" s="338"/>
      <c r="UKR1" s="338"/>
      <c r="UKS1" s="338"/>
      <c r="UKT1" s="338"/>
      <c r="UKU1" s="338"/>
      <c r="UKV1" s="338"/>
      <c r="UKW1" s="338"/>
      <c r="UKX1" s="338"/>
      <c r="UKY1" s="338"/>
      <c r="UKZ1" s="338"/>
      <c r="ULA1" s="338"/>
      <c r="ULB1" s="338"/>
      <c r="ULC1" s="338"/>
      <c r="ULD1" s="338"/>
      <c r="ULE1" s="338"/>
      <c r="ULF1" s="338"/>
      <c r="ULG1" s="338"/>
      <c r="ULH1" s="338"/>
      <c r="ULI1" s="338"/>
      <c r="ULJ1" s="338"/>
      <c r="ULK1" s="338"/>
      <c r="ULL1" s="338"/>
      <c r="ULM1" s="338"/>
      <c r="ULN1" s="338"/>
      <c r="ULO1" s="338"/>
      <c r="ULP1" s="338"/>
      <c r="ULQ1" s="338"/>
      <c r="ULR1" s="338"/>
      <c r="ULS1" s="338"/>
      <c r="ULT1" s="338"/>
      <c r="ULU1" s="338"/>
      <c r="ULV1" s="338"/>
      <c r="ULW1" s="338"/>
      <c r="ULX1" s="338"/>
      <c r="ULY1" s="338"/>
      <c r="ULZ1" s="338"/>
      <c r="UMA1" s="338"/>
      <c r="UMB1" s="338"/>
      <c r="UMC1" s="338"/>
      <c r="UMD1" s="338"/>
      <c r="UME1" s="338"/>
      <c r="UMF1" s="338"/>
      <c r="UMG1" s="338"/>
      <c r="UMH1" s="338"/>
      <c r="UMI1" s="338"/>
      <c r="UMJ1" s="338"/>
      <c r="UMK1" s="338"/>
      <c r="UML1" s="338"/>
      <c r="UMM1" s="338"/>
      <c r="UMN1" s="338"/>
      <c r="UMO1" s="338"/>
      <c r="UMP1" s="338"/>
      <c r="UMQ1" s="338"/>
      <c r="UMR1" s="338"/>
      <c r="UMS1" s="338"/>
      <c r="UMT1" s="338"/>
      <c r="UMU1" s="338"/>
      <c r="UMV1" s="338"/>
      <c r="UMW1" s="338"/>
      <c r="UMX1" s="338"/>
      <c r="UMY1" s="338"/>
      <c r="UMZ1" s="338"/>
      <c r="UNA1" s="338"/>
      <c r="UNB1" s="338"/>
      <c r="UNC1" s="338"/>
      <c r="UND1" s="338"/>
      <c r="UNE1" s="338"/>
      <c r="UNF1" s="338"/>
      <c r="UNG1" s="338"/>
      <c r="UNH1" s="338"/>
      <c r="UNI1" s="338"/>
      <c r="UNJ1" s="338"/>
      <c r="UNK1" s="338"/>
      <c r="UNL1" s="338"/>
      <c r="UNM1" s="338"/>
      <c r="UNN1" s="338"/>
      <c r="UNO1" s="338"/>
      <c r="UNP1" s="338"/>
      <c r="UNQ1" s="338"/>
      <c r="UNR1" s="338"/>
      <c r="UNS1" s="338"/>
      <c r="UNT1" s="338"/>
      <c r="UNU1" s="338"/>
      <c r="UNV1" s="338"/>
      <c r="UNW1" s="338"/>
      <c r="UNX1" s="338"/>
      <c r="UNY1" s="338"/>
      <c r="UNZ1" s="338"/>
      <c r="UOA1" s="338"/>
      <c r="UOB1" s="338"/>
      <c r="UOC1" s="338"/>
      <c r="UOD1" s="338"/>
      <c r="UOE1" s="338"/>
      <c r="UOF1" s="338"/>
      <c r="UOG1" s="338"/>
      <c r="UOH1" s="338"/>
      <c r="UOI1" s="338"/>
      <c r="UOJ1" s="338"/>
      <c r="UOK1" s="338"/>
      <c r="UOL1" s="338"/>
      <c r="UOM1" s="338"/>
      <c r="UON1" s="338"/>
      <c r="UOO1" s="338"/>
      <c r="UOP1" s="338"/>
      <c r="UOQ1" s="338"/>
      <c r="UOR1" s="338"/>
      <c r="UOS1" s="338"/>
      <c r="UOT1" s="338"/>
      <c r="UOU1" s="338"/>
      <c r="UOV1" s="338"/>
      <c r="UOW1" s="338"/>
      <c r="UOX1" s="338"/>
      <c r="UOY1" s="338"/>
      <c r="UOZ1" s="338"/>
      <c r="UPA1" s="338"/>
      <c r="UPB1" s="338"/>
      <c r="UPC1" s="338"/>
      <c r="UPD1" s="338"/>
      <c r="UPE1" s="338"/>
      <c r="UPF1" s="338"/>
      <c r="UPG1" s="338"/>
      <c r="UPH1" s="338"/>
      <c r="UPI1" s="338"/>
      <c r="UPJ1" s="338"/>
      <c r="UPK1" s="338"/>
      <c r="UPL1" s="338"/>
      <c r="UPM1" s="338"/>
      <c r="UPN1" s="338"/>
      <c r="UPO1" s="338"/>
      <c r="UPP1" s="338"/>
      <c r="UPQ1" s="338"/>
      <c r="UPR1" s="338"/>
      <c r="UPS1" s="338"/>
      <c r="UPT1" s="338"/>
      <c r="UPU1" s="338"/>
      <c r="UPV1" s="338"/>
      <c r="UPW1" s="338"/>
      <c r="UPX1" s="338"/>
      <c r="UPY1" s="338"/>
      <c r="UPZ1" s="338"/>
      <c r="UQA1" s="338"/>
      <c r="UQB1" s="338"/>
      <c r="UQC1" s="338"/>
      <c r="UQD1" s="338"/>
      <c r="UQE1" s="338"/>
      <c r="UQF1" s="338"/>
      <c r="UQG1" s="338"/>
      <c r="UQH1" s="338"/>
      <c r="UQI1" s="338"/>
      <c r="UQJ1" s="338"/>
      <c r="UQK1" s="338"/>
      <c r="UQL1" s="338"/>
      <c r="UQM1" s="338"/>
      <c r="UQN1" s="338"/>
      <c r="UQO1" s="338"/>
      <c r="UQP1" s="338"/>
      <c r="UQQ1" s="338"/>
      <c r="UQR1" s="338"/>
      <c r="UQS1" s="338"/>
      <c r="UQT1" s="338"/>
      <c r="UQU1" s="338"/>
      <c r="UQV1" s="338"/>
      <c r="UQW1" s="338"/>
      <c r="UQX1" s="338"/>
      <c r="UQY1" s="338"/>
      <c r="UQZ1" s="338"/>
      <c r="URA1" s="338"/>
      <c r="URB1" s="338"/>
      <c r="URC1" s="338"/>
      <c r="URD1" s="338"/>
      <c r="URE1" s="338"/>
      <c r="URF1" s="338"/>
      <c r="URG1" s="338"/>
      <c r="URH1" s="338"/>
      <c r="URI1" s="338"/>
      <c r="URJ1" s="338"/>
      <c r="URK1" s="338"/>
      <c r="URL1" s="338"/>
      <c r="URM1" s="338"/>
      <c r="URN1" s="338"/>
      <c r="URO1" s="338"/>
      <c r="URP1" s="338"/>
      <c r="URQ1" s="338"/>
      <c r="URR1" s="338"/>
      <c r="URS1" s="338"/>
      <c r="URT1" s="338"/>
      <c r="URU1" s="338"/>
      <c r="URV1" s="338"/>
      <c r="URW1" s="338"/>
      <c r="URX1" s="338"/>
      <c r="URY1" s="338"/>
      <c r="URZ1" s="338"/>
      <c r="USA1" s="338"/>
      <c r="USB1" s="338"/>
      <c r="USC1" s="338"/>
      <c r="USD1" s="338"/>
      <c r="USE1" s="338"/>
      <c r="USF1" s="338"/>
      <c r="USG1" s="338"/>
      <c r="USH1" s="338"/>
      <c r="USI1" s="338"/>
      <c r="USJ1" s="338"/>
      <c r="USK1" s="338"/>
      <c r="USL1" s="338"/>
      <c r="USM1" s="338"/>
      <c r="USN1" s="338"/>
      <c r="USO1" s="338"/>
      <c r="USP1" s="338"/>
      <c r="USQ1" s="338"/>
      <c r="USR1" s="338"/>
      <c r="USS1" s="338"/>
      <c r="UST1" s="338"/>
      <c r="USU1" s="338"/>
      <c r="USV1" s="338"/>
      <c r="USW1" s="338"/>
      <c r="USX1" s="338"/>
      <c r="USY1" s="338"/>
      <c r="USZ1" s="338"/>
      <c r="UTA1" s="338"/>
      <c r="UTB1" s="338"/>
      <c r="UTC1" s="338"/>
      <c r="UTD1" s="338"/>
      <c r="UTE1" s="338"/>
      <c r="UTF1" s="338"/>
      <c r="UTG1" s="338"/>
      <c r="UTH1" s="338"/>
      <c r="UTI1" s="338"/>
      <c r="UTJ1" s="338"/>
      <c r="UTK1" s="338"/>
      <c r="UTL1" s="338"/>
      <c r="UTM1" s="338"/>
      <c r="UTN1" s="338"/>
      <c r="UTO1" s="338"/>
      <c r="UTP1" s="338"/>
      <c r="UTQ1" s="338"/>
      <c r="UTR1" s="338"/>
      <c r="UTS1" s="338"/>
      <c r="UTT1" s="338"/>
      <c r="UTU1" s="338"/>
      <c r="UTV1" s="338"/>
      <c r="UTW1" s="338"/>
      <c r="UTX1" s="338"/>
      <c r="UTY1" s="338"/>
      <c r="UTZ1" s="338"/>
      <c r="UUA1" s="338"/>
      <c r="UUB1" s="338"/>
      <c r="UUC1" s="338"/>
      <c r="UUD1" s="338"/>
      <c r="UUE1" s="338"/>
      <c r="UUF1" s="338"/>
      <c r="UUG1" s="338"/>
      <c r="UUH1" s="338"/>
      <c r="UUI1" s="338"/>
      <c r="UUJ1" s="338"/>
      <c r="UUK1" s="338"/>
      <c r="UUL1" s="338"/>
      <c r="UUM1" s="338"/>
      <c r="UUN1" s="338"/>
      <c r="UUO1" s="338"/>
      <c r="UUP1" s="338"/>
      <c r="UUQ1" s="338"/>
      <c r="UUR1" s="338"/>
      <c r="UUS1" s="338"/>
      <c r="UUT1" s="338"/>
      <c r="UUU1" s="338"/>
      <c r="UUV1" s="338"/>
      <c r="UUW1" s="338"/>
      <c r="UUX1" s="338"/>
      <c r="UUY1" s="338"/>
      <c r="UUZ1" s="338"/>
      <c r="UVA1" s="338"/>
      <c r="UVB1" s="338"/>
      <c r="UVC1" s="338"/>
      <c r="UVD1" s="338"/>
      <c r="UVE1" s="338"/>
      <c r="UVF1" s="338"/>
      <c r="UVG1" s="338"/>
      <c r="UVH1" s="338"/>
      <c r="UVI1" s="338"/>
      <c r="UVJ1" s="338"/>
      <c r="UVK1" s="338"/>
      <c r="UVL1" s="338"/>
      <c r="UVM1" s="338"/>
      <c r="UVN1" s="338"/>
      <c r="UVO1" s="338"/>
      <c r="UVP1" s="338"/>
      <c r="UVQ1" s="338"/>
      <c r="UVR1" s="338"/>
      <c r="UVS1" s="338"/>
      <c r="UVT1" s="338"/>
      <c r="UVU1" s="338"/>
      <c r="UVV1" s="338"/>
      <c r="UVW1" s="338"/>
      <c r="UVX1" s="338"/>
      <c r="UVY1" s="338"/>
      <c r="UVZ1" s="338"/>
      <c r="UWA1" s="338"/>
      <c r="UWB1" s="338"/>
      <c r="UWC1" s="338"/>
      <c r="UWD1" s="338"/>
      <c r="UWE1" s="338"/>
      <c r="UWF1" s="338"/>
      <c r="UWG1" s="338"/>
      <c r="UWH1" s="338"/>
      <c r="UWI1" s="338"/>
      <c r="UWJ1" s="338"/>
      <c r="UWK1" s="338"/>
      <c r="UWL1" s="338"/>
      <c r="UWM1" s="338"/>
      <c r="UWN1" s="338"/>
      <c r="UWO1" s="338"/>
      <c r="UWP1" s="338"/>
      <c r="UWQ1" s="338"/>
      <c r="UWR1" s="338"/>
      <c r="UWS1" s="338"/>
      <c r="UWT1" s="338"/>
      <c r="UWU1" s="338"/>
      <c r="UWV1" s="338"/>
      <c r="UWW1" s="338"/>
      <c r="UWX1" s="338"/>
      <c r="UWY1" s="338"/>
      <c r="UWZ1" s="338"/>
      <c r="UXA1" s="338"/>
      <c r="UXB1" s="338"/>
      <c r="UXC1" s="338"/>
      <c r="UXD1" s="338"/>
      <c r="UXE1" s="338"/>
      <c r="UXF1" s="338"/>
      <c r="UXG1" s="338"/>
      <c r="UXH1" s="338"/>
      <c r="UXI1" s="338"/>
      <c r="UXJ1" s="338"/>
      <c r="UXK1" s="338"/>
      <c r="UXL1" s="338"/>
      <c r="UXM1" s="338"/>
      <c r="UXN1" s="338"/>
      <c r="UXO1" s="338"/>
      <c r="UXP1" s="338"/>
      <c r="UXQ1" s="338"/>
      <c r="UXR1" s="338"/>
      <c r="UXS1" s="338"/>
      <c r="UXT1" s="338"/>
      <c r="UXU1" s="338"/>
      <c r="UXV1" s="338"/>
      <c r="UXW1" s="338"/>
      <c r="UXX1" s="338"/>
      <c r="UXY1" s="338"/>
      <c r="UXZ1" s="338"/>
      <c r="UYA1" s="338"/>
      <c r="UYB1" s="338"/>
      <c r="UYC1" s="338"/>
      <c r="UYD1" s="338"/>
      <c r="UYE1" s="338"/>
      <c r="UYF1" s="338"/>
      <c r="UYG1" s="338"/>
      <c r="UYH1" s="338"/>
      <c r="UYI1" s="338"/>
      <c r="UYJ1" s="338"/>
      <c r="UYK1" s="338"/>
      <c r="UYL1" s="338"/>
      <c r="UYM1" s="338"/>
      <c r="UYN1" s="338"/>
      <c r="UYO1" s="338"/>
      <c r="UYP1" s="338"/>
      <c r="UYQ1" s="338"/>
      <c r="UYR1" s="338"/>
      <c r="UYS1" s="338"/>
      <c r="UYT1" s="338"/>
      <c r="UYU1" s="338"/>
      <c r="UYV1" s="338"/>
      <c r="UYW1" s="338"/>
      <c r="UYX1" s="338"/>
      <c r="UYY1" s="338"/>
      <c r="UYZ1" s="338"/>
      <c r="UZA1" s="338"/>
      <c r="UZB1" s="338"/>
      <c r="UZC1" s="338"/>
      <c r="UZD1" s="338"/>
      <c r="UZE1" s="338"/>
      <c r="UZF1" s="338"/>
      <c r="UZG1" s="338"/>
      <c r="UZH1" s="338"/>
      <c r="UZI1" s="338"/>
      <c r="UZJ1" s="338"/>
      <c r="UZK1" s="338"/>
      <c r="UZL1" s="338"/>
      <c r="UZM1" s="338"/>
      <c r="UZN1" s="338"/>
      <c r="UZO1" s="338"/>
      <c r="UZP1" s="338"/>
      <c r="UZQ1" s="338"/>
      <c r="UZR1" s="338"/>
      <c r="UZS1" s="338"/>
      <c r="UZT1" s="338"/>
      <c r="UZU1" s="338"/>
      <c r="UZV1" s="338"/>
      <c r="UZW1" s="338"/>
      <c r="UZX1" s="338"/>
      <c r="UZY1" s="338"/>
      <c r="UZZ1" s="338"/>
      <c r="VAA1" s="338"/>
      <c r="VAB1" s="338"/>
      <c r="VAC1" s="338"/>
      <c r="VAD1" s="338"/>
      <c r="VAE1" s="338"/>
      <c r="VAF1" s="338"/>
      <c r="VAG1" s="338"/>
      <c r="VAH1" s="338"/>
      <c r="VAI1" s="338"/>
      <c r="VAJ1" s="338"/>
      <c r="VAK1" s="338"/>
      <c r="VAL1" s="338"/>
      <c r="VAM1" s="338"/>
      <c r="VAN1" s="338"/>
      <c r="VAO1" s="338"/>
      <c r="VAP1" s="338"/>
      <c r="VAQ1" s="338"/>
      <c r="VAR1" s="338"/>
      <c r="VAS1" s="338"/>
      <c r="VAT1" s="338"/>
      <c r="VAU1" s="338"/>
      <c r="VAV1" s="338"/>
      <c r="VAW1" s="338"/>
      <c r="VAX1" s="338"/>
      <c r="VAY1" s="338"/>
      <c r="VAZ1" s="338"/>
      <c r="VBA1" s="338"/>
      <c r="VBB1" s="338"/>
      <c r="VBC1" s="338"/>
      <c r="VBD1" s="338"/>
      <c r="VBE1" s="338"/>
      <c r="VBF1" s="338"/>
      <c r="VBG1" s="338"/>
      <c r="VBH1" s="338"/>
      <c r="VBI1" s="338"/>
      <c r="VBJ1" s="338"/>
      <c r="VBK1" s="338"/>
      <c r="VBL1" s="338"/>
      <c r="VBM1" s="338"/>
      <c r="VBN1" s="338"/>
      <c r="VBO1" s="338"/>
      <c r="VBP1" s="338"/>
      <c r="VBQ1" s="338"/>
      <c r="VBR1" s="338"/>
      <c r="VBS1" s="338"/>
      <c r="VBT1" s="338"/>
      <c r="VBU1" s="338"/>
      <c r="VBV1" s="338"/>
      <c r="VBW1" s="338"/>
      <c r="VBX1" s="338"/>
      <c r="VBY1" s="338"/>
      <c r="VBZ1" s="338"/>
      <c r="VCA1" s="338"/>
      <c r="VCB1" s="338"/>
      <c r="VCC1" s="338"/>
      <c r="VCD1" s="338"/>
      <c r="VCE1" s="338"/>
      <c r="VCF1" s="338"/>
      <c r="VCG1" s="338"/>
      <c r="VCH1" s="338"/>
      <c r="VCI1" s="338"/>
      <c r="VCJ1" s="338"/>
      <c r="VCK1" s="338"/>
      <c r="VCL1" s="338"/>
      <c r="VCM1" s="338"/>
      <c r="VCN1" s="338"/>
      <c r="VCO1" s="338"/>
      <c r="VCP1" s="338"/>
      <c r="VCQ1" s="338"/>
      <c r="VCR1" s="338"/>
      <c r="VCS1" s="338"/>
      <c r="VCT1" s="338"/>
      <c r="VCU1" s="338"/>
      <c r="VCV1" s="338"/>
      <c r="VCW1" s="338"/>
      <c r="VCX1" s="338"/>
      <c r="VCY1" s="338"/>
      <c r="VCZ1" s="338"/>
      <c r="VDA1" s="338"/>
      <c r="VDB1" s="338"/>
      <c r="VDC1" s="338"/>
      <c r="VDD1" s="338"/>
      <c r="VDE1" s="338"/>
      <c r="VDF1" s="338"/>
      <c r="VDG1" s="338"/>
      <c r="VDH1" s="338"/>
      <c r="VDI1" s="338"/>
      <c r="VDJ1" s="338"/>
      <c r="VDK1" s="338"/>
      <c r="VDL1" s="338"/>
      <c r="VDM1" s="338"/>
      <c r="VDN1" s="338"/>
      <c r="VDO1" s="338"/>
      <c r="VDP1" s="338"/>
      <c r="VDQ1" s="338"/>
      <c r="VDR1" s="338"/>
      <c r="VDS1" s="338"/>
      <c r="VDT1" s="338"/>
      <c r="VDU1" s="338"/>
      <c r="VDV1" s="338"/>
      <c r="VDW1" s="338"/>
      <c r="VDX1" s="338"/>
      <c r="VDY1" s="338"/>
      <c r="VDZ1" s="338"/>
      <c r="VEA1" s="338"/>
      <c r="VEB1" s="338"/>
      <c r="VEC1" s="338"/>
      <c r="VED1" s="338"/>
      <c r="VEE1" s="338"/>
      <c r="VEF1" s="338"/>
      <c r="VEG1" s="338"/>
      <c r="VEH1" s="338"/>
      <c r="VEI1" s="338"/>
      <c r="VEJ1" s="338"/>
      <c r="VEK1" s="338"/>
      <c r="VEL1" s="338"/>
      <c r="VEM1" s="338"/>
      <c r="VEN1" s="338"/>
      <c r="VEO1" s="338"/>
      <c r="VEP1" s="338"/>
      <c r="VEQ1" s="338"/>
      <c r="VER1" s="338"/>
      <c r="VES1" s="338"/>
      <c r="VET1" s="338"/>
      <c r="VEU1" s="338"/>
      <c r="VEV1" s="338"/>
      <c r="VEW1" s="338"/>
      <c r="VEX1" s="338"/>
      <c r="VEY1" s="338"/>
      <c r="VEZ1" s="338"/>
      <c r="VFA1" s="338"/>
      <c r="VFB1" s="338"/>
      <c r="VFC1" s="338"/>
      <c r="VFD1" s="338"/>
      <c r="VFE1" s="338"/>
      <c r="VFF1" s="338"/>
      <c r="VFG1" s="338"/>
      <c r="VFH1" s="338"/>
      <c r="VFI1" s="338"/>
      <c r="VFJ1" s="338"/>
      <c r="VFK1" s="338"/>
      <c r="VFL1" s="338"/>
      <c r="VFM1" s="338"/>
      <c r="VFN1" s="338"/>
      <c r="VFO1" s="338"/>
      <c r="VFP1" s="338"/>
      <c r="VFQ1" s="338"/>
      <c r="VFR1" s="338"/>
      <c r="VFS1" s="338"/>
      <c r="VFT1" s="338"/>
      <c r="VFU1" s="338"/>
      <c r="VFV1" s="338"/>
      <c r="VFW1" s="338"/>
      <c r="VFX1" s="338"/>
      <c r="VFY1" s="338"/>
      <c r="VFZ1" s="338"/>
      <c r="VGA1" s="338"/>
      <c r="VGB1" s="338"/>
      <c r="VGC1" s="338"/>
      <c r="VGD1" s="338"/>
      <c r="VGE1" s="338"/>
      <c r="VGF1" s="338"/>
      <c r="VGG1" s="338"/>
      <c r="VGH1" s="338"/>
      <c r="VGI1" s="338"/>
      <c r="VGJ1" s="338"/>
      <c r="VGK1" s="338"/>
      <c r="VGL1" s="338"/>
      <c r="VGM1" s="338"/>
      <c r="VGN1" s="338"/>
      <c r="VGO1" s="338"/>
      <c r="VGP1" s="338"/>
      <c r="VGQ1" s="338"/>
      <c r="VGR1" s="338"/>
      <c r="VGS1" s="338"/>
      <c r="VGT1" s="338"/>
      <c r="VGU1" s="338"/>
      <c r="VGV1" s="338"/>
      <c r="VGW1" s="338"/>
      <c r="VGX1" s="338"/>
      <c r="VGY1" s="338"/>
      <c r="VGZ1" s="338"/>
      <c r="VHA1" s="338"/>
      <c r="VHB1" s="338"/>
      <c r="VHC1" s="338"/>
      <c r="VHD1" s="338"/>
      <c r="VHE1" s="338"/>
      <c r="VHF1" s="338"/>
      <c r="VHG1" s="338"/>
      <c r="VHH1" s="338"/>
      <c r="VHI1" s="338"/>
      <c r="VHJ1" s="338"/>
      <c r="VHK1" s="338"/>
      <c r="VHL1" s="338"/>
      <c r="VHM1" s="338"/>
      <c r="VHN1" s="338"/>
      <c r="VHO1" s="338"/>
      <c r="VHP1" s="338"/>
      <c r="VHQ1" s="338"/>
      <c r="VHR1" s="338"/>
      <c r="VHS1" s="338"/>
      <c r="VHT1" s="338"/>
      <c r="VHU1" s="338"/>
      <c r="VHV1" s="338"/>
      <c r="VHW1" s="338"/>
      <c r="VHX1" s="338"/>
      <c r="VHY1" s="338"/>
      <c r="VHZ1" s="338"/>
      <c r="VIA1" s="338"/>
      <c r="VIB1" s="338"/>
      <c r="VIC1" s="338"/>
      <c r="VID1" s="338"/>
      <c r="VIE1" s="338"/>
      <c r="VIF1" s="338"/>
      <c r="VIG1" s="338"/>
      <c r="VIH1" s="338"/>
      <c r="VII1" s="338"/>
      <c r="VIJ1" s="338"/>
      <c r="VIK1" s="338"/>
      <c r="VIL1" s="338"/>
      <c r="VIM1" s="338"/>
      <c r="VIN1" s="338"/>
      <c r="VIO1" s="338"/>
      <c r="VIP1" s="338"/>
      <c r="VIQ1" s="338"/>
      <c r="VIR1" s="338"/>
      <c r="VIS1" s="338"/>
      <c r="VIT1" s="338"/>
      <c r="VIU1" s="338"/>
      <c r="VIV1" s="338"/>
      <c r="VIW1" s="338"/>
      <c r="VIX1" s="338"/>
      <c r="VIY1" s="338"/>
      <c r="VIZ1" s="338"/>
      <c r="VJA1" s="338"/>
      <c r="VJB1" s="338"/>
      <c r="VJC1" s="338"/>
      <c r="VJD1" s="338"/>
      <c r="VJE1" s="338"/>
      <c r="VJF1" s="338"/>
      <c r="VJG1" s="338"/>
      <c r="VJH1" s="338"/>
      <c r="VJI1" s="338"/>
      <c r="VJJ1" s="338"/>
      <c r="VJK1" s="338"/>
      <c r="VJL1" s="338"/>
      <c r="VJM1" s="338"/>
      <c r="VJN1" s="338"/>
      <c r="VJO1" s="338"/>
      <c r="VJP1" s="338"/>
      <c r="VJQ1" s="338"/>
      <c r="VJR1" s="338"/>
      <c r="VJS1" s="338"/>
      <c r="VJT1" s="338"/>
      <c r="VJU1" s="338"/>
      <c r="VJV1" s="338"/>
      <c r="VJW1" s="338"/>
      <c r="VJX1" s="338"/>
      <c r="VJY1" s="338"/>
      <c r="VJZ1" s="338"/>
      <c r="VKA1" s="338"/>
      <c r="VKB1" s="338"/>
      <c r="VKC1" s="338"/>
      <c r="VKD1" s="338"/>
      <c r="VKE1" s="338"/>
      <c r="VKF1" s="338"/>
      <c r="VKG1" s="338"/>
      <c r="VKH1" s="338"/>
      <c r="VKI1" s="338"/>
      <c r="VKJ1" s="338"/>
      <c r="VKK1" s="338"/>
      <c r="VKL1" s="338"/>
      <c r="VKM1" s="338"/>
      <c r="VKN1" s="338"/>
      <c r="VKO1" s="338"/>
      <c r="VKP1" s="338"/>
      <c r="VKQ1" s="338"/>
      <c r="VKR1" s="338"/>
      <c r="VKS1" s="338"/>
      <c r="VKT1" s="338"/>
      <c r="VKU1" s="338"/>
      <c r="VKV1" s="338"/>
      <c r="VKW1" s="338"/>
      <c r="VKX1" s="338"/>
      <c r="VKY1" s="338"/>
      <c r="VKZ1" s="338"/>
      <c r="VLA1" s="338"/>
      <c r="VLB1" s="338"/>
      <c r="VLC1" s="338"/>
      <c r="VLD1" s="338"/>
      <c r="VLE1" s="338"/>
      <c r="VLF1" s="338"/>
      <c r="VLG1" s="338"/>
      <c r="VLH1" s="338"/>
      <c r="VLI1" s="338"/>
      <c r="VLJ1" s="338"/>
      <c r="VLK1" s="338"/>
      <c r="VLL1" s="338"/>
      <c r="VLM1" s="338"/>
      <c r="VLN1" s="338"/>
      <c r="VLO1" s="338"/>
      <c r="VLP1" s="338"/>
      <c r="VLQ1" s="338"/>
      <c r="VLR1" s="338"/>
      <c r="VLS1" s="338"/>
      <c r="VLT1" s="338"/>
      <c r="VLU1" s="338"/>
      <c r="VLV1" s="338"/>
      <c r="VLW1" s="338"/>
      <c r="VLX1" s="338"/>
      <c r="VLY1" s="338"/>
      <c r="VLZ1" s="338"/>
      <c r="VMA1" s="338"/>
      <c r="VMB1" s="338"/>
      <c r="VMC1" s="338"/>
      <c r="VMD1" s="338"/>
      <c r="VME1" s="338"/>
      <c r="VMF1" s="338"/>
      <c r="VMG1" s="338"/>
      <c r="VMH1" s="338"/>
      <c r="VMI1" s="338"/>
      <c r="VMJ1" s="338"/>
      <c r="VMK1" s="338"/>
      <c r="VML1" s="338"/>
      <c r="VMM1" s="338"/>
      <c r="VMN1" s="338"/>
      <c r="VMO1" s="338"/>
      <c r="VMP1" s="338"/>
      <c r="VMQ1" s="338"/>
      <c r="VMR1" s="338"/>
      <c r="VMS1" s="338"/>
      <c r="VMT1" s="338"/>
      <c r="VMU1" s="338"/>
      <c r="VMV1" s="338"/>
      <c r="VMW1" s="338"/>
      <c r="VMX1" s="338"/>
      <c r="VMY1" s="338"/>
      <c r="VMZ1" s="338"/>
      <c r="VNA1" s="338"/>
      <c r="VNB1" s="338"/>
      <c r="VNC1" s="338"/>
      <c r="VND1" s="338"/>
      <c r="VNE1" s="338"/>
      <c r="VNF1" s="338"/>
      <c r="VNG1" s="338"/>
      <c r="VNH1" s="338"/>
      <c r="VNI1" s="338"/>
      <c r="VNJ1" s="338"/>
      <c r="VNK1" s="338"/>
      <c r="VNL1" s="338"/>
      <c r="VNM1" s="338"/>
      <c r="VNN1" s="338"/>
      <c r="VNO1" s="338"/>
      <c r="VNP1" s="338"/>
      <c r="VNQ1" s="338"/>
      <c r="VNR1" s="338"/>
      <c r="VNS1" s="338"/>
      <c r="VNT1" s="338"/>
      <c r="VNU1" s="338"/>
      <c r="VNV1" s="338"/>
      <c r="VNW1" s="338"/>
      <c r="VNX1" s="338"/>
      <c r="VNY1" s="338"/>
      <c r="VNZ1" s="338"/>
      <c r="VOA1" s="338"/>
      <c r="VOB1" s="338"/>
      <c r="VOC1" s="338"/>
      <c r="VOD1" s="338"/>
      <c r="VOE1" s="338"/>
      <c r="VOF1" s="338"/>
      <c r="VOG1" s="338"/>
      <c r="VOH1" s="338"/>
      <c r="VOI1" s="338"/>
      <c r="VOJ1" s="338"/>
      <c r="VOK1" s="338"/>
      <c r="VOL1" s="338"/>
      <c r="VOM1" s="338"/>
      <c r="VON1" s="338"/>
      <c r="VOO1" s="338"/>
      <c r="VOP1" s="338"/>
      <c r="VOQ1" s="338"/>
      <c r="VOR1" s="338"/>
      <c r="VOS1" s="338"/>
      <c r="VOT1" s="338"/>
      <c r="VOU1" s="338"/>
      <c r="VOV1" s="338"/>
      <c r="VOW1" s="338"/>
      <c r="VOX1" s="338"/>
      <c r="VOY1" s="338"/>
      <c r="VOZ1" s="338"/>
      <c r="VPA1" s="338"/>
      <c r="VPB1" s="338"/>
      <c r="VPC1" s="338"/>
      <c r="VPD1" s="338"/>
      <c r="VPE1" s="338"/>
      <c r="VPF1" s="338"/>
      <c r="VPG1" s="338"/>
      <c r="VPH1" s="338"/>
      <c r="VPI1" s="338"/>
      <c r="VPJ1" s="338"/>
      <c r="VPK1" s="338"/>
      <c r="VPL1" s="338"/>
      <c r="VPM1" s="338"/>
      <c r="VPN1" s="338"/>
      <c r="VPO1" s="338"/>
      <c r="VPP1" s="338"/>
      <c r="VPQ1" s="338"/>
      <c r="VPR1" s="338"/>
      <c r="VPS1" s="338"/>
      <c r="VPT1" s="338"/>
      <c r="VPU1" s="338"/>
      <c r="VPV1" s="338"/>
      <c r="VPW1" s="338"/>
      <c r="VPX1" s="338"/>
      <c r="VPY1" s="338"/>
      <c r="VPZ1" s="338"/>
      <c r="VQA1" s="338"/>
      <c r="VQB1" s="338"/>
      <c r="VQC1" s="338"/>
      <c r="VQD1" s="338"/>
      <c r="VQE1" s="338"/>
      <c r="VQF1" s="338"/>
      <c r="VQG1" s="338"/>
      <c r="VQH1" s="338"/>
      <c r="VQI1" s="338"/>
      <c r="VQJ1" s="338"/>
      <c r="VQK1" s="338"/>
      <c r="VQL1" s="338"/>
      <c r="VQM1" s="338"/>
      <c r="VQN1" s="338"/>
      <c r="VQO1" s="338"/>
      <c r="VQP1" s="338"/>
      <c r="VQQ1" s="338"/>
      <c r="VQR1" s="338"/>
      <c r="VQS1" s="338"/>
      <c r="VQT1" s="338"/>
      <c r="VQU1" s="338"/>
      <c r="VQV1" s="338"/>
      <c r="VQW1" s="338"/>
      <c r="VQX1" s="338"/>
      <c r="VQY1" s="338"/>
      <c r="VQZ1" s="338"/>
      <c r="VRA1" s="338"/>
      <c r="VRB1" s="338"/>
      <c r="VRC1" s="338"/>
      <c r="VRD1" s="338"/>
      <c r="VRE1" s="338"/>
      <c r="VRF1" s="338"/>
      <c r="VRG1" s="338"/>
      <c r="VRH1" s="338"/>
      <c r="VRI1" s="338"/>
      <c r="VRJ1" s="338"/>
      <c r="VRK1" s="338"/>
      <c r="VRL1" s="338"/>
      <c r="VRM1" s="338"/>
      <c r="VRN1" s="338"/>
      <c r="VRO1" s="338"/>
      <c r="VRP1" s="338"/>
      <c r="VRQ1" s="338"/>
      <c r="VRR1" s="338"/>
      <c r="VRS1" s="338"/>
      <c r="VRT1" s="338"/>
      <c r="VRU1" s="338"/>
      <c r="VRV1" s="338"/>
      <c r="VRW1" s="338"/>
      <c r="VRX1" s="338"/>
      <c r="VRY1" s="338"/>
      <c r="VRZ1" s="338"/>
      <c r="VSA1" s="338"/>
      <c r="VSB1" s="338"/>
      <c r="VSC1" s="338"/>
      <c r="VSD1" s="338"/>
      <c r="VSE1" s="338"/>
      <c r="VSF1" s="338"/>
      <c r="VSG1" s="338"/>
      <c r="VSH1" s="338"/>
      <c r="VSI1" s="338"/>
      <c r="VSJ1" s="338"/>
      <c r="VSK1" s="338"/>
      <c r="VSL1" s="338"/>
      <c r="VSM1" s="338"/>
      <c r="VSN1" s="338"/>
      <c r="VSO1" s="338"/>
      <c r="VSP1" s="338"/>
      <c r="VSQ1" s="338"/>
      <c r="VSR1" s="338"/>
      <c r="VSS1" s="338"/>
      <c r="VST1" s="338"/>
      <c r="VSU1" s="338"/>
      <c r="VSV1" s="338"/>
      <c r="VSW1" s="338"/>
      <c r="VSX1" s="338"/>
      <c r="VSY1" s="338"/>
      <c r="VSZ1" s="338"/>
      <c r="VTA1" s="338"/>
      <c r="VTB1" s="338"/>
      <c r="VTC1" s="338"/>
      <c r="VTD1" s="338"/>
      <c r="VTE1" s="338"/>
      <c r="VTF1" s="338"/>
      <c r="VTG1" s="338"/>
      <c r="VTH1" s="338"/>
      <c r="VTI1" s="338"/>
      <c r="VTJ1" s="338"/>
      <c r="VTK1" s="338"/>
      <c r="VTL1" s="338"/>
      <c r="VTM1" s="338"/>
      <c r="VTN1" s="338"/>
      <c r="VTO1" s="338"/>
      <c r="VTP1" s="338"/>
      <c r="VTQ1" s="338"/>
      <c r="VTR1" s="338"/>
      <c r="VTS1" s="338"/>
      <c r="VTT1" s="338"/>
      <c r="VTU1" s="338"/>
      <c r="VTV1" s="338"/>
      <c r="VTW1" s="338"/>
      <c r="VTX1" s="338"/>
      <c r="VTY1" s="338"/>
      <c r="VTZ1" s="338"/>
      <c r="VUA1" s="338"/>
      <c r="VUB1" s="338"/>
      <c r="VUC1" s="338"/>
      <c r="VUD1" s="338"/>
      <c r="VUE1" s="338"/>
      <c r="VUF1" s="338"/>
      <c r="VUG1" s="338"/>
      <c r="VUH1" s="338"/>
      <c r="VUI1" s="338"/>
      <c r="VUJ1" s="338"/>
      <c r="VUK1" s="338"/>
      <c r="VUL1" s="338"/>
      <c r="VUM1" s="338"/>
      <c r="VUN1" s="338"/>
      <c r="VUO1" s="338"/>
      <c r="VUP1" s="338"/>
      <c r="VUQ1" s="338"/>
      <c r="VUR1" s="338"/>
      <c r="VUS1" s="338"/>
      <c r="VUT1" s="338"/>
      <c r="VUU1" s="338"/>
      <c r="VUV1" s="338"/>
      <c r="VUW1" s="338"/>
      <c r="VUX1" s="338"/>
      <c r="VUY1" s="338"/>
      <c r="VUZ1" s="338"/>
      <c r="VVA1" s="338"/>
      <c r="VVB1" s="338"/>
      <c r="VVC1" s="338"/>
      <c r="VVD1" s="338"/>
      <c r="VVE1" s="338"/>
      <c r="VVF1" s="338"/>
      <c r="VVG1" s="338"/>
      <c r="VVH1" s="338"/>
      <c r="VVI1" s="338"/>
      <c r="VVJ1" s="338"/>
      <c r="VVK1" s="338"/>
      <c r="VVL1" s="338"/>
      <c r="VVM1" s="338"/>
      <c r="VVN1" s="338"/>
      <c r="VVO1" s="338"/>
      <c r="VVP1" s="338"/>
      <c r="VVQ1" s="338"/>
      <c r="VVR1" s="338"/>
      <c r="VVS1" s="338"/>
      <c r="VVT1" s="338"/>
      <c r="VVU1" s="338"/>
      <c r="VVV1" s="338"/>
      <c r="VVW1" s="338"/>
      <c r="VVX1" s="338"/>
      <c r="VVY1" s="338"/>
      <c r="VVZ1" s="338"/>
      <c r="VWA1" s="338"/>
      <c r="VWB1" s="338"/>
      <c r="VWC1" s="338"/>
      <c r="VWD1" s="338"/>
      <c r="VWE1" s="338"/>
      <c r="VWF1" s="338"/>
      <c r="VWG1" s="338"/>
      <c r="VWH1" s="338"/>
      <c r="VWI1" s="338"/>
      <c r="VWJ1" s="338"/>
      <c r="VWK1" s="338"/>
      <c r="VWL1" s="338"/>
      <c r="VWM1" s="338"/>
      <c r="VWN1" s="338"/>
      <c r="VWO1" s="338"/>
      <c r="VWP1" s="338"/>
      <c r="VWQ1" s="338"/>
      <c r="VWR1" s="338"/>
      <c r="VWS1" s="338"/>
      <c r="VWT1" s="338"/>
      <c r="VWU1" s="338"/>
      <c r="VWV1" s="338"/>
      <c r="VWW1" s="338"/>
      <c r="VWX1" s="338"/>
      <c r="VWY1" s="338"/>
      <c r="VWZ1" s="338"/>
      <c r="VXA1" s="338"/>
      <c r="VXB1" s="338"/>
      <c r="VXC1" s="338"/>
      <c r="VXD1" s="338"/>
      <c r="VXE1" s="338"/>
      <c r="VXF1" s="338"/>
      <c r="VXG1" s="338"/>
      <c r="VXH1" s="338"/>
      <c r="VXI1" s="338"/>
      <c r="VXJ1" s="338"/>
      <c r="VXK1" s="338"/>
      <c r="VXL1" s="338"/>
      <c r="VXM1" s="338"/>
      <c r="VXN1" s="338"/>
      <c r="VXO1" s="338"/>
      <c r="VXP1" s="338"/>
      <c r="VXQ1" s="338"/>
      <c r="VXR1" s="338"/>
      <c r="VXS1" s="338"/>
      <c r="VXT1" s="338"/>
      <c r="VXU1" s="338"/>
      <c r="VXV1" s="338"/>
      <c r="VXW1" s="338"/>
      <c r="VXX1" s="338"/>
      <c r="VXY1" s="338"/>
      <c r="VXZ1" s="338"/>
      <c r="VYA1" s="338"/>
      <c r="VYB1" s="338"/>
      <c r="VYC1" s="338"/>
      <c r="VYD1" s="338"/>
      <c r="VYE1" s="338"/>
      <c r="VYF1" s="338"/>
      <c r="VYG1" s="338"/>
      <c r="VYH1" s="338"/>
      <c r="VYI1" s="338"/>
      <c r="VYJ1" s="338"/>
      <c r="VYK1" s="338"/>
      <c r="VYL1" s="338"/>
      <c r="VYM1" s="338"/>
      <c r="VYN1" s="338"/>
      <c r="VYO1" s="338"/>
      <c r="VYP1" s="338"/>
      <c r="VYQ1" s="338"/>
      <c r="VYR1" s="338"/>
      <c r="VYS1" s="338"/>
      <c r="VYT1" s="338"/>
      <c r="VYU1" s="338"/>
      <c r="VYV1" s="338"/>
      <c r="VYW1" s="338"/>
      <c r="VYX1" s="338"/>
      <c r="VYY1" s="338"/>
      <c r="VYZ1" s="338"/>
      <c r="VZA1" s="338"/>
      <c r="VZB1" s="338"/>
      <c r="VZC1" s="338"/>
      <c r="VZD1" s="338"/>
      <c r="VZE1" s="338"/>
      <c r="VZF1" s="338"/>
      <c r="VZG1" s="338"/>
      <c r="VZH1" s="338"/>
      <c r="VZI1" s="338"/>
      <c r="VZJ1" s="338"/>
      <c r="VZK1" s="338"/>
      <c r="VZL1" s="338"/>
      <c r="VZM1" s="338"/>
      <c r="VZN1" s="338"/>
      <c r="VZO1" s="338"/>
      <c r="VZP1" s="338"/>
      <c r="VZQ1" s="338"/>
      <c r="VZR1" s="338"/>
      <c r="VZS1" s="338"/>
      <c r="VZT1" s="338"/>
      <c r="VZU1" s="338"/>
      <c r="VZV1" s="338"/>
      <c r="VZW1" s="338"/>
      <c r="VZX1" s="338"/>
      <c r="VZY1" s="338"/>
      <c r="VZZ1" s="338"/>
      <c r="WAA1" s="338"/>
      <c r="WAB1" s="338"/>
      <c r="WAC1" s="338"/>
      <c r="WAD1" s="338"/>
      <c r="WAE1" s="338"/>
      <c r="WAF1" s="338"/>
      <c r="WAG1" s="338"/>
      <c r="WAH1" s="338"/>
      <c r="WAI1" s="338"/>
      <c r="WAJ1" s="338"/>
      <c r="WAK1" s="338"/>
      <c r="WAL1" s="338"/>
      <c r="WAM1" s="338"/>
      <c r="WAN1" s="338"/>
      <c r="WAO1" s="338"/>
      <c r="WAP1" s="338"/>
      <c r="WAQ1" s="338"/>
      <c r="WAR1" s="338"/>
      <c r="WAS1" s="338"/>
      <c r="WAT1" s="338"/>
      <c r="WAU1" s="338"/>
      <c r="WAV1" s="338"/>
      <c r="WAW1" s="338"/>
      <c r="WAX1" s="338"/>
      <c r="WAY1" s="338"/>
      <c r="WAZ1" s="338"/>
      <c r="WBA1" s="338"/>
      <c r="WBB1" s="338"/>
      <c r="WBC1" s="338"/>
      <c r="WBD1" s="338"/>
      <c r="WBE1" s="338"/>
      <c r="WBF1" s="338"/>
      <c r="WBG1" s="338"/>
      <c r="WBH1" s="338"/>
      <c r="WBI1" s="338"/>
      <c r="WBJ1" s="338"/>
      <c r="WBK1" s="338"/>
      <c r="WBL1" s="338"/>
      <c r="WBM1" s="338"/>
      <c r="WBN1" s="338"/>
      <c r="WBO1" s="338"/>
      <c r="WBP1" s="338"/>
      <c r="WBQ1" s="338"/>
      <c r="WBR1" s="338"/>
      <c r="WBS1" s="338"/>
      <c r="WBT1" s="338"/>
      <c r="WBU1" s="338"/>
      <c r="WBV1" s="338"/>
      <c r="WBW1" s="338"/>
      <c r="WBX1" s="338"/>
      <c r="WBY1" s="338"/>
      <c r="WBZ1" s="338"/>
      <c r="WCA1" s="338"/>
      <c r="WCB1" s="338"/>
      <c r="WCC1" s="338"/>
      <c r="WCD1" s="338"/>
      <c r="WCE1" s="338"/>
      <c r="WCF1" s="338"/>
      <c r="WCG1" s="338"/>
      <c r="WCH1" s="338"/>
      <c r="WCI1" s="338"/>
      <c r="WCJ1" s="338"/>
      <c r="WCK1" s="338"/>
      <c r="WCL1" s="338"/>
      <c r="WCM1" s="338"/>
      <c r="WCN1" s="338"/>
      <c r="WCO1" s="338"/>
      <c r="WCP1" s="338"/>
      <c r="WCQ1" s="338"/>
      <c r="WCR1" s="338"/>
      <c r="WCS1" s="338"/>
      <c r="WCT1" s="338"/>
      <c r="WCU1" s="338"/>
      <c r="WCV1" s="338"/>
      <c r="WCW1" s="338"/>
      <c r="WCX1" s="338"/>
      <c r="WCY1" s="338"/>
      <c r="WCZ1" s="338"/>
      <c r="WDA1" s="338"/>
      <c r="WDB1" s="338"/>
      <c r="WDC1" s="338"/>
      <c r="WDD1" s="338"/>
      <c r="WDE1" s="338"/>
      <c r="WDF1" s="338"/>
      <c r="WDG1" s="338"/>
      <c r="WDH1" s="338"/>
      <c r="WDI1" s="338"/>
      <c r="WDJ1" s="338"/>
      <c r="WDK1" s="338"/>
      <c r="WDL1" s="338"/>
      <c r="WDM1" s="338"/>
      <c r="WDN1" s="338"/>
      <c r="WDO1" s="338"/>
      <c r="WDP1" s="338"/>
      <c r="WDQ1" s="338"/>
      <c r="WDR1" s="338"/>
      <c r="WDS1" s="338"/>
      <c r="WDT1" s="338"/>
      <c r="WDU1" s="338"/>
      <c r="WDV1" s="338"/>
      <c r="WDW1" s="338"/>
      <c r="WDX1" s="338"/>
      <c r="WDY1" s="338"/>
      <c r="WDZ1" s="338"/>
      <c r="WEA1" s="338"/>
      <c r="WEB1" s="338"/>
      <c r="WEC1" s="338"/>
      <c r="WED1" s="338"/>
      <c r="WEE1" s="338"/>
      <c r="WEF1" s="338"/>
      <c r="WEG1" s="338"/>
      <c r="WEH1" s="338"/>
      <c r="WEI1" s="338"/>
      <c r="WEJ1" s="338"/>
      <c r="WEK1" s="338"/>
      <c r="WEL1" s="338"/>
      <c r="WEM1" s="338"/>
      <c r="WEN1" s="338"/>
      <c r="WEO1" s="338"/>
      <c r="WEP1" s="338"/>
      <c r="WEQ1" s="338"/>
      <c r="WER1" s="338"/>
      <c r="WES1" s="338"/>
      <c r="WET1" s="338"/>
      <c r="WEU1" s="338"/>
      <c r="WEV1" s="338"/>
      <c r="WEW1" s="338"/>
      <c r="WEX1" s="338"/>
      <c r="WEY1" s="338"/>
      <c r="WEZ1" s="338"/>
      <c r="WFA1" s="338"/>
      <c r="WFB1" s="338"/>
      <c r="WFC1" s="338"/>
      <c r="WFD1" s="338"/>
      <c r="WFE1" s="338"/>
      <c r="WFF1" s="338"/>
      <c r="WFG1" s="338"/>
      <c r="WFH1" s="338"/>
      <c r="WFI1" s="338"/>
      <c r="WFJ1" s="338"/>
      <c r="WFK1" s="338"/>
      <c r="WFL1" s="338"/>
      <c r="WFM1" s="338"/>
      <c r="WFN1" s="338"/>
      <c r="WFO1" s="338"/>
      <c r="WFP1" s="338"/>
      <c r="WFQ1" s="338"/>
      <c r="WFR1" s="338"/>
      <c r="WFS1" s="338"/>
      <c r="WFT1" s="338"/>
      <c r="WFU1" s="338"/>
      <c r="WFV1" s="338"/>
      <c r="WFW1" s="338"/>
      <c r="WFX1" s="338"/>
      <c r="WFY1" s="338"/>
      <c r="WFZ1" s="338"/>
      <c r="WGA1" s="338"/>
      <c r="WGB1" s="338"/>
      <c r="WGC1" s="338"/>
      <c r="WGD1" s="338"/>
      <c r="WGE1" s="338"/>
      <c r="WGF1" s="338"/>
      <c r="WGG1" s="338"/>
      <c r="WGH1" s="338"/>
      <c r="WGI1" s="338"/>
      <c r="WGJ1" s="338"/>
      <c r="WGK1" s="338"/>
      <c r="WGL1" s="338"/>
      <c r="WGM1" s="338"/>
      <c r="WGN1" s="338"/>
      <c r="WGO1" s="338"/>
      <c r="WGP1" s="338"/>
      <c r="WGQ1" s="338"/>
      <c r="WGR1" s="338"/>
      <c r="WGS1" s="338"/>
      <c r="WGT1" s="338"/>
      <c r="WGU1" s="338"/>
      <c r="WGV1" s="338"/>
      <c r="WGW1" s="338"/>
      <c r="WGX1" s="338"/>
      <c r="WGY1" s="338"/>
      <c r="WGZ1" s="338"/>
      <c r="WHA1" s="338"/>
      <c r="WHB1" s="338"/>
      <c r="WHC1" s="338"/>
      <c r="WHD1" s="338"/>
      <c r="WHE1" s="338"/>
      <c r="WHF1" s="338"/>
      <c r="WHG1" s="338"/>
      <c r="WHH1" s="338"/>
      <c r="WHI1" s="338"/>
      <c r="WHJ1" s="338"/>
      <c r="WHK1" s="338"/>
      <c r="WHL1" s="338"/>
      <c r="WHM1" s="338"/>
      <c r="WHN1" s="338"/>
      <c r="WHO1" s="338"/>
      <c r="WHP1" s="338"/>
      <c r="WHQ1" s="338"/>
      <c r="WHR1" s="338"/>
      <c r="WHS1" s="338"/>
      <c r="WHT1" s="338"/>
      <c r="WHU1" s="338"/>
      <c r="WHV1" s="338"/>
      <c r="WHW1" s="338"/>
      <c r="WHX1" s="338"/>
      <c r="WHY1" s="338"/>
      <c r="WHZ1" s="338"/>
      <c r="WIA1" s="338"/>
      <c r="WIB1" s="338"/>
      <c r="WIC1" s="338"/>
      <c r="WID1" s="338"/>
      <c r="WIE1" s="338"/>
      <c r="WIF1" s="338"/>
      <c r="WIG1" s="338"/>
      <c r="WIH1" s="338"/>
      <c r="WII1" s="338"/>
      <c r="WIJ1" s="338"/>
      <c r="WIK1" s="338"/>
      <c r="WIL1" s="338"/>
      <c r="WIM1" s="338"/>
      <c r="WIN1" s="338"/>
      <c r="WIO1" s="338"/>
      <c r="WIP1" s="338"/>
      <c r="WIQ1" s="338"/>
      <c r="WIR1" s="338"/>
      <c r="WIS1" s="338"/>
      <c r="WIT1" s="338"/>
      <c r="WIU1" s="338"/>
      <c r="WIV1" s="338"/>
      <c r="WIW1" s="338"/>
      <c r="WIX1" s="338"/>
      <c r="WIY1" s="338"/>
      <c r="WIZ1" s="338"/>
      <c r="WJA1" s="338"/>
      <c r="WJB1" s="338"/>
      <c r="WJC1" s="338"/>
      <c r="WJD1" s="338"/>
      <c r="WJE1" s="338"/>
      <c r="WJF1" s="338"/>
      <c r="WJG1" s="338"/>
      <c r="WJH1" s="338"/>
      <c r="WJI1" s="338"/>
      <c r="WJJ1" s="338"/>
      <c r="WJK1" s="338"/>
      <c r="WJL1" s="338"/>
      <c r="WJM1" s="338"/>
      <c r="WJN1" s="338"/>
      <c r="WJO1" s="338"/>
      <c r="WJP1" s="338"/>
      <c r="WJQ1" s="338"/>
      <c r="WJR1" s="338"/>
      <c r="WJS1" s="338"/>
      <c r="WJT1" s="338"/>
      <c r="WJU1" s="338"/>
      <c r="WJV1" s="338"/>
      <c r="WJW1" s="338"/>
      <c r="WJX1" s="338"/>
      <c r="WJY1" s="338"/>
      <c r="WJZ1" s="338"/>
      <c r="WKA1" s="338"/>
      <c r="WKB1" s="338"/>
      <c r="WKC1" s="338"/>
      <c r="WKD1" s="338"/>
      <c r="WKE1" s="338"/>
      <c r="WKF1" s="338"/>
      <c r="WKG1" s="338"/>
      <c r="WKH1" s="338"/>
      <c r="WKI1" s="338"/>
      <c r="WKJ1" s="338"/>
      <c r="WKK1" s="338"/>
      <c r="WKL1" s="338"/>
      <c r="WKM1" s="338"/>
      <c r="WKN1" s="338"/>
      <c r="WKO1" s="338"/>
      <c r="WKP1" s="338"/>
      <c r="WKQ1" s="338"/>
      <c r="WKR1" s="338"/>
      <c r="WKS1" s="338"/>
      <c r="WKT1" s="338"/>
      <c r="WKU1" s="338"/>
      <c r="WKV1" s="338"/>
      <c r="WKW1" s="338"/>
      <c r="WKX1" s="338"/>
      <c r="WKY1" s="338"/>
      <c r="WKZ1" s="338"/>
      <c r="WLA1" s="338"/>
      <c r="WLB1" s="338"/>
      <c r="WLC1" s="338"/>
      <c r="WLD1" s="338"/>
      <c r="WLE1" s="338"/>
      <c r="WLF1" s="338"/>
      <c r="WLG1" s="338"/>
      <c r="WLH1" s="338"/>
      <c r="WLI1" s="338"/>
      <c r="WLJ1" s="338"/>
      <c r="WLK1" s="338"/>
      <c r="WLL1" s="338"/>
      <c r="WLM1" s="338"/>
      <c r="WLN1" s="338"/>
      <c r="WLO1" s="338"/>
      <c r="WLP1" s="338"/>
      <c r="WLQ1" s="338"/>
      <c r="WLR1" s="338"/>
      <c r="WLS1" s="338"/>
      <c r="WLT1" s="338"/>
      <c r="WLU1" s="338"/>
      <c r="WLV1" s="338"/>
      <c r="WLW1" s="338"/>
      <c r="WLX1" s="338"/>
      <c r="WLY1" s="338"/>
      <c r="WLZ1" s="338"/>
      <c r="WMA1" s="338"/>
      <c r="WMB1" s="338"/>
      <c r="WMC1" s="338"/>
      <c r="WMD1" s="338"/>
      <c r="WME1" s="338"/>
      <c r="WMF1" s="338"/>
      <c r="WMG1" s="338"/>
      <c r="WMH1" s="338"/>
      <c r="WMI1" s="338"/>
      <c r="WMJ1" s="338"/>
      <c r="WMK1" s="338"/>
      <c r="WML1" s="338"/>
      <c r="WMM1" s="338"/>
      <c r="WMN1" s="338"/>
      <c r="WMO1" s="338"/>
      <c r="WMP1" s="338"/>
      <c r="WMQ1" s="338"/>
      <c r="WMR1" s="338"/>
      <c r="WMS1" s="338"/>
      <c r="WMT1" s="338"/>
      <c r="WMU1" s="338"/>
      <c r="WMV1" s="338"/>
      <c r="WMW1" s="338"/>
      <c r="WMX1" s="338"/>
      <c r="WMY1" s="338"/>
      <c r="WMZ1" s="338"/>
      <c r="WNA1" s="338"/>
      <c r="WNB1" s="338"/>
      <c r="WNC1" s="338"/>
      <c r="WND1" s="338"/>
      <c r="WNE1" s="338"/>
      <c r="WNF1" s="338"/>
      <c r="WNG1" s="338"/>
      <c r="WNH1" s="338"/>
      <c r="WNI1" s="338"/>
      <c r="WNJ1" s="338"/>
      <c r="WNK1" s="338"/>
      <c r="WNL1" s="338"/>
      <c r="WNM1" s="338"/>
      <c r="WNN1" s="338"/>
      <c r="WNO1" s="338"/>
      <c r="WNP1" s="338"/>
      <c r="WNQ1" s="338"/>
      <c r="WNR1" s="338"/>
      <c r="WNS1" s="338"/>
      <c r="WNT1" s="338"/>
      <c r="WNU1" s="338"/>
      <c r="WNV1" s="338"/>
      <c r="WNW1" s="338"/>
      <c r="WNX1" s="338"/>
      <c r="WNY1" s="338"/>
      <c r="WNZ1" s="338"/>
      <c r="WOA1" s="338"/>
      <c r="WOB1" s="338"/>
      <c r="WOC1" s="338"/>
      <c r="WOD1" s="338"/>
      <c r="WOE1" s="338"/>
      <c r="WOF1" s="338"/>
      <c r="WOG1" s="338"/>
      <c r="WOH1" s="338"/>
      <c r="WOI1" s="338"/>
      <c r="WOJ1" s="338"/>
      <c r="WOK1" s="338"/>
      <c r="WOL1" s="338"/>
      <c r="WOM1" s="338"/>
      <c r="WON1" s="338"/>
      <c r="WOO1" s="338"/>
      <c r="WOP1" s="338"/>
      <c r="WOQ1" s="338"/>
      <c r="WOR1" s="338"/>
      <c r="WOS1" s="338"/>
      <c r="WOT1" s="338"/>
      <c r="WOU1" s="338"/>
      <c r="WOV1" s="338"/>
      <c r="WOW1" s="338"/>
      <c r="WOX1" s="338"/>
      <c r="WOY1" s="338"/>
      <c r="WOZ1" s="338"/>
      <c r="WPA1" s="338"/>
      <c r="WPB1" s="338"/>
      <c r="WPC1" s="338"/>
      <c r="WPD1" s="338"/>
      <c r="WPE1" s="338"/>
      <c r="WPF1" s="338"/>
      <c r="WPG1" s="338"/>
      <c r="WPH1" s="338"/>
      <c r="WPI1" s="338"/>
      <c r="WPJ1" s="338"/>
      <c r="WPK1" s="338"/>
      <c r="WPL1" s="338"/>
      <c r="WPM1" s="338"/>
      <c r="WPN1" s="338"/>
      <c r="WPO1" s="338"/>
      <c r="WPP1" s="338"/>
      <c r="WPQ1" s="338"/>
      <c r="WPR1" s="338"/>
      <c r="WPS1" s="338"/>
      <c r="WPT1" s="338"/>
      <c r="WPU1" s="338"/>
      <c r="WPV1" s="338"/>
      <c r="WPW1" s="338"/>
      <c r="WPX1" s="338"/>
      <c r="WPY1" s="338"/>
      <c r="WPZ1" s="338"/>
      <c r="WQA1" s="338"/>
      <c r="WQB1" s="338"/>
      <c r="WQC1" s="338"/>
      <c r="WQD1" s="338"/>
      <c r="WQE1" s="338"/>
      <c r="WQF1" s="338"/>
      <c r="WQG1" s="338"/>
      <c r="WQH1" s="338"/>
      <c r="WQI1" s="338"/>
      <c r="WQJ1" s="338"/>
      <c r="WQK1" s="338"/>
      <c r="WQL1" s="338"/>
      <c r="WQM1" s="338"/>
      <c r="WQN1" s="338"/>
      <c r="WQO1" s="338"/>
      <c r="WQP1" s="338"/>
      <c r="WQQ1" s="338"/>
      <c r="WQR1" s="338"/>
      <c r="WQS1" s="338"/>
      <c r="WQT1" s="338"/>
      <c r="WQU1" s="338"/>
      <c r="WQV1" s="338"/>
      <c r="WQW1" s="338"/>
      <c r="WQX1" s="338"/>
      <c r="WQY1" s="338"/>
      <c r="WQZ1" s="338"/>
      <c r="WRA1" s="338"/>
      <c r="WRB1" s="338"/>
      <c r="WRC1" s="338"/>
      <c r="WRD1" s="338"/>
      <c r="WRE1" s="338"/>
      <c r="WRF1" s="338"/>
      <c r="WRG1" s="338"/>
      <c r="WRH1" s="338"/>
      <c r="WRI1" s="338"/>
      <c r="WRJ1" s="338"/>
      <c r="WRK1" s="338"/>
      <c r="WRL1" s="338"/>
      <c r="WRM1" s="338"/>
      <c r="WRN1" s="338"/>
      <c r="WRO1" s="338"/>
      <c r="WRP1" s="338"/>
      <c r="WRQ1" s="338"/>
      <c r="WRR1" s="338"/>
      <c r="WRS1" s="338"/>
      <c r="WRT1" s="338"/>
      <c r="WRU1" s="338"/>
      <c r="WRV1" s="338"/>
      <c r="WRW1" s="338"/>
      <c r="WRX1" s="338"/>
      <c r="WRY1" s="338"/>
      <c r="WRZ1" s="338"/>
      <c r="WSA1" s="338"/>
      <c r="WSB1" s="338"/>
      <c r="WSC1" s="338"/>
      <c r="WSD1" s="338"/>
      <c r="WSE1" s="338"/>
      <c r="WSF1" s="338"/>
      <c r="WSG1" s="338"/>
      <c r="WSH1" s="338"/>
      <c r="WSI1" s="338"/>
      <c r="WSJ1" s="338"/>
      <c r="WSK1" s="338"/>
      <c r="WSL1" s="338"/>
      <c r="WSM1" s="338"/>
      <c r="WSN1" s="338"/>
      <c r="WSO1" s="338"/>
      <c r="WSP1" s="338"/>
      <c r="WSQ1" s="338"/>
      <c r="WSR1" s="338"/>
      <c r="WSS1" s="338"/>
      <c r="WST1" s="338"/>
      <c r="WSU1" s="338"/>
      <c r="WSV1" s="338"/>
      <c r="WSW1" s="338"/>
      <c r="WSX1" s="338"/>
      <c r="WSY1" s="338"/>
      <c r="WSZ1" s="338"/>
      <c r="WTA1" s="338"/>
      <c r="WTB1" s="338"/>
      <c r="WTC1" s="338"/>
      <c r="WTD1" s="338"/>
      <c r="WTE1" s="338"/>
      <c r="WTF1" s="338"/>
      <c r="WTG1" s="338"/>
      <c r="WTH1" s="338"/>
      <c r="WTI1" s="338"/>
      <c r="WTJ1" s="338"/>
      <c r="WTK1" s="338"/>
      <c r="WTL1" s="338"/>
      <c r="WTM1" s="338"/>
      <c r="WTN1" s="338"/>
      <c r="WTO1" s="338"/>
      <c r="WTP1" s="338"/>
      <c r="WTQ1" s="338"/>
      <c r="WTR1" s="338"/>
      <c r="WTS1" s="338"/>
      <c r="WTT1" s="338"/>
      <c r="WTU1" s="338"/>
      <c r="WTV1" s="338"/>
      <c r="WTW1" s="338"/>
      <c r="WTX1" s="338"/>
      <c r="WTY1" s="338"/>
      <c r="WTZ1" s="338"/>
      <c r="WUA1" s="338"/>
      <c r="WUB1" s="338"/>
      <c r="WUC1" s="338"/>
      <c r="WUD1" s="338"/>
      <c r="WUE1" s="338"/>
      <c r="WUF1" s="338"/>
      <c r="WUG1" s="338"/>
      <c r="WUH1" s="338"/>
      <c r="WUI1" s="338"/>
      <c r="WUJ1" s="338"/>
      <c r="WUK1" s="338"/>
      <c r="WUL1" s="338"/>
      <c r="WUM1" s="338"/>
      <c r="WUN1" s="338"/>
      <c r="WUO1" s="338"/>
      <c r="WUP1" s="338"/>
      <c r="WUQ1" s="338"/>
      <c r="WUR1" s="338"/>
      <c r="WUS1" s="338"/>
      <c r="WUT1" s="338"/>
      <c r="WUU1" s="338"/>
      <c r="WUV1" s="338"/>
      <c r="WUW1" s="338"/>
      <c r="WUX1" s="338"/>
      <c r="WUY1" s="338"/>
      <c r="WUZ1" s="338"/>
      <c r="WVA1" s="338"/>
      <c r="WVB1" s="338"/>
      <c r="WVC1" s="338"/>
      <c r="WVD1" s="338"/>
      <c r="WVE1" s="338"/>
      <c r="WVF1" s="338"/>
      <c r="WVG1" s="338"/>
      <c r="WVH1" s="338"/>
      <c r="WVI1" s="338"/>
      <c r="WVJ1" s="338"/>
      <c r="WVK1" s="338"/>
      <c r="WVL1" s="338"/>
      <c r="WVM1" s="338"/>
      <c r="WVN1" s="338"/>
      <c r="WVO1" s="338"/>
      <c r="WVP1" s="338"/>
      <c r="WVQ1" s="338"/>
      <c r="WVR1" s="338"/>
      <c r="WVS1" s="338"/>
      <c r="WVT1" s="338"/>
      <c r="WVU1" s="338"/>
      <c r="WVV1" s="338"/>
      <c r="WVW1" s="338"/>
      <c r="WVX1" s="338"/>
      <c r="WVY1" s="338"/>
      <c r="WVZ1" s="338"/>
      <c r="WWA1" s="338"/>
      <c r="WWB1" s="338"/>
      <c r="WWC1" s="338"/>
      <c r="WWD1" s="338"/>
      <c r="WWE1" s="338"/>
      <c r="WWF1" s="338"/>
      <c r="WWG1" s="338"/>
      <c r="WWH1" s="338"/>
      <c r="WWI1" s="338"/>
      <c r="WWJ1" s="338"/>
      <c r="WWK1" s="338"/>
      <c r="WWL1" s="338"/>
      <c r="WWM1" s="338"/>
      <c r="WWN1" s="338"/>
      <c r="WWO1" s="338"/>
      <c r="WWP1" s="338"/>
      <c r="WWQ1" s="338"/>
      <c r="WWR1" s="338"/>
      <c r="WWS1" s="338"/>
      <c r="WWT1" s="338"/>
      <c r="WWU1" s="338"/>
      <c r="WWV1" s="338"/>
      <c r="WWW1" s="338"/>
      <c r="WWX1" s="338"/>
      <c r="WWY1" s="338"/>
      <c r="WWZ1" s="338"/>
      <c r="WXA1" s="338"/>
      <c r="WXB1" s="338"/>
      <c r="WXC1" s="338"/>
      <c r="WXD1" s="338"/>
      <c r="WXE1" s="338"/>
      <c r="WXF1" s="338"/>
      <c r="WXG1" s="338"/>
      <c r="WXH1" s="338"/>
      <c r="WXI1" s="338"/>
      <c r="WXJ1" s="338"/>
      <c r="WXK1" s="338"/>
      <c r="WXL1" s="338"/>
      <c r="WXM1" s="338"/>
      <c r="WXN1" s="338"/>
      <c r="WXO1" s="338"/>
      <c r="WXP1" s="338"/>
      <c r="WXQ1" s="338"/>
      <c r="WXR1" s="338"/>
      <c r="WXS1" s="338"/>
      <c r="WXT1" s="338"/>
      <c r="WXU1" s="338"/>
      <c r="WXV1" s="338"/>
      <c r="WXW1" s="338"/>
      <c r="WXX1" s="338"/>
      <c r="WXY1" s="338"/>
      <c r="WXZ1" s="338"/>
      <c r="WYA1" s="338"/>
      <c r="WYB1" s="338"/>
      <c r="WYC1" s="338"/>
      <c r="WYD1" s="338"/>
      <c r="WYE1" s="338"/>
      <c r="WYF1" s="338"/>
      <c r="WYG1" s="338"/>
      <c r="WYH1" s="338"/>
      <c r="WYI1" s="338"/>
      <c r="WYJ1" s="338"/>
      <c r="WYK1" s="338"/>
      <c r="WYL1" s="338"/>
      <c r="WYM1" s="338"/>
      <c r="WYN1" s="338"/>
      <c r="WYO1" s="338"/>
      <c r="WYP1" s="338"/>
      <c r="WYQ1" s="338"/>
      <c r="WYR1" s="338"/>
      <c r="WYS1" s="338"/>
      <c r="WYT1" s="338"/>
      <c r="WYU1" s="338"/>
      <c r="WYV1" s="338"/>
      <c r="WYW1" s="338"/>
      <c r="WYX1" s="338"/>
      <c r="WYY1" s="338"/>
      <c r="WYZ1" s="338"/>
      <c r="WZA1" s="338"/>
      <c r="WZB1" s="338"/>
      <c r="WZC1" s="338"/>
      <c r="WZD1" s="338"/>
      <c r="WZE1" s="338"/>
      <c r="WZF1" s="338"/>
      <c r="WZG1" s="338"/>
      <c r="WZH1" s="338"/>
      <c r="WZI1" s="338"/>
      <c r="WZJ1" s="338"/>
      <c r="WZK1" s="338"/>
      <c r="WZL1" s="338"/>
      <c r="WZM1" s="338"/>
      <c r="WZN1" s="338"/>
      <c r="WZO1" s="338"/>
      <c r="WZP1" s="338"/>
      <c r="WZQ1" s="338"/>
      <c r="WZR1" s="338"/>
      <c r="WZS1" s="338"/>
      <c r="WZT1" s="338"/>
      <c r="WZU1" s="338"/>
      <c r="WZV1" s="338"/>
      <c r="WZW1" s="338"/>
      <c r="WZX1" s="338"/>
      <c r="WZY1" s="338"/>
      <c r="WZZ1" s="338"/>
      <c r="XAA1" s="338"/>
      <c r="XAB1" s="338"/>
      <c r="XAC1" s="338"/>
      <c r="XAD1" s="338"/>
      <c r="XAE1" s="338"/>
      <c r="XAF1" s="338"/>
      <c r="XAG1" s="338"/>
      <c r="XAH1" s="338"/>
      <c r="XAI1" s="338"/>
      <c r="XAJ1" s="338"/>
      <c r="XAK1" s="338"/>
      <c r="XAL1" s="338"/>
      <c r="XAM1" s="338"/>
      <c r="XAN1" s="338"/>
      <c r="XAO1" s="338"/>
      <c r="XAP1" s="338"/>
      <c r="XAQ1" s="338"/>
      <c r="XAR1" s="338"/>
      <c r="XAS1" s="338"/>
      <c r="XAT1" s="338"/>
      <c r="XAU1" s="338"/>
      <c r="XAV1" s="338"/>
      <c r="XAW1" s="338"/>
      <c r="XAX1" s="338"/>
      <c r="XAY1" s="338"/>
      <c r="XAZ1" s="338"/>
      <c r="XBA1" s="338"/>
      <c r="XBB1" s="338"/>
      <c r="XBC1" s="338"/>
      <c r="XBD1" s="338"/>
      <c r="XBE1" s="338"/>
      <c r="XBF1" s="338"/>
      <c r="XBG1" s="338"/>
      <c r="XBH1" s="338"/>
      <c r="XBI1" s="338"/>
      <c r="XBJ1" s="338"/>
      <c r="XBK1" s="338"/>
      <c r="XBL1" s="338"/>
      <c r="XBM1" s="338"/>
      <c r="XBN1" s="338"/>
      <c r="XBO1" s="338"/>
      <c r="XBP1" s="338"/>
      <c r="XBQ1" s="338"/>
      <c r="XBR1" s="338"/>
      <c r="XBS1" s="338"/>
      <c r="XBT1" s="338"/>
      <c r="XBU1" s="338"/>
      <c r="XBV1" s="338"/>
      <c r="XBW1" s="338"/>
      <c r="XBX1" s="338"/>
      <c r="XBY1" s="338"/>
      <c r="XBZ1" s="338"/>
      <c r="XCA1" s="338"/>
      <c r="XCB1" s="338"/>
      <c r="XCC1" s="338"/>
      <c r="XCD1" s="338"/>
      <c r="XCE1" s="338"/>
      <c r="XCF1" s="338"/>
      <c r="XCG1" s="338"/>
      <c r="XCH1" s="338"/>
      <c r="XCI1" s="338"/>
      <c r="XCJ1" s="338"/>
      <c r="XCK1" s="338"/>
      <c r="XCL1" s="338"/>
      <c r="XCM1" s="338"/>
      <c r="XCN1" s="338"/>
      <c r="XCO1" s="338"/>
      <c r="XCP1" s="338"/>
      <c r="XCQ1" s="338"/>
      <c r="XCR1" s="338"/>
      <c r="XCS1" s="338"/>
      <c r="XCT1" s="338"/>
      <c r="XCU1" s="338"/>
      <c r="XCV1" s="338"/>
      <c r="XCW1" s="338"/>
      <c r="XCX1" s="338"/>
      <c r="XCY1" s="338"/>
      <c r="XCZ1" s="338"/>
      <c r="XDA1" s="338"/>
      <c r="XDB1" s="338"/>
      <c r="XDC1" s="338"/>
      <c r="XDD1" s="338"/>
      <c r="XDE1" s="338"/>
      <c r="XDF1" s="338"/>
      <c r="XDG1" s="338"/>
      <c r="XDH1" s="338"/>
      <c r="XDI1" s="338"/>
      <c r="XDJ1" s="338"/>
      <c r="XDK1" s="338"/>
      <c r="XDL1" s="338"/>
      <c r="XDM1" s="338"/>
      <c r="XDN1" s="338"/>
      <c r="XDO1" s="338"/>
      <c r="XDP1" s="338"/>
      <c r="XDQ1" s="338"/>
      <c r="XDR1" s="338"/>
      <c r="XDS1" s="338"/>
      <c r="XDT1" s="338"/>
      <c r="XDU1" s="338"/>
      <c r="XDV1" s="338"/>
      <c r="XDW1" s="338"/>
      <c r="XDX1" s="338"/>
      <c r="XDY1" s="338"/>
      <c r="XDZ1" s="338"/>
      <c r="XEA1" s="338"/>
      <c r="XEB1" s="338"/>
      <c r="XEC1" s="338"/>
      <c r="XED1" s="338"/>
      <c r="XEE1" s="338"/>
      <c r="XEF1" s="338"/>
      <c r="XEG1" s="338"/>
      <c r="XEH1" s="338"/>
      <c r="XEI1" s="338"/>
      <c r="XEJ1" s="338"/>
      <c r="XEK1" s="338"/>
      <c r="XEL1" s="338"/>
      <c r="XEM1" s="338"/>
      <c r="XEN1" s="338"/>
      <c r="XEO1" s="338"/>
      <c r="XEP1" s="338"/>
      <c r="XEQ1" s="338"/>
      <c r="XER1" s="338"/>
      <c r="XES1" s="338"/>
      <c r="XET1" s="338"/>
      <c r="XEU1" s="338"/>
      <c r="XEV1" s="338"/>
      <c r="XEW1" s="338"/>
      <c r="XEX1" s="338"/>
    </row>
    <row r="2" spans="1:16378" ht="25.5" customHeight="1" x14ac:dyDescent="0.15">
      <c r="A2" s="2588" t="s">
        <v>1345</v>
      </c>
      <c r="B2" s="2588"/>
      <c r="C2" s="2588"/>
      <c r="D2" s="2588"/>
      <c r="E2" s="2588"/>
      <c r="F2" s="2588"/>
      <c r="G2" s="2588"/>
      <c r="H2" s="2588"/>
      <c r="I2" s="2588"/>
      <c r="J2" s="2588"/>
    </row>
    <row r="3" spans="1:16378" x14ac:dyDescent="0.15">
      <c r="A3" s="2598"/>
      <c r="B3" s="2598"/>
      <c r="C3" s="2598"/>
      <c r="D3" s="2598"/>
      <c r="E3" s="2598"/>
      <c r="F3" s="2598"/>
      <c r="G3" s="2598"/>
      <c r="H3" s="2598"/>
      <c r="I3" s="2598"/>
      <c r="J3" s="2598"/>
    </row>
    <row r="4" spans="1:16378" s="339" customFormat="1" ht="26.25" customHeight="1" x14ac:dyDescent="0.25">
      <c r="A4" s="2599" t="s">
        <v>1</v>
      </c>
      <c r="B4" s="2601" t="s">
        <v>1346</v>
      </c>
      <c r="C4" s="2602"/>
      <c r="D4" s="2602"/>
      <c r="E4" s="2602"/>
      <c r="F4" s="2603"/>
      <c r="G4" s="2601" t="s">
        <v>1347</v>
      </c>
      <c r="H4" s="2602"/>
      <c r="I4" s="2602"/>
      <c r="J4" s="2603"/>
    </row>
    <row r="5" spans="1:16378" s="339" customFormat="1" ht="21" customHeight="1" x14ac:dyDescent="0.25">
      <c r="A5" s="2600"/>
      <c r="B5" s="340">
        <v>2011</v>
      </c>
      <c r="C5" s="340">
        <v>2012</v>
      </c>
      <c r="D5" s="340">
        <v>2013</v>
      </c>
      <c r="E5" s="340">
        <v>2014</v>
      </c>
      <c r="F5" s="340">
        <v>2015</v>
      </c>
      <c r="G5" s="340">
        <v>2008</v>
      </c>
      <c r="H5" s="340">
        <v>2010</v>
      </c>
      <c r="I5" s="340">
        <v>2012</v>
      </c>
      <c r="J5" s="340">
        <v>2014</v>
      </c>
    </row>
    <row r="6" spans="1:16378" s="338" customFormat="1" x14ac:dyDescent="0.15">
      <c r="A6" s="338" t="s">
        <v>4</v>
      </c>
      <c r="B6" s="341">
        <f t="shared" ref="B6:J6" si="0">SUM(B7:B21)</f>
        <v>18</v>
      </c>
      <c r="C6" s="341">
        <f t="shared" si="0"/>
        <v>9</v>
      </c>
      <c r="D6" s="341">
        <f t="shared" si="0"/>
        <v>7</v>
      </c>
      <c r="E6" s="341">
        <f>SUM(E7:E21)</f>
        <v>7</v>
      </c>
      <c r="F6" s="341">
        <f>SUM(F7:F21)</f>
        <v>6</v>
      </c>
      <c r="G6" s="341">
        <f t="shared" si="0"/>
        <v>8</v>
      </c>
      <c r="H6" s="341">
        <f t="shared" si="0"/>
        <v>8</v>
      </c>
      <c r="I6" s="341">
        <f t="shared" si="0"/>
        <v>6</v>
      </c>
      <c r="J6" s="341">
        <f t="shared" si="0"/>
        <v>6</v>
      </c>
    </row>
    <row r="7" spans="1:16378" x14ac:dyDescent="0.15">
      <c r="A7" s="342" t="s">
        <v>5</v>
      </c>
      <c r="B7" s="343">
        <v>1</v>
      </c>
      <c r="C7" s="343">
        <v>0</v>
      </c>
      <c r="D7" s="343">
        <v>0</v>
      </c>
      <c r="E7" s="321">
        <v>1</v>
      </c>
      <c r="F7" s="17">
        <v>0</v>
      </c>
      <c r="G7" s="343">
        <v>0</v>
      </c>
      <c r="H7" s="343">
        <v>1</v>
      </c>
      <c r="I7" s="343">
        <v>0</v>
      </c>
      <c r="J7" s="344">
        <v>1</v>
      </c>
    </row>
    <row r="8" spans="1:16378" x14ac:dyDescent="0.15">
      <c r="A8" s="342" t="s">
        <v>6</v>
      </c>
      <c r="B8" s="343">
        <v>1</v>
      </c>
      <c r="C8" s="343">
        <v>1</v>
      </c>
      <c r="D8" s="343">
        <v>0</v>
      </c>
      <c r="E8" s="321">
        <v>1</v>
      </c>
      <c r="F8" s="17">
        <v>0</v>
      </c>
      <c r="G8" s="343">
        <v>0</v>
      </c>
      <c r="H8" s="343">
        <v>0</v>
      </c>
      <c r="I8" s="343">
        <v>0</v>
      </c>
      <c r="J8" s="343">
        <v>0</v>
      </c>
    </row>
    <row r="9" spans="1:16378" x14ac:dyDescent="0.15">
      <c r="A9" s="342" t="s">
        <v>7</v>
      </c>
      <c r="B9" s="343">
        <v>0</v>
      </c>
      <c r="C9" s="343">
        <v>0</v>
      </c>
      <c r="D9" s="343">
        <v>1</v>
      </c>
      <c r="E9" s="343">
        <v>0</v>
      </c>
      <c r="F9" s="19">
        <v>1</v>
      </c>
      <c r="G9" s="343">
        <v>0</v>
      </c>
      <c r="H9" s="343">
        <v>0</v>
      </c>
      <c r="I9" s="343">
        <v>0</v>
      </c>
      <c r="J9" s="344">
        <v>1</v>
      </c>
    </row>
    <row r="10" spans="1:16378" x14ac:dyDescent="0.15">
      <c r="A10" s="342" t="s">
        <v>8</v>
      </c>
      <c r="B10" s="343">
        <v>0</v>
      </c>
      <c r="C10" s="343">
        <v>0</v>
      </c>
      <c r="D10" s="343">
        <v>0</v>
      </c>
      <c r="E10" s="343">
        <v>0</v>
      </c>
      <c r="F10" s="19">
        <v>0</v>
      </c>
      <c r="G10" s="343">
        <v>0</v>
      </c>
      <c r="H10" s="343">
        <v>0</v>
      </c>
      <c r="I10" s="343">
        <v>0</v>
      </c>
      <c r="J10" s="343">
        <v>0</v>
      </c>
    </row>
    <row r="11" spans="1:16378" x14ac:dyDescent="0.15">
      <c r="A11" s="342" t="s">
        <v>9</v>
      </c>
      <c r="B11" s="343">
        <v>0</v>
      </c>
      <c r="C11" s="343">
        <v>0</v>
      </c>
      <c r="D11" s="343">
        <v>0</v>
      </c>
      <c r="E11" s="321">
        <v>1</v>
      </c>
      <c r="F11" s="17">
        <v>0</v>
      </c>
      <c r="G11" s="343">
        <v>0</v>
      </c>
      <c r="H11" s="343">
        <v>0</v>
      </c>
      <c r="I11" s="343">
        <v>0</v>
      </c>
      <c r="J11" s="343">
        <v>0</v>
      </c>
    </row>
    <row r="12" spans="1:16378" x14ac:dyDescent="0.15">
      <c r="A12" s="342" t="s">
        <v>10</v>
      </c>
      <c r="B12" s="343">
        <v>3</v>
      </c>
      <c r="C12" s="343">
        <v>2</v>
      </c>
      <c r="D12" s="343">
        <v>0</v>
      </c>
      <c r="E12" s="321">
        <v>1</v>
      </c>
      <c r="F12" s="17">
        <v>0</v>
      </c>
      <c r="G12" s="343">
        <v>3</v>
      </c>
      <c r="H12" s="343">
        <v>0</v>
      </c>
      <c r="I12" s="343">
        <v>2</v>
      </c>
      <c r="J12" s="344">
        <v>1</v>
      </c>
    </row>
    <row r="13" spans="1:16378" x14ac:dyDescent="0.15">
      <c r="A13" s="342" t="s">
        <v>11</v>
      </c>
      <c r="B13" s="343">
        <v>3</v>
      </c>
      <c r="C13" s="343">
        <v>1</v>
      </c>
      <c r="D13" s="343">
        <v>1</v>
      </c>
      <c r="E13" s="321">
        <v>1</v>
      </c>
      <c r="F13" s="17">
        <v>0</v>
      </c>
      <c r="G13" s="343">
        <v>2</v>
      </c>
      <c r="H13" s="343">
        <v>1</v>
      </c>
      <c r="I13" s="343">
        <v>2</v>
      </c>
      <c r="J13" s="343">
        <v>0</v>
      </c>
    </row>
    <row r="14" spans="1:16378" x14ac:dyDescent="0.15">
      <c r="A14" s="342" t="s">
        <v>12</v>
      </c>
      <c r="B14" s="343">
        <v>2</v>
      </c>
      <c r="C14" s="343">
        <v>1</v>
      </c>
      <c r="D14" s="343">
        <v>1</v>
      </c>
      <c r="E14" s="343">
        <v>0</v>
      </c>
      <c r="F14" s="19">
        <v>2</v>
      </c>
      <c r="G14" s="343">
        <v>0</v>
      </c>
      <c r="H14" s="343">
        <v>2</v>
      </c>
      <c r="I14" s="343">
        <v>1</v>
      </c>
      <c r="J14" s="343">
        <v>0</v>
      </c>
    </row>
    <row r="15" spans="1:16378" x14ac:dyDescent="0.15">
      <c r="A15" s="342" t="s">
        <v>13</v>
      </c>
      <c r="B15" s="343">
        <v>2</v>
      </c>
      <c r="C15" s="343">
        <v>2</v>
      </c>
      <c r="D15" s="343">
        <v>1</v>
      </c>
      <c r="E15" s="343">
        <v>0</v>
      </c>
      <c r="F15" s="19">
        <v>0</v>
      </c>
      <c r="G15" s="343">
        <v>0</v>
      </c>
      <c r="H15" s="343">
        <v>1</v>
      </c>
      <c r="I15" s="343">
        <v>1</v>
      </c>
      <c r="J15" s="343">
        <v>0</v>
      </c>
    </row>
    <row r="16" spans="1:16378" x14ac:dyDescent="0.15">
      <c r="A16" s="342" t="s">
        <v>14</v>
      </c>
      <c r="B16" s="343">
        <v>2</v>
      </c>
      <c r="C16" s="343">
        <v>0</v>
      </c>
      <c r="D16" s="343">
        <v>1</v>
      </c>
      <c r="E16" s="343">
        <v>0</v>
      </c>
      <c r="F16" s="19">
        <v>1</v>
      </c>
      <c r="G16" s="343">
        <v>0</v>
      </c>
      <c r="H16" s="343">
        <v>1</v>
      </c>
      <c r="I16" s="343">
        <v>0</v>
      </c>
      <c r="J16" s="343">
        <v>0</v>
      </c>
    </row>
    <row r="17" spans="1:11" x14ac:dyDescent="0.15">
      <c r="A17" s="342" t="s">
        <v>15</v>
      </c>
      <c r="B17" s="343">
        <v>1</v>
      </c>
      <c r="C17" s="343">
        <v>1</v>
      </c>
      <c r="D17" s="343">
        <v>1</v>
      </c>
      <c r="E17" s="321">
        <v>1</v>
      </c>
      <c r="F17" s="17">
        <v>1</v>
      </c>
      <c r="G17" s="343">
        <v>3</v>
      </c>
      <c r="H17" s="343">
        <v>1</v>
      </c>
      <c r="I17" s="343">
        <v>0</v>
      </c>
      <c r="J17" s="344">
        <v>2</v>
      </c>
    </row>
    <row r="18" spans="1:11" x14ac:dyDescent="0.15">
      <c r="A18" s="342" t="s">
        <v>16</v>
      </c>
      <c r="B18" s="343">
        <v>1</v>
      </c>
      <c r="C18" s="343">
        <v>1</v>
      </c>
      <c r="D18" s="343">
        <v>0</v>
      </c>
      <c r="E18" s="343">
        <v>0</v>
      </c>
      <c r="F18" s="19">
        <v>0</v>
      </c>
      <c r="G18" s="343">
        <v>0</v>
      </c>
      <c r="H18" s="343">
        <v>1</v>
      </c>
      <c r="I18" s="343">
        <v>0</v>
      </c>
      <c r="J18" s="343">
        <v>0</v>
      </c>
    </row>
    <row r="19" spans="1:11" x14ac:dyDescent="0.15">
      <c r="A19" s="342" t="s">
        <v>17</v>
      </c>
      <c r="B19" s="343">
        <v>2</v>
      </c>
      <c r="C19" s="343">
        <v>0</v>
      </c>
      <c r="D19" s="343">
        <v>1</v>
      </c>
      <c r="E19" s="321">
        <v>1</v>
      </c>
      <c r="F19" s="17">
        <v>0</v>
      </c>
      <c r="G19" s="343">
        <v>0</v>
      </c>
      <c r="H19" s="343">
        <v>0</v>
      </c>
      <c r="I19" s="343">
        <v>0</v>
      </c>
      <c r="J19" s="344">
        <v>1</v>
      </c>
    </row>
    <row r="20" spans="1:11" x14ac:dyDescent="0.15">
      <c r="A20" s="342" t="s">
        <v>18</v>
      </c>
      <c r="B20" s="343">
        <v>0</v>
      </c>
      <c r="C20" s="343">
        <v>0</v>
      </c>
      <c r="D20" s="343">
        <v>0</v>
      </c>
      <c r="E20" s="343">
        <v>0</v>
      </c>
      <c r="F20" s="19">
        <v>0</v>
      </c>
      <c r="G20" s="343">
        <v>0</v>
      </c>
      <c r="H20" s="343">
        <v>0</v>
      </c>
      <c r="I20" s="343">
        <v>0</v>
      </c>
      <c r="J20" s="343">
        <v>0</v>
      </c>
    </row>
    <row r="21" spans="1:11" x14ac:dyDescent="0.15">
      <c r="A21" s="342" t="s">
        <v>19</v>
      </c>
      <c r="B21" s="343">
        <v>0</v>
      </c>
      <c r="C21" s="343">
        <v>0</v>
      </c>
      <c r="D21" s="343">
        <v>0</v>
      </c>
      <c r="E21" s="343">
        <v>0</v>
      </c>
      <c r="F21" s="19">
        <v>1</v>
      </c>
      <c r="G21" s="343">
        <v>0</v>
      </c>
      <c r="H21" s="343">
        <v>0</v>
      </c>
      <c r="I21" s="343">
        <v>0</v>
      </c>
      <c r="J21" s="343">
        <v>0</v>
      </c>
    </row>
    <row r="22" spans="1:11" x14ac:dyDescent="0.15">
      <c r="A22" s="345"/>
      <c r="B22" s="346"/>
      <c r="C22" s="346"/>
      <c r="D22" s="346"/>
      <c r="E22" s="346"/>
      <c r="F22" s="346"/>
      <c r="G22" s="346"/>
      <c r="H22" s="346"/>
      <c r="I22" s="346"/>
    </row>
    <row r="23" spans="1:11" ht="28.5" customHeight="1" x14ac:dyDescent="0.15">
      <c r="A23" s="2597" t="s">
        <v>1348</v>
      </c>
      <c r="B23" s="2597"/>
      <c r="C23" s="2597"/>
      <c r="D23" s="2597"/>
      <c r="E23" s="2597"/>
      <c r="F23" s="2597"/>
      <c r="G23" s="2597"/>
      <c r="H23" s="2597"/>
      <c r="I23" s="2597"/>
      <c r="J23" s="2597"/>
    </row>
    <row r="24" spans="1:11" ht="52.5" customHeight="1" x14ac:dyDescent="0.15">
      <c r="A24" s="2604" t="s">
        <v>1349</v>
      </c>
      <c r="B24" s="2604"/>
      <c r="C24" s="2604"/>
      <c r="D24" s="2604"/>
      <c r="E24" s="2604"/>
      <c r="F24" s="2604"/>
      <c r="G24" s="2604"/>
      <c r="H24" s="2604"/>
      <c r="I24" s="2604"/>
      <c r="J24" s="2604"/>
    </row>
    <row r="25" spans="1:11" ht="52.5" customHeight="1" x14ac:dyDescent="0.15">
      <c r="A25" s="2604" t="s">
        <v>1350</v>
      </c>
      <c r="B25" s="2604"/>
      <c r="C25" s="2604"/>
      <c r="D25" s="2604"/>
      <c r="E25" s="2604"/>
      <c r="F25" s="2604"/>
      <c r="G25" s="2604"/>
      <c r="H25" s="2604"/>
      <c r="I25" s="2604"/>
      <c r="J25" s="2604"/>
    </row>
    <row r="26" spans="1:11" ht="22.5" customHeight="1" x14ac:dyDescent="0.15">
      <c r="A26" s="2605" t="s">
        <v>1351</v>
      </c>
      <c r="B26" s="2605"/>
      <c r="C26" s="2605"/>
      <c r="D26" s="2605"/>
      <c r="E26" s="2605"/>
      <c r="F26" s="2605"/>
      <c r="G26" s="2605"/>
      <c r="H26" s="2605"/>
      <c r="I26" s="2605"/>
      <c r="J26" s="2605"/>
    </row>
    <row r="27" spans="1:11" x14ac:dyDescent="0.15">
      <c r="A27" s="2606" t="s">
        <v>20</v>
      </c>
      <c r="B27" s="2606"/>
      <c r="C27" s="2606"/>
      <c r="D27" s="2606"/>
      <c r="E27" s="2606"/>
      <c r="F27" s="2606"/>
      <c r="G27" s="2606"/>
      <c r="H27" s="2606"/>
      <c r="I27" s="2606"/>
      <c r="J27" s="2606"/>
    </row>
    <row r="28" spans="1:11" ht="10.5" customHeight="1" x14ac:dyDescent="0.15">
      <c r="A28" s="2592" t="s">
        <v>1352</v>
      </c>
      <c r="B28" s="2592"/>
      <c r="C28" s="2592"/>
      <c r="D28" s="2592"/>
      <c r="E28" s="2592"/>
      <c r="F28" s="2592"/>
      <c r="G28" s="2592"/>
      <c r="H28" s="2592"/>
      <c r="I28" s="2592"/>
      <c r="J28" s="2592"/>
    </row>
    <row r="29" spans="1:11" ht="10.5" customHeight="1" x14ac:dyDescent="0.15">
      <c r="K29" s="347"/>
    </row>
  </sheetData>
  <mergeCells count="11">
    <mergeCell ref="A24:J24"/>
    <mergeCell ref="A25:J25"/>
    <mergeCell ref="A26:J26"/>
    <mergeCell ref="A27:J27"/>
    <mergeCell ref="A28:J28"/>
    <mergeCell ref="A23:J23"/>
    <mergeCell ref="A2:J2"/>
    <mergeCell ref="A3:J3"/>
    <mergeCell ref="A4:A5"/>
    <mergeCell ref="B4:F4"/>
    <mergeCell ref="G4:J4"/>
  </mergeCells>
  <pageMargins left="0.7" right="0.7" top="0.75" bottom="0.75" header="0.3" footer="0.3"/>
  <pageSetup paperSize="14" scale="91"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L19"/>
  <sheetViews>
    <sheetView zoomScaleNormal="100" workbookViewId="0">
      <selection activeCell="C26" sqref="C26"/>
    </sheetView>
  </sheetViews>
  <sheetFormatPr baseColWidth="10" defaultRowHeight="10.5" x14ac:dyDescent="0.15"/>
  <cols>
    <col min="1" max="1" width="7.140625" style="313" customWidth="1"/>
    <col min="2" max="2" width="16.7109375" style="313" customWidth="1"/>
    <col min="3" max="3" width="16.28515625" style="313" customWidth="1"/>
    <col min="4" max="4" width="39.28515625" style="313" customWidth="1"/>
    <col min="5" max="5" width="19.28515625" style="313" customWidth="1"/>
    <col min="6" max="6" width="17.140625" style="313" customWidth="1"/>
    <col min="7" max="7" width="28.85546875" style="313" customWidth="1"/>
    <col min="8" max="16" width="14.7109375" style="313" customWidth="1"/>
    <col min="17" max="16384" width="11.42578125" style="313"/>
  </cols>
  <sheetData>
    <row r="2" spans="1:12" ht="24" customHeight="1" x14ac:dyDescent="0.15">
      <c r="A2" s="2608" t="s">
        <v>1353</v>
      </c>
      <c r="B2" s="2608"/>
      <c r="C2" s="2608"/>
      <c r="D2" s="2608"/>
      <c r="E2" s="2608"/>
      <c r="F2" s="2608"/>
      <c r="G2" s="2608"/>
      <c r="I2" s="348"/>
    </row>
    <row r="3" spans="1:12" ht="11.25" customHeight="1" x14ac:dyDescent="0.15">
      <c r="A3" s="349"/>
      <c r="B3" s="350"/>
      <c r="C3" s="350"/>
      <c r="D3" s="350"/>
      <c r="E3" s="350"/>
      <c r="F3" s="350"/>
      <c r="G3" s="350"/>
      <c r="I3" s="348"/>
    </row>
    <row r="4" spans="1:12" ht="32.25" x14ac:dyDescent="0.15">
      <c r="A4" s="340" t="s">
        <v>1354</v>
      </c>
      <c r="B4" s="351" t="s">
        <v>1355</v>
      </c>
      <c r="C4" s="324" t="s">
        <v>1356</v>
      </c>
      <c r="D4" s="351" t="s">
        <v>1357</v>
      </c>
      <c r="E4" s="351" t="s">
        <v>1326</v>
      </c>
      <c r="F4" s="351" t="s">
        <v>982</v>
      </c>
      <c r="G4" s="351" t="s">
        <v>484</v>
      </c>
      <c r="H4" s="348"/>
    </row>
    <row r="5" spans="1:12" x14ac:dyDescent="0.15">
      <c r="A5" s="352">
        <v>80</v>
      </c>
      <c r="B5" s="352">
        <v>2015</v>
      </c>
      <c r="C5" s="353"/>
      <c r="D5" s="354" t="s">
        <v>1358</v>
      </c>
      <c r="E5" s="313" t="s">
        <v>1359</v>
      </c>
      <c r="F5" s="313" t="s">
        <v>7</v>
      </c>
      <c r="G5" s="313" t="s">
        <v>590</v>
      </c>
    </row>
    <row r="6" spans="1:12" x14ac:dyDescent="0.15">
      <c r="A6" s="352">
        <v>81</v>
      </c>
      <c r="B6" s="352">
        <v>2015</v>
      </c>
      <c r="C6" s="353"/>
      <c r="D6" s="354" t="s">
        <v>1360</v>
      </c>
      <c r="E6" s="313" t="s">
        <v>1361</v>
      </c>
      <c r="F6" s="355" t="s">
        <v>12</v>
      </c>
      <c r="G6" s="355" t="s">
        <v>1118</v>
      </c>
    </row>
    <row r="7" spans="1:12" x14ac:dyDescent="0.15">
      <c r="A7" s="352">
        <v>82</v>
      </c>
      <c r="B7" s="352">
        <v>2015</v>
      </c>
      <c r="C7" s="353"/>
      <c r="D7" s="354" t="s">
        <v>1362</v>
      </c>
      <c r="E7" s="313" t="s">
        <v>1363</v>
      </c>
      <c r="F7" s="355" t="s">
        <v>12</v>
      </c>
      <c r="G7" s="355" t="s">
        <v>1135</v>
      </c>
    </row>
    <row r="8" spans="1:12" x14ac:dyDescent="0.15">
      <c r="A8" s="352">
        <v>83</v>
      </c>
      <c r="B8" s="352">
        <v>2015</v>
      </c>
      <c r="C8" s="353"/>
      <c r="D8" s="356" t="s">
        <v>1364</v>
      </c>
      <c r="E8" s="313" t="s">
        <v>1365</v>
      </c>
      <c r="F8" s="355" t="s">
        <v>14</v>
      </c>
      <c r="G8" s="355" t="s">
        <v>1366</v>
      </c>
    </row>
    <row r="9" spans="1:12" x14ac:dyDescent="0.15">
      <c r="A9" s="352">
        <v>84</v>
      </c>
      <c r="B9" s="352">
        <v>2015</v>
      </c>
      <c r="C9" s="353"/>
      <c r="D9" s="357" t="s">
        <v>1367</v>
      </c>
      <c r="E9" s="313" t="s">
        <v>1368</v>
      </c>
      <c r="F9" s="355" t="s">
        <v>15</v>
      </c>
      <c r="G9" s="355" t="s">
        <v>1369</v>
      </c>
    </row>
    <row r="10" spans="1:12" x14ac:dyDescent="0.15">
      <c r="A10" s="352">
        <v>85</v>
      </c>
      <c r="B10" s="352">
        <v>2015</v>
      </c>
      <c r="C10" s="353"/>
      <c r="D10" s="356" t="s">
        <v>1370</v>
      </c>
      <c r="E10" s="313" t="s">
        <v>1371</v>
      </c>
      <c r="F10" s="355" t="s">
        <v>19</v>
      </c>
      <c r="G10" s="355" t="s">
        <v>691</v>
      </c>
    </row>
    <row r="11" spans="1:12" x14ac:dyDescent="0.15">
      <c r="A11" s="352"/>
      <c r="B11" s="352"/>
      <c r="C11" s="353"/>
      <c r="D11" s="355"/>
      <c r="E11" s="6"/>
      <c r="F11" s="355"/>
      <c r="G11" s="355"/>
    </row>
    <row r="12" spans="1:12" ht="22.5" customHeight="1" x14ac:dyDescent="0.15">
      <c r="A12" s="2609" t="s">
        <v>1348</v>
      </c>
      <c r="B12" s="2609"/>
      <c r="C12" s="2609"/>
      <c r="D12" s="2609"/>
      <c r="E12" s="2609"/>
      <c r="F12" s="2609"/>
      <c r="G12" s="2609"/>
    </row>
    <row r="13" spans="1:12" s="321" customFormat="1" x14ac:dyDescent="0.15">
      <c r="A13" s="2610" t="s">
        <v>1372</v>
      </c>
      <c r="B13" s="2610"/>
      <c r="C13" s="2610"/>
      <c r="D13" s="2610"/>
      <c r="E13" s="2610"/>
      <c r="F13" s="2610"/>
      <c r="G13" s="2610"/>
    </row>
    <row r="14" spans="1:12" s="321" customFormat="1" x14ac:dyDescent="0.15">
      <c r="A14" s="2607" t="s">
        <v>1373</v>
      </c>
      <c r="B14" s="2607"/>
      <c r="C14" s="2607"/>
      <c r="D14" s="2607"/>
      <c r="E14" s="2607"/>
      <c r="F14" s="2607"/>
      <c r="G14" s="2607"/>
      <c r="H14" s="358"/>
      <c r="I14" s="358"/>
      <c r="J14" s="358"/>
      <c r="K14" s="358"/>
      <c r="L14" s="358"/>
    </row>
    <row r="15" spans="1:12" s="321" customFormat="1" x14ac:dyDescent="0.15">
      <c r="A15" s="2607" t="s">
        <v>1374</v>
      </c>
      <c r="B15" s="2607"/>
      <c r="C15" s="2607"/>
      <c r="D15" s="2607"/>
      <c r="E15" s="2607"/>
      <c r="F15" s="2607"/>
      <c r="G15" s="2607"/>
      <c r="H15" s="358"/>
      <c r="I15" s="358"/>
      <c r="J15" s="358"/>
      <c r="K15" s="358"/>
      <c r="L15" s="358"/>
    </row>
    <row r="16" spans="1:12" ht="12.75" customHeight="1" x14ac:dyDescent="0.15">
      <c r="A16" s="2607" t="s">
        <v>1324</v>
      </c>
      <c r="B16" s="2607"/>
      <c r="C16" s="2607"/>
      <c r="D16" s="2607"/>
      <c r="E16" s="2607"/>
      <c r="F16" s="2607"/>
      <c r="G16" s="2607"/>
      <c r="H16" s="347"/>
      <c r="I16" s="347"/>
      <c r="J16" s="347"/>
      <c r="K16" s="347"/>
      <c r="L16" s="347"/>
    </row>
    <row r="17" spans="3:4" x14ac:dyDescent="0.15">
      <c r="D17" s="359"/>
    </row>
    <row r="18" spans="3:4" x14ac:dyDescent="0.15">
      <c r="C18" s="360"/>
    </row>
    <row r="19" spans="3:4" x14ac:dyDescent="0.15">
      <c r="C19" s="360"/>
    </row>
  </sheetData>
  <mergeCells count="6">
    <mergeCell ref="A16:G16"/>
    <mergeCell ref="A2:G2"/>
    <mergeCell ref="A12:G12"/>
    <mergeCell ref="A13:G13"/>
    <mergeCell ref="A14:G14"/>
    <mergeCell ref="A15:G15"/>
  </mergeCells>
  <pageMargins left="0.7" right="0.7" top="0.75" bottom="0.75" header="0.3" footer="0.3"/>
  <pageSetup paperSize="14"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R26"/>
  <sheetViews>
    <sheetView zoomScaleNormal="100" workbookViewId="0">
      <selection activeCell="F6" sqref="F6"/>
    </sheetView>
  </sheetViews>
  <sheetFormatPr baseColWidth="10" defaultRowHeight="12.75" x14ac:dyDescent="0.2"/>
  <cols>
    <col min="1" max="1" width="26.5703125" style="381" customWidth="1"/>
    <col min="2" max="2" width="11.42578125" style="381"/>
    <col min="3" max="3" width="11.5703125" style="381" customWidth="1"/>
    <col min="4" max="16384" width="11.42578125" style="381"/>
  </cols>
  <sheetData>
    <row r="1" spans="1:16" s="321" customFormat="1" ht="10.5" x14ac:dyDescent="0.15">
      <c r="A1" s="361"/>
    </row>
    <row r="2" spans="1:16" s="321" customFormat="1" ht="32.25" customHeight="1" x14ac:dyDescent="0.15">
      <c r="A2" s="2613" t="s">
        <v>1375</v>
      </c>
      <c r="B2" s="2613"/>
      <c r="C2" s="2613"/>
      <c r="D2" s="2613"/>
      <c r="F2" s="362"/>
      <c r="G2" s="363"/>
      <c r="H2" s="363"/>
      <c r="I2" s="363"/>
      <c r="J2" s="363"/>
      <c r="K2" s="363"/>
    </row>
    <row r="3" spans="1:16" s="321" customFormat="1" ht="10.5" x14ac:dyDescent="0.15">
      <c r="A3" s="2614"/>
      <c r="B3" s="2614"/>
      <c r="C3" s="2614"/>
      <c r="D3" s="2614"/>
      <c r="F3" s="362"/>
      <c r="G3" s="363"/>
      <c r="H3" s="363"/>
      <c r="I3" s="363"/>
      <c r="J3" s="363"/>
      <c r="K3" s="363"/>
    </row>
    <row r="4" spans="1:16" s="321" customFormat="1" ht="14.25" customHeight="1" x14ac:dyDescent="0.15">
      <c r="A4" s="2615" t="s">
        <v>1</v>
      </c>
      <c r="B4" s="2616" t="s">
        <v>69</v>
      </c>
      <c r="C4" s="2617" t="s">
        <v>1376</v>
      </c>
      <c r="D4" s="2617"/>
      <c r="F4" s="362"/>
      <c r="G4" s="364"/>
      <c r="H4" s="364"/>
      <c r="I4" s="363"/>
      <c r="J4" s="363"/>
      <c r="K4" s="363"/>
      <c r="L4" s="363"/>
      <c r="M4" s="363"/>
      <c r="N4" s="363"/>
      <c r="O4" s="363"/>
      <c r="P4" s="363"/>
    </row>
    <row r="5" spans="1:16" s="321" customFormat="1" ht="14.25" customHeight="1" x14ac:dyDescent="0.15">
      <c r="A5" s="2615"/>
      <c r="B5" s="2616"/>
      <c r="C5" s="2589" t="s">
        <v>1377</v>
      </c>
      <c r="D5" s="2589"/>
      <c r="F5" s="362"/>
      <c r="G5" s="364"/>
      <c r="H5" s="364"/>
      <c r="I5" s="363"/>
      <c r="J5" s="363"/>
      <c r="K5" s="363"/>
      <c r="L5" s="363"/>
      <c r="M5" s="363"/>
      <c r="N5" s="363"/>
      <c r="O5" s="363"/>
      <c r="P5" s="363"/>
    </row>
    <row r="6" spans="1:16" s="366" customFormat="1" ht="14.25" customHeight="1" x14ac:dyDescent="0.25">
      <c r="A6" s="2615"/>
      <c r="B6" s="2616"/>
      <c r="C6" s="365" t="s">
        <v>966</v>
      </c>
      <c r="D6" s="365" t="s">
        <v>967</v>
      </c>
      <c r="F6" s="367"/>
      <c r="G6" s="367"/>
      <c r="H6" s="367"/>
      <c r="I6" s="368"/>
      <c r="J6" s="368"/>
      <c r="K6" s="368"/>
      <c r="L6" s="368"/>
      <c r="M6" s="368"/>
      <c r="N6" s="368"/>
      <c r="O6" s="368"/>
      <c r="P6" s="368"/>
    </row>
    <row r="7" spans="1:16" s="321" customFormat="1" ht="10.5" x14ac:dyDescent="0.15">
      <c r="A7" s="369" t="s">
        <v>141</v>
      </c>
      <c r="B7" s="370">
        <f t="shared" ref="B7:B22" si="0">SUM(C7:D7)</f>
        <v>364</v>
      </c>
      <c r="C7" s="371">
        <f>SUM(C8:C22)</f>
        <v>245</v>
      </c>
      <c r="D7" s="371">
        <f>SUM(D8:D22)</f>
        <v>119</v>
      </c>
      <c r="F7" s="372"/>
      <c r="G7" s="364"/>
      <c r="H7" s="364"/>
      <c r="I7" s="364"/>
      <c r="J7" s="364"/>
      <c r="K7" s="364"/>
      <c r="L7" s="319"/>
      <c r="M7" s="319"/>
      <c r="N7" s="319"/>
      <c r="O7" s="319"/>
      <c r="P7" s="319"/>
    </row>
    <row r="8" spans="1:16" s="321" customFormat="1" ht="10.5" x14ac:dyDescent="0.15">
      <c r="A8" s="373" t="s">
        <v>5</v>
      </c>
      <c r="B8" s="370">
        <f t="shared" si="0"/>
        <v>0</v>
      </c>
      <c r="C8" s="374">
        <v>0</v>
      </c>
      <c r="D8" s="374">
        <v>0</v>
      </c>
      <c r="F8" s="375"/>
      <c r="G8" s="364"/>
      <c r="H8" s="364"/>
      <c r="I8" s="364"/>
      <c r="J8" s="364"/>
      <c r="K8" s="364"/>
      <c r="L8" s="319"/>
      <c r="M8" s="319"/>
      <c r="N8" s="319"/>
      <c r="O8" s="319"/>
      <c r="P8" s="319"/>
    </row>
    <row r="9" spans="1:16" s="321" customFormat="1" ht="10.5" x14ac:dyDescent="0.15">
      <c r="A9" s="373" t="s">
        <v>6</v>
      </c>
      <c r="B9" s="370">
        <f t="shared" si="0"/>
        <v>1</v>
      </c>
      <c r="C9" s="374">
        <v>1</v>
      </c>
      <c r="D9" s="374">
        <v>0</v>
      </c>
      <c r="F9" s="375"/>
      <c r="G9" s="364"/>
      <c r="H9" s="364"/>
      <c r="I9" s="364"/>
      <c r="J9" s="364"/>
      <c r="K9" s="364"/>
      <c r="L9" s="319"/>
      <c r="M9" s="319"/>
      <c r="N9" s="319"/>
      <c r="O9" s="319"/>
      <c r="P9" s="319"/>
    </row>
    <row r="10" spans="1:16" s="321" customFormat="1" ht="10.5" x14ac:dyDescent="0.15">
      <c r="A10" s="373" t="s">
        <v>7</v>
      </c>
      <c r="B10" s="370">
        <f t="shared" si="0"/>
        <v>0</v>
      </c>
      <c r="C10" s="374">
        <v>0</v>
      </c>
      <c r="D10" s="374">
        <v>0</v>
      </c>
      <c r="F10" s="375"/>
      <c r="G10" s="364"/>
      <c r="H10" s="364"/>
      <c r="I10" s="364"/>
      <c r="J10" s="364"/>
      <c r="K10" s="364"/>
      <c r="L10" s="338"/>
      <c r="M10" s="338"/>
      <c r="N10" s="338"/>
      <c r="O10" s="338"/>
      <c r="P10" s="338"/>
    </row>
    <row r="11" spans="1:16" s="321" customFormat="1" ht="10.5" x14ac:dyDescent="0.15">
      <c r="A11" s="373" t="s">
        <v>8</v>
      </c>
      <c r="B11" s="370">
        <f t="shared" si="0"/>
        <v>0</v>
      </c>
      <c r="C11" s="374">
        <v>0</v>
      </c>
      <c r="D11" s="374">
        <v>0</v>
      </c>
      <c r="F11" s="375"/>
      <c r="G11" s="364"/>
      <c r="H11" s="364"/>
      <c r="I11" s="364"/>
      <c r="J11" s="364"/>
      <c r="K11" s="364"/>
      <c r="L11" s="338"/>
      <c r="M11" s="338"/>
      <c r="N11" s="338"/>
      <c r="O11" s="338"/>
      <c r="P11" s="338"/>
    </row>
    <row r="12" spans="1:16" s="321" customFormat="1" ht="10.5" x14ac:dyDescent="0.15">
      <c r="A12" s="373" t="s">
        <v>9</v>
      </c>
      <c r="B12" s="370">
        <f t="shared" si="0"/>
        <v>2</v>
      </c>
      <c r="C12" s="374">
        <v>0</v>
      </c>
      <c r="D12" s="374">
        <v>2</v>
      </c>
      <c r="F12" s="375"/>
      <c r="G12" s="364"/>
      <c r="H12" s="364"/>
      <c r="I12" s="364"/>
      <c r="J12" s="364"/>
      <c r="K12" s="364"/>
      <c r="L12" s="338"/>
      <c r="M12" s="338"/>
      <c r="N12" s="338"/>
      <c r="O12" s="338"/>
      <c r="P12" s="338"/>
    </row>
    <row r="13" spans="1:16" s="321" customFormat="1" ht="10.5" x14ac:dyDescent="0.15">
      <c r="A13" s="373" t="s">
        <v>10</v>
      </c>
      <c r="B13" s="370">
        <f t="shared" si="0"/>
        <v>9</v>
      </c>
      <c r="C13" s="374">
        <v>4</v>
      </c>
      <c r="D13" s="374">
        <v>5</v>
      </c>
      <c r="F13" s="375"/>
      <c r="G13" s="364"/>
      <c r="H13" s="364"/>
      <c r="I13" s="364"/>
      <c r="J13" s="364"/>
      <c r="K13" s="364"/>
      <c r="L13" s="338"/>
      <c r="M13" s="338"/>
      <c r="N13" s="338"/>
      <c r="O13" s="338"/>
      <c r="P13" s="338"/>
    </row>
    <row r="14" spans="1:16" s="321" customFormat="1" ht="10.5" x14ac:dyDescent="0.15">
      <c r="A14" s="373" t="s">
        <v>11</v>
      </c>
      <c r="B14" s="370">
        <f t="shared" si="0"/>
        <v>344</v>
      </c>
      <c r="C14" s="374">
        <v>234</v>
      </c>
      <c r="D14" s="374">
        <v>110</v>
      </c>
      <c r="F14" s="375"/>
      <c r="G14" s="364"/>
      <c r="H14" s="364"/>
      <c r="I14" s="364"/>
      <c r="J14" s="364"/>
      <c r="K14" s="364"/>
      <c r="L14" s="338"/>
      <c r="M14" s="338"/>
      <c r="N14" s="338"/>
      <c r="O14" s="338"/>
      <c r="P14" s="338"/>
    </row>
    <row r="15" spans="1:16" s="321" customFormat="1" ht="10.5" x14ac:dyDescent="0.15">
      <c r="A15" s="373" t="s">
        <v>12</v>
      </c>
      <c r="B15" s="370">
        <f t="shared" si="0"/>
        <v>0</v>
      </c>
      <c r="C15" s="374">
        <v>0</v>
      </c>
      <c r="D15" s="374">
        <v>0</v>
      </c>
      <c r="F15" s="375"/>
      <c r="G15" s="364"/>
      <c r="H15" s="364"/>
      <c r="I15" s="364"/>
      <c r="J15" s="364"/>
      <c r="K15" s="364"/>
      <c r="L15" s="338"/>
      <c r="M15" s="338"/>
      <c r="N15" s="338"/>
      <c r="O15" s="338"/>
      <c r="P15" s="338"/>
    </row>
    <row r="16" spans="1:16" s="321" customFormat="1" ht="10.5" x14ac:dyDescent="0.15">
      <c r="A16" s="373" t="s">
        <v>13</v>
      </c>
      <c r="B16" s="370">
        <f t="shared" si="0"/>
        <v>0</v>
      </c>
      <c r="C16" s="374">
        <v>0</v>
      </c>
      <c r="D16" s="374">
        <v>0</v>
      </c>
      <c r="F16" s="375"/>
      <c r="G16" s="364"/>
      <c r="H16" s="364"/>
      <c r="I16" s="364"/>
      <c r="J16" s="364"/>
      <c r="K16" s="364"/>
      <c r="L16" s="338"/>
      <c r="M16" s="338"/>
      <c r="N16" s="338"/>
      <c r="O16" s="338"/>
      <c r="P16" s="338"/>
    </row>
    <row r="17" spans="1:18" s="321" customFormat="1" ht="10.5" x14ac:dyDescent="0.15">
      <c r="A17" s="373" t="s">
        <v>14</v>
      </c>
      <c r="B17" s="370">
        <f t="shared" si="0"/>
        <v>1</v>
      </c>
      <c r="C17" s="374">
        <v>0</v>
      </c>
      <c r="D17" s="374">
        <v>1</v>
      </c>
      <c r="F17" s="375"/>
      <c r="G17" s="364"/>
      <c r="H17" s="364"/>
      <c r="I17" s="364"/>
      <c r="J17" s="364"/>
      <c r="K17" s="364"/>
      <c r="L17" s="338"/>
      <c r="M17" s="338"/>
      <c r="N17" s="338"/>
      <c r="O17" s="338"/>
      <c r="P17" s="338"/>
    </row>
    <row r="18" spans="1:18" s="321" customFormat="1" ht="10.5" x14ac:dyDescent="0.15">
      <c r="A18" s="373" t="s">
        <v>15</v>
      </c>
      <c r="B18" s="370">
        <f t="shared" si="0"/>
        <v>2</v>
      </c>
      <c r="C18" s="374">
        <v>1</v>
      </c>
      <c r="D18" s="374">
        <v>1</v>
      </c>
      <c r="F18" s="375"/>
      <c r="G18" s="364"/>
      <c r="H18" s="364"/>
      <c r="I18" s="364"/>
      <c r="J18" s="364"/>
      <c r="K18" s="364"/>
      <c r="L18" s="338"/>
      <c r="M18" s="338"/>
      <c r="N18" s="338"/>
      <c r="O18" s="338"/>
      <c r="P18" s="338"/>
    </row>
    <row r="19" spans="1:18" s="321" customFormat="1" ht="10.5" x14ac:dyDescent="0.15">
      <c r="A19" s="373" t="s">
        <v>16</v>
      </c>
      <c r="B19" s="370">
        <f t="shared" si="0"/>
        <v>0</v>
      </c>
      <c r="C19" s="374">
        <v>0</v>
      </c>
      <c r="D19" s="374">
        <v>0</v>
      </c>
      <c r="F19" s="375"/>
      <c r="G19" s="364"/>
      <c r="H19" s="364"/>
      <c r="I19" s="364"/>
      <c r="J19" s="364"/>
      <c r="K19" s="364"/>
      <c r="L19" s="338"/>
      <c r="M19" s="338"/>
      <c r="N19" s="338"/>
      <c r="O19" s="338"/>
      <c r="P19" s="338"/>
    </row>
    <row r="20" spans="1:18" s="321" customFormat="1" ht="10.5" x14ac:dyDescent="0.15">
      <c r="A20" s="373" t="s">
        <v>17</v>
      </c>
      <c r="B20" s="370">
        <f t="shared" si="0"/>
        <v>4</v>
      </c>
      <c r="C20" s="374">
        <v>4</v>
      </c>
      <c r="D20" s="374">
        <v>0</v>
      </c>
      <c r="F20" s="375"/>
      <c r="G20" s="364"/>
      <c r="H20" s="364"/>
      <c r="I20" s="364"/>
      <c r="J20" s="364"/>
      <c r="K20" s="364"/>
      <c r="L20" s="338"/>
      <c r="M20" s="338"/>
      <c r="N20" s="338"/>
      <c r="O20" s="338"/>
      <c r="P20" s="338"/>
    </row>
    <row r="21" spans="1:18" s="321" customFormat="1" ht="10.5" x14ac:dyDescent="0.15">
      <c r="A21" s="373" t="s">
        <v>18</v>
      </c>
      <c r="B21" s="370">
        <f t="shared" si="0"/>
        <v>0</v>
      </c>
      <c r="C21" s="374">
        <v>0</v>
      </c>
      <c r="D21" s="374">
        <v>0</v>
      </c>
      <c r="F21" s="375"/>
      <c r="G21" s="364"/>
      <c r="H21" s="364"/>
      <c r="I21" s="364"/>
      <c r="J21" s="364"/>
      <c r="K21" s="364"/>
      <c r="L21" s="338"/>
      <c r="M21" s="338"/>
      <c r="N21" s="338"/>
      <c r="O21" s="338"/>
      <c r="P21" s="338"/>
    </row>
    <row r="22" spans="1:18" s="321" customFormat="1" ht="10.5" x14ac:dyDescent="0.15">
      <c r="A22" s="373" t="s">
        <v>19</v>
      </c>
      <c r="B22" s="370">
        <f t="shared" si="0"/>
        <v>1</v>
      </c>
      <c r="C22" s="374">
        <v>1</v>
      </c>
      <c r="D22" s="374">
        <v>0</v>
      </c>
      <c r="F22" s="375"/>
      <c r="G22" s="364"/>
      <c r="H22" s="364"/>
      <c r="I22" s="364"/>
      <c r="J22" s="364"/>
      <c r="K22" s="364"/>
      <c r="L22" s="338"/>
      <c r="M22" s="338"/>
      <c r="N22" s="338"/>
      <c r="O22" s="338"/>
      <c r="P22" s="338"/>
    </row>
    <row r="23" spans="1:18" s="321" customFormat="1" ht="6.75" customHeight="1" x14ac:dyDescent="0.15">
      <c r="A23" s="2611"/>
      <c r="B23" s="2611"/>
      <c r="C23" s="2611"/>
      <c r="D23" s="2611"/>
      <c r="F23" s="375"/>
      <c r="G23" s="364"/>
      <c r="H23" s="364"/>
      <c r="I23" s="364"/>
      <c r="J23" s="364"/>
      <c r="K23" s="364"/>
      <c r="L23" s="338"/>
      <c r="M23" s="338"/>
      <c r="N23" s="338"/>
      <c r="O23" s="338"/>
      <c r="P23" s="338"/>
    </row>
    <row r="24" spans="1:18" s="378" customFormat="1" ht="11.25" customHeight="1" x14ac:dyDescent="0.15">
      <c r="A24" s="2606" t="s">
        <v>20</v>
      </c>
      <c r="B24" s="2606"/>
      <c r="C24" s="2606"/>
      <c r="D24" s="2606"/>
      <c r="E24" s="376"/>
      <c r="F24" s="376"/>
      <c r="G24" s="376"/>
      <c r="H24" s="376"/>
      <c r="I24" s="376"/>
      <c r="J24" s="376"/>
      <c r="K24" s="376"/>
      <c r="L24" s="377"/>
      <c r="M24" s="377"/>
      <c r="N24" s="377"/>
      <c r="O24" s="377"/>
      <c r="P24" s="377"/>
      <c r="Q24" s="377"/>
      <c r="R24" s="377"/>
    </row>
    <row r="25" spans="1:18" s="321" customFormat="1" ht="10.5" x14ac:dyDescent="0.15">
      <c r="A25" s="2612" t="s">
        <v>1378</v>
      </c>
      <c r="B25" s="2612"/>
      <c r="C25" s="2612"/>
      <c r="D25" s="2612"/>
      <c r="F25" s="379"/>
      <c r="G25" s="363"/>
      <c r="H25" s="363"/>
      <c r="I25" s="363"/>
      <c r="J25" s="363"/>
      <c r="K25" s="363"/>
    </row>
    <row r="26" spans="1:18" s="321" customFormat="1" ht="10.5" x14ac:dyDescent="0.15">
      <c r="A26" s="380"/>
      <c r="B26" s="380"/>
      <c r="F26" s="337"/>
      <c r="G26" s="337"/>
      <c r="H26" s="337"/>
      <c r="I26" s="337"/>
      <c r="J26" s="337"/>
      <c r="K26" s="337"/>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S26"/>
  <sheetViews>
    <sheetView zoomScaleNormal="100" workbookViewId="0">
      <selection activeCell="A2" sqref="A2:O2"/>
    </sheetView>
  </sheetViews>
  <sheetFormatPr baseColWidth="10" defaultRowHeight="12.75" x14ac:dyDescent="0.2"/>
  <cols>
    <col min="1" max="1" width="18.5703125" style="381" customWidth="1"/>
    <col min="2" max="16384" width="11.42578125" style="381"/>
  </cols>
  <sheetData>
    <row r="1" spans="1:17" ht="15.75" x14ac:dyDescent="0.2">
      <c r="A1" s="382"/>
    </row>
    <row r="2" spans="1:17" s="321" customFormat="1" ht="33.75" customHeight="1" x14ac:dyDescent="0.15">
      <c r="A2" s="2613" t="s">
        <v>1379</v>
      </c>
      <c r="B2" s="2613"/>
      <c r="C2" s="2613"/>
      <c r="D2" s="2613"/>
      <c r="E2" s="337"/>
      <c r="H2" s="379"/>
      <c r="I2" s="363"/>
      <c r="J2" s="363"/>
      <c r="K2" s="363"/>
      <c r="L2" s="363"/>
      <c r="M2" s="363"/>
      <c r="N2" s="383"/>
      <c r="O2" s="383"/>
      <c r="P2" s="383"/>
      <c r="Q2" s="383"/>
    </row>
    <row r="3" spans="1:17" s="321" customFormat="1" ht="10.5" x14ac:dyDescent="0.15">
      <c r="A3" s="2614"/>
      <c r="B3" s="2614"/>
      <c r="C3" s="2614"/>
      <c r="D3" s="2614"/>
      <c r="E3" s="319"/>
      <c r="H3" s="379"/>
      <c r="I3" s="363"/>
      <c r="J3" s="363"/>
      <c r="K3" s="363"/>
      <c r="L3" s="363"/>
      <c r="M3" s="363"/>
      <c r="N3" s="319"/>
      <c r="O3" s="319"/>
      <c r="P3" s="319"/>
      <c r="Q3" s="319"/>
    </row>
    <row r="4" spans="1:17" s="366" customFormat="1" ht="14.25" customHeight="1" x14ac:dyDescent="0.25">
      <c r="A4" s="2615" t="s">
        <v>1</v>
      </c>
      <c r="B4" s="2615" t="s">
        <v>69</v>
      </c>
      <c r="C4" s="2589" t="s">
        <v>1380</v>
      </c>
      <c r="D4" s="2589"/>
      <c r="E4" s="384"/>
      <c r="H4" s="385"/>
      <c r="I4" s="384"/>
      <c r="J4" s="384"/>
      <c r="K4" s="384"/>
      <c r="L4" s="384"/>
      <c r="M4" s="384"/>
      <c r="N4" s="384"/>
      <c r="O4" s="384"/>
      <c r="P4" s="384"/>
      <c r="Q4" s="384"/>
    </row>
    <row r="5" spans="1:17" s="366" customFormat="1" ht="14.25" customHeight="1" x14ac:dyDescent="0.25">
      <c r="A5" s="2615"/>
      <c r="B5" s="2615"/>
      <c r="C5" s="2589" t="s">
        <v>1377</v>
      </c>
      <c r="D5" s="2589"/>
      <c r="E5" s="384"/>
      <c r="H5" s="385"/>
      <c r="I5" s="384"/>
      <c r="J5" s="384"/>
      <c r="K5" s="384"/>
      <c r="L5" s="384"/>
      <c r="M5" s="384"/>
      <c r="N5" s="384"/>
      <c r="O5" s="384"/>
      <c r="P5" s="384"/>
      <c r="Q5" s="384"/>
    </row>
    <row r="6" spans="1:17" s="366" customFormat="1" ht="14.25" customHeight="1" x14ac:dyDescent="0.25">
      <c r="A6" s="2615"/>
      <c r="B6" s="2615"/>
      <c r="C6" s="365" t="s">
        <v>966</v>
      </c>
      <c r="D6" s="365" t="s">
        <v>967</v>
      </c>
      <c r="E6" s="384"/>
      <c r="H6" s="385"/>
      <c r="I6" s="385"/>
      <c r="J6" s="385"/>
      <c r="K6" s="384"/>
      <c r="L6" s="384"/>
      <c r="M6" s="384"/>
      <c r="N6" s="384"/>
      <c r="O6" s="384"/>
      <c r="P6" s="384"/>
      <c r="Q6" s="384"/>
    </row>
    <row r="7" spans="1:17" s="321" customFormat="1" ht="10.5" x14ac:dyDescent="0.15">
      <c r="A7" s="369" t="s">
        <v>141</v>
      </c>
      <c r="B7" s="370">
        <f>SUM(C7:D7)</f>
        <v>13</v>
      </c>
      <c r="C7" s="386">
        <f>SUM(C8:C22)</f>
        <v>5</v>
      </c>
      <c r="D7" s="386">
        <f>SUM(D8:D22)</f>
        <v>8</v>
      </c>
      <c r="H7" s="387"/>
      <c r="I7" s="363"/>
      <c r="J7" s="363"/>
      <c r="K7" s="363"/>
      <c r="L7" s="363"/>
      <c r="M7" s="363"/>
      <c r="N7" s="319"/>
      <c r="O7" s="319"/>
      <c r="P7" s="319"/>
      <c r="Q7" s="319"/>
    </row>
    <row r="8" spans="1:17" s="321" customFormat="1" ht="12.75" customHeight="1" x14ac:dyDescent="0.15">
      <c r="A8" s="388" t="s">
        <v>5</v>
      </c>
      <c r="B8" s="370">
        <f t="shared" ref="B8:B22" si="0">SUM(C8:D8)</f>
        <v>0</v>
      </c>
      <c r="C8" s="389">
        <v>0</v>
      </c>
      <c r="D8" s="389">
        <v>0</v>
      </c>
      <c r="H8" s="375"/>
      <c r="I8" s="363"/>
      <c r="J8" s="363"/>
      <c r="K8" s="363"/>
      <c r="L8" s="363"/>
      <c r="M8" s="363"/>
      <c r="N8" s="319"/>
      <c r="O8" s="319"/>
      <c r="P8" s="319"/>
      <c r="Q8" s="319"/>
    </row>
    <row r="9" spans="1:17" s="321" customFormat="1" ht="12.75" customHeight="1" x14ac:dyDescent="0.15">
      <c r="A9" s="388" t="s">
        <v>6</v>
      </c>
      <c r="B9" s="370">
        <f t="shared" si="0"/>
        <v>0</v>
      </c>
      <c r="C9" s="389">
        <v>0</v>
      </c>
      <c r="D9" s="389">
        <v>0</v>
      </c>
      <c r="H9" s="375"/>
      <c r="I9" s="363"/>
      <c r="J9" s="363"/>
      <c r="K9" s="363"/>
      <c r="L9" s="363"/>
      <c r="M9" s="363"/>
      <c r="N9" s="319"/>
      <c r="O9" s="319"/>
      <c r="P9" s="319"/>
      <c r="Q9" s="319"/>
    </row>
    <row r="10" spans="1:17" s="321" customFormat="1" ht="12.75" customHeight="1" x14ac:dyDescent="0.15">
      <c r="A10" s="388" t="s">
        <v>7</v>
      </c>
      <c r="B10" s="370">
        <f t="shared" si="0"/>
        <v>0</v>
      </c>
      <c r="C10" s="389">
        <v>0</v>
      </c>
      <c r="D10" s="389">
        <v>0</v>
      </c>
      <c r="H10" s="375"/>
      <c r="I10" s="363"/>
      <c r="J10" s="363"/>
      <c r="K10" s="363"/>
      <c r="L10" s="363"/>
      <c r="M10" s="363"/>
      <c r="N10" s="319"/>
      <c r="O10" s="319"/>
      <c r="P10" s="319"/>
      <c r="Q10" s="319"/>
    </row>
    <row r="11" spans="1:17" s="321" customFormat="1" ht="12.75" customHeight="1" x14ac:dyDescent="0.15">
      <c r="A11" s="388" t="s">
        <v>8</v>
      </c>
      <c r="B11" s="370">
        <f t="shared" si="0"/>
        <v>0</v>
      </c>
      <c r="C11" s="389">
        <v>0</v>
      </c>
      <c r="D11" s="389">
        <v>0</v>
      </c>
      <c r="H11" s="375"/>
      <c r="I11" s="363"/>
      <c r="J11" s="363"/>
      <c r="K11" s="363"/>
      <c r="L11" s="363"/>
      <c r="M11" s="363"/>
      <c r="N11" s="319"/>
      <c r="O11" s="319"/>
      <c r="P11" s="319"/>
      <c r="Q11" s="319"/>
    </row>
    <row r="12" spans="1:17" s="321" customFormat="1" ht="12.75" customHeight="1" x14ac:dyDescent="0.15">
      <c r="A12" s="388" t="s">
        <v>9</v>
      </c>
      <c r="B12" s="370">
        <f t="shared" si="0"/>
        <v>0</v>
      </c>
      <c r="C12" s="389">
        <v>0</v>
      </c>
      <c r="D12" s="389">
        <v>0</v>
      </c>
      <c r="H12" s="375"/>
      <c r="I12" s="363"/>
      <c r="J12" s="363"/>
      <c r="K12" s="363"/>
      <c r="L12" s="363"/>
      <c r="M12" s="363"/>
      <c r="N12" s="319"/>
      <c r="O12" s="319"/>
      <c r="P12" s="319"/>
      <c r="Q12" s="319"/>
    </row>
    <row r="13" spans="1:17" s="321" customFormat="1" ht="12.75" customHeight="1" x14ac:dyDescent="0.15">
      <c r="A13" s="388" t="s">
        <v>10</v>
      </c>
      <c r="B13" s="370">
        <f t="shared" si="0"/>
        <v>0</v>
      </c>
      <c r="C13" s="389">
        <v>0</v>
      </c>
      <c r="D13" s="389">
        <v>0</v>
      </c>
      <c r="H13" s="375"/>
      <c r="I13" s="363"/>
      <c r="J13" s="363"/>
      <c r="K13" s="363"/>
      <c r="L13" s="363"/>
      <c r="M13" s="363"/>
    </row>
    <row r="14" spans="1:17" s="321" customFormat="1" ht="12.75" customHeight="1" x14ac:dyDescent="0.15">
      <c r="A14" s="388" t="s">
        <v>11</v>
      </c>
      <c r="B14" s="370">
        <f t="shared" si="0"/>
        <v>10</v>
      </c>
      <c r="C14" s="389">
        <v>4</v>
      </c>
      <c r="D14" s="389">
        <v>6</v>
      </c>
      <c r="H14" s="375"/>
      <c r="I14" s="363"/>
      <c r="J14" s="363"/>
      <c r="K14" s="363"/>
      <c r="L14" s="363"/>
      <c r="M14" s="363"/>
    </row>
    <row r="15" spans="1:17" s="321" customFormat="1" ht="12.75" customHeight="1" x14ac:dyDescent="0.15">
      <c r="A15" s="388" t="s">
        <v>12</v>
      </c>
      <c r="B15" s="370">
        <f t="shared" si="0"/>
        <v>0</v>
      </c>
      <c r="C15" s="389">
        <v>0</v>
      </c>
      <c r="D15" s="389">
        <v>0</v>
      </c>
      <c r="H15" s="375"/>
      <c r="I15" s="363"/>
      <c r="J15" s="363"/>
      <c r="K15" s="363"/>
      <c r="L15" s="363"/>
      <c r="M15" s="363"/>
    </row>
    <row r="16" spans="1:17" s="321" customFormat="1" ht="12.75" customHeight="1" x14ac:dyDescent="0.15">
      <c r="A16" s="388" t="s">
        <v>13</v>
      </c>
      <c r="B16" s="370">
        <f t="shared" si="0"/>
        <v>0</v>
      </c>
      <c r="C16" s="389">
        <v>0</v>
      </c>
      <c r="D16" s="389">
        <v>0</v>
      </c>
      <c r="H16" s="375"/>
      <c r="I16" s="363"/>
      <c r="J16" s="363"/>
      <c r="K16" s="363"/>
      <c r="L16" s="363"/>
      <c r="M16" s="363"/>
    </row>
    <row r="17" spans="1:19" s="321" customFormat="1" ht="12.75" customHeight="1" x14ac:dyDescent="0.15">
      <c r="A17" s="388" t="s">
        <v>14</v>
      </c>
      <c r="B17" s="370">
        <f t="shared" si="0"/>
        <v>1</v>
      </c>
      <c r="C17" s="389">
        <v>0</v>
      </c>
      <c r="D17" s="389">
        <v>1</v>
      </c>
      <c r="H17" s="375"/>
      <c r="I17" s="363"/>
      <c r="J17" s="363"/>
      <c r="K17" s="363"/>
      <c r="L17" s="363"/>
      <c r="M17" s="363"/>
    </row>
    <row r="18" spans="1:19" s="321" customFormat="1" ht="12.75" customHeight="1" x14ac:dyDescent="0.15">
      <c r="A18" s="388" t="s">
        <v>15</v>
      </c>
      <c r="B18" s="370">
        <f t="shared" si="0"/>
        <v>1</v>
      </c>
      <c r="C18" s="389">
        <v>0</v>
      </c>
      <c r="D18" s="389">
        <v>1</v>
      </c>
      <c r="H18" s="375"/>
      <c r="I18" s="363"/>
      <c r="J18" s="363"/>
      <c r="K18" s="363"/>
      <c r="L18" s="363"/>
      <c r="M18" s="363"/>
    </row>
    <row r="19" spans="1:19" s="321" customFormat="1" ht="12.75" customHeight="1" x14ac:dyDescent="0.15">
      <c r="A19" s="388" t="s">
        <v>16</v>
      </c>
      <c r="B19" s="370">
        <f t="shared" si="0"/>
        <v>0</v>
      </c>
      <c r="C19" s="389">
        <v>0</v>
      </c>
      <c r="D19" s="389">
        <v>0</v>
      </c>
      <c r="H19" s="375"/>
      <c r="I19" s="363"/>
      <c r="J19" s="363"/>
      <c r="K19" s="363"/>
      <c r="L19" s="363"/>
      <c r="M19" s="363"/>
    </row>
    <row r="20" spans="1:19" s="321" customFormat="1" ht="12.75" customHeight="1" x14ac:dyDescent="0.15">
      <c r="A20" s="388" t="s">
        <v>17</v>
      </c>
      <c r="B20" s="370">
        <f t="shared" si="0"/>
        <v>1</v>
      </c>
      <c r="C20" s="389">
        <v>1</v>
      </c>
      <c r="D20" s="389">
        <v>0</v>
      </c>
      <c r="H20" s="375"/>
      <c r="I20" s="363"/>
      <c r="J20" s="363"/>
      <c r="K20" s="363"/>
      <c r="L20" s="363"/>
      <c r="M20" s="363"/>
    </row>
    <row r="21" spans="1:19" s="321" customFormat="1" ht="12.75" customHeight="1" x14ac:dyDescent="0.15">
      <c r="A21" s="388" t="s">
        <v>18</v>
      </c>
      <c r="B21" s="370">
        <f t="shared" si="0"/>
        <v>0</v>
      </c>
      <c r="C21" s="389">
        <v>0</v>
      </c>
      <c r="D21" s="389">
        <v>0</v>
      </c>
      <c r="H21" s="375"/>
      <c r="I21" s="363"/>
      <c r="J21" s="363"/>
      <c r="K21" s="363"/>
      <c r="L21" s="363"/>
      <c r="M21" s="363"/>
    </row>
    <row r="22" spans="1:19" s="321" customFormat="1" ht="12.75" customHeight="1" x14ac:dyDescent="0.15">
      <c r="A22" s="388" t="s">
        <v>19</v>
      </c>
      <c r="B22" s="370">
        <f t="shared" si="0"/>
        <v>0</v>
      </c>
      <c r="C22" s="389">
        <v>0</v>
      </c>
      <c r="D22" s="389">
        <v>0</v>
      </c>
      <c r="H22" s="375"/>
      <c r="I22" s="363"/>
      <c r="J22" s="363"/>
      <c r="K22" s="363"/>
      <c r="L22" s="363"/>
      <c r="M22" s="363"/>
    </row>
    <row r="23" spans="1:19" s="321" customFormat="1" ht="11.25" customHeight="1" x14ac:dyDescent="0.15">
      <c r="A23" s="2611"/>
      <c r="B23" s="2611"/>
      <c r="C23" s="2611"/>
      <c r="D23" s="2611"/>
      <c r="H23" s="375"/>
      <c r="I23" s="363"/>
      <c r="J23" s="363"/>
      <c r="K23" s="363"/>
      <c r="L23" s="363"/>
      <c r="M23" s="363"/>
    </row>
    <row r="24" spans="1:19" s="378" customFormat="1" ht="11.25" customHeight="1" x14ac:dyDescent="0.15">
      <c r="A24" s="2606" t="s">
        <v>20</v>
      </c>
      <c r="B24" s="2606"/>
      <c r="C24" s="2606"/>
      <c r="D24" s="2606"/>
      <c r="E24" s="376"/>
      <c r="F24" s="376"/>
      <c r="G24" s="376"/>
      <c r="H24" s="376"/>
      <c r="I24" s="376"/>
      <c r="J24" s="376"/>
      <c r="K24" s="376"/>
      <c r="L24" s="376"/>
      <c r="M24" s="377"/>
      <c r="N24" s="377"/>
      <c r="O24" s="377"/>
      <c r="P24" s="377"/>
      <c r="Q24" s="377"/>
      <c r="R24" s="377"/>
      <c r="S24" s="377"/>
    </row>
    <row r="25" spans="1:19" s="321" customFormat="1" ht="15" customHeight="1" x14ac:dyDescent="0.15">
      <c r="A25" s="2612" t="s">
        <v>1378</v>
      </c>
      <c r="B25" s="2612"/>
      <c r="C25" s="2612"/>
      <c r="D25" s="2612"/>
      <c r="H25" s="379"/>
      <c r="I25" s="363"/>
      <c r="J25" s="363"/>
      <c r="K25" s="363"/>
      <c r="L25" s="363"/>
      <c r="M25" s="363"/>
    </row>
    <row r="26" spans="1:19" s="321" customFormat="1" ht="10.5" x14ac:dyDescent="0.15">
      <c r="A26" s="390"/>
      <c r="B26" s="390"/>
      <c r="C26" s="390"/>
      <c r="D26" s="390"/>
      <c r="H26" s="379"/>
      <c r="I26" s="363"/>
      <c r="J26" s="363"/>
      <c r="K26" s="363"/>
      <c r="L26" s="363"/>
      <c r="M26" s="363"/>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M11"/>
  <sheetViews>
    <sheetView zoomScaleNormal="100" workbookViewId="0">
      <selection activeCell="A2" sqref="A2:O2"/>
    </sheetView>
  </sheetViews>
  <sheetFormatPr baseColWidth="10" defaultRowHeight="12.75" x14ac:dyDescent="0.2"/>
  <cols>
    <col min="1" max="1" width="24.85546875" style="381" customWidth="1"/>
    <col min="2" max="2" width="30.5703125" style="381" customWidth="1"/>
    <col min="3" max="16384" width="11.42578125" style="381"/>
  </cols>
  <sheetData>
    <row r="1" spans="1:13" s="321" customFormat="1" ht="10.5" x14ac:dyDescent="0.15">
      <c r="A1" s="361"/>
      <c r="B1" s="390"/>
      <c r="C1" s="390"/>
      <c r="D1" s="390"/>
      <c r="H1" s="379"/>
      <c r="I1" s="363"/>
      <c r="J1" s="363"/>
      <c r="K1" s="363"/>
      <c r="L1" s="363"/>
      <c r="M1" s="363"/>
    </row>
    <row r="2" spans="1:13" s="321" customFormat="1" ht="31.5" customHeight="1" x14ac:dyDescent="0.15">
      <c r="A2" s="2619" t="s">
        <v>1381</v>
      </c>
      <c r="B2" s="2619"/>
      <c r="C2" s="2619"/>
      <c r="D2" s="2619"/>
      <c r="E2" s="2619"/>
      <c r="F2" s="2619"/>
      <c r="H2" s="363"/>
      <c r="I2" s="363"/>
      <c r="J2" s="363"/>
      <c r="K2" s="363"/>
      <c r="L2" s="363"/>
      <c r="M2" s="363"/>
    </row>
    <row r="3" spans="1:13" s="321" customFormat="1" ht="10.5" x14ac:dyDescent="0.15">
      <c r="A3" s="2620"/>
      <c r="B3" s="2620"/>
      <c r="C3" s="2620"/>
      <c r="D3" s="2620"/>
      <c r="E3" s="2620"/>
      <c r="F3" s="2620"/>
      <c r="H3" s="363"/>
      <c r="I3" s="363"/>
      <c r="J3" s="363"/>
      <c r="K3" s="363"/>
      <c r="L3" s="363"/>
      <c r="M3" s="363"/>
    </row>
    <row r="4" spans="1:13" s="321" customFormat="1" ht="15.75" customHeight="1" x14ac:dyDescent="0.15">
      <c r="A4" s="2589" t="s">
        <v>1382</v>
      </c>
      <c r="B4" s="2589" t="s">
        <v>2</v>
      </c>
      <c r="C4" s="2589"/>
      <c r="D4" s="2589"/>
      <c r="E4" s="2589"/>
      <c r="F4" s="2589"/>
      <c r="G4" s="391"/>
      <c r="H4" s="363"/>
      <c r="I4" s="363"/>
      <c r="J4" s="363"/>
      <c r="K4" s="363"/>
    </row>
    <row r="5" spans="1:13" s="321" customFormat="1" ht="15.75" customHeight="1" x14ac:dyDescent="0.15">
      <c r="A5" s="2589"/>
      <c r="B5" s="392">
        <v>2011</v>
      </c>
      <c r="C5" s="392">
        <v>2012</v>
      </c>
      <c r="D5" s="392">
        <v>2013</v>
      </c>
      <c r="E5" s="392">
        <v>2014</v>
      </c>
      <c r="F5" s="393" t="s">
        <v>166</v>
      </c>
      <c r="G5" s="391"/>
      <c r="H5" s="363"/>
      <c r="I5" s="363"/>
      <c r="J5" s="363"/>
      <c r="K5" s="363"/>
    </row>
    <row r="6" spans="1:13" s="321" customFormat="1" ht="12.75" customHeight="1" x14ac:dyDescent="0.15">
      <c r="A6" s="369" t="s">
        <v>141</v>
      </c>
      <c r="B6" s="394">
        <f t="shared" ref="B6:E6" si="0">SUM(B7:B8)</f>
        <v>26</v>
      </c>
      <c r="C6" s="394">
        <f t="shared" si="0"/>
        <v>16</v>
      </c>
      <c r="D6" s="394">
        <f t="shared" si="0"/>
        <v>33</v>
      </c>
      <c r="E6" s="394">
        <f t="shared" si="0"/>
        <v>33</v>
      </c>
      <c r="F6" s="394">
        <f>SUM(F7:F8)</f>
        <v>476</v>
      </c>
      <c r="G6" s="363"/>
      <c r="H6" s="363"/>
      <c r="I6" s="363"/>
      <c r="J6" s="363"/>
      <c r="K6" s="363"/>
    </row>
    <row r="7" spans="1:13" s="321" customFormat="1" ht="12.75" customHeight="1" x14ac:dyDescent="0.15">
      <c r="A7" s="380" t="s">
        <v>131</v>
      </c>
      <c r="B7" s="319">
        <v>18</v>
      </c>
      <c r="C7" s="319">
        <v>10</v>
      </c>
      <c r="D7" s="319">
        <v>12</v>
      </c>
      <c r="E7" s="319">
        <v>10</v>
      </c>
      <c r="F7" s="319">
        <v>32</v>
      </c>
      <c r="G7" s="363"/>
      <c r="H7" s="363"/>
      <c r="I7" s="363"/>
      <c r="J7" s="363"/>
      <c r="K7" s="363"/>
    </row>
    <row r="8" spans="1:13" s="321" customFormat="1" ht="12.75" customHeight="1" x14ac:dyDescent="0.15">
      <c r="A8" s="380" t="s">
        <v>953</v>
      </c>
      <c r="B8" s="319">
        <v>8</v>
      </c>
      <c r="C8" s="319">
        <v>6</v>
      </c>
      <c r="D8" s="319">
        <v>21</v>
      </c>
      <c r="E8" s="319">
        <v>23</v>
      </c>
      <c r="F8" s="319">
        <v>444</v>
      </c>
      <c r="G8" s="363"/>
      <c r="H8" s="363"/>
      <c r="I8" s="363"/>
      <c r="J8" s="363"/>
      <c r="K8" s="363"/>
    </row>
    <row r="9" spans="1:13" s="321" customFormat="1" ht="11.25" customHeight="1" x14ac:dyDescent="0.15">
      <c r="A9" s="2612"/>
      <c r="B9" s="2612"/>
      <c r="C9" s="2612"/>
      <c r="D9" s="2612"/>
      <c r="E9" s="2612"/>
      <c r="F9" s="2612"/>
      <c r="G9" s="363"/>
      <c r="H9" s="363"/>
      <c r="I9" s="363"/>
      <c r="J9" s="363"/>
      <c r="K9" s="363"/>
    </row>
    <row r="10" spans="1:13" s="321" customFormat="1" ht="26.25" customHeight="1" x14ac:dyDescent="0.15">
      <c r="A10" s="2621" t="s">
        <v>1383</v>
      </c>
      <c r="B10" s="2621"/>
      <c r="C10" s="2621"/>
      <c r="D10" s="2621"/>
      <c r="E10" s="2621"/>
      <c r="F10" s="2621"/>
      <c r="G10" s="363"/>
      <c r="H10" s="363"/>
      <c r="I10" s="363"/>
      <c r="J10" s="363"/>
      <c r="K10" s="363"/>
    </row>
    <row r="11" spans="1:13" s="321" customFormat="1" ht="10.5" x14ac:dyDescent="0.15">
      <c r="A11" s="2618" t="s">
        <v>1378</v>
      </c>
      <c r="B11" s="2618"/>
      <c r="C11" s="2618"/>
      <c r="D11" s="2618"/>
      <c r="E11" s="2618"/>
      <c r="F11" s="2618"/>
      <c r="K11" s="395"/>
      <c r="L11" s="380"/>
    </row>
  </sheetData>
  <mergeCells count="7">
    <mergeCell ref="A11:F11"/>
    <mergeCell ref="A2:F2"/>
    <mergeCell ref="A3:F3"/>
    <mergeCell ref="A4:A5"/>
    <mergeCell ref="B4:F4"/>
    <mergeCell ref="A9:F9"/>
    <mergeCell ref="A10:F10"/>
  </mergeCells>
  <pageMargins left="0.7" right="0.7" top="0.75" bottom="0.75" header="0.3" footer="0.3"/>
  <pageSetup paperSize="14"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R14"/>
  <sheetViews>
    <sheetView zoomScaleNormal="100" workbookViewId="0">
      <selection activeCell="M16" sqref="M16"/>
    </sheetView>
  </sheetViews>
  <sheetFormatPr baseColWidth="10" defaultRowHeight="12.75" x14ac:dyDescent="0.2"/>
  <cols>
    <col min="1" max="1" width="32.42578125" style="381" customWidth="1"/>
    <col min="2" max="16384" width="11.42578125" style="381"/>
  </cols>
  <sheetData>
    <row r="1" spans="1:18" s="321" customFormat="1" ht="10.5" x14ac:dyDescent="0.15">
      <c r="A1" s="361"/>
    </row>
    <row r="2" spans="1:18" s="321" customFormat="1" ht="36" customHeight="1" x14ac:dyDescent="0.15">
      <c r="A2" s="2625" t="s">
        <v>1384</v>
      </c>
      <c r="B2" s="2625"/>
      <c r="C2" s="2625"/>
      <c r="D2" s="2625"/>
      <c r="E2" s="2625"/>
      <c r="F2" s="2625"/>
      <c r="G2" s="363"/>
      <c r="H2" s="363"/>
      <c r="I2" s="363"/>
      <c r="J2" s="363"/>
      <c r="K2" s="363"/>
      <c r="L2" s="363"/>
    </row>
    <row r="3" spans="1:18" s="321" customFormat="1" ht="12" customHeight="1" x14ac:dyDescent="0.15">
      <c r="A3" s="2626"/>
      <c r="B3" s="2626"/>
      <c r="C3" s="2626"/>
      <c r="D3" s="2626"/>
      <c r="E3" s="2626"/>
      <c r="F3" s="2626"/>
      <c r="G3" s="363"/>
      <c r="H3" s="363"/>
      <c r="I3" s="363"/>
      <c r="J3" s="363"/>
      <c r="K3" s="363"/>
      <c r="L3" s="363"/>
    </row>
    <row r="4" spans="1:18" s="321" customFormat="1" ht="12.75" customHeight="1" x14ac:dyDescent="0.15">
      <c r="A4" s="2615" t="s">
        <v>1385</v>
      </c>
      <c r="B4" s="2617" t="s">
        <v>2</v>
      </c>
      <c r="C4" s="2617"/>
      <c r="D4" s="2617"/>
      <c r="E4" s="2617"/>
      <c r="F4" s="2617"/>
      <c r="G4" s="363"/>
      <c r="H4" s="363"/>
      <c r="I4" s="363"/>
      <c r="J4" s="363"/>
      <c r="K4" s="363"/>
      <c r="L4" s="363"/>
    </row>
    <row r="5" spans="1:18" s="321" customFormat="1" ht="21.75" customHeight="1" x14ac:dyDescent="0.15">
      <c r="A5" s="2615"/>
      <c r="B5" s="340">
        <v>2011</v>
      </c>
      <c r="C5" s="340">
        <v>2012</v>
      </c>
      <c r="D5" s="340">
        <v>2013</v>
      </c>
      <c r="E5" s="340">
        <v>2014</v>
      </c>
      <c r="F5" s="340">
        <v>2015</v>
      </c>
      <c r="G5" s="363"/>
      <c r="H5" s="391"/>
      <c r="I5" s="391"/>
      <c r="J5" s="391"/>
      <c r="K5" s="391"/>
    </row>
    <row r="6" spans="1:18" s="321" customFormat="1" ht="15.75" customHeight="1" x14ac:dyDescent="0.15">
      <c r="A6" s="367" t="s">
        <v>141</v>
      </c>
      <c r="B6" s="394">
        <f t="shared" ref="B6:F6" si="0">SUM(B7:B8)</f>
        <v>26</v>
      </c>
      <c r="C6" s="394">
        <f t="shared" si="0"/>
        <v>16</v>
      </c>
      <c r="D6" s="394">
        <f t="shared" si="0"/>
        <v>17</v>
      </c>
      <c r="E6" s="394">
        <f t="shared" si="0"/>
        <v>33</v>
      </c>
      <c r="F6" s="394">
        <f t="shared" si="0"/>
        <v>23</v>
      </c>
      <c r="G6" s="363"/>
      <c r="H6" s="363"/>
      <c r="I6" s="363"/>
      <c r="J6" s="363"/>
      <c r="K6" s="363"/>
    </row>
    <row r="7" spans="1:18" s="321" customFormat="1" ht="15.75" customHeight="1" x14ac:dyDescent="0.15">
      <c r="A7" s="396" t="s">
        <v>1386</v>
      </c>
      <c r="B7" s="319">
        <v>26</v>
      </c>
      <c r="C7" s="319">
        <v>16</v>
      </c>
      <c r="D7" s="319">
        <v>15</v>
      </c>
      <c r="E7" s="319">
        <v>10</v>
      </c>
      <c r="F7" s="379">
        <v>21</v>
      </c>
      <c r="G7" s="379"/>
      <c r="H7" s="363"/>
      <c r="I7" s="363"/>
      <c r="J7" s="363"/>
      <c r="K7" s="363"/>
    </row>
    <row r="8" spans="1:18" s="321" customFormat="1" ht="15.75" customHeight="1" x14ac:dyDescent="0.15">
      <c r="A8" s="396" t="s">
        <v>1387</v>
      </c>
      <c r="B8" s="389">
        <v>0</v>
      </c>
      <c r="C8" s="389">
        <v>0</v>
      </c>
      <c r="D8" s="319">
        <v>2</v>
      </c>
      <c r="E8" s="319">
        <v>23</v>
      </c>
      <c r="F8" s="379">
        <v>2</v>
      </c>
      <c r="G8" s="379"/>
      <c r="H8" s="363"/>
      <c r="I8" s="363"/>
      <c r="J8" s="363"/>
      <c r="K8" s="363"/>
    </row>
    <row r="9" spans="1:18" s="321" customFormat="1" ht="10.5" x14ac:dyDescent="0.15">
      <c r="A9" s="2612"/>
      <c r="B9" s="2612"/>
      <c r="C9" s="2612"/>
      <c r="D9" s="2612"/>
      <c r="E9" s="2612"/>
      <c r="F9" s="2612"/>
      <c r="G9" s="363"/>
      <c r="H9" s="363"/>
      <c r="I9" s="363"/>
      <c r="J9" s="363"/>
      <c r="K9" s="363"/>
    </row>
    <row r="10" spans="1:18" s="366" customFormat="1" ht="23.25" customHeight="1" x14ac:dyDescent="0.25">
      <c r="A10" s="2624" t="s">
        <v>1388</v>
      </c>
      <c r="B10" s="2624"/>
      <c r="C10" s="2624"/>
      <c r="D10" s="2624"/>
      <c r="E10" s="2624"/>
      <c r="F10" s="2624"/>
      <c r="G10" s="385"/>
      <c r="H10" s="384"/>
      <c r="I10" s="384"/>
      <c r="J10" s="384"/>
      <c r="K10" s="384"/>
      <c r="L10" s="384"/>
    </row>
    <row r="11" spans="1:18" s="366" customFormat="1" ht="45" customHeight="1" x14ac:dyDescent="0.25">
      <c r="A11" s="2622" t="s">
        <v>1389</v>
      </c>
      <c r="B11" s="2622"/>
      <c r="C11" s="2622"/>
      <c r="D11" s="2622"/>
      <c r="E11" s="2622"/>
      <c r="F11" s="2622"/>
      <c r="G11" s="397"/>
      <c r="H11" s="398"/>
      <c r="I11" s="384"/>
      <c r="J11" s="384"/>
      <c r="K11" s="384"/>
      <c r="L11" s="384"/>
    </row>
    <row r="12" spans="1:18" s="400" customFormat="1" ht="15" customHeight="1" x14ac:dyDescent="0.25">
      <c r="A12" s="2623" t="s">
        <v>20</v>
      </c>
      <c r="B12" s="2623"/>
      <c r="C12" s="2623"/>
      <c r="D12" s="2623"/>
      <c r="E12" s="2623"/>
      <c r="F12" s="2623"/>
      <c r="G12" s="376"/>
      <c r="H12" s="376"/>
      <c r="I12" s="376"/>
      <c r="J12" s="376"/>
      <c r="K12" s="376"/>
      <c r="L12" s="399"/>
      <c r="M12" s="399"/>
      <c r="N12" s="399"/>
      <c r="O12" s="399"/>
      <c r="P12" s="399"/>
      <c r="Q12" s="399"/>
      <c r="R12" s="399"/>
    </row>
    <row r="13" spans="1:18" s="366" customFormat="1" ht="15.75" customHeight="1" x14ac:dyDescent="0.25">
      <c r="A13" s="2624" t="s">
        <v>1378</v>
      </c>
      <c r="B13" s="2624"/>
      <c r="C13" s="2624"/>
      <c r="D13" s="2624"/>
      <c r="E13" s="2624"/>
      <c r="F13" s="2624"/>
      <c r="G13" s="385"/>
      <c r="H13" s="384"/>
      <c r="I13" s="384"/>
      <c r="J13" s="384"/>
      <c r="K13" s="384"/>
      <c r="L13" s="384"/>
    </row>
    <row r="14" spans="1:18" s="321" customFormat="1" ht="10.5" x14ac:dyDescent="0.15"/>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R17"/>
  <sheetViews>
    <sheetView zoomScaleNormal="100" workbookViewId="0">
      <selection activeCell="K23" sqref="K23"/>
    </sheetView>
  </sheetViews>
  <sheetFormatPr baseColWidth="10" defaultRowHeight="12.75" x14ac:dyDescent="0.2"/>
  <cols>
    <col min="1" max="1" width="21.42578125" style="381" customWidth="1"/>
    <col min="2" max="6" width="14.140625" style="381" customWidth="1"/>
    <col min="7" max="16384" width="11.42578125" style="381"/>
  </cols>
  <sheetData>
    <row r="1" spans="1:18" ht="15.75" x14ac:dyDescent="0.2">
      <c r="A1" s="382"/>
    </row>
    <row r="2" spans="1:18" s="366" customFormat="1" ht="34.5" customHeight="1" x14ac:dyDescent="0.25">
      <c r="A2" s="2627" t="s">
        <v>1390</v>
      </c>
      <c r="B2" s="2627"/>
      <c r="C2" s="2627"/>
      <c r="D2" s="2627"/>
      <c r="E2" s="2627"/>
      <c r="F2" s="2627"/>
      <c r="I2" s="385"/>
      <c r="J2" s="384"/>
      <c r="K2" s="384"/>
      <c r="L2" s="384"/>
      <c r="M2" s="384"/>
      <c r="N2" s="384"/>
      <c r="O2" s="398"/>
      <c r="P2" s="398"/>
      <c r="Q2" s="398"/>
      <c r="R2" s="398"/>
    </row>
    <row r="3" spans="1:18" s="321" customFormat="1" ht="10.5" x14ac:dyDescent="0.15">
      <c r="A3" s="2628"/>
      <c r="B3" s="2628"/>
      <c r="C3" s="2628"/>
      <c r="D3" s="2628"/>
      <c r="E3" s="2628"/>
      <c r="F3" s="2628"/>
      <c r="I3" s="379"/>
      <c r="J3" s="363"/>
      <c r="K3" s="363"/>
      <c r="L3" s="363"/>
      <c r="M3" s="363"/>
      <c r="N3" s="363"/>
      <c r="O3" s="319"/>
      <c r="P3" s="319"/>
      <c r="Q3" s="319"/>
      <c r="R3" s="319"/>
    </row>
    <row r="4" spans="1:18" s="321" customFormat="1" ht="16.5" customHeight="1" x14ac:dyDescent="0.15">
      <c r="A4" s="2615" t="s">
        <v>1391</v>
      </c>
      <c r="B4" s="2589" t="s">
        <v>2</v>
      </c>
      <c r="C4" s="2589"/>
      <c r="D4" s="2589"/>
      <c r="E4" s="2589"/>
      <c r="F4" s="2589"/>
      <c r="H4" s="379"/>
      <c r="I4" s="363"/>
      <c r="J4" s="363"/>
      <c r="K4" s="363"/>
      <c r="L4" s="363"/>
      <c r="M4" s="363"/>
      <c r="N4" s="363"/>
      <c r="O4" s="363"/>
      <c r="P4" s="363"/>
      <c r="Q4" s="363"/>
    </row>
    <row r="5" spans="1:18" s="321" customFormat="1" ht="16.5" customHeight="1" x14ac:dyDescent="0.15">
      <c r="A5" s="2615"/>
      <c r="B5" s="340">
        <v>2011</v>
      </c>
      <c r="C5" s="340">
        <v>2012</v>
      </c>
      <c r="D5" s="340">
        <v>2013</v>
      </c>
      <c r="E5" s="340">
        <v>2014</v>
      </c>
      <c r="F5" s="340">
        <v>2015</v>
      </c>
      <c r="H5" s="379"/>
      <c r="I5" s="363"/>
      <c r="J5" s="363"/>
      <c r="K5" s="363"/>
      <c r="L5" s="363"/>
      <c r="M5" s="363"/>
      <c r="N5" s="319"/>
      <c r="O5" s="319"/>
      <c r="P5" s="319"/>
      <c r="Q5" s="319"/>
    </row>
    <row r="6" spans="1:18" s="321" customFormat="1" ht="18" customHeight="1" x14ac:dyDescent="0.15">
      <c r="A6" s="401" t="s">
        <v>141</v>
      </c>
      <c r="B6" s="402">
        <f>SUM(B7:B8)</f>
        <v>16073188</v>
      </c>
      <c r="C6" s="402">
        <f t="shared" ref="C6:F6" si="0">SUM(C7:C8)</f>
        <v>16993413</v>
      </c>
      <c r="D6" s="402">
        <f t="shared" si="0"/>
        <v>6539517</v>
      </c>
      <c r="E6" s="402">
        <f t="shared" si="0"/>
        <v>11597903</v>
      </c>
      <c r="F6" s="402">
        <f t="shared" si="0"/>
        <v>17852697</v>
      </c>
      <c r="H6" s="379"/>
      <c r="I6" s="363"/>
      <c r="J6" s="363"/>
      <c r="K6" s="363"/>
      <c r="L6" s="363"/>
      <c r="M6" s="363"/>
      <c r="N6" s="319"/>
      <c r="O6" s="319"/>
      <c r="P6" s="319"/>
      <c r="Q6" s="319"/>
    </row>
    <row r="7" spans="1:18" s="366" customFormat="1" ht="18.75" customHeight="1" x14ac:dyDescent="0.25">
      <c r="A7" s="403" t="s">
        <v>1392</v>
      </c>
      <c r="B7" s="404">
        <v>14511852</v>
      </c>
      <c r="C7" s="404">
        <v>15076109</v>
      </c>
      <c r="D7" s="404">
        <v>5907195</v>
      </c>
      <c r="E7" s="405">
        <v>10274139</v>
      </c>
      <c r="F7" s="406">
        <v>17745736</v>
      </c>
      <c r="G7" s="407"/>
      <c r="H7" s="385"/>
      <c r="I7" s="405"/>
      <c r="J7" s="408"/>
      <c r="K7" s="408"/>
      <c r="L7" s="408"/>
      <c r="M7" s="384"/>
      <c r="N7" s="408"/>
      <c r="O7" s="408"/>
      <c r="P7" s="408"/>
      <c r="Q7" s="384"/>
    </row>
    <row r="8" spans="1:18" s="366" customFormat="1" ht="18.75" customHeight="1" x14ac:dyDescent="0.25">
      <c r="A8" s="385" t="s">
        <v>1393</v>
      </c>
      <c r="B8" s="409">
        <v>1561336</v>
      </c>
      <c r="C8" s="409">
        <v>1917304</v>
      </c>
      <c r="D8" s="404">
        <v>632322</v>
      </c>
      <c r="E8" s="405">
        <v>1323764</v>
      </c>
      <c r="F8" s="410">
        <v>106961</v>
      </c>
      <c r="G8" s="407"/>
      <c r="H8" s="385"/>
      <c r="I8" s="411"/>
      <c r="J8" s="412"/>
      <c r="K8" s="412"/>
      <c r="L8" s="412"/>
      <c r="M8" s="384"/>
      <c r="N8" s="412"/>
      <c r="O8" s="412"/>
      <c r="P8" s="412"/>
      <c r="Q8" s="384"/>
    </row>
    <row r="9" spans="1:18" s="321" customFormat="1" ht="10.5" customHeight="1" x14ac:dyDescent="0.15">
      <c r="A9" s="2629"/>
      <c r="B9" s="2629"/>
      <c r="C9" s="2629"/>
      <c r="D9" s="2629"/>
      <c r="E9" s="2629"/>
      <c r="F9" s="2629"/>
      <c r="I9" s="379"/>
      <c r="J9" s="413"/>
      <c r="K9" s="414"/>
      <c r="L9" s="414"/>
      <c r="M9" s="414"/>
      <c r="N9" s="363"/>
      <c r="O9" s="414"/>
      <c r="P9" s="414"/>
      <c r="Q9" s="414"/>
      <c r="R9" s="319"/>
    </row>
    <row r="10" spans="1:18" s="337" customFormat="1" ht="24.75" customHeight="1" x14ac:dyDescent="0.15">
      <c r="A10" s="2621" t="s">
        <v>1394</v>
      </c>
      <c r="B10" s="2621"/>
      <c r="C10" s="2621"/>
      <c r="D10" s="2621"/>
      <c r="E10" s="2621"/>
      <c r="F10" s="2621"/>
      <c r="I10" s="415"/>
      <c r="J10" s="416"/>
      <c r="K10" s="414"/>
      <c r="L10" s="414"/>
      <c r="M10" s="414"/>
      <c r="N10" s="363"/>
      <c r="O10" s="383"/>
      <c r="P10" s="383"/>
      <c r="Q10" s="383"/>
      <c r="R10" s="383"/>
    </row>
    <row r="11" spans="1:18" s="337" customFormat="1" ht="20.25" customHeight="1" x14ac:dyDescent="0.15">
      <c r="A11" s="2621" t="s">
        <v>1395</v>
      </c>
      <c r="B11" s="2621"/>
      <c r="C11" s="2621"/>
      <c r="D11" s="2621"/>
      <c r="E11" s="2621"/>
      <c r="F11" s="2621"/>
      <c r="I11" s="415"/>
      <c r="J11" s="416"/>
      <c r="K11" s="414"/>
      <c r="L11" s="414"/>
      <c r="M11" s="414"/>
      <c r="N11" s="363"/>
      <c r="O11" s="383"/>
      <c r="P11" s="383"/>
      <c r="Q11" s="383"/>
      <c r="R11" s="383"/>
    </row>
    <row r="12" spans="1:18" s="337" customFormat="1" ht="26.25" customHeight="1" x14ac:dyDescent="0.15">
      <c r="A12" s="2621" t="s">
        <v>1396</v>
      </c>
      <c r="B12" s="2621"/>
      <c r="C12" s="2621"/>
      <c r="D12" s="2621"/>
      <c r="E12" s="2621"/>
      <c r="F12" s="2621"/>
      <c r="I12" s="415"/>
      <c r="J12" s="416"/>
      <c r="K12" s="414"/>
      <c r="L12" s="414"/>
      <c r="M12" s="414"/>
      <c r="N12" s="363"/>
      <c r="O12" s="383"/>
      <c r="P12" s="383"/>
      <c r="Q12" s="383"/>
      <c r="R12" s="383"/>
    </row>
    <row r="13" spans="1:18" s="337" customFormat="1" ht="18" customHeight="1" x14ac:dyDescent="0.15">
      <c r="A13" s="2618" t="s">
        <v>1378</v>
      </c>
      <c r="B13" s="2618"/>
      <c r="C13" s="2618"/>
      <c r="D13" s="2618"/>
      <c r="E13" s="2618"/>
      <c r="F13" s="2618"/>
      <c r="I13" s="415"/>
      <c r="J13" s="416"/>
      <c r="K13" s="414"/>
      <c r="L13" s="414"/>
      <c r="M13" s="414"/>
      <c r="N13" s="363"/>
      <c r="O13" s="383"/>
      <c r="P13" s="383"/>
      <c r="Q13" s="383"/>
      <c r="R13" s="383"/>
    </row>
    <row r="14" spans="1:18" s="337" customFormat="1" ht="14.25" customHeight="1" x14ac:dyDescent="0.15">
      <c r="F14" s="379"/>
      <c r="I14" s="363"/>
      <c r="J14" s="363"/>
      <c r="K14" s="363"/>
      <c r="L14" s="363"/>
      <c r="M14" s="363"/>
      <c r="N14" s="363"/>
      <c r="O14" s="383"/>
      <c r="P14" s="383"/>
      <c r="Q14" s="383"/>
      <c r="R14" s="383"/>
    </row>
    <row r="16" spans="1:18" x14ac:dyDescent="0.2">
      <c r="F16" s="417"/>
    </row>
    <row r="17" spans="6:6" x14ac:dyDescent="0.2">
      <c r="F17" s="417"/>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R13"/>
  <sheetViews>
    <sheetView zoomScaleNormal="100" workbookViewId="0">
      <selection activeCell="A2" sqref="A2:O2"/>
    </sheetView>
  </sheetViews>
  <sheetFormatPr baseColWidth="10" defaultRowHeight="10.5" x14ac:dyDescent="0.15"/>
  <cols>
    <col min="1" max="1" width="26.85546875" style="321" customWidth="1"/>
    <col min="2" max="2" width="15.7109375" style="321" bestFit="1" customWidth="1"/>
    <col min="3" max="3" width="14.85546875" style="321" bestFit="1" customWidth="1"/>
    <col min="4" max="5" width="14.7109375" style="321" bestFit="1" customWidth="1"/>
    <col min="6" max="6" width="15.42578125" style="321" bestFit="1" customWidth="1"/>
    <col min="7" max="9" width="11.42578125" style="321"/>
    <col min="10" max="10" width="34" style="321" customWidth="1"/>
    <col min="11" max="16384" width="11.42578125" style="321"/>
  </cols>
  <sheetData>
    <row r="1" spans="1:18" ht="15.75" x14ac:dyDescent="0.15">
      <c r="A1" s="382"/>
      <c r="B1" s="350"/>
      <c r="C1" s="350"/>
      <c r="D1" s="350"/>
      <c r="E1" s="350"/>
      <c r="F1" s="350"/>
      <c r="I1" s="379"/>
      <c r="J1" s="363"/>
      <c r="K1" s="363"/>
      <c r="L1" s="363"/>
      <c r="M1" s="363"/>
      <c r="N1" s="363"/>
      <c r="O1" s="319"/>
      <c r="P1" s="319"/>
      <c r="Q1" s="319"/>
      <c r="R1" s="319"/>
    </row>
    <row r="2" spans="1:18" s="366" customFormat="1" ht="21" customHeight="1" x14ac:dyDescent="0.25">
      <c r="A2" s="2631" t="s">
        <v>1397</v>
      </c>
      <c r="B2" s="2631"/>
      <c r="C2" s="2631"/>
      <c r="D2" s="2631"/>
      <c r="E2" s="2631"/>
      <c r="F2" s="2631"/>
      <c r="H2" s="367"/>
      <c r="I2" s="367"/>
      <c r="J2" s="367"/>
      <c r="K2" s="367"/>
      <c r="L2" s="367"/>
      <c r="M2" s="367"/>
      <c r="N2" s="400"/>
      <c r="O2" s="400"/>
      <c r="P2" s="400"/>
    </row>
    <row r="3" spans="1:18" x14ac:dyDescent="0.15">
      <c r="A3" s="2628"/>
      <c r="B3" s="2628"/>
      <c r="C3" s="2628"/>
      <c r="D3" s="2628"/>
      <c r="E3" s="2628"/>
      <c r="F3" s="2628"/>
      <c r="H3" s="380"/>
      <c r="I3" s="319"/>
      <c r="J3" s="319"/>
      <c r="K3" s="319"/>
      <c r="L3" s="319"/>
      <c r="M3" s="319"/>
    </row>
    <row r="4" spans="1:18" ht="18.75" customHeight="1" x14ac:dyDescent="0.15">
      <c r="A4" s="2615" t="s">
        <v>1398</v>
      </c>
      <c r="B4" s="2589" t="s">
        <v>2</v>
      </c>
      <c r="C4" s="2589"/>
      <c r="D4" s="2589"/>
      <c r="E4" s="2589"/>
      <c r="F4" s="2589"/>
      <c r="G4" s="379"/>
      <c r="H4" s="383"/>
      <c r="I4" s="383"/>
      <c r="J4" s="383"/>
      <c r="K4" s="383"/>
      <c r="L4" s="383"/>
    </row>
    <row r="5" spans="1:18" ht="17.25" customHeight="1" x14ac:dyDescent="0.15">
      <c r="A5" s="2615"/>
      <c r="B5" s="340">
        <v>2011</v>
      </c>
      <c r="C5" s="340">
        <v>2012</v>
      </c>
      <c r="D5" s="340" t="s">
        <v>1399</v>
      </c>
      <c r="E5" s="340">
        <v>2014</v>
      </c>
      <c r="F5" s="340">
        <v>2015</v>
      </c>
      <c r="G5" s="379"/>
      <c r="H5" s="391"/>
      <c r="I5" s="319"/>
      <c r="J5" s="319"/>
      <c r="K5" s="319"/>
      <c r="L5" s="319"/>
    </row>
    <row r="6" spans="1:18" x14ac:dyDescent="0.15">
      <c r="A6" s="401" t="s">
        <v>141</v>
      </c>
      <c r="B6" s="418">
        <f>SUM(B7:B8)</f>
        <v>16073188</v>
      </c>
      <c r="C6" s="418">
        <f t="shared" ref="C6:F6" si="0">SUM(C7:C8)</f>
        <v>16993413</v>
      </c>
      <c r="D6" s="418">
        <f t="shared" si="0"/>
        <v>6539517</v>
      </c>
      <c r="E6" s="418">
        <f t="shared" si="0"/>
        <v>11597903</v>
      </c>
      <c r="F6" s="418">
        <f t="shared" si="0"/>
        <v>17852697</v>
      </c>
      <c r="G6" s="379"/>
      <c r="H6" s="391"/>
      <c r="I6" s="319"/>
      <c r="J6" s="319"/>
      <c r="K6" s="319"/>
      <c r="L6" s="319"/>
    </row>
    <row r="7" spans="1:18" x14ac:dyDescent="0.15">
      <c r="A7" s="396" t="s">
        <v>1400</v>
      </c>
      <c r="B7" s="419">
        <v>14511852</v>
      </c>
      <c r="C7" s="419">
        <v>15076109</v>
      </c>
      <c r="D7" s="420">
        <v>5907195</v>
      </c>
      <c r="E7" s="421">
        <v>10274139</v>
      </c>
      <c r="F7" s="422">
        <v>6907550</v>
      </c>
      <c r="G7" s="396"/>
      <c r="H7" s="423"/>
      <c r="I7" s="318"/>
      <c r="J7" s="318"/>
      <c r="K7" s="318"/>
      <c r="L7" s="319"/>
    </row>
    <row r="8" spans="1:18" x14ac:dyDescent="0.15">
      <c r="A8" s="396" t="s">
        <v>1401</v>
      </c>
      <c r="B8" s="419">
        <v>1561336</v>
      </c>
      <c r="C8" s="419">
        <v>1917304</v>
      </c>
      <c r="D8" s="420">
        <v>632322</v>
      </c>
      <c r="E8" s="421">
        <v>1323764</v>
      </c>
      <c r="F8" s="422">
        <v>10945147</v>
      </c>
      <c r="G8" s="396"/>
      <c r="H8" s="423"/>
      <c r="I8" s="318"/>
      <c r="J8" s="414"/>
      <c r="K8" s="414"/>
      <c r="L8" s="319"/>
    </row>
    <row r="9" spans="1:18" x14ac:dyDescent="0.15">
      <c r="A9" s="2632"/>
      <c r="B9" s="2632"/>
      <c r="C9" s="2632"/>
      <c r="D9" s="2632"/>
      <c r="E9" s="2632"/>
      <c r="F9" s="2632"/>
      <c r="G9" s="424"/>
      <c r="H9" s="319"/>
      <c r="I9" s="318"/>
      <c r="J9" s="414"/>
      <c r="K9" s="414"/>
      <c r="L9" s="319"/>
    </row>
    <row r="10" spans="1:18" ht="21" customHeight="1" x14ac:dyDescent="0.15">
      <c r="A10" s="2632" t="s">
        <v>1402</v>
      </c>
      <c r="B10" s="2632"/>
      <c r="C10" s="2632"/>
      <c r="D10" s="2632"/>
      <c r="E10" s="2632"/>
      <c r="F10" s="2632"/>
      <c r="G10" s="396"/>
      <c r="H10" s="423"/>
      <c r="I10" s="318"/>
      <c r="J10" s="414"/>
      <c r="K10" s="414"/>
      <c r="L10" s="319"/>
    </row>
    <row r="11" spans="1:18" ht="17.25" customHeight="1" x14ac:dyDescent="0.15">
      <c r="A11" s="2606" t="s">
        <v>20</v>
      </c>
      <c r="B11" s="2606"/>
      <c r="C11" s="2606"/>
      <c r="D11" s="2606"/>
      <c r="E11" s="2606"/>
      <c r="F11" s="2606"/>
      <c r="G11" s="396"/>
      <c r="H11" s="423"/>
      <c r="I11" s="318"/>
      <c r="J11" s="414"/>
      <c r="K11" s="414"/>
      <c r="L11" s="319"/>
    </row>
    <row r="12" spans="1:18" ht="20.25" customHeight="1" x14ac:dyDescent="0.15">
      <c r="A12" s="2630" t="s">
        <v>1378</v>
      </c>
      <c r="B12" s="2630"/>
      <c r="C12" s="2630"/>
      <c r="D12" s="2630"/>
      <c r="E12" s="2630"/>
      <c r="F12" s="2630"/>
      <c r="H12" s="380"/>
      <c r="I12" s="319"/>
      <c r="J12" s="319"/>
      <c r="K12" s="319"/>
      <c r="L12" s="319"/>
      <c r="M12" s="319"/>
    </row>
    <row r="13" spans="1:18" x14ac:dyDescent="0.15">
      <c r="I13" s="383"/>
      <c r="J13" s="425"/>
      <c r="K13" s="319"/>
      <c r="L13" s="319"/>
    </row>
  </sheetData>
  <mergeCells count="8">
    <mergeCell ref="A11:F11"/>
    <mergeCell ref="A12:F12"/>
    <mergeCell ref="A2:F2"/>
    <mergeCell ref="A3:F3"/>
    <mergeCell ref="A4:A5"/>
    <mergeCell ref="B4:F4"/>
    <mergeCell ref="A9:F9"/>
    <mergeCell ref="A10:F10"/>
  </mergeCells>
  <pageMargins left="0.7" right="0.7" top="0.75" bottom="0.75" header="0.3" footer="0.3"/>
  <pageSetup paperSize="14" scale="8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Y65000"/>
  <sheetViews>
    <sheetView workbookViewId="0">
      <selection activeCell="R33" sqref="R33"/>
    </sheetView>
  </sheetViews>
  <sheetFormatPr baseColWidth="10" defaultColWidth="9.140625" defaultRowHeight="10.5" x14ac:dyDescent="0.15"/>
  <cols>
    <col min="1" max="1" width="17.5703125" style="99" customWidth="1"/>
    <col min="2" max="4" width="7.28515625" style="97" bestFit="1" customWidth="1"/>
    <col min="5" max="5" width="6.85546875" style="97" bestFit="1" customWidth="1"/>
    <col min="6" max="6" width="8.140625" style="97" bestFit="1" customWidth="1"/>
    <col min="7" max="7" width="6.85546875" style="97" bestFit="1" customWidth="1"/>
    <col min="8" max="8" width="6.7109375" style="97" bestFit="1" customWidth="1"/>
    <col min="9" max="9" width="5.7109375" style="97" bestFit="1" customWidth="1"/>
    <col min="10" max="10" width="6.85546875" style="97" bestFit="1" customWidth="1"/>
    <col min="11" max="11" width="6.7109375" style="97" bestFit="1" customWidth="1"/>
    <col min="12" max="12" width="6.85546875" style="97" bestFit="1" customWidth="1"/>
    <col min="13" max="13" width="6.7109375" style="97" bestFit="1" customWidth="1"/>
    <col min="14" max="14" width="6.85546875" style="97" customWidth="1"/>
    <col min="15" max="15" width="6.28515625" style="97" bestFit="1" customWidth="1"/>
    <col min="16" max="16" width="6.85546875" style="97" bestFit="1" customWidth="1"/>
    <col min="17" max="17" width="6.7109375" style="97" bestFit="1" customWidth="1"/>
    <col min="18" max="18" width="6.85546875" style="97" bestFit="1" customWidth="1"/>
    <col min="19" max="19" width="6.7109375" style="97" bestFit="1" customWidth="1"/>
    <col min="20" max="20" width="5.7109375" style="97" bestFit="1" customWidth="1"/>
    <col min="21" max="21" width="6.85546875" style="97" bestFit="1" customWidth="1"/>
    <col min="22" max="22" width="6.7109375" style="97" bestFit="1" customWidth="1"/>
    <col min="23" max="23" width="6.85546875" style="97" bestFit="1" customWidth="1"/>
    <col min="24" max="24" width="6.7109375" style="97" bestFit="1" customWidth="1"/>
    <col min="25" max="25" width="1.85546875" style="97" customWidth="1"/>
    <col min="26" max="16384" width="9.140625" style="97"/>
  </cols>
  <sheetData>
    <row r="1" spans="1:25" x14ac:dyDescent="0.15">
      <c r="C1" s="92"/>
      <c r="E1" s="92"/>
      <c r="F1" s="92"/>
      <c r="G1" s="92"/>
      <c r="H1" s="92"/>
      <c r="J1" s="426"/>
      <c r="P1" s="92"/>
      <c r="Q1" s="92"/>
      <c r="R1" s="92"/>
      <c r="S1" s="92"/>
    </row>
    <row r="2" spans="1:25" x14ac:dyDescent="0.15">
      <c r="A2" s="2358" t="s">
        <v>1403</v>
      </c>
      <c r="B2" s="2348"/>
      <c r="C2" s="2348"/>
      <c r="D2" s="2348"/>
      <c r="E2" s="2348"/>
      <c r="F2" s="2348"/>
      <c r="G2" s="2348"/>
      <c r="H2" s="2348"/>
      <c r="I2" s="2348"/>
      <c r="J2" s="2348"/>
      <c r="K2" s="2348"/>
      <c r="L2" s="2348"/>
      <c r="M2" s="2348"/>
      <c r="N2" s="2348"/>
      <c r="O2" s="2348"/>
      <c r="P2" s="2348"/>
      <c r="Q2" s="2348"/>
      <c r="R2" s="2348"/>
      <c r="S2" s="2348"/>
      <c r="T2" s="2348"/>
      <c r="U2" s="2348"/>
      <c r="V2" s="2348"/>
      <c r="W2" s="2348"/>
      <c r="X2" s="2348"/>
    </row>
    <row r="3" spans="1:25" ht="11.25" customHeight="1" x14ac:dyDescent="0.15">
      <c r="A3" s="2347"/>
      <c r="B3" s="2348"/>
      <c r="C3" s="2348"/>
      <c r="D3" s="2348"/>
      <c r="E3" s="2348"/>
      <c r="F3" s="2348"/>
      <c r="G3" s="2348"/>
      <c r="H3" s="2348"/>
      <c r="I3" s="2348"/>
      <c r="J3" s="2348"/>
      <c r="K3" s="2348"/>
      <c r="L3" s="2348"/>
      <c r="M3" s="2348"/>
      <c r="N3" s="2348"/>
      <c r="O3" s="2348"/>
      <c r="P3" s="2348"/>
      <c r="Q3" s="2348"/>
      <c r="R3" s="2348"/>
      <c r="S3" s="2348"/>
      <c r="T3" s="2348"/>
      <c r="U3" s="2348"/>
      <c r="V3" s="2348"/>
      <c r="W3" s="2348"/>
      <c r="X3" s="2348"/>
    </row>
    <row r="4" spans="1:25" ht="12.75" customHeight="1" x14ac:dyDescent="0.15">
      <c r="A4" s="2633" t="s">
        <v>1</v>
      </c>
      <c r="B4" s="2636" t="s">
        <v>69</v>
      </c>
      <c r="C4" s="2639" t="s">
        <v>1404</v>
      </c>
      <c r="D4" s="2640"/>
      <c r="E4" s="2640"/>
      <c r="F4" s="2640"/>
      <c r="G4" s="2640"/>
      <c r="H4" s="2640"/>
      <c r="I4" s="2640"/>
      <c r="J4" s="2640"/>
      <c r="K4" s="2640"/>
      <c r="L4" s="2640"/>
      <c r="M4" s="2641"/>
      <c r="N4" s="2642" t="s">
        <v>1405</v>
      </c>
      <c r="O4" s="2640"/>
      <c r="P4" s="2640"/>
      <c r="Q4" s="2640"/>
      <c r="R4" s="2640"/>
      <c r="S4" s="2640"/>
      <c r="T4" s="2640"/>
      <c r="U4" s="2640"/>
      <c r="V4" s="2640"/>
      <c r="W4" s="2640"/>
      <c r="X4" s="2641"/>
    </row>
    <row r="5" spans="1:25" ht="10.5" customHeight="1" x14ac:dyDescent="0.15">
      <c r="A5" s="2634"/>
      <c r="B5" s="2637"/>
      <c r="C5" s="2636" t="s">
        <v>69</v>
      </c>
      <c r="D5" s="2374" t="s">
        <v>1406</v>
      </c>
      <c r="E5" s="2374"/>
      <c r="F5" s="2374"/>
      <c r="G5" s="2374"/>
      <c r="H5" s="2374"/>
      <c r="I5" s="2374" t="s">
        <v>1407</v>
      </c>
      <c r="J5" s="2374"/>
      <c r="K5" s="2374"/>
      <c r="L5" s="2374"/>
      <c r="M5" s="2374"/>
      <c r="N5" s="2351" t="s">
        <v>69</v>
      </c>
      <c r="O5" s="2374" t="s">
        <v>1406</v>
      </c>
      <c r="P5" s="2374"/>
      <c r="Q5" s="2374"/>
      <c r="R5" s="2374"/>
      <c r="S5" s="2374"/>
      <c r="T5" s="2374" t="s">
        <v>1407</v>
      </c>
      <c r="U5" s="2374"/>
      <c r="V5" s="2374"/>
      <c r="W5" s="2374"/>
      <c r="X5" s="2374"/>
    </row>
    <row r="6" spans="1:25" x14ac:dyDescent="0.15">
      <c r="A6" s="2634"/>
      <c r="B6" s="2637"/>
      <c r="C6" s="2643"/>
      <c r="D6" s="2351" t="s">
        <v>69</v>
      </c>
      <c r="E6" s="2374" t="s">
        <v>966</v>
      </c>
      <c r="F6" s="2374"/>
      <c r="G6" s="2374" t="s">
        <v>967</v>
      </c>
      <c r="H6" s="2374"/>
      <c r="I6" s="2351" t="s">
        <v>69</v>
      </c>
      <c r="J6" s="2374" t="s">
        <v>966</v>
      </c>
      <c r="K6" s="2374"/>
      <c r="L6" s="2374" t="s">
        <v>967</v>
      </c>
      <c r="M6" s="2374"/>
      <c r="N6" s="2351"/>
      <c r="O6" s="2351" t="s">
        <v>69</v>
      </c>
      <c r="P6" s="2374" t="s">
        <v>966</v>
      </c>
      <c r="Q6" s="2374"/>
      <c r="R6" s="2374" t="s">
        <v>967</v>
      </c>
      <c r="S6" s="2374"/>
      <c r="T6" s="2351" t="s">
        <v>69</v>
      </c>
      <c r="U6" s="2374" t="s">
        <v>966</v>
      </c>
      <c r="V6" s="2374"/>
      <c r="W6" s="2374" t="s">
        <v>967</v>
      </c>
      <c r="X6" s="2374"/>
    </row>
    <row r="7" spans="1:25" ht="21" x14ac:dyDescent="0.15">
      <c r="A7" s="2635"/>
      <c r="B7" s="2638"/>
      <c r="C7" s="2644"/>
      <c r="D7" s="2351"/>
      <c r="E7" s="2049" t="s">
        <v>1408</v>
      </c>
      <c r="F7" s="2049" t="s">
        <v>1409</v>
      </c>
      <c r="G7" s="2049" t="s">
        <v>1408</v>
      </c>
      <c r="H7" s="2049" t="s">
        <v>1409</v>
      </c>
      <c r="I7" s="2351"/>
      <c r="J7" s="2049" t="s">
        <v>1408</v>
      </c>
      <c r="K7" s="2049" t="s">
        <v>1409</v>
      </c>
      <c r="L7" s="2049" t="s">
        <v>1408</v>
      </c>
      <c r="M7" s="2049" t="s">
        <v>1409</v>
      </c>
      <c r="N7" s="2351"/>
      <c r="O7" s="2351"/>
      <c r="P7" s="2049" t="s">
        <v>1408</v>
      </c>
      <c r="Q7" s="2049" t="s">
        <v>1409</v>
      </c>
      <c r="R7" s="2049" t="s">
        <v>1408</v>
      </c>
      <c r="S7" s="2049" t="s">
        <v>1409</v>
      </c>
      <c r="T7" s="2351"/>
      <c r="U7" s="2052" t="s">
        <v>1408</v>
      </c>
      <c r="V7" s="2052" t="s">
        <v>1409</v>
      </c>
      <c r="W7" s="2052" t="s">
        <v>1408</v>
      </c>
      <c r="X7" s="2052" t="s">
        <v>1409</v>
      </c>
    </row>
    <row r="8" spans="1:25" s="170" customFormat="1" x14ac:dyDescent="0.15">
      <c r="A8" s="144" t="s">
        <v>141</v>
      </c>
      <c r="B8" s="429">
        <f>+C8+N8</f>
        <v>1424</v>
      </c>
      <c r="C8" s="429">
        <f>+D8+I8</f>
        <v>1312</v>
      </c>
      <c r="D8" s="430">
        <f t="shared" ref="D8:X8" si="0">SUM(D9:D24)</f>
        <v>1312</v>
      </c>
      <c r="E8" s="431">
        <f t="shared" si="0"/>
        <v>70</v>
      </c>
      <c r="F8" s="431">
        <f t="shared" si="0"/>
        <v>986</v>
      </c>
      <c r="G8" s="431">
        <f t="shared" si="0"/>
        <v>8</v>
      </c>
      <c r="H8" s="431">
        <f t="shared" si="0"/>
        <v>248</v>
      </c>
      <c r="I8" s="429">
        <f t="shared" si="0"/>
        <v>0</v>
      </c>
      <c r="J8" s="431">
        <f t="shared" si="0"/>
        <v>0</v>
      </c>
      <c r="K8" s="431">
        <f t="shared" si="0"/>
        <v>0</v>
      </c>
      <c r="L8" s="431">
        <f t="shared" si="0"/>
        <v>0</v>
      </c>
      <c r="M8" s="431">
        <f t="shared" si="0"/>
        <v>0</v>
      </c>
      <c r="N8" s="429">
        <f t="shared" si="0"/>
        <v>112</v>
      </c>
      <c r="O8" s="429">
        <f>SUM(O9:O24)</f>
        <v>110</v>
      </c>
      <c r="P8" s="431">
        <f t="shared" si="0"/>
        <v>36</v>
      </c>
      <c r="Q8" s="431">
        <f t="shared" si="0"/>
        <v>70</v>
      </c>
      <c r="R8" s="431">
        <f t="shared" si="0"/>
        <v>0</v>
      </c>
      <c r="S8" s="431">
        <f t="shared" si="0"/>
        <v>4</v>
      </c>
      <c r="T8" s="1818">
        <f t="shared" si="0"/>
        <v>2</v>
      </c>
      <c r="U8" s="431">
        <f t="shared" si="0"/>
        <v>1</v>
      </c>
      <c r="V8" s="431">
        <f t="shared" si="0"/>
        <v>1</v>
      </c>
      <c r="W8" s="431">
        <f t="shared" si="0"/>
        <v>0</v>
      </c>
      <c r="X8" s="1818">
        <f t="shared" si="0"/>
        <v>0</v>
      </c>
      <c r="Y8" s="440"/>
    </row>
    <row r="9" spans="1:25" x14ac:dyDescent="0.15">
      <c r="A9" s="432" t="s">
        <v>5</v>
      </c>
      <c r="B9" s="429">
        <f t="shared" ref="B9:B23" si="1">+C9+N9</f>
        <v>1</v>
      </c>
      <c r="C9" s="429">
        <f t="shared" ref="C9:C23" si="2">+D9+I9</f>
        <v>0</v>
      </c>
      <c r="D9" s="436">
        <f>SUM(E9:H9)</f>
        <v>0</v>
      </c>
      <c r="E9" s="433">
        <v>0</v>
      </c>
      <c r="F9" s="433">
        <v>0</v>
      </c>
      <c r="G9" s="433">
        <v>0</v>
      </c>
      <c r="H9" s="433">
        <v>0</v>
      </c>
      <c r="I9" s="436">
        <f>SUM(J9:M9)</f>
        <v>0</v>
      </c>
      <c r="J9" s="434">
        <v>0</v>
      </c>
      <c r="K9" s="434">
        <v>0</v>
      </c>
      <c r="L9" s="434">
        <v>0</v>
      </c>
      <c r="M9" s="434">
        <v>0</v>
      </c>
      <c r="N9" s="436">
        <f>O9+T9</f>
        <v>1</v>
      </c>
      <c r="O9" s="436">
        <f>SUM(P9:S9)</f>
        <v>1</v>
      </c>
      <c r="P9" s="433">
        <v>0</v>
      </c>
      <c r="Q9" s="433">
        <v>1</v>
      </c>
      <c r="R9" s="433">
        <v>0</v>
      </c>
      <c r="S9" s="433">
        <v>0</v>
      </c>
      <c r="T9" s="436">
        <f>SUM(U9:X9)</f>
        <v>0</v>
      </c>
      <c r="U9" s="433">
        <v>0</v>
      </c>
      <c r="V9" s="433">
        <v>0</v>
      </c>
      <c r="W9" s="433">
        <v>0</v>
      </c>
      <c r="X9" s="433">
        <v>0</v>
      </c>
      <c r="Y9" s="437">
        <v>0</v>
      </c>
    </row>
    <row r="10" spans="1:25" x14ac:dyDescent="0.15">
      <c r="A10" s="432" t="s">
        <v>6</v>
      </c>
      <c r="B10" s="429">
        <f t="shared" si="1"/>
        <v>2</v>
      </c>
      <c r="C10" s="429">
        <f t="shared" si="2"/>
        <v>0</v>
      </c>
      <c r="D10" s="436">
        <f t="shared" ref="D10:D23" si="3">SUM(E10:H10)</f>
        <v>0</v>
      </c>
      <c r="E10" s="433">
        <v>0</v>
      </c>
      <c r="F10" s="433">
        <v>0</v>
      </c>
      <c r="G10" s="433">
        <v>0</v>
      </c>
      <c r="H10" s="433">
        <v>0</v>
      </c>
      <c r="I10" s="436">
        <f t="shared" ref="I10:I23" si="4">SUM(J10:M10)</f>
        <v>0</v>
      </c>
      <c r="J10" s="434">
        <v>0</v>
      </c>
      <c r="K10" s="434">
        <v>0</v>
      </c>
      <c r="L10" s="434">
        <v>0</v>
      </c>
      <c r="M10" s="434">
        <v>0</v>
      </c>
      <c r="N10" s="436">
        <f t="shared" ref="N10:N23" si="5">O10+T10</f>
        <v>2</v>
      </c>
      <c r="O10" s="436">
        <f t="shared" ref="O10:O23" si="6">SUM(P10:S10)</f>
        <v>1</v>
      </c>
      <c r="P10" s="433">
        <v>1</v>
      </c>
      <c r="Q10" s="433">
        <v>0</v>
      </c>
      <c r="R10" s="433">
        <v>0</v>
      </c>
      <c r="S10" s="433">
        <v>0</v>
      </c>
      <c r="T10" s="436">
        <f t="shared" ref="T10:T23" si="7">SUM(U10:X10)</f>
        <v>1</v>
      </c>
      <c r="U10" s="433">
        <v>1</v>
      </c>
      <c r="V10" s="433">
        <v>0</v>
      </c>
      <c r="W10" s="433">
        <v>0</v>
      </c>
      <c r="X10" s="433">
        <v>0</v>
      </c>
      <c r="Y10" s="438">
        <v>0</v>
      </c>
    </row>
    <row r="11" spans="1:25" x14ac:dyDescent="0.15">
      <c r="A11" s="432" t="s">
        <v>7</v>
      </c>
      <c r="B11" s="429">
        <f t="shared" si="1"/>
        <v>1</v>
      </c>
      <c r="C11" s="429">
        <f t="shared" si="2"/>
        <v>0</v>
      </c>
      <c r="D11" s="436">
        <f t="shared" si="3"/>
        <v>0</v>
      </c>
      <c r="E11" s="433">
        <v>0</v>
      </c>
      <c r="F11" s="433">
        <v>0</v>
      </c>
      <c r="G11" s="433">
        <v>0</v>
      </c>
      <c r="H11" s="433">
        <v>0</v>
      </c>
      <c r="I11" s="436">
        <f t="shared" si="4"/>
        <v>0</v>
      </c>
      <c r="J11" s="434">
        <v>0</v>
      </c>
      <c r="K11" s="434">
        <v>0</v>
      </c>
      <c r="L11" s="434">
        <v>0</v>
      </c>
      <c r="M11" s="434">
        <v>0</v>
      </c>
      <c r="N11" s="436">
        <f t="shared" si="5"/>
        <v>1</v>
      </c>
      <c r="O11" s="436">
        <f t="shared" si="6"/>
        <v>1</v>
      </c>
      <c r="P11" s="433">
        <v>0</v>
      </c>
      <c r="Q11" s="433">
        <v>1</v>
      </c>
      <c r="R11" s="433">
        <v>0</v>
      </c>
      <c r="S11" s="433">
        <v>0</v>
      </c>
      <c r="T11" s="436">
        <f t="shared" si="7"/>
        <v>0</v>
      </c>
      <c r="U11" s="433">
        <v>0</v>
      </c>
      <c r="V11" s="433">
        <v>0</v>
      </c>
      <c r="W11" s="433">
        <v>0</v>
      </c>
      <c r="X11" s="433">
        <v>0</v>
      </c>
      <c r="Y11" s="438">
        <v>0</v>
      </c>
    </row>
    <row r="12" spans="1:25" x14ac:dyDescent="0.15">
      <c r="A12" s="435" t="s">
        <v>8</v>
      </c>
      <c r="B12" s="429">
        <f t="shared" si="1"/>
        <v>0</v>
      </c>
      <c r="C12" s="429">
        <f t="shared" si="2"/>
        <v>0</v>
      </c>
      <c r="D12" s="436">
        <f t="shared" si="3"/>
        <v>0</v>
      </c>
      <c r="E12" s="433">
        <v>0</v>
      </c>
      <c r="F12" s="433">
        <v>0</v>
      </c>
      <c r="G12" s="433">
        <v>0</v>
      </c>
      <c r="H12" s="433">
        <v>0</v>
      </c>
      <c r="I12" s="436">
        <f t="shared" si="4"/>
        <v>0</v>
      </c>
      <c r="J12" s="434">
        <v>0</v>
      </c>
      <c r="K12" s="434">
        <v>0</v>
      </c>
      <c r="L12" s="434">
        <v>0</v>
      </c>
      <c r="M12" s="434">
        <v>0</v>
      </c>
      <c r="N12" s="436">
        <f t="shared" si="5"/>
        <v>0</v>
      </c>
      <c r="O12" s="436">
        <f t="shared" si="6"/>
        <v>0</v>
      </c>
      <c r="P12" s="433">
        <v>0</v>
      </c>
      <c r="Q12" s="433">
        <v>0</v>
      </c>
      <c r="R12" s="433">
        <v>0</v>
      </c>
      <c r="S12" s="433">
        <v>0</v>
      </c>
      <c r="T12" s="436">
        <f t="shared" si="7"/>
        <v>0</v>
      </c>
      <c r="U12" s="433">
        <v>0</v>
      </c>
      <c r="V12" s="433">
        <v>0</v>
      </c>
      <c r="W12" s="433">
        <v>0</v>
      </c>
      <c r="X12" s="433">
        <v>0</v>
      </c>
      <c r="Y12" s="2145"/>
    </row>
    <row r="13" spans="1:25" x14ac:dyDescent="0.15">
      <c r="A13" s="435" t="s">
        <v>9</v>
      </c>
      <c r="B13" s="429">
        <f t="shared" si="1"/>
        <v>0</v>
      </c>
      <c r="C13" s="429">
        <f t="shared" si="2"/>
        <v>0</v>
      </c>
      <c r="D13" s="436">
        <f t="shared" si="3"/>
        <v>0</v>
      </c>
      <c r="E13" s="433">
        <v>0</v>
      </c>
      <c r="F13" s="433">
        <v>0</v>
      </c>
      <c r="G13" s="433">
        <v>0</v>
      </c>
      <c r="H13" s="433">
        <v>0</v>
      </c>
      <c r="I13" s="436">
        <f t="shared" si="4"/>
        <v>0</v>
      </c>
      <c r="J13" s="433">
        <v>0</v>
      </c>
      <c r="K13" s="433">
        <v>0</v>
      </c>
      <c r="L13" s="433">
        <v>0</v>
      </c>
      <c r="M13" s="433">
        <v>0</v>
      </c>
      <c r="N13" s="436">
        <f t="shared" si="5"/>
        <v>0</v>
      </c>
      <c r="O13" s="436">
        <f t="shared" si="6"/>
        <v>0</v>
      </c>
      <c r="P13" s="433">
        <v>0</v>
      </c>
      <c r="Q13" s="433">
        <v>0</v>
      </c>
      <c r="R13" s="433">
        <v>0</v>
      </c>
      <c r="S13" s="433">
        <v>0</v>
      </c>
      <c r="T13" s="436">
        <f t="shared" si="7"/>
        <v>0</v>
      </c>
      <c r="U13" s="433">
        <v>0</v>
      </c>
      <c r="V13" s="433">
        <v>0</v>
      </c>
      <c r="W13" s="433">
        <v>0</v>
      </c>
      <c r="X13" s="433">
        <v>0</v>
      </c>
      <c r="Y13" s="2145"/>
    </row>
    <row r="14" spans="1:25" x14ac:dyDescent="0.15">
      <c r="A14" s="432" t="s">
        <v>10</v>
      </c>
      <c r="B14" s="429">
        <f t="shared" si="1"/>
        <v>10</v>
      </c>
      <c r="C14" s="429">
        <f t="shared" si="2"/>
        <v>6</v>
      </c>
      <c r="D14" s="436">
        <f t="shared" si="3"/>
        <v>6</v>
      </c>
      <c r="E14" s="2144">
        <v>6</v>
      </c>
      <c r="F14" s="433">
        <v>0</v>
      </c>
      <c r="G14" s="433">
        <v>0</v>
      </c>
      <c r="H14" s="433">
        <v>0</v>
      </c>
      <c r="I14" s="436">
        <f t="shared" si="4"/>
        <v>0</v>
      </c>
      <c r="J14" s="433">
        <v>0</v>
      </c>
      <c r="K14" s="433">
        <v>0</v>
      </c>
      <c r="L14" s="433">
        <v>0</v>
      </c>
      <c r="M14" s="433">
        <v>0</v>
      </c>
      <c r="N14" s="436">
        <f t="shared" si="5"/>
        <v>4</v>
      </c>
      <c r="O14" s="436">
        <f t="shared" si="6"/>
        <v>4</v>
      </c>
      <c r="P14" s="433">
        <v>1</v>
      </c>
      <c r="Q14" s="433">
        <v>2</v>
      </c>
      <c r="R14" s="433">
        <v>0</v>
      </c>
      <c r="S14" s="433">
        <v>1</v>
      </c>
      <c r="T14" s="436">
        <f t="shared" si="7"/>
        <v>0</v>
      </c>
      <c r="U14" s="433">
        <v>0</v>
      </c>
      <c r="V14" s="433">
        <v>0</v>
      </c>
      <c r="W14" s="433">
        <v>0</v>
      </c>
      <c r="X14" s="433">
        <v>0</v>
      </c>
      <c r="Y14" s="438">
        <v>0</v>
      </c>
    </row>
    <row r="15" spans="1:25" x14ac:dyDescent="0.15">
      <c r="A15" s="432" t="s">
        <v>11</v>
      </c>
      <c r="B15" s="429">
        <f t="shared" si="1"/>
        <v>1404</v>
      </c>
      <c r="C15" s="429">
        <f t="shared" si="2"/>
        <v>1305</v>
      </c>
      <c r="D15" s="436">
        <f t="shared" si="3"/>
        <v>1305</v>
      </c>
      <c r="E15" s="2144">
        <v>63</v>
      </c>
      <c r="F15" s="110">
        <v>986</v>
      </c>
      <c r="G15" s="110">
        <v>8</v>
      </c>
      <c r="H15" s="2143">
        <v>248</v>
      </c>
      <c r="I15" s="436">
        <f t="shared" si="4"/>
        <v>0</v>
      </c>
      <c r="J15" s="433">
        <v>0</v>
      </c>
      <c r="K15" s="433">
        <v>0</v>
      </c>
      <c r="L15" s="433">
        <v>0</v>
      </c>
      <c r="M15" s="433">
        <v>0</v>
      </c>
      <c r="N15" s="436">
        <f t="shared" si="5"/>
        <v>99</v>
      </c>
      <c r="O15" s="436">
        <f t="shared" si="6"/>
        <v>98</v>
      </c>
      <c r="P15" s="433">
        <v>32</v>
      </c>
      <c r="Q15" s="433">
        <v>63</v>
      </c>
      <c r="R15" s="433">
        <v>0</v>
      </c>
      <c r="S15" s="433">
        <v>3</v>
      </c>
      <c r="T15" s="436">
        <f t="shared" si="7"/>
        <v>1</v>
      </c>
      <c r="U15" s="433">
        <v>0</v>
      </c>
      <c r="V15" s="433">
        <v>1</v>
      </c>
      <c r="W15" s="433">
        <v>0</v>
      </c>
      <c r="X15" s="433">
        <v>0</v>
      </c>
      <c r="Y15" s="438">
        <v>0</v>
      </c>
    </row>
    <row r="16" spans="1:25" x14ac:dyDescent="0.15">
      <c r="A16" s="435" t="s">
        <v>12</v>
      </c>
      <c r="B16" s="429">
        <f t="shared" si="1"/>
        <v>0</v>
      </c>
      <c r="C16" s="429">
        <f t="shared" si="2"/>
        <v>0</v>
      </c>
      <c r="D16" s="433">
        <f t="shared" si="3"/>
        <v>0</v>
      </c>
      <c r="E16" s="433">
        <v>0</v>
      </c>
      <c r="F16" s="433">
        <v>0</v>
      </c>
      <c r="G16" s="433">
        <v>0</v>
      </c>
      <c r="H16" s="433">
        <v>0</v>
      </c>
      <c r="I16" s="436">
        <f t="shared" si="4"/>
        <v>0</v>
      </c>
      <c r="J16" s="433">
        <v>0</v>
      </c>
      <c r="K16" s="433">
        <v>0</v>
      </c>
      <c r="L16" s="433">
        <v>0</v>
      </c>
      <c r="M16" s="433">
        <v>0</v>
      </c>
      <c r="N16" s="436">
        <f t="shared" si="5"/>
        <v>0</v>
      </c>
      <c r="O16" s="436">
        <f t="shared" si="6"/>
        <v>0</v>
      </c>
      <c r="P16" s="433">
        <v>0</v>
      </c>
      <c r="Q16" s="433">
        <v>0</v>
      </c>
      <c r="R16" s="433">
        <v>0</v>
      </c>
      <c r="S16" s="433">
        <v>0</v>
      </c>
      <c r="T16" s="436">
        <f t="shared" si="7"/>
        <v>0</v>
      </c>
      <c r="U16" s="433">
        <v>0</v>
      </c>
      <c r="V16" s="433">
        <v>0</v>
      </c>
      <c r="W16" s="433">
        <v>0</v>
      </c>
      <c r="X16" s="433">
        <v>0</v>
      </c>
      <c r="Y16" s="2145"/>
    </row>
    <row r="17" spans="1:25" x14ac:dyDescent="0.15">
      <c r="A17" s="435" t="s">
        <v>13</v>
      </c>
      <c r="B17" s="429">
        <f t="shared" si="1"/>
        <v>0</v>
      </c>
      <c r="C17" s="429">
        <f t="shared" si="2"/>
        <v>0</v>
      </c>
      <c r="D17" s="433">
        <f t="shared" si="3"/>
        <v>0</v>
      </c>
      <c r="E17" s="433">
        <v>0</v>
      </c>
      <c r="F17" s="433">
        <v>0</v>
      </c>
      <c r="G17" s="433">
        <v>0</v>
      </c>
      <c r="H17" s="433">
        <v>0</v>
      </c>
      <c r="I17" s="436">
        <f t="shared" si="4"/>
        <v>0</v>
      </c>
      <c r="J17" s="433">
        <v>0</v>
      </c>
      <c r="K17" s="433">
        <v>0</v>
      </c>
      <c r="L17" s="433">
        <v>0</v>
      </c>
      <c r="M17" s="433">
        <v>0</v>
      </c>
      <c r="N17" s="436">
        <f t="shared" si="5"/>
        <v>0</v>
      </c>
      <c r="O17" s="436">
        <f t="shared" si="6"/>
        <v>0</v>
      </c>
      <c r="P17" s="433">
        <v>0</v>
      </c>
      <c r="Q17" s="433">
        <v>0</v>
      </c>
      <c r="R17" s="433">
        <v>0</v>
      </c>
      <c r="S17" s="433">
        <v>0</v>
      </c>
      <c r="T17" s="436">
        <f t="shared" si="7"/>
        <v>0</v>
      </c>
      <c r="U17" s="433">
        <v>0</v>
      </c>
      <c r="V17" s="433">
        <v>0</v>
      </c>
      <c r="W17" s="433">
        <v>0</v>
      </c>
      <c r="X17" s="433">
        <v>0</v>
      </c>
      <c r="Y17" s="2145"/>
    </row>
    <row r="18" spans="1:25" x14ac:dyDescent="0.15">
      <c r="A18" s="435" t="s">
        <v>14</v>
      </c>
      <c r="B18" s="429">
        <f t="shared" si="1"/>
        <v>3</v>
      </c>
      <c r="C18" s="429">
        <f t="shared" si="2"/>
        <v>1</v>
      </c>
      <c r="D18" s="436">
        <f t="shared" si="3"/>
        <v>1</v>
      </c>
      <c r="E18" s="112">
        <v>1</v>
      </c>
      <c r="F18" s="112">
        <v>0</v>
      </c>
      <c r="G18" s="112">
        <v>0</v>
      </c>
      <c r="H18" s="112">
        <v>0</v>
      </c>
      <c r="I18" s="436">
        <f t="shared" si="4"/>
        <v>0</v>
      </c>
      <c r="J18" s="434">
        <v>0</v>
      </c>
      <c r="K18" s="434">
        <v>0</v>
      </c>
      <c r="L18" s="434">
        <v>0</v>
      </c>
      <c r="M18" s="434">
        <v>0</v>
      </c>
      <c r="N18" s="436">
        <f t="shared" si="5"/>
        <v>2</v>
      </c>
      <c r="O18" s="436">
        <f t="shared" si="6"/>
        <v>2</v>
      </c>
      <c r="P18" s="433">
        <v>1</v>
      </c>
      <c r="Q18" s="433">
        <v>1</v>
      </c>
      <c r="R18" s="433">
        <v>0</v>
      </c>
      <c r="S18" s="433">
        <v>0</v>
      </c>
      <c r="T18" s="436">
        <f t="shared" si="7"/>
        <v>0</v>
      </c>
      <c r="U18" s="433">
        <v>0</v>
      </c>
      <c r="V18" s="433">
        <v>0</v>
      </c>
      <c r="W18" s="433">
        <v>0</v>
      </c>
      <c r="X18" s="433">
        <v>0</v>
      </c>
      <c r="Y18" s="2145">
        <v>0</v>
      </c>
    </row>
    <row r="19" spans="1:25" x14ac:dyDescent="0.15">
      <c r="A19" s="432" t="s">
        <v>15</v>
      </c>
      <c r="B19" s="429">
        <f t="shared" si="1"/>
        <v>1</v>
      </c>
      <c r="C19" s="429">
        <f t="shared" si="2"/>
        <v>0</v>
      </c>
      <c r="D19" s="436">
        <f t="shared" si="3"/>
        <v>0</v>
      </c>
      <c r="E19" s="433">
        <v>0</v>
      </c>
      <c r="F19" s="433">
        <v>0</v>
      </c>
      <c r="G19" s="433">
        <v>0</v>
      </c>
      <c r="H19" s="433">
        <v>0</v>
      </c>
      <c r="I19" s="436">
        <f t="shared" si="4"/>
        <v>0</v>
      </c>
      <c r="J19" s="434">
        <v>0</v>
      </c>
      <c r="K19" s="434">
        <v>0</v>
      </c>
      <c r="L19" s="434">
        <v>0</v>
      </c>
      <c r="M19" s="434">
        <v>0</v>
      </c>
      <c r="N19" s="436">
        <f t="shared" si="5"/>
        <v>1</v>
      </c>
      <c r="O19" s="436">
        <f t="shared" si="6"/>
        <v>1</v>
      </c>
      <c r="P19" s="433">
        <v>0</v>
      </c>
      <c r="Q19" s="433">
        <v>1</v>
      </c>
      <c r="R19" s="433">
        <v>0</v>
      </c>
      <c r="S19" s="433">
        <v>0</v>
      </c>
      <c r="T19" s="436">
        <f t="shared" si="7"/>
        <v>0</v>
      </c>
      <c r="U19" s="433">
        <v>0</v>
      </c>
      <c r="V19" s="433">
        <v>0</v>
      </c>
      <c r="W19" s="433">
        <v>0</v>
      </c>
      <c r="X19" s="433">
        <v>0</v>
      </c>
      <c r="Y19" s="438">
        <v>0</v>
      </c>
    </row>
    <row r="20" spans="1:25" x14ac:dyDescent="0.15">
      <c r="A20" s="432" t="s">
        <v>301</v>
      </c>
      <c r="B20" s="429">
        <f t="shared" si="1"/>
        <v>0</v>
      </c>
      <c r="C20" s="429">
        <f t="shared" si="2"/>
        <v>0</v>
      </c>
      <c r="D20" s="436">
        <f t="shared" si="3"/>
        <v>0</v>
      </c>
      <c r="E20" s="433">
        <v>0</v>
      </c>
      <c r="F20" s="433">
        <v>0</v>
      </c>
      <c r="G20" s="433">
        <v>0</v>
      </c>
      <c r="H20" s="433">
        <v>0</v>
      </c>
      <c r="I20" s="436">
        <f t="shared" si="4"/>
        <v>0</v>
      </c>
      <c r="J20" s="434">
        <v>0</v>
      </c>
      <c r="K20" s="434">
        <v>0</v>
      </c>
      <c r="L20" s="434">
        <v>0</v>
      </c>
      <c r="M20" s="434">
        <v>0</v>
      </c>
      <c r="N20" s="436">
        <f t="shared" si="5"/>
        <v>0</v>
      </c>
      <c r="O20" s="436">
        <f t="shared" si="6"/>
        <v>0</v>
      </c>
      <c r="P20" s="433">
        <v>0</v>
      </c>
      <c r="Q20" s="433">
        <v>0</v>
      </c>
      <c r="R20" s="433">
        <v>0</v>
      </c>
      <c r="S20" s="433">
        <v>0</v>
      </c>
      <c r="T20" s="436">
        <f t="shared" si="7"/>
        <v>0</v>
      </c>
      <c r="U20" s="433">
        <v>0</v>
      </c>
      <c r="V20" s="433">
        <v>0</v>
      </c>
      <c r="W20" s="433">
        <v>0</v>
      </c>
      <c r="X20" s="433">
        <v>0</v>
      </c>
      <c r="Y20" s="2145"/>
    </row>
    <row r="21" spans="1:25" x14ac:dyDescent="0.15">
      <c r="A21" s="432" t="s">
        <v>303</v>
      </c>
      <c r="B21" s="429">
        <f t="shared" si="1"/>
        <v>1</v>
      </c>
      <c r="C21" s="429">
        <f t="shared" si="2"/>
        <v>0</v>
      </c>
      <c r="D21" s="436">
        <f t="shared" si="3"/>
        <v>0</v>
      </c>
      <c r="E21" s="433">
        <v>0</v>
      </c>
      <c r="F21" s="433">
        <v>0</v>
      </c>
      <c r="G21" s="433">
        <v>0</v>
      </c>
      <c r="H21" s="433">
        <v>0</v>
      </c>
      <c r="I21" s="436">
        <f t="shared" si="4"/>
        <v>0</v>
      </c>
      <c r="J21" s="434">
        <v>0</v>
      </c>
      <c r="K21" s="434">
        <v>0</v>
      </c>
      <c r="L21" s="434">
        <v>0</v>
      </c>
      <c r="M21" s="434">
        <v>0</v>
      </c>
      <c r="N21" s="436">
        <f t="shared" si="5"/>
        <v>1</v>
      </c>
      <c r="O21" s="436">
        <f t="shared" si="6"/>
        <v>1</v>
      </c>
      <c r="P21" s="433">
        <v>1</v>
      </c>
      <c r="Q21" s="433">
        <v>0</v>
      </c>
      <c r="R21" s="433">
        <v>0</v>
      </c>
      <c r="S21" s="433">
        <v>0</v>
      </c>
      <c r="T21" s="436">
        <f t="shared" si="7"/>
        <v>0</v>
      </c>
      <c r="U21" s="433">
        <v>0</v>
      </c>
      <c r="V21" s="433">
        <v>0</v>
      </c>
      <c r="W21" s="433">
        <v>0</v>
      </c>
      <c r="X21" s="433">
        <v>0</v>
      </c>
      <c r="Y21" s="438">
        <v>0</v>
      </c>
    </row>
    <row r="22" spans="1:25" x14ac:dyDescent="0.15">
      <c r="A22" s="435" t="s">
        <v>18</v>
      </c>
      <c r="B22" s="429">
        <f t="shared" si="1"/>
        <v>0</v>
      </c>
      <c r="C22" s="429">
        <f t="shared" si="2"/>
        <v>0</v>
      </c>
      <c r="D22" s="436">
        <f t="shared" si="3"/>
        <v>0</v>
      </c>
      <c r="E22" s="433">
        <v>0</v>
      </c>
      <c r="F22" s="433">
        <v>0</v>
      </c>
      <c r="G22" s="433">
        <v>0</v>
      </c>
      <c r="H22" s="433">
        <v>0</v>
      </c>
      <c r="I22" s="436">
        <f t="shared" si="4"/>
        <v>0</v>
      </c>
      <c r="J22" s="434">
        <v>0</v>
      </c>
      <c r="K22" s="434">
        <v>0</v>
      </c>
      <c r="L22" s="434">
        <v>0</v>
      </c>
      <c r="M22" s="434">
        <v>0</v>
      </c>
      <c r="N22" s="436">
        <f t="shared" si="5"/>
        <v>0</v>
      </c>
      <c r="O22" s="436">
        <f t="shared" si="6"/>
        <v>0</v>
      </c>
      <c r="P22" s="433">
        <v>0</v>
      </c>
      <c r="Q22" s="433">
        <v>0</v>
      </c>
      <c r="R22" s="433">
        <v>0</v>
      </c>
      <c r="S22" s="433">
        <v>0</v>
      </c>
      <c r="T22" s="436">
        <f t="shared" si="7"/>
        <v>0</v>
      </c>
      <c r="U22" s="433">
        <v>0</v>
      </c>
      <c r="V22" s="433">
        <v>0</v>
      </c>
      <c r="W22" s="433">
        <v>0</v>
      </c>
      <c r="X22" s="433">
        <v>0</v>
      </c>
      <c r="Y22" s="2145"/>
    </row>
    <row r="23" spans="1:25" x14ac:dyDescent="0.15">
      <c r="A23" s="435" t="s">
        <v>19</v>
      </c>
      <c r="B23" s="429">
        <f t="shared" si="1"/>
        <v>0</v>
      </c>
      <c r="C23" s="429">
        <f t="shared" si="2"/>
        <v>0</v>
      </c>
      <c r="D23" s="436">
        <f t="shared" si="3"/>
        <v>0</v>
      </c>
      <c r="E23" s="433">
        <v>0</v>
      </c>
      <c r="F23" s="433">
        <v>0</v>
      </c>
      <c r="G23" s="433">
        <v>0</v>
      </c>
      <c r="H23" s="433">
        <v>0</v>
      </c>
      <c r="I23" s="436">
        <f t="shared" si="4"/>
        <v>0</v>
      </c>
      <c r="J23" s="434">
        <v>0</v>
      </c>
      <c r="K23" s="434">
        <v>0</v>
      </c>
      <c r="L23" s="434">
        <v>0</v>
      </c>
      <c r="M23" s="434">
        <v>0</v>
      </c>
      <c r="N23" s="436">
        <f t="shared" si="5"/>
        <v>0</v>
      </c>
      <c r="O23" s="436">
        <f t="shared" si="6"/>
        <v>0</v>
      </c>
      <c r="P23" s="433">
        <v>0</v>
      </c>
      <c r="Q23" s="433">
        <v>0</v>
      </c>
      <c r="R23" s="433">
        <v>0</v>
      </c>
      <c r="S23" s="433">
        <v>0</v>
      </c>
      <c r="T23" s="436">
        <f t="shared" si="7"/>
        <v>0</v>
      </c>
      <c r="U23" s="433">
        <v>0</v>
      </c>
      <c r="V23" s="433">
        <v>0</v>
      </c>
      <c r="W23" s="433">
        <v>0</v>
      </c>
      <c r="X23" s="433">
        <v>0</v>
      </c>
      <c r="Y23" s="2145"/>
    </row>
    <row r="24" spans="1:25" ht="11.25" x14ac:dyDescent="0.15">
      <c r="A24" s="432" t="s">
        <v>1410</v>
      </c>
      <c r="B24" s="429">
        <f>+C24+N24</f>
        <v>1</v>
      </c>
      <c r="C24" s="429">
        <f>+D24+I24</f>
        <v>0</v>
      </c>
      <c r="D24" s="436">
        <f>SUM(E24:H24)</f>
        <v>0</v>
      </c>
      <c r="E24" s="433">
        <v>0</v>
      </c>
      <c r="F24" s="433">
        <v>0</v>
      </c>
      <c r="G24" s="433">
        <v>0</v>
      </c>
      <c r="H24" s="433">
        <v>0</v>
      </c>
      <c r="I24" s="437">
        <f>SUM(J24:M24)</f>
        <v>0</v>
      </c>
      <c r="J24" s="434">
        <v>0</v>
      </c>
      <c r="K24" s="434">
        <v>0</v>
      </c>
      <c r="L24" s="434">
        <v>0</v>
      </c>
      <c r="M24" s="434">
        <v>0</v>
      </c>
      <c r="N24" s="436">
        <f>O24+T24</f>
        <v>1</v>
      </c>
      <c r="O24" s="436">
        <f>SUM(P24:S24)</f>
        <v>1</v>
      </c>
      <c r="P24" s="433">
        <v>0</v>
      </c>
      <c r="Q24" s="433">
        <v>1</v>
      </c>
      <c r="R24" s="433">
        <v>0</v>
      </c>
      <c r="S24" s="433">
        <v>0</v>
      </c>
      <c r="T24" s="436">
        <f>SUM(U24:X24)</f>
        <v>0</v>
      </c>
      <c r="U24" s="433">
        <v>0</v>
      </c>
      <c r="V24" s="433">
        <v>0</v>
      </c>
      <c r="W24" s="433">
        <v>0</v>
      </c>
      <c r="X24" s="433">
        <v>0</v>
      </c>
      <c r="Y24" s="438">
        <v>0</v>
      </c>
    </row>
    <row r="25" spans="1:25" x14ac:dyDescent="0.15">
      <c r="A25" s="432"/>
      <c r="B25" s="429"/>
      <c r="C25" s="429"/>
      <c r="D25" s="436"/>
      <c r="E25" s="433"/>
      <c r="F25" s="433"/>
      <c r="G25" s="433"/>
      <c r="H25" s="433"/>
      <c r="I25" s="437"/>
      <c r="J25" s="434"/>
      <c r="K25" s="434"/>
      <c r="L25" s="434"/>
      <c r="M25" s="434"/>
      <c r="N25" s="436"/>
      <c r="O25" s="436"/>
      <c r="P25" s="438"/>
      <c r="Q25" s="438"/>
      <c r="R25" s="438"/>
      <c r="S25" s="438"/>
      <c r="T25" s="436"/>
      <c r="U25" s="438"/>
      <c r="V25" s="438"/>
      <c r="W25" s="438"/>
      <c r="X25" s="438"/>
      <c r="Y25" s="438"/>
    </row>
    <row r="26" spans="1:25" ht="15" customHeight="1" x14ac:dyDescent="0.15">
      <c r="A26" s="2646" t="s">
        <v>1411</v>
      </c>
      <c r="B26" s="2646"/>
      <c r="C26" s="2646"/>
      <c r="D26" s="2646"/>
      <c r="E26" s="2646"/>
      <c r="F26" s="2646"/>
      <c r="G26" s="2646"/>
      <c r="H26" s="2646"/>
      <c r="I26" s="2646"/>
      <c r="J26" s="2646"/>
      <c r="K26" s="2646"/>
      <c r="L26" s="2646"/>
      <c r="M26" s="2646"/>
      <c r="N26" s="2646"/>
      <c r="O26" s="2646"/>
      <c r="P26" s="2646"/>
      <c r="Q26" s="2646"/>
      <c r="R26" s="2646"/>
      <c r="S26" s="2646"/>
      <c r="T26" s="2646"/>
      <c r="U26" s="2646"/>
      <c r="V26" s="2646"/>
      <c r="W26" s="2646"/>
      <c r="X26" s="2646"/>
      <c r="Y26" s="438"/>
    </row>
    <row r="27" spans="1:25" ht="17.25" customHeight="1" x14ac:dyDescent="0.15">
      <c r="A27" s="2647" t="s">
        <v>1412</v>
      </c>
      <c r="B27" s="2648"/>
      <c r="C27" s="2648"/>
      <c r="D27" s="2648"/>
      <c r="E27" s="2648"/>
      <c r="F27" s="2648"/>
      <c r="G27" s="2648"/>
      <c r="H27" s="2648"/>
      <c r="I27" s="2648"/>
      <c r="J27" s="2648"/>
      <c r="K27" s="2648"/>
      <c r="L27" s="2648"/>
      <c r="M27" s="2648"/>
      <c r="N27" s="2648"/>
      <c r="O27" s="2648"/>
      <c r="P27" s="2648"/>
      <c r="Q27" s="2648"/>
      <c r="R27" s="2648"/>
      <c r="S27" s="2648"/>
      <c r="T27" s="2648"/>
      <c r="U27" s="2648"/>
      <c r="V27" s="2648"/>
      <c r="W27" s="2648"/>
      <c r="X27" s="2648"/>
      <c r="Y27" s="438"/>
    </row>
    <row r="28" spans="1:25" x14ac:dyDescent="0.15">
      <c r="A28" s="2649" t="s">
        <v>460</v>
      </c>
      <c r="B28" s="2649"/>
      <c r="C28" s="2649"/>
      <c r="D28" s="2649"/>
      <c r="E28" s="2649"/>
      <c r="F28" s="2649"/>
      <c r="G28" s="2649"/>
      <c r="H28" s="2649"/>
      <c r="I28" s="2649"/>
      <c r="J28" s="2649"/>
      <c r="K28" s="2649"/>
      <c r="L28" s="2649"/>
      <c r="M28" s="2649"/>
      <c r="N28" s="2649"/>
      <c r="O28" s="2649"/>
      <c r="P28" s="2649"/>
      <c r="Q28" s="2649"/>
      <c r="R28" s="2649"/>
      <c r="S28" s="2649"/>
      <c r="T28" s="2649"/>
      <c r="U28" s="2649"/>
      <c r="V28" s="2649"/>
      <c r="W28" s="2649"/>
      <c r="X28" s="2649"/>
      <c r="Y28" s="438"/>
    </row>
    <row r="29" spans="1:25" x14ac:dyDescent="0.15">
      <c r="A29" s="2645" t="s">
        <v>1413</v>
      </c>
      <c r="B29" s="2645"/>
      <c r="C29" s="2645"/>
      <c r="D29" s="2645"/>
      <c r="E29" s="2645"/>
      <c r="F29" s="2645"/>
      <c r="G29" s="2645"/>
      <c r="H29" s="2645"/>
      <c r="I29" s="2645"/>
      <c r="J29" s="2645"/>
      <c r="K29" s="2645"/>
      <c r="L29" s="2645"/>
      <c r="M29" s="2645"/>
      <c r="N29" s="2645"/>
      <c r="O29" s="2645"/>
      <c r="P29" s="2645"/>
      <c r="Q29" s="2645"/>
      <c r="R29" s="2645"/>
      <c r="S29" s="2645"/>
      <c r="T29" s="2645"/>
      <c r="U29" s="2645"/>
      <c r="V29" s="2645"/>
      <c r="W29" s="2645"/>
      <c r="X29" s="2645"/>
    </row>
    <row r="30" spans="1:25" ht="11.25" customHeight="1" x14ac:dyDescent="0.15">
      <c r="A30" s="2645"/>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row>
    <row r="65000" spans="4:4" x14ac:dyDescent="0.15">
      <c r="D65000" s="189"/>
    </row>
  </sheetData>
  <mergeCells count="29">
    <mergeCell ref="A29:X29"/>
    <mergeCell ref="A30:X30"/>
    <mergeCell ref="R6:S6"/>
    <mergeCell ref="T6:T7"/>
    <mergeCell ref="U6:V6"/>
    <mergeCell ref="W6:X6"/>
    <mergeCell ref="A26:X26"/>
    <mergeCell ref="A27:X27"/>
    <mergeCell ref="J6:K6"/>
    <mergeCell ref="L6:M6"/>
    <mergeCell ref="O6:O7"/>
    <mergeCell ref="P6:Q6"/>
    <mergeCell ref="A28:X28"/>
    <mergeCell ref="A2:X2"/>
    <mergeCell ref="A3:X3"/>
    <mergeCell ref="A4:A7"/>
    <mergeCell ref="B4:B7"/>
    <mergeCell ref="C4:M4"/>
    <mergeCell ref="N4:X4"/>
    <mergeCell ref="C5:C7"/>
    <mergeCell ref="D5:H5"/>
    <mergeCell ref="I5:M5"/>
    <mergeCell ref="N5:N7"/>
    <mergeCell ref="O5:S5"/>
    <mergeCell ref="T5:X5"/>
    <mergeCell ref="D6:D7"/>
    <mergeCell ref="E6:F6"/>
    <mergeCell ref="G6:H6"/>
    <mergeCell ref="I6:I7"/>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17"/>
  <sheetViews>
    <sheetView zoomScale="90" zoomScaleNormal="90" workbookViewId="0">
      <selection activeCell="C26" sqref="C26"/>
    </sheetView>
  </sheetViews>
  <sheetFormatPr baseColWidth="10" defaultRowHeight="10.5" x14ac:dyDescent="0.15"/>
  <cols>
    <col min="1" max="1" width="45.7109375" style="25" customWidth="1"/>
    <col min="2" max="6" width="11.5703125" style="25" bestFit="1" customWidth="1"/>
    <col min="7" max="16384" width="11.42578125" style="25"/>
  </cols>
  <sheetData>
    <row r="1" spans="1:7" ht="6.75" customHeight="1" x14ac:dyDescent="0.15"/>
    <row r="2" spans="1:7" ht="22.5" customHeight="1" x14ac:dyDescent="0.15">
      <c r="A2" s="2322" t="s">
        <v>67</v>
      </c>
      <c r="B2" s="2322"/>
      <c r="C2" s="2322"/>
      <c r="D2" s="2322"/>
      <c r="E2" s="2322"/>
      <c r="F2" s="2322"/>
    </row>
    <row r="3" spans="1:7" ht="8.25" customHeight="1" x14ac:dyDescent="0.15">
      <c r="A3" s="12"/>
      <c r="B3" s="12"/>
      <c r="C3" s="12"/>
      <c r="D3" s="12"/>
      <c r="E3" s="12"/>
      <c r="F3" s="12"/>
    </row>
    <row r="4" spans="1:7" x14ac:dyDescent="0.15">
      <c r="A4" s="2323" t="s">
        <v>68</v>
      </c>
      <c r="B4" s="2323" t="s">
        <v>69</v>
      </c>
      <c r="C4" s="2323" t="s">
        <v>70</v>
      </c>
      <c r="D4" s="2323"/>
      <c r="E4" s="2323"/>
      <c r="F4" s="2323"/>
    </row>
    <row r="5" spans="1:7" ht="60.75" customHeight="1" x14ac:dyDescent="0.15">
      <c r="A5" s="2323"/>
      <c r="B5" s="2323"/>
      <c r="C5" s="63" t="s">
        <v>71</v>
      </c>
      <c r="D5" s="63" t="s">
        <v>72</v>
      </c>
      <c r="E5" s="63" t="s">
        <v>73</v>
      </c>
      <c r="F5" s="64" t="s">
        <v>74</v>
      </c>
    </row>
    <row r="6" spans="1:7" x14ac:dyDescent="0.15">
      <c r="A6" s="65" t="s">
        <v>75</v>
      </c>
      <c r="B6" s="66">
        <f>SUM(C6:F6)</f>
        <v>231190</v>
      </c>
      <c r="C6" s="67">
        <v>19176</v>
      </c>
      <c r="D6" s="67">
        <v>64114</v>
      </c>
      <c r="E6" s="67">
        <v>21791</v>
      </c>
      <c r="F6" s="67">
        <v>126109</v>
      </c>
    </row>
    <row r="7" spans="1:7" x14ac:dyDescent="0.15">
      <c r="A7" s="65" t="s">
        <v>76</v>
      </c>
      <c r="B7" s="66">
        <f t="shared" ref="B7:B11" si="0">SUM(C7:F7)</f>
        <v>12622</v>
      </c>
      <c r="C7" s="67">
        <v>680</v>
      </c>
      <c r="D7" s="67">
        <v>273</v>
      </c>
      <c r="E7" s="67">
        <v>1150</v>
      </c>
      <c r="F7" s="67">
        <v>10519</v>
      </c>
    </row>
    <row r="8" spans="1:7" ht="21" x14ac:dyDescent="0.15">
      <c r="A8" s="65" t="s">
        <v>77</v>
      </c>
      <c r="B8" s="2011">
        <f t="shared" si="0"/>
        <v>247813</v>
      </c>
      <c r="C8" s="2012">
        <v>22740</v>
      </c>
      <c r="D8" s="2012">
        <v>109459</v>
      </c>
      <c r="E8" s="2012">
        <v>17066</v>
      </c>
      <c r="F8" s="2012">
        <v>98548</v>
      </c>
      <c r="G8" s="296"/>
    </row>
    <row r="9" spans="1:7" ht="31.5" x14ac:dyDescent="0.15">
      <c r="A9" s="68" t="s">
        <v>78</v>
      </c>
      <c r="B9" s="2011">
        <f t="shared" si="0"/>
        <v>901</v>
      </c>
      <c r="C9" s="23" t="s">
        <v>181</v>
      </c>
      <c r="D9" s="2012">
        <v>2</v>
      </c>
      <c r="E9" s="23" t="s">
        <v>181</v>
      </c>
      <c r="F9" s="2012">
        <v>899</v>
      </c>
      <c r="G9" s="296"/>
    </row>
    <row r="10" spans="1:7" ht="35.25" customHeight="1" x14ac:dyDescent="0.15">
      <c r="A10" s="65" t="s">
        <v>79</v>
      </c>
      <c r="B10" s="2011">
        <f t="shared" si="0"/>
        <v>2005</v>
      </c>
      <c r="C10" s="23" t="s">
        <v>181</v>
      </c>
      <c r="D10" s="23" t="s">
        <v>181</v>
      </c>
      <c r="E10" s="23" t="s">
        <v>181</v>
      </c>
      <c r="F10" s="2012">
        <v>2005</v>
      </c>
      <c r="G10" s="296"/>
    </row>
    <row r="11" spans="1:7" ht="59.25" customHeight="1" x14ac:dyDescent="0.15">
      <c r="A11" s="68" t="s">
        <v>80</v>
      </c>
      <c r="B11" s="2011">
        <f t="shared" si="0"/>
        <v>10</v>
      </c>
      <c r="C11" s="23" t="s">
        <v>181</v>
      </c>
      <c r="D11" s="23" t="s">
        <v>181</v>
      </c>
      <c r="E11" s="2012">
        <v>10</v>
      </c>
      <c r="F11" s="23" t="s">
        <v>181</v>
      </c>
      <c r="G11" s="296"/>
    </row>
    <row r="13" spans="1:7" ht="22.5" customHeight="1" x14ac:dyDescent="0.15">
      <c r="A13" s="2316" t="s">
        <v>81</v>
      </c>
      <c r="B13" s="2316"/>
      <c r="C13" s="2316"/>
      <c r="D13" s="2316"/>
      <c r="E13" s="2316"/>
      <c r="F13" s="2316"/>
    </row>
    <row r="14" spans="1:7" ht="32.25" customHeight="1" x14ac:dyDescent="0.15">
      <c r="A14" s="2324" t="s">
        <v>82</v>
      </c>
      <c r="B14" s="2324"/>
      <c r="C14" s="2324"/>
      <c r="D14" s="2324"/>
      <c r="E14" s="2324"/>
      <c r="F14" s="2324"/>
    </row>
    <row r="15" spans="1:7" x14ac:dyDescent="0.15">
      <c r="A15" s="2303" t="s">
        <v>83</v>
      </c>
      <c r="B15" s="2303"/>
      <c r="C15" s="2303"/>
      <c r="D15" s="2303"/>
      <c r="E15" s="2303"/>
      <c r="F15" s="2303"/>
    </row>
    <row r="16" spans="1:7" x14ac:dyDescent="0.15">
      <c r="A16" s="2303" t="s">
        <v>21</v>
      </c>
      <c r="B16" s="2303"/>
      <c r="C16" s="2303"/>
      <c r="D16" s="2303"/>
      <c r="E16" s="2303"/>
      <c r="F16" s="2303"/>
    </row>
    <row r="17" spans="1:6" x14ac:dyDescent="0.15">
      <c r="A17" s="1"/>
      <c r="B17" s="1"/>
      <c r="C17" s="1"/>
      <c r="D17" s="1"/>
      <c r="E17" s="1"/>
      <c r="F17" s="1"/>
    </row>
  </sheetData>
  <mergeCells count="8">
    <mergeCell ref="A15:F15"/>
    <mergeCell ref="A16:F16"/>
    <mergeCell ref="A2:F2"/>
    <mergeCell ref="A4:A5"/>
    <mergeCell ref="B4:B5"/>
    <mergeCell ref="C4:F4"/>
    <mergeCell ref="A13:F13"/>
    <mergeCell ref="A14:F1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2:O26"/>
  <sheetViews>
    <sheetView zoomScaleNormal="100" workbookViewId="0">
      <selection activeCell="A2" sqref="A2:O2"/>
    </sheetView>
  </sheetViews>
  <sheetFormatPr baseColWidth="10" defaultColWidth="9.140625" defaultRowHeight="10.5" x14ac:dyDescent="0.15"/>
  <cols>
    <col min="1" max="1" width="19.42578125" style="97" customWidth="1"/>
    <col min="2" max="3" width="12.85546875" style="122" customWidth="1"/>
    <col min="4" max="4" width="10.140625" style="122" customWidth="1"/>
    <col min="5" max="6" width="12.85546875" style="122" customWidth="1"/>
    <col min="7" max="7" width="10.140625" style="122" customWidth="1"/>
    <col min="8" max="9" width="12.85546875" style="122" customWidth="1"/>
    <col min="10" max="10" width="10.140625" style="122" customWidth="1"/>
    <col min="11" max="12" width="13" style="122" customWidth="1"/>
    <col min="13" max="13" width="10.140625" style="122" customWidth="1"/>
    <col min="14" max="14" width="12.85546875" style="122" customWidth="1"/>
    <col min="15" max="15" width="14.42578125" style="122" customWidth="1"/>
    <col min="16" max="16384" width="9.140625" style="97"/>
  </cols>
  <sheetData>
    <row r="2" spans="1:15" ht="12" customHeight="1" x14ac:dyDescent="0.15">
      <c r="A2" s="2346" t="s">
        <v>1414</v>
      </c>
      <c r="B2" s="2346"/>
      <c r="C2" s="2346"/>
      <c r="D2" s="2346"/>
      <c r="E2" s="2346"/>
      <c r="F2" s="2346"/>
      <c r="G2" s="2346"/>
      <c r="H2" s="2346"/>
      <c r="I2" s="2346"/>
      <c r="J2" s="2346"/>
      <c r="K2" s="2346"/>
      <c r="L2" s="2346"/>
      <c r="M2" s="2346"/>
      <c r="N2" s="2346"/>
      <c r="O2" s="2346"/>
    </row>
    <row r="3" spans="1:15" ht="10.5" customHeight="1" x14ac:dyDescent="0.15">
      <c r="A3" s="2650"/>
      <c r="B3" s="2650"/>
      <c r="C3" s="2650"/>
      <c r="D3" s="2650"/>
      <c r="E3" s="2650"/>
      <c r="F3" s="2650"/>
      <c r="G3" s="2650"/>
      <c r="H3" s="2650"/>
      <c r="I3" s="2650"/>
      <c r="J3" s="2650"/>
      <c r="K3" s="2650"/>
      <c r="L3" s="2650"/>
      <c r="M3" s="2650"/>
      <c r="N3" s="2650"/>
      <c r="O3" s="2650"/>
    </row>
    <row r="4" spans="1:15" ht="9.75" customHeight="1" x14ac:dyDescent="0.15">
      <c r="A4" s="2351" t="s">
        <v>1</v>
      </c>
      <c r="B4" s="2651">
        <v>2011</v>
      </c>
      <c r="C4" s="2651"/>
      <c r="D4" s="2651">
        <v>2012</v>
      </c>
      <c r="E4" s="2651"/>
      <c r="F4" s="2651"/>
      <c r="G4" s="2652">
        <v>2013</v>
      </c>
      <c r="H4" s="2652"/>
      <c r="I4" s="2652"/>
      <c r="J4" s="2652">
        <v>2014</v>
      </c>
      <c r="K4" s="2652"/>
      <c r="L4" s="2652"/>
      <c r="M4" s="2652">
        <v>2015</v>
      </c>
      <c r="N4" s="2652"/>
      <c r="O4" s="2652"/>
    </row>
    <row r="5" spans="1:15" ht="72.75" customHeight="1" x14ac:dyDescent="0.15">
      <c r="A5" s="2351"/>
      <c r="B5" s="439" t="s">
        <v>1415</v>
      </c>
      <c r="C5" s="439" t="s">
        <v>1416</v>
      </c>
      <c r="D5" s="439" t="s">
        <v>1417</v>
      </c>
      <c r="E5" s="439" t="s">
        <v>1415</v>
      </c>
      <c r="F5" s="439" t="s">
        <v>1416</v>
      </c>
      <c r="G5" s="439" t="s">
        <v>1417</v>
      </c>
      <c r="H5" s="439" t="s">
        <v>1415</v>
      </c>
      <c r="I5" s="439" t="s">
        <v>1416</v>
      </c>
      <c r="J5" s="439" t="s">
        <v>1417</v>
      </c>
      <c r="K5" s="439" t="s">
        <v>1415</v>
      </c>
      <c r="L5" s="439" t="s">
        <v>1416</v>
      </c>
      <c r="M5" s="427" t="s">
        <v>1417</v>
      </c>
      <c r="N5" s="427" t="s">
        <v>1415</v>
      </c>
      <c r="O5" s="427" t="s">
        <v>1418</v>
      </c>
    </row>
    <row r="6" spans="1:15" x14ac:dyDescent="0.15">
      <c r="A6" s="440" t="s">
        <v>141</v>
      </c>
      <c r="B6" s="441">
        <f t="shared" ref="B6:L6" si="0">SUM(B7:B21)</f>
        <v>0</v>
      </c>
      <c r="C6" s="441">
        <f t="shared" si="0"/>
        <v>0</v>
      </c>
      <c r="D6" s="441">
        <f t="shared" si="0"/>
        <v>0</v>
      </c>
      <c r="E6" s="441">
        <f t="shared" si="0"/>
        <v>0</v>
      </c>
      <c r="F6" s="441">
        <f t="shared" si="0"/>
        <v>0</v>
      </c>
      <c r="G6" s="441">
        <f t="shared" si="0"/>
        <v>1</v>
      </c>
      <c r="H6" s="441">
        <f t="shared" si="0"/>
        <v>1</v>
      </c>
      <c r="I6" s="441">
        <f t="shared" si="0"/>
        <v>8288</v>
      </c>
      <c r="J6" s="441">
        <f t="shared" si="0"/>
        <v>1</v>
      </c>
      <c r="K6" s="441">
        <f t="shared" si="0"/>
        <v>4</v>
      </c>
      <c r="L6" s="441">
        <f t="shared" si="0"/>
        <v>11620</v>
      </c>
      <c r="M6" s="442">
        <f>SUM(M7:M21)</f>
        <v>1</v>
      </c>
      <c r="N6" s="442">
        <f>SUM(N7:N21)</f>
        <v>4</v>
      </c>
      <c r="O6" s="442">
        <f>SUM(O7:O21)</f>
        <v>12460</v>
      </c>
    </row>
    <row r="7" spans="1:15" x14ac:dyDescent="0.15">
      <c r="A7" s="443" t="s">
        <v>5</v>
      </c>
      <c r="B7" s="444">
        <v>0</v>
      </c>
      <c r="C7" s="444">
        <v>0</v>
      </c>
      <c r="D7" s="444">
        <v>0</v>
      </c>
      <c r="E7" s="444">
        <v>0</v>
      </c>
      <c r="F7" s="444">
        <v>0</v>
      </c>
      <c r="G7" s="444">
        <v>0</v>
      </c>
      <c r="H7" s="444">
        <v>0</v>
      </c>
      <c r="I7" s="444">
        <v>0</v>
      </c>
      <c r="J7" s="444">
        <v>0</v>
      </c>
      <c r="K7" s="444">
        <v>0</v>
      </c>
      <c r="L7" s="444">
        <v>0</v>
      </c>
      <c r="M7" s="445">
        <v>0</v>
      </c>
      <c r="N7" s="445">
        <v>0</v>
      </c>
      <c r="O7" s="445">
        <v>0</v>
      </c>
    </row>
    <row r="8" spans="1:15" x14ac:dyDescent="0.15">
      <c r="A8" s="443" t="s">
        <v>6</v>
      </c>
      <c r="B8" s="444">
        <v>0</v>
      </c>
      <c r="C8" s="444">
        <v>0</v>
      </c>
      <c r="D8" s="444">
        <v>0</v>
      </c>
      <c r="E8" s="444">
        <v>0</v>
      </c>
      <c r="F8" s="444">
        <v>0</v>
      </c>
      <c r="G8" s="444">
        <v>0</v>
      </c>
      <c r="H8" s="444">
        <v>0</v>
      </c>
      <c r="I8" s="444">
        <v>0</v>
      </c>
      <c r="J8" s="444">
        <v>0</v>
      </c>
      <c r="K8" s="444">
        <v>0</v>
      </c>
      <c r="L8" s="444">
        <v>0</v>
      </c>
      <c r="M8" s="446">
        <v>0</v>
      </c>
      <c r="N8" s="446">
        <v>0</v>
      </c>
      <c r="O8" s="446">
        <v>0</v>
      </c>
    </row>
    <row r="9" spans="1:15" x14ac:dyDescent="0.15">
      <c r="A9" s="443" t="s">
        <v>7</v>
      </c>
      <c r="B9" s="444">
        <v>0</v>
      </c>
      <c r="C9" s="444">
        <v>0</v>
      </c>
      <c r="D9" s="444">
        <v>0</v>
      </c>
      <c r="E9" s="444">
        <v>0</v>
      </c>
      <c r="F9" s="444">
        <v>0</v>
      </c>
      <c r="G9" s="444">
        <v>0</v>
      </c>
      <c r="H9" s="444">
        <v>0</v>
      </c>
      <c r="I9" s="444">
        <v>0</v>
      </c>
      <c r="J9" s="444">
        <v>0</v>
      </c>
      <c r="K9" s="444">
        <v>0</v>
      </c>
      <c r="L9" s="444">
        <v>0</v>
      </c>
      <c r="M9" s="446">
        <v>0</v>
      </c>
      <c r="N9" s="446">
        <v>0</v>
      </c>
      <c r="O9" s="446">
        <v>0</v>
      </c>
    </row>
    <row r="10" spans="1:15" x14ac:dyDescent="0.15">
      <c r="A10" s="443" t="s">
        <v>8</v>
      </c>
      <c r="B10" s="444">
        <v>0</v>
      </c>
      <c r="C10" s="444">
        <v>0</v>
      </c>
      <c r="D10" s="444">
        <v>0</v>
      </c>
      <c r="E10" s="444">
        <v>0</v>
      </c>
      <c r="F10" s="444">
        <v>0</v>
      </c>
      <c r="G10" s="444">
        <v>0</v>
      </c>
      <c r="H10" s="444">
        <v>0</v>
      </c>
      <c r="I10" s="444">
        <v>0</v>
      </c>
      <c r="J10" s="444">
        <v>0</v>
      </c>
      <c r="K10" s="444">
        <v>0</v>
      </c>
      <c r="L10" s="444">
        <v>0</v>
      </c>
      <c r="M10" s="446">
        <v>0</v>
      </c>
      <c r="N10" s="446">
        <v>0</v>
      </c>
      <c r="O10" s="446">
        <v>0</v>
      </c>
    </row>
    <row r="11" spans="1:15" x14ac:dyDescent="0.15">
      <c r="A11" s="443" t="s">
        <v>9</v>
      </c>
      <c r="B11" s="444">
        <v>0</v>
      </c>
      <c r="C11" s="444">
        <v>0</v>
      </c>
      <c r="D11" s="444">
        <v>0</v>
      </c>
      <c r="E11" s="444">
        <v>0</v>
      </c>
      <c r="F11" s="444">
        <v>0</v>
      </c>
      <c r="G11" s="444">
        <v>0</v>
      </c>
      <c r="H11" s="444">
        <v>0</v>
      </c>
      <c r="I11" s="444">
        <v>0</v>
      </c>
      <c r="J11" s="444">
        <v>0</v>
      </c>
      <c r="K11" s="444">
        <v>0</v>
      </c>
      <c r="L11" s="444">
        <v>0</v>
      </c>
      <c r="M11" s="446">
        <v>0</v>
      </c>
      <c r="N11" s="446">
        <v>0</v>
      </c>
      <c r="O11" s="446">
        <v>0</v>
      </c>
    </row>
    <row r="12" spans="1:15" x14ac:dyDescent="0.15">
      <c r="A12" s="443" t="s">
        <v>10</v>
      </c>
      <c r="B12" s="444">
        <v>0</v>
      </c>
      <c r="C12" s="444">
        <v>0</v>
      </c>
      <c r="D12" s="444">
        <v>0</v>
      </c>
      <c r="E12" s="444">
        <v>0</v>
      </c>
      <c r="F12" s="444">
        <v>0</v>
      </c>
      <c r="G12" s="444">
        <v>0</v>
      </c>
      <c r="H12" s="444">
        <v>0</v>
      </c>
      <c r="I12" s="444">
        <v>0</v>
      </c>
      <c r="J12" s="444">
        <v>0</v>
      </c>
      <c r="K12" s="444">
        <v>0</v>
      </c>
      <c r="L12" s="444">
        <v>0</v>
      </c>
      <c r="M12" s="447">
        <v>0</v>
      </c>
      <c r="N12" s="447">
        <v>1</v>
      </c>
      <c r="O12" s="447">
        <v>2160</v>
      </c>
    </row>
    <row r="13" spans="1:15" x14ac:dyDescent="0.15">
      <c r="A13" s="443" t="s">
        <v>11</v>
      </c>
      <c r="B13" s="444">
        <v>0</v>
      </c>
      <c r="C13" s="444">
        <v>0</v>
      </c>
      <c r="D13" s="444">
        <v>0</v>
      </c>
      <c r="E13" s="444">
        <v>0</v>
      </c>
      <c r="F13" s="444">
        <v>0</v>
      </c>
      <c r="G13" s="444">
        <v>1</v>
      </c>
      <c r="H13" s="444">
        <v>1</v>
      </c>
      <c r="I13" s="444">
        <v>8288</v>
      </c>
      <c r="J13" s="444">
        <v>1</v>
      </c>
      <c r="K13" s="444">
        <v>2</v>
      </c>
      <c r="L13" s="444">
        <v>8320</v>
      </c>
      <c r="M13" s="447">
        <v>1</v>
      </c>
      <c r="N13" s="447">
        <v>2</v>
      </c>
      <c r="O13" s="447">
        <v>8000</v>
      </c>
    </row>
    <row r="14" spans="1:15" x14ac:dyDescent="0.15">
      <c r="A14" s="443" t="s">
        <v>12</v>
      </c>
      <c r="B14" s="444">
        <v>0</v>
      </c>
      <c r="C14" s="444">
        <v>0</v>
      </c>
      <c r="D14" s="444">
        <v>0</v>
      </c>
      <c r="E14" s="444">
        <v>0</v>
      </c>
      <c r="F14" s="444">
        <v>0</v>
      </c>
      <c r="G14" s="444">
        <v>0</v>
      </c>
      <c r="H14" s="444">
        <v>0</v>
      </c>
      <c r="I14" s="444">
        <v>0</v>
      </c>
      <c r="J14" s="444">
        <v>0</v>
      </c>
      <c r="K14" s="444">
        <v>0</v>
      </c>
      <c r="L14" s="444">
        <v>0</v>
      </c>
      <c r="M14" s="447">
        <v>0</v>
      </c>
      <c r="N14" s="447">
        <v>0</v>
      </c>
      <c r="O14" s="447">
        <v>0</v>
      </c>
    </row>
    <row r="15" spans="1:15" x14ac:dyDescent="0.15">
      <c r="A15" s="443" t="s">
        <v>13</v>
      </c>
      <c r="B15" s="444">
        <v>0</v>
      </c>
      <c r="C15" s="444">
        <v>0</v>
      </c>
      <c r="D15" s="444">
        <v>0</v>
      </c>
      <c r="E15" s="444">
        <v>0</v>
      </c>
      <c r="F15" s="444">
        <v>0</v>
      </c>
      <c r="G15" s="444">
        <v>0</v>
      </c>
      <c r="H15" s="444">
        <v>0</v>
      </c>
      <c r="I15" s="444">
        <v>0</v>
      </c>
      <c r="J15" s="444">
        <v>0</v>
      </c>
      <c r="K15" s="444">
        <v>0</v>
      </c>
      <c r="L15" s="444">
        <v>0</v>
      </c>
      <c r="M15" s="447">
        <v>0</v>
      </c>
      <c r="N15" s="447">
        <v>0</v>
      </c>
      <c r="O15" s="447">
        <v>0</v>
      </c>
    </row>
    <row r="16" spans="1:15" x14ac:dyDescent="0.15">
      <c r="A16" s="443" t="s">
        <v>14</v>
      </c>
      <c r="B16" s="444">
        <v>0</v>
      </c>
      <c r="C16" s="444">
        <v>0</v>
      </c>
      <c r="D16" s="444">
        <v>0</v>
      </c>
      <c r="E16" s="444">
        <v>0</v>
      </c>
      <c r="F16" s="444">
        <v>0</v>
      </c>
      <c r="G16" s="444">
        <v>0</v>
      </c>
      <c r="H16" s="444">
        <v>0</v>
      </c>
      <c r="I16" s="444">
        <v>0</v>
      </c>
      <c r="J16" s="444">
        <v>0</v>
      </c>
      <c r="K16" s="444">
        <v>0</v>
      </c>
      <c r="L16" s="444">
        <v>0</v>
      </c>
      <c r="M16" s="447">
        <v>0</v>
      </c>
      <c r="N16" s="447">
        <v>0</v>
      </c>
      <c r="O16" s="447">
        <v>0</v>
      </c>
    </row>
    <row r="17" spans="1:15" x14ac:dyDescent="0.15">
      <c r="A17" s="443" t="s">
        <v>15</v>
      </c>
      <c r="B17" s="444">
        <v>0</v>
      </c>
      <c r="C17" s="444">
        <v>0</v>
      </c>
      <c r="D17" s="444">
        <v>0</v>
      </c>
      <c r="E17" s="444">
        <v>0</v>
      </c>
      <c r="F17" s="444">
        <v>0</v>
      </c>
      <c r="G17" s="444">
        <v>0</v>
      </c>
      <c r="H17" s="444">
        <v>0</v>
      </c>
      <c r="I17" s="444">
        <v>0</v>
      </c>
      <c r="J17" s="444">
        <v>0</v>
      </c>
      <c r="K17" s="444">
        <v>0</v>
      </c>
      <c r="L17" s="444">
        <v>0</v>
      </c>
      <c r="M17" s="447">
        <v>0</v>
      </c>
      <c r="N17" s="447">
        <v>1</v>
      </c>
      <c r="O17" s="447">
        <v>2300</v>
      </c>
    </row>
    <row r="18" spans="1:15" x14ac:dyDescent="0.15">
      <c r="A18" s="443" t="s">
        <v>301</v>
      </c>
      <c r="B18" s="444">
        <v>0</v>
      </c>
      <c r="C18" s="444">
        <v>0</v>
      </c>
      <c r="D18" s="444">
        <v>0</v>
      </c>
      <c r="E18" s="444">
        <v>0</v>
      </c>
      <c r="F18" s="444">
        <v>0</v>
      </c>
      <c r="G18" s="444">
        <v>0</v>
      </c>
      <c r="H18" s="444">
        <v>0</v>
      </c>
      <c r="I18" s="444">
        <v>0</v>
      </c>
      <c r="J18" s="444">
        <v>0</v>
      </c>
      <c r="K18" s="444">
        <v>0</v>
      </c>
      <c r="L18" s="444">
        <v>0</v>
      </c>
      <c r="M18" s="446">
        <v>0</v>
      </c>
      <c r="N18" s="446">
        <v>0</v>
      </c>
      <c r="O18" s="446">
        <v>0</v>
      </c>
    </row>
    <row r="19" spans="1:15" x14ac:dyDescent="0.15">
      <c r="A19" s="443" t="s">
        <v>303</v>
      </c>
      <c r="B19" s="444">
        <v>0</v>
      </c>
      <c r="C19" s="444">
        <v>0</v>
      </c>
      <c r="D19" s="444">
        <v>0</v>
      </c>
      <c r="E19" s="444">
        <v>0</v>
      </c>
      <c r="F19" s="444">
        <v>0</v>
      </c>
      <c r="G19" s="444">
        <v>0</v>
      </c>
      <c r="H19" s="444">
        <v>0</v>
      </c>
      <c r="I19" s="444">
        <v>0</v>
      </c>
      <c r="J19" s="444">
        <v>0</v>
      </c>
      <c r="K19" s="444">
        <v>1</v>
      </c>
      <c r="L19" s="444">
        <v>3300</v>
      </c>
      <c r="M19" s="446">
        <v>0</v>
      </c>
      <c r="N19" s="446">
        <v>0</v>
      </c>
      <c r="O19" s="446">
        <v>0</v>
      </c>
    </row>
    <row r="20" spans="1:15" x14ac:dyDescent="0.15">
      <c r="A20" s="443" t="s">
        <v>18</v>
      </c>
      <c r="B20" s="444">
        <v>0</v>
      </c>
      <c r="C20" s="444">
        <v>0</v>
      </c>
      <c r="D20" s="444">
        <v>0</v>
      </c>
      <c r="E20" s="444">
        <v>0</v>
      </c>
      <c r="F20" s="444">
        <v>0</v>
      </c>
      <c r="G20" s="444">
        <v>0</v>
      </c>
      <c r="H20" s="444">
        <v>0</v>
      </c>
      <c r="I20" s="444">
        <v>0</v>
      </c>
      <c r="J20" s="444">
        <v>0</v>
      </c>
      <c r="K20" s="444">
        <v>1</v>
      </c>
      <c r="L20" s="444" t="s">
        <v>1419</v>
      </c>
      <c r="M20" s="446">
        <v>0</v>
      </c>
      <c r="N20" s="446">
        <v>0</v>
      </c>
      <c r="O20" s="446">
        <v>0</v>
      </c>
    </row>
    <row r="21" spans="1:15" x14ac:dyDescent="0.15">
      <c r="A21" s="443" t="s">
        <v>19</v>
      </c>
      <c r="B21" s="444">
        <v>0</v>
      </c>
      <c r="C21" s="444">
        <v>0</v>
      </c>
      <c r="D21" s="444">
        <v>0</v>
      </c>
      <c r="E21" s="444">
        <v>0</v>
      </c>
      <c r="F21" s="444">
        <v>0</v>
      </c>
      <c r="G21" s="444">
        <v>0</v>
      </c>
      <c r="H21" s="444">
        <v>0</v>
      </c>
      <c r="I21" s="444">
        <v>0</v>
      </c>
      <c r="J21" s="444">
        <v>0</v>
      </c>
      <c r="K21" s="444">
        <v>0</v>
      </c>
      <c r="L21" s="444">
        <v>0</v>
      </c>
      <c r="M21" s="446">
        <v>0</v>
      </c>
      <c r="N21" s="446">
        <v>0</v>
      </c>
      <c r="O21" s="446">
        <v>0</v>
      </c>
    </row>
    <row r="22" spans="1:15" ht="11.25" customHeight="1" x14ac:dyDescent="0.15">
      <c r="A22" s="2347"/>
      <c r="B22" s="2348"/>
      <c r="C22" s="2348"/>
      <c r="D22" s="2348"/>
    </row>
    <row r="23" spans="1:15" x14ac:dyDescent="0.15">
      <c r="A23" s="2477" t="s">
        <v>1420</v>
      </c>
      <c r="B23" s="2477"/>
      <c r="C23" s="2477"/>
      <c r="D23" s="2477"/>
      <c r="E23" s="2477"/>
      <c r="F23" s="2477"/>
      <c r="G23" s="2477"/>
      <c r="H23" s="2477"/>
      <c r="I23" s="2477"/>
      <c r="J23" s="2477"/>
      <c r="K23" s="2477"/>
      <c r="L23" s="2477"/>
      <c r="M23" s="2477"/>
      <c r="N23" s="2477"/>
      <c r="O23" s="2477"/>
    </row>
    <row r="24" spans="1:15" x14ac:dyDescent="0.15">
      <c r="A24" s="2653" t="s">
        <v>1421</v>
      </c>
      <c r="B24" s="2653"/>
      <c r="C24" s="2653"/>
      <c r="D24" s="2653"/>
      <c r="E24" s="2653"/>
      <c r="F24" s="2653"/>
      <c r="G24" s="2653"/>
      <c r="H24" s="2653"/>
      <c r="I24" s="2653"/>
      <c r="J24" s="2653"/>
      <c r="K24" s="2653"/>
      <c r="L24" s="2653"/>
      <c r="M24" s="2653"/>
      <c r="N24" s="2653"/>
      <c r="O24" s="2653"/>
    </row>
    <row r="25" spans="1:15" ht="11.25" customHeight="1" x14ac:dyDescent="0.15">
      <c r="A25" s="2654" t="s">
        <v>20</v>
      </c>
      <c r="B25" s="2654"/>
      <c r="C25" s="2654"/>
      <c r="D25" s="2654"/>
      <c r="E25" s="2654"/>
      <c r="F25" s="2654"/>
      <c r="G25" s="2654"/>
      <c r="H25" s="2654"/>
      <c r="I25" s="2654"/>
      <c r="J25" s="2654"/>
      <c r="K25" s="2654"/>
      <c r="L25" s="2654"/>
      <c r="M25" s="2654"/>
      <c r="N25" s="2654"/>
      <c r="O25" s="2654"/>
    </row>
    <row r="26" spans="1:15" ht="10.5" customHeight="1" x14ac:dyDescent="0.15">
      <c r="A26" s="2655" t="s">
        <v>1422</v>
      </c>
      <c r="B26" s="2656"/>
      <c r="C26" s="2656"/>
      <c r="D26" s="2656"/>
      <c r="E26" s="2656"/>
      <c r="F26" s="2656"/>
      <c r="G26" s="2656"/>
      <c r="H26" s="2656"/>
      <c r="I26" s="2656"/>
      <c r="J26" s="2656"/>
      <c r="K26" s="2656"/>
      <c r="L26" s="2656"/>
      <c r="M26" s="2656"/>
      <c r="N26" s="2656"/>
      <c r="O26" s="2656"/>
    </row>
  </sheetData>
  <mergeCells count="13">
    <mergeCell ref="A22:D22"/>
    <mergeCell ref="A23:O23"/>
    <mergeCell ref="A24:O24"/>
    <mergeCell ref="A25:O25"/>
    <mergeCell ref="A26:O26"/>
    <mergeCell ref="A2:O2"/>
    <mergeCell ref="A3:O3"/>
    <mergeCell ref="A4:A5"/>
    <mergeCell ref="B4:C4"/>
    <mergeCell ref="D4:F4"/>
    <mergeCell ref="G4:I4"/>
    <mergeCell ref="J4:L4"/>
    <mergeCell ref="M4:O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P30"/>
  <sheetViews>
    <sheetView zoomScaleNormal="100" workbookViewId="0">
      <selection activeCell="K36" sqref="K36"/>
    </sheetView>
  </sheetViews>
  <sheetFormatPr baseColWidth="10" defaultRowHeight="10.5" x14ac:dyDescent="0.15"/>
  <cols>
    <col min="1" max="1" width="25" style="448" customWidth="1"/>
    <col min="2" max="16" width="10" style="448" customWidth="1"/>
    <col min="17" max="16384" width="11.42578125" style="448"/>
  </cols>
  <sheetData>
    <row r="1" spans="1:16" ht="11.25" customHeight="1" x14ac:dyDescent="0.15"/>
    <row r="2" spans="1:16" s="380" customFormat="1" ht="15" customHeight="1" x14ac:dyDescent="0.15">
      <c r="A2" s="362" t="s">
        <v>1423</v>
      </c>
      <c r="B2" s="362"/>
      <c r="C2" s="362"/>
      <c r="D2" s="362"/>
      <c r="E2" s="362"/>
      <c r="F2" s="362"/>
      <c r="G2" s="362"/>
      <c r="H2" s="362"/>
      <c r="I2" s="362"/>
      <c r="J2" s="362"/>
      <c r="K2" s="362"/>
      <c r="L2" s="362"/>
      <c r="M2" s="362"/>
      <c r="N2" s="362"/>
      <c r="O2" s="362"/>
      <c r="P2" s="362"/>
    </row>
    <row r="3" spans="1:16" s="380" customFormat="1" ht="10.5" customHeight="1" x14ac:dyDescent="0.15">
      <c r="A3" s="449"/>
      <c r="B3" s="449"/>
      <c r="C3" s="449"/>
      <c r="D3" s="449"/>
      <c r="E3" s="449"/>
      <c r="F3" s="449"/>
      <c r="G3" s="449"/>
      <c r="H3" s="449"/>
      <c r="I3" s="449"/>
      <c r="J3" s="449"/>
      <c r="K3" s="449"/>
      <c r="L3" s="449"/>
      <c r="M3" s="449"/>
      <c r="N3" s="449"/>
      <c r="O3" s="449"/>
      <c r="P3" s="449"/>
    </row>
    <row r="4" spans="1:16" s="380" customFormat="1" ht="16.5" customHeight="1" x14ac:dyDescent="0.15">
      <c r="A4" s="2658" t="s">
        <v>1</v>
      </c>
      <c r="B4" s="2657">
        <v>2011</v>
      </c>
      <c r="C4" s="2657"/>
      <c r="D4" s="2657"/>
      <c r="E4" s="2657">
        <v>2012</v>
      </c>
      <c r="F4" s="2657"/>
      <c r="G4" s="2657"/>
      <c r="H4" s="2657">
        <v>2013</v>
      </c>
      <c r="I4" s="2657"/>
      <c r="J4" s="2657"/>
      <c r="K4" s="2657">
        <v>2014</v>
      </c>
      <c r="L4" s="2657"/>
      <c r="M4" s="2657"/>
      <c r="N4" s="2657">
        <v>2015</v>
      </c>
      <c r="O4" s="2657"/>
      <c r="P4" s="2657"/>
    </row>
    <row r="5" spans="1:16" s="380" customFormat="1" ht="18.75" customHeight="1" x14ac:dyDescent="0.15">
      <c r="A5" s="2658"/>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row>
    <row r="6" spans="1:16" s="380" customFormat="1" x14ac:dyDescent="0.15">
      <c r="A6" s="451" t="s">
        <v>141</v>
      </c>
      <c r="B6" s="452">
        <v>1455</v>
      </c>
      <c r="C6" s="452">
        <v>662</v>
      </c>
      <c r="D6" s="452">
        <v>793</v>
      </c>
      <c r="E6" s="452">
        <v>1489</v>
      </c>
      <c r="F6" s="452">
        <v>682</v>
      </c>
      <c r="G6" s="452">
        <v>807</v>
      </c>
      <c r="H6" s="452">
        <v>1546</v>
      </c>
      <c r="I6" s="452">
        <v>708</v>
      </c>
      <c r="J6" s="452">
        <v>838</v>
      </c>
      <c r="K6" s="452">
        <v>1718</v>
      </c>
      <c r="L6" s="452">
        <v>796</v>
      </c>
      <c r="M6" s="452">
        <v>922</v>
      </c>
      <c r="N6" s="452">
        <v>1854</v>
      </c>
      <c r="O6" s="452">
        <v>863</v>
      </c>
      <c r="P6" s="452">
        <v>991</v>
      </c>
    </row>
    <row r="7" spans="1:16" s="380" customFormat="1" x14ac:dyDescent="0.15">
      <c r="A7" s="453" t="s">
        <v>5</v>
      </c>
      <c r="B7" s="452">
        <v>0</v>
      </c>
      <c r="C7" s="454">
        <v>0</v>
      </c>
      <c r="D7" s="454">
        <v>0</v>
      </c>
      <c r="E7" s="452">
        <v>0</v>
      </c>
      <c r="F7" s="454">
        <v>0</v>
      </c>
      <c r="G7" s="454">
        <v>0</v>
      </c>
      <c r="H7" s="452">
        <v>0</v>
      </c>
      <c r="I7" s="454">
        <v>0</v>
      </c>
      <c r="J7" s="454">
        <v>0</v>
      </c>
      <c r="K7" s="452">
        <v>1</v>
      </c>
      <c r="L7" s="454">
        <v>0</v>
      </c>
      <c r="M7" s="454">
        <v>1</v>
      </c>
      <c r="N7" s="452">
        <v>1</v>
      </c>
      <c r="O7" s="454">
        <v>0</v>
      </c>
      <c r="P7" s="454">
        <v>1</v>
      </c>
    </row>
    <row r="8" spans="1:16" s="380" customFormat="1" x14ac:dyDescent="0.15">
      <c r="A8" s="453" t="s">
        <v>6</v>
      </c>
      <c r="B8" s="452">
        <v>0</v>
      </c>
      <c r="C8" s="454">
        <v>0</v>
      </c>
      <c r="D8" s="454">
        <v>0</v>
      </c>
      <c r="E8" s="452">
        <v>0</v>
      </c>
      <c r="F8" s="454">
        <v>0</v>
      </c>
      <c r="G8" s="454">
        <v>0</v>
      </c>
      <c r="H8" s="452">
        <v>0</v>
      </c>
      <c r="I8" s="454">
        <v>0</v>
      </c>
      <c r="J8" s="454">
        <v>0</v>
      </c>
      <c r="K8" s="452">
        <v>11</v>
      </c>
      <c r="L8" s="454">
        <v>9</v>
      </c>
      <c r="M8" s="454">
        <v>2</v>
      </c>
      <c r="N8" s="452">
        <v>11</v>
      </c>
      <c r="O8" s="454">
        <v>9</v>
      </c>
      <c r="P8" s="454">
        <v>2</v>
      </c>
    </row>
    <row r="9" spans="1:16" s="380" customFormat="1" x14ac:dyDescent="0.15">
      <c r="A9" s="453" t="s">
        <v>7</v>
      </c>
      <c r="B9" s="452">
        <v>2</v>
      </c>
      <c r="C9" s="454">
        <v>0</v>
      </c>
      <c r="D9" s="454">
        <v>2</v>
      </c>
      <c r="E9" s="452">
        <v>2</v>
      </c>
      <c r="F9" s="454">
        <v>0</v>
      </c>
      <c r="G9" s="454">
        <v>2</v>
      </c>
      <c r="H9" s="452">
        <v>2</v>
      </c>
      <c r="I9" s="454">
        <v>0</v>
      </c>
      <c r="J9" s="454">
        <v>2</v>
      </c>
      <c r="K9" s="452">
        <v>8</v>
      </c>
      <c r="L9" s="454">
        <v>0</v>
      </c>
      <c r="M9" s="454">
        <v>8</v>
      </c>
      <c r="N9" s="452">
        <v>13</v>
      </c>
      <c r="O9" s="454">
        <v>5</v>
      </c>
      <c r="P9" s="454">
        <v>8</v>
      </c>
    </row>
    <row r="10" spans="1:16" s="380" customFormat="1" x14ac:dyDescent="0.15">
      <c r="A10" s="453" t="s">
        <v>8</v>
      </c>
      <c r="B10" s="452">
        <v>3</v>
      </c>
      <c r="C10" s="454">
        <v>3</v>
      </c>
      <c r="D10" s="454">
        <v>0</v>
      </c>
      <c r="E10" s="452">
        <v>3</v>
      </c>
      <c r="F10" s="454">
        <v>3</v>
      </c>
      <c r="G10" s="454">
        <v>0</v>
      </c>
      <c r="H10" s="452">
        <v>3</v>
      </c>
      <c r="I10" s="454">
        <v>3</v>
      </c>
      <c r="J10" s="454">
        <v>0</v>
      </c>
      <c r="K10" s="452">
        <v>3</v>
      </c>
      <c r="L10" s="454">
        <v>3</v>
      </c>
      <c r="M10" s="454">
        <v>0</v>
      </c>
      <c r="N10" s="452">
        <v>7</v>
      </c>
      <c r="O10" s="454">
        <v>4</v>
      </c>
      <c r="P10" s="454">
        <v>3</v>
      </c>
    </row>
    <row r="11" spans="1:16" s="380" customFormat="1" x14ac:dyDescent="0.15">
      <c r="A11" s="453" t="s">
        <v>9</v>
      </c>
      <c r="B11" s="452">
        <v>1</v>
      </c>
      <c r="C11" s="454">
        <v>0</v>
      </c>
      <c r="D11" s="454">
        <v>1</v>
      </c>
      <c r="E11" s="452">
        <v>1</v>
      </c>
      <c r="F11" s="454">
        <v>0</v>
      </c>
      <c r="G11" s="454">
        <v>1</v>
      </c>
      <c r="H11" s="452">
        <v>1</v>
      </c>
      <c r="I11" s="454">
        <v>0</v>
      </c>
      <c r="J11" s="454">
        <v>1</v>
      </c>
      <c r="K11" s="452">
        <v>1</v>
      </c>
      <c r="L11" s="454">
        <v>0</v>
      </c>
      <c r="M11" s="454">
        <v>1</v>
      </c>
      <c r="N11" s="452">
        <v>1</v>
      </c>
      <c r="O11" s="454">
        <v>0</v>
      </c>
      <c r="P11" s="454">
        <v>1</v>
      </c>
    </row>
    <row r="12" spans="1:16" s="380" customFormat="1" x14ac:dyDescent="0.15">
      <c r="A12" s="453" t="s">
        <v>10</v>
      </c>
      <c r="B12" s="452">
        <v>19</v>
      </c>
      <c r="C12" s="454">
        <v>13</v>
      </c>
      <c r="D12" s="454">
        <v>6</v>
      </c>
      <c r="E12" s="452">
        <v>20</v>
      </c>
      <c r="F12" s="454">
        <v>14</v>
      </c>
      <c r="G12" s="454">
        <v>6</v>
      </c>
      <c r="H12" s="452">
        <v>22</v>
      </c>
      <c r="I12" s="454">
        <v>15</v>
      </c>
      <c r="J12" s="454">
        <v>7</v>
      </c>
      <c r="K12" s="452">
        <v>25</v>
      </c>
      <c r="L12" s="454">
        <v>17</v>
      </c>
      <c r="M12" s="454">
        <v>8</v>
      </c>
      <c r="N12" s="452">
        <v>26</v>
      </c>
      <c r="O12" s="454">
        <v>18</v>
      </c>
      <c r="P12" s="454">
        <v>8</v>
      </c>
    </row>
    <row r="13" spans="1:16" s="380" customFormat="1" x14ac:dyDescent="0.15">
      <c r="A13" s="453" t="s">
        <v>11</v>
      </c>
      <c r="B13" s="452">
        <v>1041</v>
      </c>
      <c r="C13" s="454">
        <v>457</v>
      </c>
      <c r="D13" s="454">
        <v>584</v>
      </c>
      <c r="E13" s="452">
        <v>1072</v>
      </c>
      <c r="F13" s="454">
        <v>474</v>
      </c>
      <c r="G13" s="454">
        <v>598</v>
      </c>
      <c r="H13" s="452">
        <v>1123</v>
      </c>
      <c r="I13" s="454">
        <v>498</v>
      </c>
      <c r="J13" s="454">
        <v>625</v>
      </c>
      <c r="K13" s="452">
        <v>1223</v>
      </c>
      <c r="L13" s="454">
        <v>552</v>
      </c>
      <c r="M13" s="454">
        <v>671</v>
      </c>
      <c r="N13" s="452">
        <v>1323</v>
      </c>
      <c r="O13" s="454">
        <v>600</v>
      </c>
      <c r="P13" s="454">
        <v>723</v>
      </c>
    </row>
    <row r="14" spans="1:16" s="380" customFormat="1" x14ac:dyDescent="0.15">
      <c r="A14" s="453" t="s">
        <v>12</v>
      </c>
      <c r="B14" s="452">
        <v>5</v>
      </c>
      <c r="C14" s="454">
        <v>4</v>
      </c>
      <c r="D14" s="454">
        <v>1</v>
      </c>
      <c r="E14" s="452">
        <v>5</v>
      </c>
      <c r="F14" s="454">
        <v>4</v>
      </c>
      <c r="G14" s="454">
        <v>1</v>
      </c>
      <c r="H14" s="452">
        <v>6</v>
      </c>
      <c r="I14" s="454">
        <v>4</v>
      </c>
      <c r="J14" s="454">
        <v>2</v>
      </c>
      <c r="K14" s="452">
        <v>6</v>
      </c>
      <c r="L14" s="454">
        <v>4</v>
      </c>
      <c r="M14" s="454">
        <v>2</v>
      </c>
      <c r="N14" s="452">
        <v>7</v>
      </c>
      <c r="O14" s="454">
        <v>4</v>
      </c>
      <c r="P14" s="454">
        <v>3</v>
      </c>
    </row>
    <row r="15" spans="1:16" s="380" customFormat="1" x14ac:dyDescent="0.15">
      <c r="A15" s="453" t="s">
        <v>13</v>
      </c>
      <c r="B15" s="452">
        <v>12</v>
      </c>
      <c r="C15" s="454">
        <v>6</v>
      </c>
      <c r="D15" s="454">
        <v>6</v>
      </c>
      <c r="E15" s="452">
        <v>12</v>
      </c>
      <c r="F15" s="454">
        <v>6</v>
      </c>
      <c r="G15" s="454">
        <v>6</v>
      </c>
      <c r="H15" s="452">
        <v>12</v>
      </c>
      <c r="I15" s="454">
        <v>6</v>
      </c>
      <c r="J15" s="454">
        <v>6</v>
      </c>
      <c r="K15" s="452">
        <v>20</v>
      </c>
      <c r="L15" s="454">
        <v>7</v>
      </c>
      <c r="M15" s="454">
        <v>13</v>
      </c>
      <c r="N15" s="452">
        <v>20</v>
      </c>
      <c r="O15" s="454">
        <v>7</v>
      </c>
      <c r="P15" s="454">
        <v>13</v>
      </c>
    </row>
    <row r="16" spans="1:16" s="380" customFormat="1" x14ac:dyDescent="0.15">
      <c r="A16" s="453" t="s">
        <v>14</v>
      </c>
      <c r="B16" s="452">
        <v>2</v>
      </c>
      <c r="C16" s="454">
        <v>1</v>
      </c>
      <c r="D16" s="454">
        <v>1</v>
      </c>
      <c r="E16" s="452">
        <v>2</v>
      </c>
      <c r="F16" s="454">
        <v>1</v>
      </c>
      <c r="G16" s="454">
        <v>1</v>
      </c>
      <c r="H16" s="452">
        <v>2</v>
      </c>
      <c r="I16" s="454">
        <v>1</v>
      </c>
      <c r="J16" s="454">
        <v>1</v>
      </c>
      <c r="K16" s="452">
        <v>21</v>
      </c>
      <c r="L16" s="454">
        <v>9</v>
      </c>
      <c r="M16" s="454">
        <v>12</v>
      </c>
      <c r="N16" s="452">
        <v>37</v>
      </c>
      <c r="O16" s="454">
        <v>17</v>
      </c>
      <c r="P16" s="454">
        <v>20</v>
      </c>
    </row>
    <row r="17" spans="1:16" s="380" customFormat="1" x14ac:dyDescent="0.15">
      <c r="A17" s="453" t="s">
        <v>15</v>
      </c>
      <c r="B17" s="452">
        <v>3</v>
      </c>
      <c r="C17" s="454">
        <v>2</v>
      </c>
      <c r="D17" s="454">
        <v>1</v>
      </c>
      <c r="E17" s="452">
        <v>3</v>
      </c>
      <c r="F17" s="454">
        <v>2</v>
      </c>
      <c r="G17" s="454">
        <v>1</v>
      </c>
      <c r="H17" s="452">
        <v>4</v>
      </c>
      <c r="I17" s="454">
        <v>2</v>
      </c>
      <c r="J17" s="454">
        <v>2</v>
      </c>
      <c r="K17" s="452">
        <v>21</v>
      </c>
      <c r="L17" s="454">
        <v>13</v>
      </c>
      <c r="M17" s="454">
        <v>8</v>
      </c>
      <c r="N17" s="452">
        <v>30</v>
      </c>
      <c r="O17" s="454">
        <v>17</v>
      </c>
      <c r="P17" s="454">
        <v>13</v>
      </c>
    </row>
    <row r="18" spans="1:16" s="380" customFormat="1" x14ac:dyDescent="0.15">
      <c r="A18" s="453" t="s">
        <v>16</v>
      </c>
      <c r="B18" s="452">
        <v>0</v>
      </c>
      <c r="C18" s="454">
        <v>0</v>
      </c>
      <c r="D18" s="454">
        <v>0</v>
      </c>
      <c r="E18" s="452">
        <v>0</v>
      </c>
      <c r="F18" s="454">
        <v>0</v>
      </c>
      <c r="G18" s="454">
        <v>0</v>
      </c>
      <c r="H18" s="452">
        <v>0</v>
      </c>
      <c r="I18" s="454">
        <v>0</v>
      </c>
      <c r="J18" s="454">
        <v>0</v>
      </c>
      <c r="K18" s="452">
        <v>0</v>
      </c>
      <c r="L18" s="454">
        <v>0</v>
      </c>
      <c r="M18" s="454">
        <v>0</v>
      </c>
      <c r="N18" s="452">
        <v>0</v>
      </c>
      <c r="O18" s="454">
        <v>0</v>
      </c>
      <c r="P18" s="454">
        <v>0</v>
      </c>
    </row>
    <row r="19" spans="1:16" s="380" customFormat="1" x14ac:dyDescent="0.15">
      <c r="A19" s="453" t="s">
        <v>17</v>
      </c>
      <c r="B19" s="452">
        <v>3</v>
      </c>
      <c r="C19" s="454">
        <v>0</v>
      </c>
      <c r="D19" s="454">
        <v>3</v>
      </c>
      <c r="E19" s="452">
        <v>3</v>
      </c>
      <c r="F19" s="454">
        <v>0</v>
      </c>
      <c r="G19" s="454">
        <v>3</v>
      </c>
      <c r="H19" s="452">
        <v>3</v>
      </c>
      <c r="I19" s="454">
        <v>0</v>
      </c>
      <c r="J19" s="454">
        <v>3</v>
      </c>
      <c r="K19" s="452">
        <v>7</v>
      </c>
      <c r="L19" s="454">
        <v>1</v>
      </c>
      <c r="M19" s="454">
        <v>6</v>
      </c>
      <c r="N19" s="452">
        <v>7</v>
      </c>
      <c r="O19" s="454">
        <v>1</v>
      </c>
      <c r="P19" s="454">
        <v>6</v>
      </c>
    </row>
    <row r="20" spans="1:16" s="380" customFormat="1" x14ac:dyDescent="0.15">
      <c r="A20" s="453" t="s">
        <v>18</v>
      </c>
      <c r="B20" s="452">
        <v>0</v>
      </c>
      <c r="C20" s="454">
        <v>0</v>
      </c>
      <c r="D20" s="454">
        <v>0</v>
      </c>
      <c r="E20" s="452">
        <v>0</v>
      </c>
      <c r="F20" s="454">
        <v>0</v>
      </c>
      <c r="G20" s="454">
        <v>0</v>
      </c>
      <c r="H20" s="452">
        <v>0</v>
      </c>
      <c r="I20" s="454">
        <v>0</v>
      </c>
      <c r="J20" s="454">
        <v>0</v>
      </c>
      <c r="K20" s="452">
        <v>0</v>
      </c>
      <c r="L20" s="454">
        <v>0</v>
      </c>
      <c r="M20" s="454">
        <v>0</v>
      </c>
      <c r="N20" s="452">
        <v>0</v>
      </c>
      <c r="O20" s="454">
        <v>0</v>
      </c>
      <c r="P20" s="454">
        <v>0</v>
      </c>
    </row>
    <row r="21" spans="1:16" s="380" customFormat="1" x14ac:dyDescent="0.15">
      <c r="A21" s="453" t="s">
        <v>19</v>
      </c>
      <c r="B21" s="452">
        <v>0</v>
      </c>
      <c r="C21" s="454">
        <v>0</v>
      </c>
      <c r="D21" s="454">
        <v>0</v>
      </c>
      <c r="E21" s="452">
        <v>0</v>
      </c>
      <c r="F21" s="454">
        <v>0</v>
      </c>
      <c r="G21" s="454">
        <v>0</v>
      </c>
      <c r="H21" s="452">
        <v>0</v>
      </c>
      <c r="I21" s="454">
        <v>0</v>
      </c>
      <c r="J21" s="454">
        <v>0</v>
      </c>
      <c r="K21" s="452">
        <v>0</v>
      </c>
      <c r="L21" s="454">
        <v>0</v>
      </c>
      <c r="M21" s="454">
        <v>0</v>
      </c>
      <c r="N21" s="452">
        <v>0</v>
      </c>
      <c r="O21" s="454">
        <v>0</v>
      </c>
      <c r="P21" s="454">
        <v>0</v>
      </c>
    </row>
    <row r="22" spans="1:16" s="380" customFormat="1" ht="11.25" x14ac:dyDescent="0.15">
      <c r="A22" s="380" t="s">
        <v>1424</v>
      </c>
      <c r="B22" s="452">
        <v>364</v>
      </c>
      <c r="C22" s="454">
        <v>176</v>
      </c>
      <c r="D22" s="454">
        <v>188</v>
      </c>
      <c r="E22" s="452">
        <v>366</v>
      </c>
      <c r="F22" s="454">
        <v>178</v>
      </c>
      <c r="G22" s="454">
        <v>188</v>
      </c>
      <c r="H22" s="452">
        <v>368</v>
      </c>
      <c r="I22" s="454">
        <v>179</v>
      </c>
      <c r="J22" s="454">
        <v>189</v>
      </c>
      <c r="K22" s="452">
        <v>370</v>
      </c>
      <c r="L22" s="454">
        <v>180</v>
      </c>
      <c r="M22" s="454">
        <v>190</v>
      </c>
      <c r="N22" s="452">
        <v>370</v>
      </c>
      <c r="O22" s="454">
        <v>180</v>
      </c>
      <c r="P22" s="454">
        <v>190</v>
      </c>
    </row>
    <row r="23" spans="1:16" s="380" customFormat="1" ht="12" customHeight="1" x14ac:dyDescent="0.15">
      <c r="A23" s="390" t="s">
        <v>1425</v>
      </c>
      <c r="B23" s="452">
        <v>0</v>
      </c>
      <c r="C23" s="454">
        <v>0</v>
      </c>
      <c r="D23" s="454">
        <v>0</v>
      </c>
      <c r="E23" s="452">
        <v>0</v>
      </c>
      <c r="F23" s="454">
        <v>0</v>
      </c>
      <c r="G23" s="454">
        <v>0</v>
      </c>
      <c r="H23" s="452">
        <v>0</v>
      </c>
      <c r="I23" s="454">
        <v>0</v>
      </c>
      <c r="J23" s="454">
        <v>0</v>
      </c>
      <c r="K23" s="452">
        <v>1</v>
      </c>
      <c r="L23" s="455">
        <v>1</v>
      </c>
      <c r="M23" s="454">
        <v>0</v>
      </c>
      <c r="N23" s="452">
        <v>0</v>
      </c>
      <c r="O23" s="454">
        <v>0</v>
      </c>
      <c r="P23" s="454">
        <v>0</v>
      </c>
    </row>
    <row r="24" spans="1:16" s="380" customFormat="1" ht="12" customHeight="1" x14ac:dyDescent="0.15">
      <c r="B24" s="390"/>
      <c r="C24" s="390"/>
      <c r="D24" s="390"/>
      <c r="E24" s="390"/>
      <c r="F24" s="390"/>
      <c r="G24" s="390"/>
      <c r="H24" s="390"/>
      <c r="I24" s="390"/>
      <c r="J24" s="390"/>
      <c r="K24" s="390"/>
      <c r="L24" s="390"/>
      <c r="M24" s="390"/>
      <c r="N24" s="390"/>
      <c r="O24" s="390"/>
      <c r="P24" s="390"/>
    </row>
    <row r="25" spans="1:16" s="380" customFormat="1" ht="12" customHeight="1" x14ac:dyDescent="0.15">
      <c r="A25" s="379" t="s">
        <v>1426</v>
      </c>
      <c r="B25" s="379"/>
      <c r="C25" s="379"/>
      <c r="D25" s="379"/>
      <c r="E25" s="379"/>
      <c r="F25" s="379"/>
      <c r="G25" s="379"/>
      <c r="H25" s="379"/>
      <c r="I25" s="379"/>
      <c r="J25" s="379"/>
      <c r="K25" s="379"/>
      <c r="L25" s="379"/>
      <c r="M25" s="379"/>
      <c r="N25" s="390"/>
      <c r="O25" s="390"/>
      <c r="P25" s="390"/>
    </row>
    <row r="26" spans="1:16" s="380" customFormat="1" ht="12" customHeight="1" x14ac:dyDescent="0.15">
      <c r="A26" s="379" t="s">
        <v>1427</v>
      </c>
      <c r="B26" s="379"/>
      <c r="C26" s="379"/>
      <c r="D26" s="379"/>
      <c r="E26" s="379"/>
      <c r="F26" s="379"/>
      <c r="G26" s="379"/>
      <c r="H26" s="379"/>
      <c r="I26" s="379"/>
      <c r="J26" s="379"/>
      <c r="K26" s="379"/>
      <c r="L26" s="379"/>
      <c r="M26" s="379"/>
      <c r="N26" s="362"/>
      <c r="O26" s="362"/>
      <c r="P26" s="362"/>
    </row>
    <row r="27" spans="1:16" s="380" customFormat="1" ht="12" customHeight="1" x14ac:dyDescent="0.15">
      <c r="A27" s="390" t="s">
        <v>1428</v>
      </c>
      <c r="B27" s="390"/>
      <c r="C27" s="390"/>
      <c r="D27" s="390"/>
      <c r="E27" s="390"/>
      <c r="F27" s="390"/>
      <c r="G27" s="390"/>
      <c r="H27" s="390"/>
      <c r="I27" s="390"/>
      <c r="J27" s="390"/>
      <c r="K27" s="390"/>
      <c r="L27" s="390"/>
      <c r="M27" s="390"/>
      <c r="N27" s="362"/>
      <c r="O27" s="362"/>
      <c r="P27" s="362"/>
    </row>
    <row r="28" spans="1:16" s="380" customFormat="1" ht="12" customHeight="1" x14ac:dyDescent="0.15">
      <c r="A28" s="456" t="s">
        <v>60</v>
      </c>
      <c r="B28" s="456"/>
      <c r="C28" s="456"/>
      <c r="D28" s="456"/>
      <c r="E28" s="456"/>
      <c r="F28" s="456"/>
      <c r="G28" s="456"/>
      <c r="H28" s="456"/>
      <c r="I28" s="456"/>
      <c r="J28" s="456"/>
      <c r="K28" s="456"/>
      <c r="L28" s="456"/>
      <c r="M28" s="456"/>
      <c r="N28" s="456"/>
      <c r="O28" s="456"/>
      <c r="P28" s="456"/>
    </row>
    <row r="29" spans="1:16" s="380" customFormat="1" ht="12" customHeight="1" x14ac:dyDescent="0.15">
      <c r="A29" s="456" t="s">
        <v>1429</v>
      </c>
      <c r="B29" s="456"/>
      <c r="C29" s="456"/>
      <c r="D29" s="456"/>
      <c r="E29" s="456"/>
      <c r="F29" s="456"/>
      <c r="G29" s="456"/>
      <c r="H29" s="456"/>
      <c r="I29" s="456"/>
      <c r="J29" s="456"/>
      <c r="K29" s="456"/>
      <c r="L29" s="456"/>
      <c r="M29" s="456"/>
      <c r="N29" s="456"/>
      <c r="O29" s="456"/>
      <c r="P29" s="456"/>
    </row>
    <row r="30" spans="1:16" s="380" customFormat="1" ht="12" customHeight="1" x14ac:dyDescent="0.15">
      <c r="A30" s="456"/>
      <c r="B30" s="456"/>
      <c r="C30" s="456"/>
      <c r="D30" s="456"/>
      <c r="E30" s="456"/>
      <c r="F30" s="456"/>
      <c r="G30" s="456"/>
      <c r="H30" s="456"/>
      <c r="I30" s="456"/>
      <c r="J30" s="456"/>
      <c r="K30" s="456"/>
      <c r="L30" s="456"/>
      <c r="M30" s="456"/>
      <c r="N30" s="456"/>
      <c r="O30" s="456"/>
      <c r="P30" s="456"/>
    </row>
  </sheetData>
  <mergeCells count="6">
    <mergeCell ref="N4:P4"/>
    <mergeCell ref="A4:A5"/>
    <mergeCell ref="B4:D4"/>
    <mergeCell ref="E4:G4"/>
    <mergeCell ref="H4:J4"/>
    <mergeCell ref="K4:M4"/>
  </mergeCells>
  <pageMargins left="0.7" right="0.7" top="0.75" bottom="0.75" header="0.3" footer="0.3"/>
  <pageSetup paperSize="14"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2:S29"/>
  <sheetViews>
    <sheetView zoomScaleNormal="100" workbookViewId="0">
      <selection activeCell="I32" sqref="I32"/>
    </sheetView>
  </sheetViews>
  <sheetFormatPr baseColWidth="10" defaultRowHeight="10.5" x14ac:dyDescent="0.15"/>
  <cols>
    <col min="1" max="1" width="27.42578125" style="448" customWidth="1"/>
    <col min="2" max="16" width="10" style="448" customWidth="1"/>
    <col min="17" max="16384" width="11.42578125" style="448"/>
  </cols>
  <sheetData>
    <row r="2" spans="1:16" s="380" customFormat="1" x14ac:dyDescent="0.15">
      <c r="A2" s="2659" t="s">
        <v>1430</v>
      </c>
      <c r="B2" s="2659"/>
      <c r="C2" s="2659"/>
      <c r="D2" s="2659"/>
      <c r="E2" s="2659"/>
      <c r="F2" s="2659"/>
      <c r="G2" s="2659"/>
      <c r="H2" s="2659"/>
      <c r="I2" s="2659"/>
      <c r="J2" s="2659"/>
      <c r="K2" s="2659"/>
      <c r="L2" s="2659"/>
      <c r="M2" s="2659"/>
      <c r="N2" s="2659"/>
      <c r="O2" s="2659"/>
      <c r="P2" s="2659"/>
    </row>
    <row r="3" spans="1:16" s="380" customFormat="1" ht="9" customHeight="1" x14ac:dyDescent="0.15">
      <c r="A3" s="457"/>
      <c r="B3" s="457"/>
      <c r="C3" s="457"/>
      <c r="D3" s="457"/>
      <c r="E3" s="457"/>
      <c r="F3" s="457"/>
      <c r="G3" s="457"/>
      <c r="H3" s="457"/>
      <c r="I3" s="457"/>
      <c r="J3" s="457"/>
      <c r="K3" s="457"/>
      <c r="L3" s="457"/>
      <c r="M3" s="457"/>
      <c r="N3" s="457"/>
      <c r="O3" s="457"/>
      <c r="P3" s="457"/>
    </row>
    <row r="4" spans="1:16" s="380" customFormat="1" ht="17.25" customHeight="1" x14ac:dyDescent="0.15">
      <c r="A4" s="2658" t="s">
        <v>1</v>
      </c>
      <c r="B4" s="2660">
        <v>2011</v>
      </c>
      <c r="C4" s="2661"/>
      <c r="D4" s="2662"/>
      <c r="E4" s="2657">
        <v>2012</v>
      </c>
      <c r="F4" s="2657"/>
      <c r="G4" s="2657"/>
      <c r="H4" s="2657">
        <v>2013</v>
      </c>
      <c r="I4" s="2657"/>
      <c r="J4" s="2657"/>
      <c r="K4" s="2657">
        <v>2014</v>
      </c>
      <c r="L4" s="2657"/>
      <c r="M4" s="2657"/>
      <c r="N4" s="2657">
        <v>2015</v>
      </c>
      <c r="O4" s="2657"/>
      <c r="P4" s="2657"/>
    </row>
    <row r="5" spans="1:16" s="380" customFormat="1" ht="18.75" customHeight="1" x14ac:dyDescent="0.15">
      <c r="A5" s="2658"/>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row>
    <row r="6" spans="1:16" s="380" customFormat="1" x14ac:dyDescent="0.15">
      <c r="A6" s="451" t="s">
        <v>141</v>
      </c>
      <c r="B6" s="458">
        <v>843</v>
      </c>
      <c r="C6" s="458">
        <v>361</v>
      </c>
      <c r="D6" s="458">
        <v>482</v>
      </c>
      <c r="E6" s="458">
        <v>872</v>
      </c>
      <c r="F6" s="458">
        <v>377</v>
      </c>
      <c r="G6" s="458">
        <v>495</v>
      </c>
      <c r="H6" s="458">
        <v>913</v>
      </c>
      <c r="I6" s="458">
        <v>395</v>
      </c>
      <c r="J6" s="458">
        <v>518</v>
      </c>
      <c r="K6" s="458">
        <v>1040</v>
      </c>
      <c r="L6" s="458">
        <v>460</v>
      </c>
      <c r="M6" s="458">
        <v>580</v>
      </c>
      <c r="N6" s="458">
        <v>1100</v>
      </c>
      <c r="O6" s="458">
        <v>489</v>
      </c>
      <c r="P6" s="458">
        <v>611</v>
      </c>
    </row>
    <row r="7" spans="1:16" s="380" customFormat="1" x14ac:dyDescent="0.15">
      <c r="A7" s="459" t="s">
        <v>5</v>
      </c>
      <c r="B7" s="458">
        <v>0</v>
      </c>
      <c r="C7" s="460">
        <v>0</v>
      </c>
      <c r="D7" s="460">
        <v>0</v>
      </c>
      <c r="E7" s="458">
        <v>0</v>
      </c>
      <c r="F7" s="460">
        <v>0</v>
      </c>
      <c r="G7" s="460">
        <v>0</v>
      </c>
      <c r="H7" s="458">
        <v>0</v>
      </c>
      <c r="I7" s="460">
        <v>0</v>
      </c>
      <c r="J7" s="460">
        <v>0</v>
      </c>
      <c r="K7" s="458">
        <v>0</v>
      </c>
      <c r="L7" s="460">
        <v>0</v>
      </c>
      <c r="M7" s="460">
        <v>0</v>
      </c>
      <c r="N7" s="458">
        <v>0</v>
      </c>
      <c r="O7" s="460">
        <v>0</v>
      </c>
      <c r="P7" s="460">
        <v>0</v>
      </c>
    </row>
    <row r="8" spans="1:16" s="380" customFormat="1" x14ac:dyDescent="0.15">
      <c r="A8" s="459" t="s">
        <v>6</v>
      </c>
      <c r="B8" s="458">
        <v>0</v>
      </c>
      <c r="C8" s="460">
        <v>0</v>
      </c>
      <c r="D8" s="460">
        <v>0</v>
      </c>
      <c r="E8" s="458">
        <v>0</v>
      </c>
      <c r="F8" s="460">
        <v>0</v>
      </c>
      <c r="G8" s="460">
        <v>0</v>
      </c>
      <c r="H8" s="458">
        <v>0</v>
      </c>
      <c r="I8" s="460">
        <v>0</v>
      </c>
      <c r="J8" s="460">
        <v>0</v>
      </c>
      <c r="K8" s="458">
        <v>8</v>
      </c>
      <c r="L8" s="460">
        <v>6</v>
      </c>
      <c r="M8" s="460">
        <v>2</v>
      </c>
      <c r="N8" s="458">
        <v>8</v>
      </c>
      <c r="O8" s="460">
        <v>6</v>
      </c>
      <c r="P8" s="460">
        <v>2</v>
      </c>
    </row>
    <row r="9" spans="1:16" s="380" customFormat="1" x14ac:dyDescent="0.15">
      <c r="A9" s="459" t="s">
        <v>7</v>
      </c>
      <c r="B9" s="458">
        <v>0</v>
      </c>
      <c r="C9" s="460">
        <v>0</v>
      </c>
      <c r="D9" s="460">
        <v>0</v>
      </c>
      <c r="E9" s="458">
        <v>0</v>
      </c>
      <c r="F9" s="460">
        <v>0</v>
      </c>
      <c r="G9" s="460">
        <v>0</v>
      </c>
      <c r="H9" s="458">
        <v>0</v>
      </c>
      <c r="I9" s="460">
        <v>0</v>
      </c>
      <c r="J9" s="460">
        <v>0</v>
      </c>
      <c r="K9" s="458">
        <v>6</v>
      </c>
      <c r="L9" s="460">
        <v>0</v>
      </c>
      <c r="M9" s="460">
        <v>6</v>
      </c>
      <c r="N9" s="458">
        <v>8</v>
      </c>
      <c r="O9" s="460">
        <v>2</v>
      </c>
      <c r="P9" s="460">
        <v>6</v>
      </c>
    </row>
    <row r="10" spans="1:16" s="380" customFormat="1" x14ac:dyDescent="0.15">
      <c r="A10" s="459" t="s">
        <v>8</v>
      </c>
      <c r="B10" s="458">
        <v>1</v>
      </c>
      <c r="C10" s="460">
        <v>1</v>
      </c>
      <c r="D10" s="460">
        <v>0</v>
      </c>
      <c r="E10" s="458">
        <v>1</v>
      </c>
      <c r="F10" s="460">
        <v>1</v>
      </c>
      <c r="G10" s="460">
        <v>0</v>
      </c>
      <c r="H10" s="458">
        <v>1</v>
      </c>
      <c r="I10" s="460">
        <v>1</v>
      </c>
      <c r="J10" s="460">
        <v>0</v>
      </c>
      <c r="K10" s="458">
        <v>1</v>
      </c>
      <c r="L10" s="460">
        <v>1</v>
      </c>
      <c r="M10" s="460">
        <v>0</v>
      </c>
      <c r="N10" s="458">
        <v>4</v>
      </c>
      <c r="O10" s="460">
        <v>2</v>
      </c>
      <c r="P10" s="460">
        <v>2</v>
      </c>
    </row>
    <row r="11" spans="1:16" s="380" customFormat="1" x14ac:dyDescent="0.15">
      <c r="A11" s="459" t="s">
        <v>9</v>
      </c>
      <c r="B11" s="458">
        <v>1</v>
      </c>
      <c r="C11" s="460">
        <v>0</v>
      </c>
      <c r="D11" s="460">
        <v>1</v>
      </c>
      <c r="E11" s="458">
        <v>1</v>
      </c>
      <c r="F11" s="460">
        <v>0</v>
      </c>
      <c r="G11" s="460">
        <v>1</v>
      </c>
      <c r="H11" s="458">
        <v>1</v>
      </c>
      <c r="I11" s="460">
        <v>0</v>
      </c>
      <c r="J11" s="460">
        <v>1</v>
      </c>
      <c r="K11" s="458">
        <v>1</v>
      </c>
      <c r="L11" s="460">
        <v>0</v>
      </c>
      <c r="M11" s="460">
        <v>1</v>
      </c>
      <c r="N11" s="458">
        <v>1</v>
      </c>
      <c r="O11" s="460">
        <v>0</v>
      </c>
      <c r="P11" s="460">
        <v>1</v>
      </c>
    </row>
    <row r="12" spans="1:16" s="380" customFormat="1" x14ac:dyDescent="0.15">
      <c r="A12" s="459" t="s">
        <v>10</v>
      </c>
      <c r="B12" s="458">
        <v>12</v>
      </c>
      <c r="C12" s="460">
        <v>8</v>
      </c>
      <c r="D12" s="460">
        <v>4</v>
      </c>
      <c r="E12" s="458">
        <v>13</v>
      </c>
      <c r="F12" s="460">
        <v>9</v>
      </c>
      <c r="G12" s="460">
        <v>4</v>
      </c>
      <c r="H12" s="458">
        <v>14</v>
      </c>
      <c r="I12" s="460">
        <v>9</v>
      </c>
      <c r="J12" s="460">
        <v>5</v>
      </c>
      <c r="K12" s="458">
        <v>16</v>
      </c>
      <c r="L12" s="460">
        <v>11</v>
      </c>
      <c r="M12" s="460">
        <v>5</v>
      </c>
      <c r="N12" s="458">
        <v>16</v>
      </c>
      <c r="O12" s="460">
        <v>11</v>
      </c>
      <c r="P12" s="460">
        <v>5</v>
      </c>
    </row>
    <row r="13" spans="1:16" s="380" customFormat="1" x14ac:dyDescent="0.15">
      <c r="A13" s="459" t="s">
        <v>11</v>
      </c>
      <c r="B13" s="458">
        <v>818</v>
      </c>
      <c r="C13" s="460">
        <v>346</v>
      </c>
      <c r="D13" s="460">
        <v>472</v>
      </c>
      <c r="E13" s="458">
        <v>846</v>
      </c>
      <c r="F13" s="460">
        <v>361</v>
      </c>
      <c r="G13" s="460">
        <v>485</v>
      </c>
      <c r="H13" s="458">
        <v>884</v>
      </c>
      <c r="I13" s="460">
        <v>379</v>
      </c>
      <c r="J13" s="460">
        <v>505</v>
      </c>
      <c r="K13" s="458">
        <v>955</v>
      </c>
      <c r="L13" s="460">
        <v>417</v>
      </c>
      <c r="M13" s="460">
        <v>538</v>
      </c>
      <c r="N13" s="458">
        <v>1003</v>
      </c>
      <c r="O13" s="460">
        <v>441</v>
      </c>
      <c r="P13" s="460">
        <v>562</v>
      </c>
    </row>
    <row r="14" spans="1:16" s="380" customFormat="1" x14ac:dyDescent="0.15">
      <c r="A14" s="459" t="s">
        <v>12</v>
      </c>
      <c r="B14" s="458">
        <v>4</v>
      </c>
      <c r="C14" s="460">
        <v>4</v>
      </c>
      <c r="D14" s="460">
        <v>0</v>
      </c>
      <c r="E14" s="458">
        <v>4</v>
      </c>
      <c r="F14" s="460">
        <v>4</v>
      </c>
      <c r="G14" s="460">
        <v>0</v>
      </c>
      <c r="H14" s="458">
        <v>5</v>
      </c>
      <c r="I14" s="460">
        <v>4</v>
      </c>
      <c r="J14" s="460">
        <v>1</v>
      </c>
      <c r="K14" s="458">
        <v>5</v>
      </c>
      <c r="L14" s="460">
        <v>4</v>
      </c>
      <c r="M14" s="460">
        <v>1</v>
      </c>
      <c r="N14" s="458">
        <v>5</v>
      </c>
      <c r="O14" s="460">
        <v>4</v>
      </c>
      <c r="P14" s="460">
        <v>1</v>
      </c>
    </row>
    <row r="15" spans="1:16" s="380" customFormat="1" x14ac:dyDescent="0.15">
      <c r="A15" s="459" t="s">
        <v>13</v>
      </c>
      <c r="B15" s="458">
        <v>0</v>
      </c>
      <c r="C15" s="460">
        <v>0</v>
      </c>
      <c r="D15" s="460">
        <v>0</v>
      </c>
      <c r="E15" s="458">
        <v>0</v>
      </c>
      <c r="F15" s="460">
        <v>0</v>
      </c>
      <c r="G15" s="460">
        <v>0</v>
      </c>
      <c r="H15" s="458">
        <v>0</v>
      </c>
      <c r="I15" s="460">
        <v>0</v>
      </c>
      <c r="J15" s="460">
        <v>0</v>
      </c>
      <c r="K15" s="458">
        <v>7</v>
      </c>
      <c r="L15" s="460">
        <v>1</v>
      </c>
      <c r="M15" s="460">
        <v>6</v>
      </c>
      <c r="N15" s="458">
        <v>7</v>
      </c>
      <c r="O15" s="460">
        <v>1</v>
      </c>
      <c r="P15" s="460">
        <v>6</v>
      </c>
    </row>
    <row r="16" spans="1:16" s="380" customFormat="1" x14ac:dyDescent="0.15">
      <c r="A16" s="459" t="s">
        <v>14</v>
      </c>
      <c r="B16" s="458">
        <v>1</v>
      </c>
      <c r="C16" s="460">
        <v>0</v>
      </c>
      <c r="D16" s="460">
        <v>1</v>
      </c>
      <c r="E16" s="458">
        <v>1</v>
      </c>
      <c r="F16" s="460">
        <v>0</v>
      </c>
      <c r="G16" s="460">
        <v>1</v>
      </c>
      <c r="H16" s="458">
        <v>1</v>
      </c>
      <c r="I16" s="460">
        <v>0</v>
      </c>
      <c r="J16" s="460">
        <v>1</v>
      </c>
      <c r="K16" s="458">
        <v>19</v>
      </c>
      <c r="L16" s="460">
        <v>7</v>
      </c>
      <c r="M16" s="460">
        <v>12</v>
      </c>
      <c r="N16" s="458">
        <v>22</v>
      </c>
      <c r="O16" s="460">
        <v>9</v>
      </c>
      <c r="P16" s="460">
        <v>13</v>
      </c>
    </row>
    <row r="17" spans="1:19" s="380" customFormat="1" x14ac:dyDescent="0.15">
      <c r="A17" s="459" t="s">
        <v>15</v>
      </c>
      <c r="B17" s="458">
        <v>1</v>
      </c>
      <c r="C17" s="460">
        <v>0</v>
      </c>
      <c r="D17" s="460">
        <v>1</v>
      </c>
      <c r="E17" s="458">
        <v>1</v>
      </c>
      <c r="F17" s="460">
        <v>0</v>
      </c>
      <c r="G17" s="460">
        <v>1</v>
      </c>
      <c r="H17" s="458">
        <v>2</v>
      </c>
      <c r="I17" s="460">
        <v>0</v>
      </c>
      <c r="J17" s="460">
        <v>2</v>
      </c>
      <c r="K17" s="458">
        <v>12</v>
      </c>
      <c r="L17" s="460">
        <v>9</v>
      </c>
      <c r="M17" s="460">
        <v>3</v>
      </c>
      <c r="N17" s="458">
        <v>16</v>
      </c>
      <c r="O17" s="460">
        <v>9</v>
      </c>
      <c r="P17" s="460">
        <v>7</v>
      </c>
    </row>
    <row r="18" spans="1:19" s="380" customFormat="1" x14ac:dyDescent="0.15">
      <c r="A18" s="459" t="s">
        <v>16</v>
      </c>
      <c r="B18" s="458">
        <v>0</v>
      </c>
      <c r="C18" s="460">
        <v>0</v>
      </c>
      <c r="D18" s="460">
        <v>0</v>
      </c>
      <c r="E18" s="458">
        <v>0</v>
      </c>
      <c r="F18" s="460">
        <v>0</v>
      </c>
      <c r="G18" s="460">
        <v>0</v>
      </c>
      <c r="H18" s="458">
        <v>0</v>
      </c>
      <c r="I18" s="460">
        <v>0</v>
      </c>
      <c r="J18" s="460">
        <v>0</v>
      </c>
      <c r="K18" s="458">
        <v>0</v>
      </c>
      <c r="L18" s="460">
        <v>0</v>
      </c>
      <c r="M18" s="460">
        <v>0</v>
      </c>
      <c r="N18" s="458">
        <v>0</v>
      </c>
      <c r="O18" s="460">
        <v>0</v>
      </c>
      <c r="P18" s="460">
        <v>0</v>
      </c>
    </row>
    <row r="19" spans="1:19" s="380" customFormat="1" x14ac:dyDescent="0.15">
      <c r="A19" s="459" t="s">
        <v>17</v>
      </c>
      <c r="B19" s="458">
        <v>2</v>
      </c>
      <c r="C19" s="460">
        <v>0</v>
      </c>
      <c r="D19" s="460">
        <v>2</v>
      </c>
      <c r="E19" s="458">
        <v>2</v>
      </c>
      <c r="F19" s="460">
        <v>0</v>
      </c>
      <c r="G19" s="460">
        <v>2</v>
      </c>
      <c r="H19" s="458">
        <v>2</v>
      </c>
      <c r="I19" s="460">
        <v>0</v>
      </c>
      <c r="J19" s="460">
        <v>2</v>
      </c>
      <c r="K19" s="458">
        <v>6</v>
      </c>
      <c r="L19" s="460">
        <v>1</v>
      </c>
      <c r="M19" s="460">
        <v>5</v>
      </c>
      <c r="N19" s="458">
        <v>6</v>
      </c>
      <c r="O19" s="460">
        <v>1</v>
      </c>
      <c r="P19" s="460">
        <v>5</v>
      </c>
    </row>
    <row r="20" spans="1:19" s="380" customFormat="1" x14ac:dyDescent="0.15">
      <c r="A20" s="459" t="s">
        <v>18</v>
      </c>
      <c r="B20" s="458">
        <v>0</v>
      </c>
      <c r="C20" s="460">
        <v>0</v>
      </c>
      <c r="D20" s="460">
        <v>0</v>
      </c>
      <c r="E20" s="458">
        <v>0</v>
      </c>
      <c r="F20" s="460">
        <v>0</v>
      </c>
      <c r="G20" s="460">
        <v>0</v>
      </c>
      <c r="H20" s="458">
        <v>0</v>
      </c>
      <c r="I20" s="460">
        <v>0</v>
      </c>
      <c r="J20" s="460">
        <v>0</v>
      </c>
      <c r="K20" s="458">
        <v>0</v>
      </c>
      <c r="L20" s="460">
        <v>0</v>
      </c>
      <c r="M20" s="460">
        <v>0</v>
      </c>
      <c r="N20" s="458">
        <v>0</v>
      </c>
      <c r="O20" s="460">
        <v>0</v>
      </c>
      <c r="P20" s="460">
        <v>0</v>
      </c>
    </row>
    <row r="21" spans="1:19" s="380" customFormat="1" x14ac:dyDescent="0.15">
      <c r="A21" s="459" t="s">
        <v>19</v>
      </c>
      <c r="B21" s="458">
        <v>0</v>
      </c>
      <c r="C21" s="460">
        <v>0</v>
      </c>
      <c r="D21" s="460">
        <v>0</v>
      </c>
      <c r="E21" s="458">
        <v>0</v>
      </c>
      <c r="F21" s="460">
        <v>0</v>
      </c>
      <c r="G21" s="460">
        <v>0</v>
      </c>
      <c r="H21" s="458">
        <v>0</v>
      </c>
      <c r="I21" s="460">
        <v>0</v>
      </c>
      <c r="J21" s="460">
        <v>0</v>
      </c>
      <c r="K21" s="458">
        <v>0</v>
      </c>
      <c r="L21" s="460">
        <v>0</v>
      </c>
      <c r="M21" s="460">
        <v>0</v>
      </c>
      <c r="N21" s="458">
        <v>0</v>
      </c>
      <c r="O21" s="460">
        <v>0</v>
      </c>
      <c r="P21" s="460">
        <v>0</v>
      </c>
    </row>
    <row r="22" spans="1:19" s="380" customFormat="1" ht="11.25" x14ac:dyDescent="0.15">
      <c r="A22" s="461" t="s">
        <v>1431</v>
      </c>
      <c r="B22" s="458">
        <v>3</v>
      </c>
      <c r="C22" s="460">
        <v>2</v>
      </c>
      <c r="D22" s="460">
        <v>1</v>
      </c>
      <c r="E22" s="458">
        <v>3</v>
      </c>
      <c r="F22" s="460">
        <v>2</v>
      </c>
      <c r="G22" s="460">
        <v>1</v>
      </c>
      <c r="H22" s="458">
        <v>3</v>
      </c>
      <c r="I22" s="460">
        <v>2</v>
      </c>
      <c r="J22" s="460">
        <v>1</v>
      </c>
      <c r="K22" s="458">
        <v>3</v>
      </c>
      <c r="L22" s="460">
        <v>2</v>
      </c>
      <c r="M22" s="460">
        <v>1</v>
      </c>
      <c r="N22" s="458">
        <v>3</v>
      </c>
      <c r="O22" s="460">
        <v>2</v>
      </c>
      <c r="P22" s="460">
        <v>1</v>
      </c>
    </row>
    <row r="23" spans="1:19" s="380" customFormat="1" x14ac:dyDescent="0.15">
      <c r="A23" s="461" t="s">
        <v>1425</v>
      </c>
      <c r="B23" s="458">
        <v>0</v>
      </c>
      <c r="C23" s="460">
        <v>0</v>
      </c>
      <c r="D23" s="460">
        <v>0</v>
      </c>
      <c r="E23" s="458">
        <v>0</v>
      </c>
      <c r="F23" s="460">
        <v>0</v>
      </c>
      <c r="G23" s="460">
        <v>0</v>
      </c>
      <c r="H23" s="458">
        <v>0</v>
      </c>
      <c r="I23" s="460">
        <v>0</v>
      </c>
      <c r="J23" s="460">
        <v>0</v>
      </c>
      <c r="K23" s="458">
        <v>1</v>
      </c>
      <c r="L23" s="460">
        <v>1</v>
      </c>
      <c r="M23" s="460">
        <v>0</v>
      </c>
      <c r="N23" s="458">
        <v>1</v>
      </c>
      <c r="O23" s="460">
        <v>1</v>
      </c>
      <c r="P23" s="460">
        <v>0</v>
      </c>
    </row>
    <row r="24" spans="1:19" s="380" customFormat="1" ht="10.5" customHeight="1" x14ac:dyDescent="0.15">
      <c r="A24" s="462"/>
      <c r="B24" s="462"/>
      <c r="C24" s="462"/>
      <c r="D24" s="462"/>
      <c r="E24" s="462"/>
      <c r="F24" s="462"/>
      <c r="G24" s="462"/>
      <c r="H24" s="462"/>
      <c r="I24" s="462"/>
      <c r="J24" s="462"/>
      <c r="K24" s="462"/>
      <c r="L24" s="462"/>
      <c r="M24" s="462"/>
      <c r="N24" s="462"/>
      <c r="O24" s="462"/>
      <c r="P24" s="462"/>
    </row>
    <row r="25" spans="1:19" s="380" customFormat="1" ht="10.5" customHeight="1" x14ac:dyDescent="0.15">
      <c r="A25" s="379" t="s">
        <v>1426</v>
      </c>
      <c r="B25" s="379"/>
      <c r="C25" s="379"/>
      <c r="D25" s="379"/>
      <c r="E25" s="379"/>
      <c r="F25" s="379"/>
      <c r="G25" s="379"/>
      <c r="H25" s="379"/>
      <c r="I25" s="379"/>
      <c r="J25" s="379"/>
      <c r="K25" s="379"/>
      <c r="L25" s="379"/>
      <c r="M25" s="379"/>
      <c r="N25" s="463"/>
      <c r="O25" s="463"/>
      <c r="P25" s="463"/>
      <c r="Q25" s="463"/>
      <c r="R25" s="463"/>
      <c r="S25" s="463"/>
    </row>
    <row r="26" spans="1:19" s="380" customFormat="1" x14ac:dyDescent="0.15">
      <c r="A26" s="379" t="s">
        <v>1427</v>
      </c>
      <c r="B26" s="379"/>
      <c r="C26" s="379"/>
      <c r="D26" s="379"/>
      <c r="E26" s="379"/>
      <c r="F26" s="379"/>
      <c r="G26" s="379"/>
      <c r="H26" s="379"/>
      <c r="I26" s="379"/>
      <c r="J26" s="379"/>
      <c r="K26" s="379"/>
      <c r="L26" s="379"/>
      <c r="M26" s="379"/>
      <c r="N26" s="456"/>
      <c r="O26" s="456"/>
      <c r="P26" s="456"/>
    </row>
    <row r="27" spans="1:19" s="380" customFormat="1" x14ac:dyDescent="0.15">
      <c r="A27" s="456" t="s">
        <v>60</v>
      </c>
      <c r="B27" s="456"/>
      <c r="C27" s="456"/>
      <c r="D27" s="456"/>
      <c r="E27" s="456"/>
      <c r="F27" s="456"/>
      <c r="G27" s="456"/>
      <c r="H27" s="456"/>
      <c r="I27" s="456"/>
      <c r="J27" s="456"/>
      <c r="K27" s="456"/>
      <c r="L27" s="456"/>
      <c r="M27" s="456"/>
      <c r="N27" s="462"/>
      <c r="O27" s="462"/>
      <c r="P27" s="462"/>
    </row>
    <row r="28" spans="1:19" s="380" customFormat="1" x14ac:dyDescent="0.15">
      <c r="A28" s="456" t="s">
        <v>1429</v>
      </c>
      <c r="B28" s="456"/>
      <c r="C28" s="456"/>
      <c r="D28" s="456"/>
      <c r="E28" s="456"/>
      <c r="F28" s="456"/>
      <c r="G28" s="456"/>
      <c r="H28" s="456"/>
      <c r="I28" s="456"/>
      <c r="J28" s="456"/>
      <c r="K28" s="456"/>
      <c r="L28" s="456"/>
      <c r="M28" s="456"/>
    </row>
    <row r="29" spans="1:19" s="380" customFormat="1" x14ac:dyDescent="0.15">
      <c r="A29" s="461"/>
      <c r="B29" s="461"/>
      <c r="C29" s="461"/>
      <c r="D29" s="461"/>
      <c r="E29" s="461"/>
      <c r="F29" s="461"/>
      <c r="G29" s="461"/>
      <c r="H29" s="464"/>
    </row>
  </sheetData>
  <mergeCells count="7">
    <mergeCell ref="A2:P2"/>
    <mergeCell ref="A4:A5"/>
    <mergeCell ref="B4:D4"/>
    <mergeCell ref="E4:G4"/>
    <mergeCell ref="H4:J4"/>
    <mergeCell ref="K4:M4"/>
    <mergeCell ref="N4:P4"/>
  </mergeCells>
  <pageMargins left="0.7" right="0.7" top="0.75" bottom="0.75" header="0.3" footer="0.3"/>
  <pageSetup paperSize="14" scale="96"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S27"/>
  <sheetViews>
    <sheetView zoomScaleNormal="100" workbookViewId="0">
      <selection activeCell="I35" sqref="I35"/>
    </sheetView>
  </sheetViews>
  <sheetFormatPr baseColWidth="10" defaultRowHeight="10.5" x14ac:dyDescent="0.15"/>
  <cols>
    <col min="1" max="1" width="25.7109375" style="448" customWidth="1"/>
    <col min="2" max="16" width="10" style="448" customWidth="1"/>
    <col min="17" max="16384" width="11.42578125" style="448"/>
  </cols>
  <sheetData>
    <row r="1" spans="1:19" x14ac:dyDescent="0.15">
      <c r="A1" s="465"/>
      <c r="B1" s="465"/>
      <c r="C1" s="465"/>
      <c r="D1" s="465"/>
    </row>
    <row r="2" spans="1:19" s="466" customFormat="1" ht="11.25" customHeight="1" x14ac:dyDescent="0.15">
      <c r="A2" s="2659" t="s">
        <v>1432</v>
      </c>
      <c r="B2" s="2659"/>
      <c r="C2" s="2659"/>
      <c r="D2" s="2659"/>
      <c r="E2" s="2659"/>
      <c r="F2" s="2659"/>
      <c r="G2" s="2659"/>
      <c r="H2" s="2659"/>
      <c r="I2" s="2659"/>
      <c r="J2" s="2659"/>
      <c r="K2" s="2659"/>
      <c r="L2" s="2659"/>
      <c r="M2" s="2659"/>
      <c r="N2" s="2659"/>
      <c r="O2" s="2659"/>
      <c r="P2" s="2659"/>
    </row>
    <row r="3" spans="1:19" s="468" customFormat="1" x14ac:dyDescent="0.15">
      <c r="A3" s="461"/>
      <c r="B3" s="461"/>
      <c r="C3" s="461"/>
      <c r="D3" s="461"/>
      <c r="E3" s="461"/>
      <c r="F3" s="461"/>
      <c r="G3" s="461"/>
      <c r="H3" s="467"/>
    </row>
    <row r="4" spans="1:19" s="380" customFormat="1" ht="15" customHeight="1" x14ac:dyDescent="0.15">
      <c r="A4" s="2658" t="s">
        <v>1</v>
      </c>
      <c r="B4" s="2660">
        <v>2011</v>
      </c>
      <c r="C4" s="2661"/>
      <c r="D4" s="2662"/>
      <c r="E4" s="2657">
        <v>2012</v>
      </c>
      <c r="F4" s="2657"/>
      <c r="G4" s="2657"/>
      <c r="H4" s="2664">
        <v>2013</v>
      </c>
      <c r="I4" s="2664"/>
      <c r="J4" s="2664"/>
      <c r="K4" s="2664">
        <v>2014</v>
      </c>
      <c r="L4" s="2664"/>
      <c r="M4" s="2664"/>
      <c r="N4" s="2664">
        <v>2015</v>
      </c>
      <c r="O4" s="2664"/>
      <c r="P4" s="2664"/>
      <c r="Q4" s="469"/>
      <c r="R4" s="469"/>
      <c r="S4" s="469"/>
    </row>
    <row r="5" spans="1:19" s="380" customFormat="1" ht="16.5" customHeight="1" x14ac:dyDescent="0.15">
      <c r="A5" s="2663"/>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70"/>
      <c r="R5" s="470"/>
      <c r="S5" s="470"/>
    </row>
    <row r="6" spans="1:19" s="468" customFormat="1" x14ac:dyDescent="0.15">
      <c r="A6" s="451" t="s">
        <v>141</v>
      </c>
      <c r="B6" s="471">
        <v>17</v>
      </c>
      <c r="C6" s="471">
        <v>8</v>
      </c>
      <c r="D6" s="471">
        <v>9</v>
      </c>
      <c r="E6" s="471">
        <v>17</v>
      </c>
      <c r="F6" s="471">
        <v>8</v>
      </c>
      <c r="G6" s="471">
        <v>9</v>
      </c>
      <c r="H6" s="471">
        <v>18</v>
      </c>
      <c r="I6" s="471">
        <v>8</v>
      </c>
      <c r="J6" s="471">
        <v>10</v>
      </c>
      <c r="K6" s="471">
        <v>38</v>
      </c>
      <c r="L6" s="471">
        <v>16</v>
      </c>
      <c r="M6" s="471">
        <v>22</v>
      </c>
      <c r="N6" s="471">
        <v>92</v>
      </c>
      <c r="O6" s="471">
        <v>43</v>
      </c>
      <c r="P6" s="471">
        <v>49</v>
      </c>
    </row>
    <row r="7" spans="1:19" s="468" customFormat="1" x14ac:dyDescent="0.15">
      <c r="A7" s="472" t="s">
        <v>5</v>
      </c>
      <c r="B7" s="471">
        <v>0</v>
      </c>
      <c r="C7" s="471">
        <v>0</v>
      </c>
      <c r="D7" s="471">
        <v>0</v>
      </c>
      <c r="E7" s="471">
        <v>0</v>
      </c>
      <c r="F7" s="471">
        <v>0</v>
      </c>
      <c r="G7" s="471">
        <v>0</v>
      </c>
      <c r="H7" s="471">
        <v>0</v>
      </c>
      <c r="I7" s="471">
        <v>0</v>
      </c>
      <c r="J7" s="471">
        <v>0</v>
      </c>
      <c r="K7" s="471">
        <v>0</v>
      </c>
      <c r="L7" s="471">
        <v>0</v>
      </c>
      <c r="M7" s="471">
        <v>0</v>
      </c>
      <c r="N7" s="471">
        <v>0</v>
      </c>
      <c r="O7" s="471">
        <v>0</v>
      </c>
      <c r="P7" s="471">
        <v>0</v>
      </c>
    </row>
    <row r="8" spans="1:19" s="468" customFormat="1" x14ac:dyDescent="0.15">
      <c r="A8" s="472" t="s">
        <v>6</v>
      </c>
      <c r="B8" s="471">
        <v>0</v>
      </c>
      <c r="C8" s="471">
        <v>0</v>
      </c>
      <c r="D8" s="471">
        <v>0</v>
      </c>
      <c r="E8" s="471">
        <v>0</v>
      </c>
      <c r="F8" s="471">
        <v>0</v>
      </c>
      <c r="G8" s="471">
        <v>0</v>
      </c>
      <c r="H8" s="471">
        <v>0</v>
      </c>
      <c r="I8" s="471">
        <v>0</v>
      </c>
      <c r="J8" s="471">
        <v>0</v>
      </c>
      <c r="K8" s="471">
        <v>0</v>
      </c>
      <c r="L8" s="471">
        <v>0</v>
      </c>
      <c r="M8" s="471">
        <v>0</v>
      </c>
      <c r="N8" s="471">
        <v>0</v>
      </c>
      <c r="O8" s="471">
        <v>0</v>
      </c>
      <c r="P8" s="471">
        <v>0</v>
      </c>
    </row>
    <row r="9" spans="1:19" s="468" customFormat="1" x14ac:dyDescent="0.15">
      <c r="A9" s="472" t="s">
        <v>7</v>
      </c>
      <c r="B9" s="471">
        <v>1</v>
      </c>
      <c r="C9" s="471">
        <v>0</v>
      </c>
      <c r="D9" s="471">
        <v>1</v>
      </c>
      <c r="E9" s="471">
        <v>1</v>
      </c>
      <c r="F9" s="471">
        <v>0</v>
      </c>
      <c r="G9" s="471">
        <v>1</v>
      </c>
      <c r="H9" s="471">
        <v>1</v>
      </c>
      <c r="I9" s="471">
        <v>0</v>
      </c>
      <c r="J9" s="471">
        <v>1</v>
      </c>
      <c r="K9" s="471">
        <v>1</v>
      </c>
      <c r="L9" s="471">
        <v>0</v>
      </c>
      <c r="M9" s="471">
        <v>1</v>
      </c>
      <c r="N9" s="471">
        <v>1</v>
      </c>
      <c r="O9" s="471">
        <v>0</v>
      </c>
      <c r="P9" s="471">
        <v>1</v>
      </c>
    </row>
    <row r="10" spans="1:19" s="468" customFormat="1" x14ac:dyDescent="0.15">
      <c r="A10" s="472" t="s">
        <v>8</v>
      </c>
      <c r="B10" s="471">
        <v>0</v>
      </c>
      <c r="C10" s="471">
        <v>0</v>
      </c>
      <c r="D10" s="471">
        <v>0</v>
      </c>
      <c r="E10" s="471">
        <v>0</v>
      </c>
      <c r="F10" s="471">
        <v>0</v>
      </c>
      <c r="G10" s="471">
        <v>0</v>
      </c>
      <c r="H10" s="471">
        <v>0</v>
      </c>
      <c r="I10" s="471">
        <v>0</v>
      </c>
      <c r="J10" s="471">
        <v>0</v>
      </c>
      <c r="K10" s="471">
        <v>0</v>
      </c>
      <c r="L10" s="471">
        <v>0</v>
      </c>
      <c r="M10" s="471">
        <v>0</v>
      </c>
      <c r="N10" s="471">
        <v>0</v>
      </c>
      <c r="O10" s="471">
        <v>0</v>
      </c>
      <c r="P10" s="471">
        <v>0</v>
      </c>
    </row>
    <row r="11" spans="1:19" s="468" customFormat="1" x14ac:dyDescent="0.15">
      <c r="A11" s="472" t="s">
        <v>9</v>
      </c>
      <c r="B11" s="471">
        <v>0</v>
      </c>
      <c r="C11" s="471">
        <v>0</v>
      </c>
      <c r="D11" s="471">
        <v>0</v>
      </c>
      <c r="E11" s="471">
        <v>0</v>
      </c>
      <c r="F11" s="471">
        <v>0</v>
      </c>
      <c r="G11" s="471">
        <v>0</v>
      </c>
      <c r="H11" s="471">
        <v>0</v>
      </c>
      <c r="I11" s="471">
        <v>0</v>
      </c>
      <c r="J11" s="471">
        <v>0</v>
      </c>
      <c r="K11" s="471">
        <v>0</v>
      </c>
      <c r="L11" s="471">
        <v>0</v>
      </c>
      <c r="M11" s="471">
        <v>0</v>
      </c>
      <c r="N11" s="471">
        <v>0</v>
      </c>
      <c r="O11" s="471">
        <v>0</v>
      </c>
      <c r="P11" s="471">
        <v>0</v>
      </c>
    </row>
    <row r="12" spans="1:19" s="468" customFormat="1" x14ac:dyDescent="0.15">
      <c r="A12" s="472" t="s">
        <v>10</v>
      </c>
      <c r="B12" s="471">
        <v>0</v>
      </c>
      <c r="C12" s="471">
        <v>0</v>
      </c>
      <c r="D12" s="471">
        <v>0</v>
      </c>
      <c r="E12" s="471">
        <v>0</v>
      </c>
      <c r="F12" s="471">
        <v>0</v>
      </c>
      <c r="G12" s="471">
        <v>0</v>
      </c>
      <c r="H12" s="471">
        <v>0</v>
      </c>
      <c r="I12" s="471">
        <v>0</v>
      </c>
      <c r="J12" s="471">
        <v>0</v>
      </c>
      <c r="K12" s="471">
        <v>0</v>
      </c>
      <c r="L12" s="471">
        <v>0</v>
      </c>
      <c r="M12" s="471">
        <v>0</v>
      </c>
      <c r="N12" s="471">
        <v>0</v>
      </c>
      <c r="O12" s="471">
        <v>0</v>
      </c>
      <c r="P12" s="471">
        <v>0</v>
      </c>
    </row>
    <row r="13" spans="1:19" s="468" customFormat="1" x14ac:dyDescent="0.15">
      <c r="A13" s="472" t="s">
        <v>11</v>
      </c>
      <c r="B13" s="471">
        <v>14</v>
      </c>
      <c r="C13" s="471">
        <v>7</v>
      </c>
      <c r="D13" s="471">
        <v>7</v>
      </c>
      <c r="E13" s="471">
        <v>14</v>
      </c>
      <c r="F13" s="471">
        <v>7</v>
      </c>
      <c r="G13" s="471">
        <v>7</v>
      </c>
      <c r="H13" s="471">
        <v>15</v>
      </c>
      <c r="I13" s="471">
        <v>7</v>
      </c>
      <c r="J13" s="471">
        <v>8</v>
      </c>
      <c r="K13" s="471">
        <v>34</v>
      </c>
      <c r="L13" s="471">
        <v>15</v>
      </c>
      <c r="M13" s="471">
        <v>19</v>
      </c>
      <c r="N13" s="471">
        <v>76</v>
      </c>
      <c r="O13" s="471">
        <v>35</v>
      </c>
      <c r="P13" s="471">
        <v>41</v>
      </c>
    </row>
    <row r="14" spans="1:19" s="468" customFormat="1" x14ac:dyDescent="0.15">
      <c r="A14" s="472" t="s">
        <v>12</v>
      </c>
      <c r="B14" s="471">
        <v>0</v>
      </c>
      <c r="C14" s="471">
        <v>0</v>
      </c>
      <c r="D14" s="471">
        <v>0</v>
      </c>
      <c r="E14" s="471">
        <v>0</v>
      </c>
      <c r="F14" s="471">
        <v>0</v>
      </c>
      <c r="G14" s="471">
        <v>0</v>
      </c>
      <c r="H14" s="471">
        <v>0</v>
      </c>
      <c r="I14" s="471">
        <v>0</v>
      </c>
      <c r="J14" s="471">
        <v>0</v>
      </c>
      <c r="K14" s="471">
        <v>0</v>
      </c>
      <c r="L14" s="471">
        <v>0</v>
      </c>
      <c r="M14" s="471">
        <v>0</v>
      </c>
      <c r="N14" s="471">
        <v>0</v>
      </c>
      <c r="O14" s="471">
        <v>0</v>
      </c>
      <c r="P14" s="471">
        <v>0</v>
      </c>
    </row>
    <row r="15" spans="1:19" s="468" customFormat="1" x14ac:dyDescent="0.15">
      <c r="A15" s="472" t="s">
        <v>13</v>
      </c>
      <c r="B15" s="471">
        <v>0</v>
      </c>
      <c r="C15" s="471">
        <v>0</v>
      </c>
      <c r="D15" s="471">
        <v>0</v>
      </c>
      <c r="E15" s="471">
        <v>0</v>
      </c>
      <c r="F15" s="471">
        <v>0</v>
      </c>
      <c r="G15" s="471">
        <v>0</v>
      </c>
      <c r="H15" s="471">
        <v>0</v>
      </c>
      <c r="I15" s="471">
        <v>0</v>
      </c>
      <c r="J15" s="471">
        <v>0</v>
      </c>
      <c r="K15" s="471">
        <v>0</v>
      </c>
      <c r="L15" s="471">
        <v>0</v>
      </c>
      <c r="M15" s="471">
        <v>0</v>
      </c>
      <c r="N15" s="471">
        <v>0</v>
      </c>
      <c r="O15" s="471">
        <v>0</v>
      </c>
      <c r="P15" s="471">
        <v>0</v>
      </c>
    </row>
    <row r="16" spans="1:19" s="468" customFormat="1" x14ac:dyDescent="0.15">
      <c r="A16" s="472" t="s">
        <v>14</v>
      </c>
      <c r="B16" s="471">
        <v>1</v>
      </c>
      <c r="C16" s="471">
        <v>1</v>
      </c>
      <c r="D16" s="471">
        <v>0</v>
      </c>
      <c r="E16" s="471">
        <v>1</v>
      </c>
      <c r="F16" s="471">
        <v>1</v>
      </c>
      <c r="G16" s="471">
        <v>0</v>
      </c>
      <c r="H16" s="471">
        <v>1</v>
      </c>
      <c r="I16" s="471">
        <v>1</v>
      </c>
      <c r="J16" s="471">
        <v>0</v>
      </c>
      <c r="K16" s="471">
        <v>1</v>
      </c>
      <c r="L16" s="471">
        <v>1</v>
      </c>
      <c r="M16" s="471">
        <v>0</v>
      </c>
      <c r="N16" s="471">
        <v>11</v>
      </c>
      <c r="O16" s="471">
        <v>7</v>
      </c>
      <c r="P16" s="471">
        <v>4</v>
      </c>
    </row>
    <row r="17" spans="1:19" s="468" customFormat="1" x14ac:dyDescent="0.15">
      <c r="A17" s="472" t="s">
        <v>15</v>
      </c>
      <c r="B17" s="471">
        <v>0</v>
      </c>
      <c r="C17" s="471">
        <v>0</v>
      </c>
      <c r="D17" s="471">
        <v>0</v>
      </c>
      <c r="E17" s="471">
        <v>0</v>
      </c>
      <c r="F17" s="471">
        <v>0</v>
      </c>
      <c r="G17" s="471">
        <v>0</v>
      </c>
      <c r="H17" s="471">
        <v>0</v>
      </c>
      <c r="I17" s="471">
        <v>0</v>
      </c>
      <c r="J17" s="471">
        <v>0</v>
      </c>
      <c r="K17" s="471">
        <v>1</v>
      </c>
      <c r="L17" s="471">
        <v>0</v>
      </c>
      <c r="M17" s="471">
        <v>1</v>
      </c>
      <c r="N17" s="471">
        <v>3</v>
      </c>
      <c r="O17" s="471">
        <v>1</v>
      </c>
      <c r="P17" s="471">
        <v>2</v>
      </c>
    </row>
    <row r="18" spans="1:19" s="468" customFormat="1" x14ac:dyDescent="0.15">
      <c r="A18" s="472" t="s">
        <v>16</v>
      </c>
      <c r="B18" s="471">
        <v>0</v>
      </c>
      <c r="C18" s="471">
        <v>0</v>
      </c>
      <c r="D18" s="471">
        <v>0</v>
      </c>
      <c r="E18" s="471">
        <v>0</v>
      </c>
      <c r="F18" s="471">
        <v>0</v>
      </c>
      <c r="G18" s="471">
        <v>0</v>
      </c>
      <c r="H18" s="471">
        <v>0</v>
      </c>
      <c r="I18" s="471">
        <v>0</v>
      </c>
      <c r="J18" s="471">
        <v>0</v>
      </c>
      <c r="K18" s="471">
        <v>0</v>
      </c>
      <c r="L18" s="471">
        <v>0</v>
      </c>
      <c r="M18" s="471">
        <v>0</v>
      </c>
      <c r="N18" s="471">
        <v>0</v>
      </c>
      <c r="O18" s="471">
        <v>0</v>
      </c>
      <c r="P18" s="471">
        <v>0</v>
      </c>
    </row>
    <row r="19" spans="1:19" s="468" customFormat="1" x14ac:dyDescent="0.15">
      <c r="A19" s="472" t="s">
        <v>17</v>
      </c>
      <c r="B19" s="471">
        <v>1</v>
      </c>
      <c r="C19" s="471">
        <v>0</v>
      </c>
      <c r="D19" s="471">
        <v>1</v>
      </c>
      <c r="E19" s="471">
        <v>1</v>
      </c>
      <c r="F19" s="471">
        <v>0</v>
      </c>
      <c r="G19" s="471">
        <v>1</v>
      </c>
      <c r="H19" s="471">
        <v>1</v>
      </c>
      <c r="I19" s="471">
        <v>0</v>
      </c>
      <c r="J19" s="471">
        <v>1</v>
      </c>
      <c r="K19" s="471">
        <v>1</v>
      </c>
      <c r="L19" s="471">
        <v>0</v>
      </c>
      <c r="M19" s="471">
        <v>1</v>
      </c>
      <c r="N19" s="471">
        <v>1</v>
      </c>
      <c r="O19" s="471">
        <v>0</v>
      </c>
      <c r="P19" s="471">
        <v>1</v>
      </c>
    </row>
    <row r="20" spans="1:19" s="468" customFormat="1" x14ac:dyDescent="0.15">
      <c r="A20" s="472" t="s">
        <v>18</v>
      </c>
      <c r="B20" s="471">
        <v>0</v>
      </c>
      <c r="C20" s="471">
        <v>0</v>
      </c>
      <c r="D20" s="471">
        <v>0</v>
      </c>
      <c r="E20" s="471">
        <v>0</v>
      </c>
      <c r="F20" s="471">
        <v>0</v>
      </c>
      <c r="G20" s="471">
        <v>0</v>
      </c>
      <c r="H20" s="471">
        <v>0</v>
      </c>
      <c r="I20" s="471">
        <v>0</v>
      </c>
      <c r="J20" s="471">
        <v>0</v>
      </c>
      <c r="K20" s="471">
        <v>0</v>
      </c>
      <c r="L20" s="471">
        <v>0</v>
      </c>
      <c r="M20" s="471">
        <v>0</v>
      </c>
      <c r="N20" s="471">
        <v>0</v>
      </c>
      <c r="O20" s="471">
        <v>0</v>
      </c>
      <c r="P20" s="471">
        <v>0</v>
      </c>
    </row>
    <row r="21" spans="1:19" s="468" customFormat="1" x14ac:dyDescent="0.15">
      <c r="A21" s="472" t="s">
        <v>19</v>
      </c>
      <c r="B21" s="471">
        <v>0</v>
      </c>
      <c r="C21" s="471">
        <v>0</v>
      </c>
      <c r="D21" s="471">
        <v>0</v>
      </c>
      <c r="E21" s="471">
        <v>0</v>
      </c>
      <c r="F21" s="471">
        <v>0</v>
      </c>
      <c r="G21" s="471">
        <v>0</v>
      </c>
      <c r="H21" s="471">
        <v>0</v>
      </c>
      <c r="I21" s="471">
        <v>0</v>
      </c>
      <c r="J21" s="471">
        <v>0</v>
      </c>
      <c r="K21" s="471">
        <v>0</v>
      </c>
      <c r="L21" s="471">
        <v>0</v>
      </c>
      <c r="M21" s="471">
        <v>0</v>
      </c>
      <c r="N21" s="471">
        <v>0</v>
      </c>
      <c r="O21" s="471">
        <v>0</v>
      </c>
      <c r="P21" s="471">
        <v>0</v>
      </c>
    </row>
    <row r="22" spans="1:19" s="468" customFormat="1" ht="11.25" x14ac:dyDescent="0.15">
      <c r="A22" s="461" t="s">
        <v>1431</v>
      </c>
      <c r="B22" s="471">
        <v>0</v>
      </c>
      <c r="C22" s="471">
        <v>0</v>
      </c>
      <c r="D22" s="471">
        <v>0</v>
      </c>
      <c r="E22" s="471">
        <v>0</v>
      </c>
      <c r="F22" s="471">
        <v>0</v>
      </c>
      <c r="G22" s="471">
        <v>0</v>
      </c>
      <c r="H22" s="471">
        <v>0</v>
      </c>
      <c r="I22" s="471">
        <v>0</v>
      </c>
      <c r="J22" s="471">
        <v>0</v>
      </c>
      <c r="K22" s="471">
        <v>0</v>
      </c>
      <c r="L22" s="471">
        <v>0</v>
      </c>
      <c r="M22" s="471">
        <v>0</v>
      </c>
      <c r="N22" s="471">
        <v>0</v>
      </c>
      <c r="O22" s="471">
        <v>0</v>
      </c>
      <c r="P22" s="471">
        <v>0</v>
      </c>
    </row>
    <row r="23" spans="1:19" s="468" customFormat="1" x14ac:dyDescent="0.15">
      <c r="A23" s="461"/>
      <c r="B23" s="471"/>
      <c r="C23" s="473"/>
      <c r="D23" s="473"/>
      <c r="E23" s="471"/>
      <c r="F23" s="473"/>
      <c r="G23" s="473"/>
      <c r="H23" s="471"/>
      <c r="I23" s="473"/>
      <c r="J23" s="473"/>
      <c r="K23" s="471"/>
      <c r="L23" s="473"/>
      <c r="M23" s="473"/>
      <c r="N23" s="471"/>
      <c r="O23" s="473"/>
      <c r="P23" s="473"/>
    </row>
    <row r="24" spans="1:19" s="468" customFormat="1" x14ac:dyDescent="0.15">
      <c r="A24" s="379" t="s">
        <v>1426</v>
      </c>
      <c r="B24" s="379"/>
      <c r="C24" s="379"/>
      <c r="D24" s="379"/>
      <c r="E24" s="379"/>
      <c r="F24" s="379"/>
      <c r="G24" s="379"/>
      <c r="H24" s="379"/>
      <c r="I24" s="379"/>
      <c r="J24" s="379"/>
      <c r="K24" s="379"/>
      <c r="L24" s="379"/>
      <c r="M24" s="379"/>
      <c r="N24" s="456"/>
      <c r="O24" s="456"/>
      <c r="P24" s="456"/>
      <c r="Q24" s="474"/>
      <c r="R24" s="474"/>
      <c r="S24" s="474"/>
    </row>
    <row r="25" spans="1:19" s="468" customFormat="1" x14ac:dyDescent="0.15">
      <c r="A25" s="379" t="s">
        <v>1427</v>
      </c>
      <c r="B25" s="379"/>
      <c r="C25" s="379"/>
      <c r="D25" s="379"/>
      <c r="E25" s="379"/>
      <c r="F25" s="379"/>
      <c r="G25" s="379"/>
      <c r="H25" s="379"/>
      <c r="I25" s="379"/>
      <c r="J25" s="379"/>
      <c r="K25" s="379"/>
      <c r="L25" s="379"/>
      <c r="M25" s="379"/>
      <c r="N25" s="456"/>
      <c r="O25" s="456"/>
      <c r="P25" s="456"/>
      <c r="Q25" s="474"/>
      <c r="R25" s="474"/>
      <c r="S25" s="474"/>
    </row>
    <row r="26" spans="1:19" s="468" customFormat="1" x14ac:dyDescent="0.15">
      <c r="A26" s="456" t="s">
        <v>60</v>
      </c>
      <c r="B26" s="456"/>
      <c r="C26" s="456"/>
      <c r="D26" s="456"/>
      <c r="E26" s="456"/>
      <c r="F26" s="456"/>
      <c r="G26" s="456"/>
      <c r="H26" s="456"/>
      <c r="I26" s="456"/>
      <c r="J26" s="456"/>
      <c r="K26" s="456"/>
      <c r="L26" s="456"/>
      <c r="M26" s="456"/>
      <c r="N26" s="456"/>
      <c r="O26" s="456"/>
      <c r="P26" s="456"/>
      <c r="Q26" s="475"/>
      <c r="R26" s="475"/>
      <c r="S26" s="475"/>
    </row>
    <row r="27" spans="1:19" s="468" customFormat="1" x14ac:dyDescent="0.15">
      <c r="A27" s="456" t="s">
        <v>1429</v>
      </c>
      <c r="B27" s="456"/>
      <c r="C27" s="456"/>
      <c r="D27" s="456"/>
      <c r="E27" s="456"/>
      <c r="F27" s="456"/>
      <c r="G27" s="456"/>
      <c r="H27" s="456"/>
      <c r="I27" s="456"/>
      <c r="J27" s="456"/>
      <c r="K27" s="456"/>
      <c r="L27" s="456"/>
      <c r="M27" s="456"/>
      <c r="N27" s="456"/>
      <c r="O27" s="456"/>
      <c r="P27" s="456"/>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D13"/>
  <sheetViews>
    <sheetView workbookViewId="0">
      <selection activeCell="K31" sqref="K31"/>
    </sheetView>
  </sheetViews>
  <sheetFormatPr baseColWidth="10" defaultColWidth="9.140625" defaultRowHeight="12.75" x14ac:dyDescent="0.2"/>
  <cols>
    <col min="1" max="1" width="16.42578125" style="111" customWidth="1"/>
    <col min="2" max="2" width="17.85546875" style="111" customWidth="1"/>
    <col min="3" max="4" width="15.7109375" style="111" customWidth="1"/>
    <col min="5" max="5" width="4.85546875" style="111" customWidth="1"/>
    <col min="6" max="16384" width="9.140625" style="111"/>
  </cols>
  <sheetData>
    <row r="1" spans="1:4" ht="11.25" customHeight="1" x14ac:dyDescent="0.2"/>
    <row r="2" spans="1:4" ht="36" customHeight="1" x14ac:dyDescent="0.2">
      <c r="A2" s="2377" t="s">
        <v>1433</v>
      </c>
      <c r="B2" s="2666"/>
      <c r="C2" s="2666"/>
      <c r="D2" s="2666"/>
    </row>
    <row r="3" spans="1:4" ht="11.25" customHeight="1" x14ac:dyDescent="0.2">
      <c r="A3" s="2347"/>
      <c r="B3" s="2667"/>
      <c r="C3" s="2667"/>
      <c r="D3" s="2667"/>
    </row>
    <row r="4" spans="1:4" ht="12.75" customHeight="1" x14ac:dyDescent="0.2">
      <c r="A4" s="2668" t="s">
        <v>1434</v>
      </c>
      <c r="B4" s="2670" t="s">
        <v>69</v>
      </c>
      <c r="C4" s="2374" t="s">
        <v>1377</v>
      </c>
      <c r="D4" s="2671"/>
    </row>
    <row r="5" spans="1:4" ht="21" customHeight="1" x14ac:dyDescent="0.2">
      <c r="A5" s="2669"/>
      <c r="B5" s="2670"/>
      <c r="C5" s="427" t="s">
        <v>966</v>
      </c>
      <c r="D5" s="427" t="s">
        <v>967</v>
      </c>
    </row>
    <row r="6" spans="1:4" s="479" customFormat="1" x14ac:dyDescent="0.2">
      <c r="A6" s="476" t="s">
        <v>1435</v>
      </c>
      <c r="B6" s="477">
        <f>SUM(C6:D6)</f>
        <v>1313</v>
      </c>
      <c r="C6" s="478">
        <v>613</v>
      </c>
      <c r="D6" s="478">
        <v>700</v>
      </c>
    </row>
    <row r="7" spans="1:4" s="479" customFormat="1" x14ac:dyDescent="0.2">
      <c r="A7" s="476" t="s">
        <v>1436</v>
      </c>
      <c r="B7" s="477">
        <f>SUM(C7:D7)</f>
        <v>1379</v>
      </c>
      <c r="C7" s="478">
        <v>648</v>
      </c>
      <c r="D7" s="478">
        <v>731</v>
      </c>
    </row>
    <row r="8" spans="1:4" s="479" customFormat="1" x14ac:dyDescent="0.2">
      <c r="A8" s="476" t="s">
        <v>1437</v>
      </c>
      <c r="B8" s="477">
        <f>SUM(C8:D8)</f>
        <v>1463</v>
      </c>
      <c r="C8" s="478">
        <v>692</v>
      </c>
      <c r="D8" s="478">
        <v>771</v>
      </c>
    </row>
    <row r="9" spans="1:4" s="479" customFormat="1" x14ac:dyDescent="0.2">
      <c r="A9" s="476" t="s">
        <v>1438</v>
      </c>
      <c r="B9" s="477">
        <f>SUM(C9:D9)</f>
        <v>1583</v>
      </c>
      <c r="C9" s="478">
        <v>803</v>
      </c>
      <c r="D9" s="478">
        <v>780</v>
      </c>
    </row>
    <row r="10" spans="1:4" s="479" customFormat="1" x14ac:dyDescent="0.2">
      <c r="A10" s="476" t="s">
        <v>1439</v>
      </c>
      <c r="B10" s="477">
        <f>SUM(C10:D10)</f>
        <v>1845</v>
      </c>
      <c r="C10" s="478">
        <v>951</v>
      </c>
      <c r="D10" s="478">
        <v>894</v>
      </c>
    </row>
    <row r="11" spans="1:4" s="479" customFormat="1" ht="11.25" customHeight="1" x14ac:dyDescent="0.2">
      <c r="A11" s="2356"/>
      <c r="B11" s="2672"/>
      <c r="C11" s="2672"/>
      <c r="D11" s="2672"/>
    </row>
    <row r="12" spans="1:4" s="479" customFormat="1" x14ac:dyDescent="0.2">
      <c r="A12" s="2356" t="s">
        <v>1440</v>
      </c>
      <c r="B12" s="2665"/>
      <c r="C12" s="2665"/>
      <c r="D12" s="2665"/>
    </row>
    <row r="13" spans="1:4" s="479" customFormat="1" x14ac:dyDescent="0.2"/>
  </sheetData>
  <mergeCells count="7">
    <mergeCell ref="A12:D12"/>
    <mergeCell ref="A2:D2"/>
    <mergeCell ref="A3:D3"/>
    <mergeCell ref="A4:A5"/>
    <mergeCell ref="B4:B5"/>
    <mergeCell ref="C4:D4"/>
    <mergeCell ref="A11:D11"/>
  </mergeCells>
  <pageMargins left="0.78740157480314965" right="0.78740157480314965" top="0.78740157480314965" bottom="0.78740157480314965" header="0.78740157480314965" footer="0.78740157480314965"/>
  <pageSetup paperSize="9" orientation="portrait" verticalDpi="599"/>
  <headerFooter alignWithMargins="0">
    <oddFooter>&amp;L&amp;C&amp;R</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2:G16"/>
  <sheetViews>
    <sheetView zoomScaleNormal="100" workbookViewId="0">
      <selection activeCell="H31" sqref="H31"/>
    </sheetView>
  </sheetViews>
  <sheetFormatPr baseColWidth="10" defaultRowHeight="10.5" x14ac:dyDescent="0.15"/>
  <cols>
    <col min="1" max="1" width="23.5703125" style="448" customWidth="1"/>
    <col min="2" max="2" width="17.140625" style="448" customWidth="1"/>
    <col min="3" max="4" width="18.5703125" style="448" customWidth="1"/>
    <col min="5" max="16384" width="11.42578125" style="448"/>
  </cols>
  <sheetData>
    <row r="2" spans="1:7" s="480" customFormat="1" ht="27.75" customHeight="1" x14ac:dyDescent="0.15">
      <c r="A2" s="2674" t="s">
        <v>1441</v>
      </c>
      <c r="B2" s="2674"/>
      <c r="C2" s="2674"/>
      <c r="D2" s="2674"/>
      <c r="G2" s="481"/>
    </row>
    <row r="3" spans="1:7" s="385" customFormat="1" ht="10.5" customHeight="1" x14ac:dyDescent="0.15">
      <c r="A3" s="2675"/>
      <c r="B3" s="2675"/>
      <c r="C3" s="2675"/>
      <c r="D3" s="2675"/>
      <c r="G3" s="482"/>
    </row>
    <row r="4" spans="1:7" s="385" customFormat="1" ht="12.75" customHeight="1" x14ac:dyDescent="0.15">
      <c r="A4" s="2658" t="s">
        <v>1442</v>
      </c>
      <c r="B4" s="2676" t="s">
        <v>1443</v>
      </c>
      <c r="C4" s="2676"/>
      <c r="D4" s="2676"/>
      <c r="G4" s="482"/>
    </row>
    <row r="5" spans="1:7" s="385" customFormat="1" ht="12.75" customHeight="1" x14ac:dyDescent="0.15">
      <c r="A5" s="2658"/>
      <c r="B5" s="2658" t="s">
        <v>69</v>
      </c>
      <c r="C5" s="2615" t="s">
        <v>1377</v>
      </c>
      <c r="D5" s="2615"/>
      <c r="F5" s="483"/>
      <c r="G5" s="482"/>
    </row>
    <row r="6" spans="1:7" s="385" customFormat="1" ht="11.25" customHeight="1" x14ac:dyDescent="0.25">
      <c r="A6" s="2658"/>
      <c r="B6" s="2658"/>
      <c r="C6" s="484" t="s">
        <v>966</v>
      </c>
      <c r="D6" s="484" t="s">
        <v>967</v>
      </c>
      <c r="F6" s="483"/>
      <c r="G6" s="485"/>
    </row>
    <row r="7" spans="1:7" s="385" customFormat="1" ht="11.25" customHeight="1" x14ac:dyDescent="0.25">
      <c r="A7" s="486">
        <v>2011</v>
      </c>
      <c r="B7" s="487">
        <f t="shared" ref="B7:B10" si="0">SUM(C7:D7)</f>
        <v>605</v>
      </c>
      <c r="C7" s="486">
        <v>416</v>
      </c>
      <c r="D7" s="486">
        <v>189</v>
      </c>
      <c r="F7" s="486"/>
      <c r="G7" s="488"/>
    </row>
    <row r="8" spans="1:7" s="385" customFormat="1" ht="11.25" customHeight="1" x14ac:dyDescent="0.25">
      <c r="A8" s="486">
        <v>2012</v>
      </c>
      <c r="B8" s="487">
        <f t="shared" si="0"/>
        <v>656</v>
      </c>
      <c r="C8" s="489">
        <v>446</v>
      </c>
      <c r="D8" s="489">
        <v>210</v>
      </c>
      <c r="F8" s="486"/>
      <c r="G8" s="488"/>
    </row>
    <row r="9" spans="1:7" s="385" customFormat="1" ht="11.25" customHeight="1" x14ac:dyDescent="0.15">
      <c r="A9" s="486">
        <v>2013</v>
      </c>
      <c r="B9" s="487">
        <f t="shared" si="0"/>
        <v>713</v>
      </c>
      <c r="C9" s="490">
        <v>486</v>
      </c>
      <c r="D9" s="490">
        <v>227</v>
      </c>
      <c r="F9" s="486"/>
      <c r="G9" s="491"/>
    </row>
    <row r="10" spans="1:7" s="385" customFormat="1" ht="11.25" customHeight="1" x14ac:dyDescent="0.15">
      <c r="A10" s="486">
        <v>2014</v>
      </c>
      <c r="B10" s="487">
        <f t="shared" si="0"/>
        <v>748</v>
      </c>
      <c r="C10" s="492">
        <v>508</v>
      </c>
      <c r="D10" s="492">
        <v>240</v>
      </c>
      <c r="F10" s="486"/>
      <c r="G10" s="491"/>
    </row>
    <row r="11" spans="1:7" s="385" customFormat="1" ht="11.25" customHeight="1" x14ac:dyDescent="0.15">
      <c r="A11" s="486">
        <v>2015</v>
      </c>
      <c r="B11" s="487">
        <f t="shared" ref="B11" si="1">+C11+D11</f>
        <v>808</v>
      </c>
      <c r="C11" s="492">
        <v>546</v>
      </c>
      <c r="D11" s="492">
        <v>262</v>
      </c>
      <c r="F11" s="486"/>
      <c r="G11" s="491"/>
    </row>
    <row r="12" spans="1:7" s="385" customFormat="1" x14ac:dyDescent="0.25">
      <c r="G12" s="493"/>
    </row>
    <row r="13" spans="1:7" s="385" customFormat="1" x14ac:dyDescent="0.25">
      <c r="A13" s="2673" t="s">
        <v>1444</v>
      </c>
      <c r="B13" s="2673"/>
      <c r="C13" s="2673"/>
      <c r="D13" s="2673"/>
      <c r="G13" s="493"/>
    </row>
    <row r="16" spans="1:7" x14ac:dyDescent="0.15">
      <c r="E16" s="494"/>
      <c r="F16" s="494"/>
    </row>
  </sheetData>
  <mergeCells count="7">
    <mergeCell ref="A13:D13"/>
    <mergeCell ref="A2:D2"/>
    <mergeCell ref="A3:D3"/>
    <mergeCell ref="A4:A6"/>
    <mergeCell ref="B4:D4"/>
    <mergeCell ref="B5:B6"/>
    <mergeCell ref="C5:D5"/>
  </mergeCells>
  <conditionalFormatting sqref="B8:D11">
    <cfRule type="expression" dxfId="20" priority="1">
      <formula>IF(AND(#REF!="2",#REF!="2"),1)</formula>
    </cfRule>
  </conditionalFormatting>
  <pageMargins left="0.7" right="0.7" top="0.75" bottom="0.75" header="0.3" footer="0.3"/>
  <pageSetup paperSize="1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S32"/>
  <sheetViews>
    <sheetView zoomScaleNormal="100" workbookViewId="0">
      <selection activeCell="L32" sqref="L32"/>
    </sheetView>
  </sheetViews>
  <sheetFormatPr baseColWidth="10" defaultRowHeight="10.5" x14ac:dyDescent="0.15"/>
  <cols>
    <col min="1" max="1" width="25.7109375" style="448" customWidth="1"/>
    <col min="2" max="16" width="10.140625" style="448" customWidth="1"/>
    <col min="17" max="16384" width="11.42578125" style="448"/>
  </cols>
  <sheetData>
    <row r="1" spans="1:19" x14ac:dyDescent="0.15">
      <c r="A1" s="465"/>
      <c r="B1" s="465"/>
      <c r="C1" s="465"/>
      <c r="D1" s="465"/>
    </row>
    <row r="2" spans="1:19" s="380" customFormat="1" ht="21.75" customHeight="1" x14ac:dyDescent="0.15">
      <c r="A2" s="2659" t="s">
        <v>1445</v>
      </c>
      <c r="B2" s="2659"/>
      <c r="C2" s="2659"/>
      <c r="D2" s="2659"/>
      <c r="E2" s="2659"/>
      <c r="F2" s="2659"/>
      <c r="G2" s="2659"/>
      <c r="H2" s="2659"/>
      <c r="I2" s="2659"/>
      <c r="J2" s="2659"/>
      <c r="K2" s="2659"/>
      <c r="L2" s="2659"/>
      <c r="M2" s="2659"/>
      <c r="N2" s="2659"/>
      <c r="O2" s="2659"/>
      <c r="P2" s="2659"/>
    </row>
    <row r="3" spans="1:19" s="380" customFormat="1" x14ac:dyDescent="0.15">
      <c r="A3" s="461"/>
      <c r="B3" s="461"/>
      <c r="C3" s="461"/>
      <c r="D3" s="461"/>
      <c r="E3" s="461"/>
      <c r="F3" s="461"/>
      <c r="G3" s="461"/>
    </row>
    <row r="4" spans="1:19" s="380" customFormat="1" ht="16.5" customHeight="1" x14ac:dyDescent="0.15">
      <c r="A4" s="2658" t="s">
        <v>1</v>
      </c>
      <c r="B4" s="2660">
        <v>2011</v>
      </c>
      <c r="C4" s="2661"/>
      <c r="D4" s="2662"/>
      <c r="E4" s="2657">
        <v>2012</v>
      </c>
      <c r="F4" s="2657"/>
      <c r="G4" s="2657"/>
      <c r="H4" s="2657">
        <v>2013</v>
      </c>
      <c r="I4" s="2657"/>
      <c r="J4" s="2657"/>
      <c r="K4" s="2657">
        <v>2014</v>
      </c>
      <c r="L4" s="2657"/>
      <c r="M4" s="2657"/>
      <c r="N4" s="2657">
        <v>2015</v>
      </c>
      <c r="O4" s="2657"/>
      <c r="P4" s="2657"/>
      <c r="Q4" s="469"/>
      <c r="R4" s="469"/>
      <c r="S4" s="469"/>
    </row>
    <row r="5" spans="1:19" s="380" customFormat="1" x14ac:dyDescent="0.15">
      <c r="A5" s="2658"/>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s="380" customFormat="1" x14ac:dyDescent="0.15">
      <c r="A6" s="451" t="s">
        <v>141</v>
      </c>
      <c r="B6" s="496">
        <v>1455</v>
      </c>
      <c r="C6" s="496">
        <v>662</v>
      </c>
      <c r="D6" s="496">
        <v>793</v>
      </c>
      <c r="E6" s="496">
        <v>1489</v>
      </c>
      <c r="F6" s="496">
        <v>682</v>
      </c>
      <c r="G6" s="496">
        <v>807</v>
      </c>
      <c r="H6" s="496">
        <v>1546</v>
      </c>
      <c r="I6" s="496">
        <v>708</v>
      </c>
      <c r="J6" s="496">
        <v>838</v>
      </c>
      <c r="K6" s="496">
        <v>1718</v>
      </c>
      <c r="L6" s="496">
        <v>796</v>
      </c>
      <c r="M6" s="496">
        <v>922</v>
      </c>
      <c r="N6" s="496">
        <v>1854</v>
      </c>
      <c r="O6" s="496">
        <v>863</v>
      </c>
      <c r="P6" s="496">
        <v>991</v>
      </c>
      <c r="Q6" s="458"/>
      <c r="R6" s="458"/>
      <c r="S6" s="458"/>
    </row>
    <row r="7" spans="1:19" s="380" customFormat="1" ht="11.25" customHeight="1" x14ac:dyDescent="0.15">
      <c r="A7" s="497" t="s">
        <v>5</v>
      </c>
      <c r="B7" s="496">
        <v>0</v>
      </c>
      <c r="C7" s="498">
        <v>0</v>
      </c>
      <c r="D7" s="498">
        <v>0</v>
      </c>
      <c r="E7" s="496">
        <v>0</v>
      </c>
      <c r="F7" s="498">
        <v>0</v>
      </c>
      <c r="G7" s="498">
        <v>0</v>
      </c>
      <c r="H7" s="496">
        <v>0</v>
      </c>
      <c r="I7" s="498">
        <v>0</v>
      </c>
      <c r="J7" s="498">
        <v>0</v>
      </c>
      <c r="K7" s="496">
        <v>1</v>
      </c>
      <c r="L7" s="498">
        <v>0</v>
      </c>
      <c r="M7" s="498">
        <v>1</v>
      </c>
      <c r="N7" s="496">
        <v>1</v>
      </c>
      <c r="O7" s="498">
        <v>0</v>
      </c>
      <c r="P7" s="498">
        <v>1</v>
      </c>
      <c r="Q7" s="460"/>
      <c r="R7" s="460"/>
      <c r="S7" s="460"/>
    </row>
    <row r="8" spans="1:19" s="380" customFormat="1" x14ac:dyDescent="0.15">
      <c r="A8" s="497" t="s">
        <v>6</v>
      </c>
      <c r="B8" s="496">
        <v>0</v>
      </c>
      <c r="C8" s="498">
        <v>0</v>
      </c>
      <c r="D8" s="498">
        <v>0</v>
      </c>
      <c r="E8" s="496">
        <v>0</v>
      </c>
      <c r="F8" s="498">
        <v>0</v>
      </c>
      <c r="G8" s="498">
        <v>0</v>
      </c>
      <c r="H8" s="496">
        <v>0</v>
      </c>
      <c r="I8" s="498">
        <v>0</v>
      </c>
      <c r="J8" s="498">
        <v>0</v>
      </c>
      <c r="K8" s="496">
        <v>11</v>
      </c>
      <c r="L8" s="498">
        <v>9</v>
      </c>
      <c r="M8" s="498">
        <v>2</v>
      </c>
      <c r="N8" s="496">
        <v>11</v>
      </c>
      <c r="O8" s="498">
        <v>9</v>
      </c>
      <c r="P8" s="498">
        <v>2</v>
      </c>
      <c r="Q8" s="460"/>
      <c r="R8" s="460"/>
      <c r="S8" s="460"/>
    </row>
    <row r="9" spans="1:19" s="380" customFormat="1" x14ac:dyDescent="0.15">
      <c r="A9" s="497" t="s">
        <v>7</v>
      </c>
      <c r="B9" s="496">
        <v>2</v>
      </c>
      <c r="C9" s="498">
        <v>0</v>
      </c>
      <c r="D9" s="498">
        <v>2</v>
      </c>
      <c r="E9" s="496">
        <v>2</v>
      </c>
      <c r="F9" s="498">
        <v>0</v>
      </c>
      <c r="G9" s="498">
        <v>2</v>
      </c>
      <c r="H9" s="496">
        <v>2</v>
      </c>
      <c r="I9" s="498">
        <v>0</v>
      </c>
      <c r="J9" s="498">
        <v>2</v>
      </c>
      <c r="K9" s="496">
        <v>8</v>
      </c>
      <c r="L9" s="498">
        <v>0</v>
      </c>
      <c r="M9" s="498">
        <v>8</v>
      </c>
      <c r="N9" s="496">
        <v>13</v>
      </c>
      <c r="O9" s="498">
        <v>5</v>
      </c>
      <c r="P9" s="498">
        <v>8</v>
      </c>
      <c r="Q9" s="460"/>
      <c r="R9" s="460"/>
      <c r="S9" s="460"/>
    </row>
    <row r="10" spans="1:19" s="380" customFormat="1" x14ac:dyDescent="0.15">
      <c r="A10" s="497" t="s">
        <v>8</v>
      </c>
      <c r="B10" s="496">
        <v>3</v>
      </c>
      <c r="C10" s="498">
        <v>3</v>
      </c>
      <c r="D10" s="498">
        <v>0</v>
      </c>
      <c r="E10" s="496">
        <v>3</v>
      </c>
      <c r="F10" s="498">
        <v>3</v>
      </c>
      <c r="G10" s="498">
        <v>0</v>
      </c>
      <c r="H10" s="496">
        <v>3</v>
      </c>
      <c r="I10" s="498">
        <v>3</v>
      </c>
      <c r="J10" s="498">
        <v>0</v>
      </c>
      <c r="K10" s="496">
        <v>3</v>
      </c>
      <c r="L10" s="498">
        <v>3</v>
      </c>
      <c r="M10" s="498">
        <v>0</v>
      </c>
      <c r="N10" s="496">
        <v>7</v>
      </c>
      <c r="O10" s="498">
        <v>4</v>
      </c>
      <c r="P10" s="498">
        <v>3</v>
      </c>
      <c r="Q10" s="460"/>
      <c r="R10" s="460"/>
      <c r="S10" s="460"/>
    </row>
    <row r="11" spans="1:19" s="380" customFormat="1" x14ac:dyDescent="0.15">
      <c r="A11" s="497" t="s">
        <v>9</v>
      </c>
      <c r="B11" s="496">
        <v>1</v>
      </c>
      <c r="C11" s="498">
        <v>0</v>
      </c>
      <c r="D11" s="498">
        <v>1</v>
      </c>
      <c r="E11" s="496">
        <v>1</v>
      </c>
      <c r="F11" s="498">
        <v>0</v>
      </c>
      <c r="G11" s="498">
        <v>1</v>
      </c>
      <c r="H11" s="496">
        <v>1</v>
      </c>
      <c r="I11" s="498">
        <v>0</v>
      </c>
      <c r="J11" s="498">
        <v>1</v>
      </c>
      <c r="K11" s="496">
        <v>1</v>
      </c>
      <c r="L11" s="498">
        <v>0</v>
      </c>
      <c r="M11" s="498">
        <v>1</v>
      </c>
      <c r="N11" s="496">
        <v>1</v>
      </c>
      <c r="O11" s="498">
        <v>0</v>
      </c>
      <c r="P11" s="498">
        <v>1</v>
      </c>
      <c r="Q11" s="460"/>
      <c r="R11" s="460"/>
      <c r="S11" s="460"/>
    </row>
    <row r="12" spans="1:19" s="380" customFormat="1" x14ac:dyDescent="0.15">
      <c r="A12" s="497" t="s">
        <v>10</v>
      </c>
      <c r="B12" s="496">
        <v>19</v>
      </c>
      <c r="C12" s="498">
        <v>13</v>
      </c>
      <c r="D12" s="498">
        <v>6</v>
      </c>
      <c r="E12" s="496">
        <v>20</v>
      </c>
      <c r="F12" s="498">
        <v>14</v>
      </c>
      <c r="G12" s="498">
        <v>6</v>
      </c>
      <c r="H12" s="496">
        <v>22</v>
      </c>
      <c r="I12" s="498">
        <v>15</v>
      </c>
      <c r="J12" s="498">
        <v>7</v>
      </c>
      <c r="K12" s="496">
        <v>25</v>
      </c>
      <c r="L12" s="498">
        <v>17</v>
      </c>
      <c r="M12" s="498">
        <v>8</v>
      </c>
      <c r="N12" s="496">
        <v>26</v>
      </c>
      <c r="O12" s="498">
        <v>18</v>
      </c>
      <c r="P12" s="498">
        <v>8</v>
      </c>
      <c r="Q12" s="460"/>
      <c r="R12" s="460"/>
      <c r="S12" s="460"/>
    </row>
    <row r="13" spans="1:19" s="380" customFormat="1" x14ac:dyDescent="0.15">
      <c r="A13" s="497" t="s">
        <v>11</v>
      </c>
      <c r="B13" s="496">
        <v>1041</v>
      </c>
      <c r="C13" s="498">
        <v>457</v>
      </c>
      <c r="D13" s="498">
        <v>584</v>
      </c>
      <c r="E13" s="496">
        <v>1072</v>
      </c>
      <c r="F13" s="498">
        <v>474</v>
      </c>
      <c r="G13" s="498">
        <v>598</v>
      </c>
      <c r="H13" s="496">
        <v>1123</v>
      </c>
      <c r="I13" s="498">
        <v>498</v>
      </c>
      <c r="J13" s="498">
        <v>625</v>
      </c>
      <c r="K13" s="496">
        <v>1223</v>
      </c>
      <c r="L13" s="498">
        <v>552</v>
      </c>
      <c r="M13" s="498">
        <v>671</v>
      </c>
      <c r="N13" s="496">
        <v>1323</v>
      </c>
      <c r="O13" s="498">
        <v>600</v>
      </c>
      <c r="P13" s="498">
        <v>723</v>
      </c>
      <c r="Q13" s="460"/>
      <c r="R13" s="460"/>
      <c r="S13" s="460"/>
    </row>
    <row r="14" spans="1:19" s="380" customFormat="1" x14ac:dyDescent="0.15">
      <c r="A14" s="497" t="s">
        <v>12</v>
      </c>
      <c r="B14" s="496">
        <v>5</v>
      </c>
      <c r="C14" s="498">
        <v>4</v>
      </c>
      <c r="D14" s="498">
        <v>1</v>
      </c>
      <c r="E14" s="496">
        <v>5</v>
      </c>
      <c r="F14" s="498">
        <v>4</v>
      </c>
      <c r="G14" s="498">
        <v>1</v>
      </c>
      <c r="H14" s="496">
        <v>6</v>
      </c>
      <c r="I14" s="498">
        <v>4</v>
      </c>
      <c r="J14" s="498">
        <v>2</v>
      </c>
      <c r="K14" s="496">
        <v>6</v>
      </c>
      <c r="L14" s="498">
        <v>4</v>
      </c>
      <c r="M14" s="498">
        <v>2</v>
      </c>
      <c r="N14" s="496">
        <v>7</v>
      </c>
      <c r="O14" s="498">
        <v>4</v>
      </c>
      <c r="P14" s="498">
        <v>3</v>
      </c>
      <c r="Q14" s="460"/>
      <c r="R14" s="460"/>
      <c r="S14" s="460"/>
    </row>
    <row r="15" spans="1:19" s="380" customFormat="1" x14ac:dyDescent="0.15">
      <c r="A15" s="497" t="s">
        <v>13</v>
      </c>
      <c r="B15" s="496">
        <v>12</v>
      </c>
      <c r="C15" s="498">
        <v>6</v>
      </c>
      <c r="D15" s="498">
        <v>6</v>
      </c>
      <c r="E15" s="496">
        <v>12</v>
      </c>
      <c r="F15" s="498">
        <v>6</v>
      </c>
      <c r="G15" s="498">
        <v>6</v>
      </c>
      <c r="H15" s="496">
        <v>12</v>
      </c>
      <c r="I15" s="498">
        <v>6</v>
      </c>
      <c r="J15" s="498">
        <v>6</v>
      </c>
      <c r="K15" s="496">
        <v>20</v>
      </c>
      <c r="L15" s="498">
        <v>7</v>
      </c>
      <c r="M15" s="498">
        <v>13</v>
      </c>
      <c r="N15" s="496">
        <v>20</v>
      </c>
      <c r="O15" s="498">
        <v>7</v>
      </c>
      <c r="P15" s="498">
        <v>13</v>
      </c>
      <c r="Q15" s="460"/>
      <c r="R15" s="460"/>
      <c r="S15" s="460"/>
    </row>
    <row r="16" spans="1:19" s="380" customFormat="1" x14ac:dyDescent="0.15">
      <c r="A16" s="497" t="s">
        <v>14</v>
      </c>
      <c r="B16" s="496">
        <v>2</v>
      </c>
      <c r="C16" s="498">
        <v>1</v>
      </c>
      <c r="D16" s="498">
        <v>1</v>
      </c>
      <c r="E16" s="496">
        <v>2</v>
      </c>
      <c r="F16" s="498">
        <v>1</v>
      </c>
      <c r="G16" s="498">
        <v>1</v>
      </c>
      <c r="H16" s="496">
        <v>2</v>
      </c>
      <c r="I16" s="498">
        <v>1</v>
      </c>
      <c r="J16" s="498">
        <v>1</v>
      </c>
      <c r="K16" s="496">
        <v>21</v>
      </c>
      <c r="L16" s="498">
        <v>9</v>
      </c>
      <c r="M16" s="498">
        <v>12</v>
      </c>
      <c r="N16" s="496">
        <v>37</v>
      </c>
      <c r="O16" s="498">
        <v>17</v>
      </c>
      <c r="P16" s="498">
        <v>20</v>
      </c>
      <c r="Q16" s="460"/>
      <c r="R16" s="460"/>
      <c r="S16" s="460"/>
    </row>
    <row r="17" spans="1:19" s="380" customFormat="1" x14ac:dyDescent="0.15">
      <c r="A17" s="497" t="s">
        <v>15</v>
      </c>
      <c r="B17" s="496">
        <v>3</v>
      </c>
      <c r="C17" s="498">
        <v>2</v>
      </c>
      <c r="D17" s="498">
        <v>1</v>
      </c>
      <c r="E17" s="496">
        <v>3</v>
      </c>
      <c r="F17" s="498">
        <v>2</v>
      </c>
      <c r="G17" s="498">
        <v>1</v>
      </c>
      <c r="H17" s="496">
        <v>4</v>
      </c>
      <c r="I17" s="498">
        <v>2</v>
      </c>
      <c r="J17" s="498">
        <v>2</v>
      </c>
      <c r="K17" s="496">
        <v>21</v>
      </c>
      <c r="L17" s="498">
        <v>13</v>
      </c>
      <c r="M17" s="498">
        <v>8</v>
      </c>
      <c r="N17" s="496">
        <v>30</v>
      </c>
      <c r="O17" s="498">
        <v>17</v>
      </c>
      <c r="P17" s="498">
        <v>13</v>
      </c>
      <c r="Q17" s="460"/>
      <c r="R17" s="460"/>
      <c r="S17" s="460"/>
    </row>
    <row r="18" spans="1:19" s="380" customFormat="1" x14ac:dyDescent="0.15">
      <c r="A18" s="497" t="s">
        <v>16</v>
      </c>
      <c r="B18" s="496">
        <v>0</v>
      </c>
      <c r="C18" s="498">
        <v>0</v>
      </c>
      <c r="D18" s="498">
        <v>0</v>
      </c>
      <c r="E18" s="496">
        <v>0</v>
      </c>
      <c r="F18" s="498">
        <v>0</v>
      </c>
      <c r="G18" s="498">
        <v>0</v>
      </c>
      <c r="H18" s="496">
        <v>0</v>
      </c>
      <c r="I18" s="498">
        <v>0</v>
      </c>
      <c r="J18" s="498">
        <v>0</v>
      </c>
      <c r="K18" s="496">
        <v>0</v>
      </c>
      <c r="L18" s="498">
        <v>0</v>
      </c>
      <c r="M18" s="498">
        <v>0</v>
      </c>
      <c r="N18" s="496">
        <v>0</v>
      </c>
      <c r="O18" s="498">
        <v>0</v>
      </c>
      <c r="P18" s="498">
        <v>0</v>
      </c>
      <c r="Q18" s="460"/>
      <c r="R18" s="460"/>
      <c r="S18" s="460"/>
    </row>
    <row r="19" spans="1:19" s="380" customFormat="1" x14ac:dyDescent="0.15">
      <c r="A19" s="497" t="s">
        <v>17</v>
      </c>
      <c r="B19" s="496">
        <v>3</v>
      </c>
      <c r="C19" s="498">
        <v>0</v>
      </c>
      <c r="D19" s="498">
        <v>3</v>
      </c>
      <c r="E19" s="496">
        <v>3</v>
      </c>
      <c r="F19" s="498">
        <v>0</v>
      </c>
      <c r="G19" s="498">
        <v>3</v>
      </c>
      <c r="H19" s="496">
        <v>3</v>
      </c>
      <c r="I19" s="498">
        <v>0</v>
      </c>
      <c r="J19" s="498">
        <v>3</v>
      </c>
      <c r="K19" s="496">
        <v>7</v>
      </c>
      <c r="L19" s="498">
        <v>1</v>
      </c>
      <c r="M19" s="498">
        <v>6</v>
      </c>
      <c r="N19" s="496">
        <v>7</v>
      </c>
      <c r="O19" s="498">
        <v>1</v>
      </c>
      <c r="P19" s="498">
        <v>6</v>
      </c>
      <c r="Q19" s="460"/>
      <c r="R19" s="460"/>
      <c r="S19" s="460"/>
    </row>
    <row r="20" spans="1:19" s="380" customFormat="1" x14ac:dyDescent="0.15">
      <c r="A20" s="497" t="s">
        <v>18</v>
      </c>
      <c r="B20" s="496">
        <v>0</v>
      </c>
      <c r="C20" s="498">
        <v>0</v>
      </c>
      <c r="D20" s="498">
        <v>0</v>
      </c>
      <c r="E20" s="496">
        <v>0</v>
      </c>
      <c r="F20" s="498">
        <v>0</v>
      </c>
      <c r="G20" s="498">
        <v>0</v>
      </c>
      <c r="H20" s="496">
        <v>0</v>
      </c>
      <c r="I20" s="498">
        <v>0</v>
      </c>
      <c r="J20" s="498">
        <v>0</v>
      </c>
      <c r="K20" s="496">
        <v>0</v>
      </c>
      <c r="L20" s="498">
        <v>0</v>
      </c>
      <c r="M20" s="498">
        <v>0</v>
      </c>
      <c r="N20" s="496">
        <v>0</v>
      </c>
      <c r="O20" s="498">
        <v>0</v>
      </c>
      <c r="P20" s="498">
        <v>0</v>
      </c>
      <c r="Q20" s="460"/>
      <c r="R20" s="460"/>
      <c r="S20" s="460"/>
    </row>
    <row r="21" spans="1:19" s="380" customFormat="1" x14ac:dyDescent="0.15">
      <c r="A21" s="497" t="s">
        <v>19</v>
      </c>
      <c r="B21" s="496">
        <v>0</v>
      </c>
      <c r="C21" s="498">
        <v>0</v>
      </c>
      <c r="D21" s="498">
        <v>0</v>
      </c>
      <c r="E21" s="496">
        <v>0</v>
      </c>
      <c r="F21" s="498">
        <v>0</v>
      </c>
      <c r="G21" s="498">
        <v>0</v>
      </c>
      <c r="H21" s="496">
        <v>0</v>
      </c>
      <c r="I21" s="498">
        <v>0</v>
      </c>
      <c r="J21" s="498">
        <v>0</v>
      </c>
      <c r="K21" s="496">
        <v>0</v>
      </c>
      <c r="L21" s="498">
        <v>0</v>
      </c>
      <c r="M21" s="498">
        <v>0</v>
      </c>
      <c r="N21" s="496">
        <v>0</v>
      </c>
      <c r="O21" s="498">
        <v>0</v>
      </c>
      <c r="P21" s="498">
        <v>0</v>
      </c>
      <c r="Q21" s="460"/>
      <c r="R21" s="460"/>
      <c r="S21" s="460"/>
    </row>
    <row r="22" spans="1:19" s="380" customFormat="1" ht="11.25" x14ac:dyDescent="0.15">
      <c r="A22" s="461" t="s">
        <v>1446</v>
      </c>
      <c r="B22" s="496">
        <v>364</v>
      </c>
      <c r="C22" s="498">
        <v>176</v>
      </c>
      <c r="D22" s="498">
        <v>188</v>
      </c>
      <c r="E22" s="496">
        <v>366</v>
      </c>
      <c r="F22" s="498">
        <v>178</v>
      </c>
      <c r="G22" s="498">
        <v>188</v>
      </c>
      <c r="H22" s="496">
        <v>368</v>
      </c>
      <c r="I22" s="498">
        <v>179</v>
      </c>
      <c r="J22" s="498">
        <v>189</v>
      </c>
      <c r="K22" s="496">
        <v>370</v>
      </c>
      <c r="L22" s="498">
        <v>180</v>
      </c>
      <c r="M22" s="498">
        <v>190</v>
      </c>
      <c r="N22" s="496">
        <v>370</v>
      </c>
      <c r="O22" s="498">
        <v>180</v>
      </c>
      <c r="P22" s="498">
        <v>190</v>
      </c>
      <c r="Q22" s="460"/>
      <c r="R22" s="460"/>
      <c r="S22" s="460"/>
    </row>
    <row r="23" spans="1:19" s="380" customFormat="1" ht="10.5" customHeight="1" x14ac:dyDescent="0.15">
      <c r="A23" s="461" t="s">
        <v>1425</v>
      </c>
      <c r="B23" s="496">
        <v>0</v>
      </c>
      <c r="C23" s="498">
        <v>0</v>
      </c>
      <c r="D23" s="498">
        <v>0</v>
      </c>
      <c r="E23" s="496">
        <v>0</v>
      </c>
      <c r="F23" s="498">
        <v>0</v>
      </c>
      <c r="G23" s="498">
        <v>0</v>
      </c>
      <c r="H23" s="496">
        <v>0</v>
      </c>
      <c r="I23" s="498">
        <v>0</v>
      </c>
      <c r="J23" s="498">
        <v>0</v>
      </c>
      <c r="K23" s="496">
        <v>1</v>
      </c>
      <c r="L23" s="498">
        <v>1</v>
      </c>
      <c r="M23" s="498">
        <v>0</v>
      </c>
      <c r="N23" s="498">
        <v>1</v>
      </c>
      <c r="O23" s="498">
        <v>1</v>
      </c>
      <c r="P23" s="498">
        <v>0</v>
      </c>
    </row>
    <row r="24" spans="1:19" s="380" customFormat="1" ht="10.5" customHeight="1" x14ac:dyDescent="0.15"/>
    <row r="25" spans="1:19" s="380" customFormat="1" ht="10.5" customHeight="1" x14ac:dyDescent="0.15">
      <c r="A25" s="2629" t="s">
        <v>1426</v>
      </c>
      <c r="B25" s="2629"/>
      <c r="C25" s="2629"/>
      <c r="D25" s="2629"/>
      <c r="E25" s="2629"/>
      <c r="F25" s="2629"/>
      <c r="G25" s="2629"/>
      <c r="H25" s="2629"/>
      <c r="I25" s="2629"/>
      <c r="J25" s="2629"/>
      <c r="K25" s="2629"/>
      <c r="L25" s="2629"/>
      <c r="M25" s="2629"/>
      <c r="N25" s="2629"/>
      <c r="O25" s="2629"/>
      <c r="P25" s="2629"/>
      <c r="Q25" s="463"/>
      <c r="R25" s="463"/>
      <c r="S25" s="463"/>
    </row>
    <row r="26" spans="1:19" s="380" customFormat="1" ht="21" customHeight="1" x14ac:dyDescent="0.15">
      <c r="A26" s="2629" t="s">
        <v>1447</v>
      </c>
      <c r="B26" s="2629"/>
      <c r="C26" s="2629"/>
      <c r="D26" s="2629"/>
      <c r="E26" s="2629"/>
      <c r="F26" s="2629"/>
      <c r="G26" s="2629"/>
      <c r="H26" s="2629"/>
      <c r="I26" s="2629"/>
      <c r="J26" s="2629"/>
      <c r="K26" s="2629"/>
      <c r="L26" s="2629"/>
      <c r="M26" s="2629"/>
      <c r="N26" s="2629"/>
      <c r="O26" s="2629"/>
      <c r="P26" s="2629"/>
      <c r="Q26" s="463"/>
      <c r="R26" s="463"/>
      <c r="S26" s="463"/>
    </row>
    <row r="27" spans="1:19" s="380" customFormat="1" ht="10.5" customHeight="1" x14ac:dyDescent="0.15">
      <c r="A27" s="2612" t="s">
        <v>1448</v>
      </c>
      <c r="B27" s="2612"/>
      <c r="C27" s="2612"/>
      <c r="D27" s="2612"/>
      <c r="E27" s="2612"/>
      <c r="F27" s="2612"/>
      <c r="G27" s="2612"/>
      <c r="H27" s="2612"/>
      <c r="I27" s="2612"/>
      <c r="J27" s="2612"/>
      <c r="K27" s="2612"/>
      <c r="L27" s="2612"/>
      <c r="M27" s="2612"/>
      <c r="N27" s="2612"/>
      <c r="O27" s="2612"/>
      <c r="P27" s="2612"/>
    </row>
    <row r="28" spans="1:19" s="380" customFormat="1" ht="10.5" customHeight="1" x14ac:dyDescent="0.15">
      <c r="A28" s="456" t="s">
        <v>60</v>
      </c>
      <c r="B28" s="456"/>
      <c r="C28" s="456"/>
      <c r="D28" s="456"/>
      <c r="E28" s="456"/>
      <c r="F28" s="456"/>
      <c r="G28" s="456"/>
      <c r="H28" s="456"/>
      <c r="I28" s="456"/>
      <c r="J28" s="456"/>
      <c r="K28" s="456"/>
      <c r="L28" s="456"/>
      <c r="M28" s="456"/>
      <c r="N28" s="462"/>
      <c r="O28" s="462"/>
      <c r="P28" s="462"/>
    </row>
    <row r="29" spans="1:19" s="380" customFormat="1" ht="10.5" customHeight="1" x14ac:dyDescent="0.15">
      <c r="A29" s="456" t="s">
        <v>1449</v>
      </c>
      <c r="B29" s="456"/>
      <c r="C29" s="456"/>
      <c r="D29" s="456"/>
      <c r="E29" s="456"/>
      <c r="F29" s="456"/>
      <c r="G29" s="456"/>
      <c r="H29" s="456"/>
      <c r="I29" s="456"/>
      <c r="J29" s="456"/>
      <c r="K29" s="456"/>
      <c r="L29" s="456"/>
      <c r="M29" s="456"/>
      <c r="N29" s="462"/>
      <c r="O29" s="462"/>
      <c r="P29" s="462"/>
    </row>
    <row r="30" spans="1:19" s="380" customFormat="1" ht="10.5" customHeight="1" x14ac:dyDescent="0.15">
      <c r="A30" s="456" t="s">
        <v>1429</v>
      </c>
      <c r="B30" s="456"/>
      <c r="C30" s="456"/>
      <c r="D30" s="456"/>
      <c r="E30" s="456"/>
      <c r="F30" s="456"/>
      <c r="G30" s="456"/>
      <c r="H30" s="456"/>
      <c r="I30" s="456"/>
      <c r="J30" s="456"/>
      <c r="K30" s="456"/>
      <c r="L30" s="456"/>
      <c r="M30" s="456"/>
      <c r="N30" s="499"/>
      <c r="O30" s="499"/>
      <c r="P30" s="499"/>
    </row>
    <row r="31" spans="1:19" s="380" customFormat="1" ht="10.5" customHeight="1" x14ac:dyDescent="0.15">
      <c r="A31" s="500"/>
      <c r="B31" s="500"/>
      <c r="C31" s="500"/>
      <c r="D31" s="500"/>
      <c r="E31" s="500"/>
      <c r="F31" s="500"/>
      <c r="G31" s="500"/>
      <c r="H31" s="500"/>
      <c r="I31" s="500"/>
      <c r="J31" s="500"/>
      <c r="K31" s="500"/>
      <c r="L31" s="500"/>
      <c r="M31" s="500"/>
      <c r="N31" s="499"/>
      <c r="O31" s="499"/>
      <c r="P31" s="499"/>
    </row>
    <row r="32" spans="1:19" s="380" customFormat="1" ht="10.5" customHeight="1" x14ac:dyDescent="0.15">
      <c r="A32" s="499"/>
      <c r="B32" s="499"/>
      <c r="C32" s="499"/>
      <c r="D32" s="499"/>
      <c r="E32" s="499"/>
      <c r="F32" s="499"/>
      <c r="G32" s="499"/>
      <c r="H32" s="499"/>
      <c r="I32" s="499"/>
      <c r="J32" s="499"/>
      <c r="K32" s="499"/>
      <c r="L32" s="499"/>
      <c r="M32" s="499"/>
      <c r="N32" s="499"/>
      <c r="O32" s="499"/>
      <c r="P32" s="499"/>
    </row>
  </sheetData>
  <mergeCells count="10">
    <mergeCell ref="A25:P25"/>
    <mergeCell ref="A26:P26"/>
    <mergeCell ref="A27:P2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2:S28"/>
  <sheetViews>
    <sheetView zoomScaleNormal="100" workbookViewId="0">
      <selection activeCell="A3" sqref="A3:N3"/>
    </sheetView>
  </sheetViews>
  <sheetFormatPr baseColWidth="10" defaultRowHeight="10.5" x14ac:dyDescent="0.15"/>
  <cols>
    <col min="1" max="1" width="23.28515625" style="448" customWidth="1"/>
    <col min="2" max="16" width="10" style="448" customWidth="1"/>
    <col min="17" max="16384" width="11.42578125" style="448"/>
  </cols>
  <sheetData>
    <row r="2" spans="1:19" s="380" customFormat="1" ht="22.5" customHeight="1" x14ac:dyDescent="0.15">
      <c r="A2" s="2659" t="s">
        <v>1450</v>
      </c>
      <c r="B2" s="2659"/>
      <c r="C2" s="2659"/>
      <c r="D2" s="2659"/>
      <c r="E2" s="2659"/>
      <c r="F2" s="2659"/>
      <c r="G2" s="2659"/>
      <c r="H2" s="2659"/>
      <c r="I2" s="2659"/>
      <c r="J2" s="2659"/>
      <c r="K2" s="2659"/>
      <c r="L2" s="2659"/>
      <c r="M2" s="2659"/>
      <c r="N2" s="2659"/>
      <c r="O2" s="2659"/>
      <c r="P2" s="2659"/>
    </row>
    <row r="3" spans="1:19" s="380" customFormat="1" x14ac:dyDescent="0.15">
      <c r="A3" s="501"/>
      <c r="B3" s="501"/>
      <c r="C3" s="501"/>
      <c r="D3" s="501"/>
      <c r="E3" s="501"/>
      <c r="F3" s="501"/>
      <c r="G3" s="501"/>
      <c r="H3" s="501"/>
      <c r="I3" s="501"/>
      <c r="J3" s="501"/>
      <c r="K3" s="501"/>
      <c r="L3" s="501"/>
      <c r="M3" s="501"/>
      <c r="N3" s="501"/>
      <c r="O3" s="501"/>
      <c r="P3" s="501"/>
    </row>
    <row r="4" spans="1:19" s="380" customFormat="1" ht="15.75" customHeight="1" x14ac:dyDescent="0.15">
      <c r="A4" s="2658" t="s">
        <v>1</v>
      </c>
      <c r="B4" s="2660">
        <v>2011</v>
      </c>
      <c r="C4" s="2661"/>
      <c r="D4" s="2662"/>
      <c r="E4" s="2657">
        <v>2012</v>
      </c>
      <c r="F4" s="2657"/>
      <c r="G4" s="2657"/>
      <c r="H4" s="2657">
        <v>2013</v>
      </c>
      <c r="I4" s="2657"/>
      <c r="J4" s="2657"/>
      <c r="K4" s="2657">
        <v>2014</v>
      </c>
      <c r="L4" s="2657"/>
      <c r="M4" s="2657"/>
      <c r="N4" s="2657">
        <v>2015</v>
      </c>
      <c r="O4" s="2657"/>
      <c r="P4" s="2657"/>
      <c r="Q4" s="502"/>
      <c r="R4" s="502"/>
      <c r="S4" s="502"/>
    </row>
    <row r="5" spans="1:19" s="380" customFormat="1" ht="15.75" customHeight="1" x14ac:dyDescent="0.15">
      <c r="A5" s="2658"/>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s="380" customFormat="1" x14ac:dyDescent="0.15">
      <c r="A6" s="451" t="s">
        <v>141</v>
      </c>
      <c r="B6" s="471">
        <v>41</v>
      </c>
      <c r="C6" s="471">
        <v>19</v>
      </c>
      <c r="D6" s="471">
        <v>22</v>
      </c>
      <c r="E6" s="471">
        <v>41</v>
      </c>
      <c r="F6" s="471">
        <v>19</v>
      </c>
      <c r="G6" s="471">
        <v>22</v>
      </c>
      <c r="H6" s="471">
        <v>51</v>
      </c>
      <c r="I6" s="471">
        <v>23</v>
      </c>
      <c r="J6" s="471">
        <v>28</v>
      </c>
      <c r="K6" s="471">
        <v>123</v>
      </c>
      <c r="L6" s="471">
        <v>59</v>
      </c>
      <c r="M6" s="471">
        <v>64</v>
      </c>
      <c r="N6" s="471">
        <v>176</v>
      </c>
      <c r="O6" s="471">
        <v>85</v>
      </c>
      <c r="P6" s="471">
        <v>91</v>
      </c>
    </row>
    <row r="7" spans="1:19" s="380" customFormat="1" x14ac:dyDescent="0.15">
      <c r="A7" s="503" t="s">
        <v>5</v>
      </c>
      <c r="B7" s="471">
        <v>0</v>
      </c>
      <c r="C7" s="473">
        <v>0</v>
      </c>
      <c r="D7" s="473">
        <v>0</v>
      </c>
      <c r="E7" s="471">
        <v>0</v>
      </c>
      <c r="F7" s="473">
        <v>0</v>
      </c>
      <c r="G7" s="473">
        <v>0</v>
      </c>
      <c r="H7" s="471">
        <v>0</v>
      </c>
      <c r="I7" s="473">
        <v>0</v>
      </c>
      <c r="J7" s="473">
        <v>0</v>
      </c>
      <c r="K7" s="471">
        <v>1</v>
      </c>
      <c r="L7" s="473">
        <v>0</v>
      </c>
      <c r="M7" s="473">
        <v>1</v>
      </c>
      <c r="N7" s="471">
        <v>1</v>
      </c>
      <c r="O7" s="473">
        <v>0</v>
      </c>
      <c r="P7" s="473">
        <v>1</v>
      </c>
      <c r="Q7" s="460"/>
      <c r="R7" s="460"/>
      <c r="S7" s="460"/>
    </row>
    <row r="8" spans="1:19" s="380" customFormat="1" x14ac:dyDescent="0.15">
      <c r="A8" s="503" t="s">
        <v>6</v>
      </c>
      <c r="B8" s="471">
        <v>0</v>
      </c>
      <c r="C8" s="473">
        <v>0</v>
      </c>
      <c r="D8" s="473">
        <v>0</v>
      </c>
      <c r="E8" s="471">
        <v>0</v>
      </c>
      <c r="F8" s="473">
        <v>0</v>
      </c>
      <c r="G8" s="473">
        <v>0</v>
      </c>
      <c r="H8" s="471">
        <v>0</v>
      </c>
      <c r="I8" s="473">
        <v>0</v>
      </c>
      <c r="J8" s="473">
        <v>0</v>
      </c>
      <c r="K8" s="471">
        <v>5</v>
      </c>
      <c r="L8" s="473">
        <v>4</v>
      </c>
      <c r="M8" s="473">
        <v>1</v>
      </c>
      <c r="N8" s="471">
        <v>5</v>
      </c>
      <c r="O8" s="473">
        <v>4</v>
      </c>
      <c r="P8" s="473">
        <v>1</v>
      </c>
      <c r="Q8" s="460"/>
      <c r="R8" s="460"/>
      <c r="S8" s="460"/>
    </row>
    <row r="9" spans="1:19" s="380" customFormat="1" x14ac:dyDescent="0.15">
      <c r="A9" s="503" t="s">
        <v>7</v>
      </c>
      <c r="B9" s="471">
        <v>0</v>
      </c>
      <c r="C9" s="473">
        <v>0</v>
      </c>
      <c r="D9" s="473">
        <v>0</v>
      </c>
      <c r="E9" s="471">
        <v>0</v>
      </c>
      <c r="F9" s="473">
        <v>0</v>
      </c>
      <c r="G9" s="473">
        <v>0</v>
      </c>
      <c r="H9" s="471">
        <v>0</v>
      </c>
      <c r="I9" s="473">
        <v>0</v>
      </c>
      <c r="J9" s="473">
        <v>0</v>
      </c>
      <c r="K9" s="471">
        <v>1</v>
      </c>
      <c r="L9" s="473">
        <v>0</v>
      </c>
      <c r="M9" s="473">
        <v>1</v>
      </c>
      <c r="N9" s="471">
        <v>4</v>
      </c>
      <c r="O9" s="473">
        <v>3</v>
      </c>
      <c r="P9" s="473">
        <v>1</v>
      </c>
      <c r="Q9" s="460"/>
      <c r="R9" s="460"/>
      <c r="S9" s="460"/>
    </row>
    <row r="10" spans="1:19" s="380" customFormat="1" x14ac:dyDescent="0.15">
      <c r="A10" s="503" t="s">
        <v>8</v>
      </c>
      <c r="B10" s="471">
        <v>0</v>
      </c>
      <c r="C10" s="473">
        <v>0</v>
      </c>
      <c r="D10" s="473">
        <v>0</v>
      </c>
      <c r="E10" s="471">
        <v>0</v>
      </c>
      <c r="F10" s="473">
        <v>0</v>
      </c>
      <c r="G10" s="473">
        <v>0</v>
      </c>
      <c r="H10" s="471">
        <v>0</v>
      </c>
      <c r="I10" s="473">
        <v>0</v>
      </c>
      <c r="J10" s="473">
        <v>0</v>
      </c>
      <c r="K10" s="471">
        <v>0</v>
      </c>
      <c r="L10" s="473">
        <v>0</v>
      </c>
      <c r="M10" s="473">
        <v>0</v>
      </c>
      <c r="N10" s="471">
        <v>1</v>
      </c>
      <c r="O10" s="473">
        <v>0</v>
      </c>
      <c r="P10" s="473">
        <v>1</v>
      </c>
      <c r="Q10" s="460"/>
      <c r="R10" s="460"/>
      <c r="S10" s="460"/>
    </row>
    <row r="11" spans="1:19" s="380" customFormat="1" x14ac:dyDescent="0.15">
      <c r="A11" s="503" t="s">
        <v>9</v>
      </c>
      <c r="B11" s="471">
        <v>0</v>
      </c>
      <c r="C11" s="473">
        <v>0</v>
      </c>
      <c r="D11" s="473">
        <v>0</v>
      </c>
      <c r="E11" s="471">
        <v>0</v>
      </c>
      <c r="F11" s="473">
        <v>0</v>
      </c>
      <c r="G11" s="473">
        <v>0</v>
      </c>
      <c r="H11" s="471">
        <v>0</v>
      </c>
      <c r="I11" s="473">
        <v>0</v>
      </c>
      <c r="J11" s="473">
        <v>0</v>
      </c>
      <c r="K11" s="471">
        <v>0</v>
      </c>
      <c r="L11" s="473">
        <v>0</v>
      </c>
      <c r="M11" s="473">
        <v>0</v>
      </c>
      <c r="N11" s="471">
        <v>0</v>
      </c>
      <c r="O11" s="473">
        <v>0</v>
      </c>
      <c r="P11" s="473">
        <v>0</v>
      </c>
      <c r="Q11" s="460"/>
      <c r="R11" s="460"/>
      <c r="S11" s="460"/>
    </row>
    <row r="12" spans="1:19" s="380" customFormat="1" x14ac:dyDescent="0.15">
      <c r="A12" s="503" t="s">
        <v>10</v>
      </c>
      <c r="B12" s="471">
        <v>1</v>
      </c>
      <c r="C12" s="473">
        <v>1</v>
      </c>
      <c r="D12" s="473">
        <v>0</v>
      </c>
      <c r="E12" s="471">
        <v>1</v>
      </c>
      <c r="F12" s="473">
        <v>1</v>
      </c>
      <c r="G12" s="473">
        <v>0</v>
      </c>
      <c r="H12" s="471">
        <v>1</v>
      </c>
      <c r="I12" s="473">
        <v>1</v>
      </c>
      <c r="J12" s="473">
        <v>0</v>
      </c>
      <c r="K12" s="471">
        <v>3</v>
      </c>
      <c r="L12" s="473">
        <v>2</v>
      </c>
      <c r="M12" s="473">
        <v>1</v>
      </c>
      <c r="N12" s="471">
        <v>3</v>
      </c>
      <c r="O12" s="473">
        <v>2</v>
      </c>
      <c r="P12" s="473">
        <v>1</v>
      </c>
      <c r="Q12" s="460"/>
      <c r="R12" s="460"/>
      <c r="S12" s="460"/>
    </row>
    <row r="13" spans="1:19" s="380" customFormat="1" x14ac:dyDescent="0.15">
      <c r="A13" s="503" t="s">
        <v>11</v>
      </c>
      <c r="B13" s="471">
        <v>39</v>
      </c>
      <c r="C13" s="473">
        <v>18</v>
      </c>
      <c r="D13" s="473">
        <v>21</v>
      </c>
      <c r="E13" s="471">
        <v>39</v>
      </c>
      <c r="F13" s="473">
        <v>18</v>
      </c>
      <c r="G13" s="473">
        <v>21</v>
      </c>
      <c r="H13" s="471">
        <v>49</v>
      </c>
      <c r="I13" s="473">
        <v>22</v>
      </c>
      <c r="J13" s="473">
        <v>27</v>
      </c>
      <c r="K13" s="471">
        <v>99</v>
      </c>
      <c r="L13" s="473">
        <v>47</v>
      </c>
      <c r="M13" s="473">
        <v>52</v>
      </c>
      <c r="N13" s="471">
        <v>147</v>
      </c>
      <c r="O13" s="473">
        <v>70</v>
      </c>
      <c r="P13" s="473">
        <v>77</v>
      </c>
      <c r="Q13" s="460"/>
      <c r="R13" s="460"/>
      <c r="S13" s="460"/>
    </row>
    <row r="14" spans="1:19" s="380" customFormat="1" x14ac:dyDescent="0.15">
      <c r="A14" s="503" t="s">
        <v>12</v>
      </c>
      <c r="B14" s="471">
        <v>0</v>
      </c>
      <c r="C14" s="473">
        <v>0</v>
      </c>
      <c r="D14" s="473">
        <v>0</v>
      </c>
      <c r="E14" s="471">
        <v>0</v>
      </c>
      <c r="F14" s="473">
        <v>0</v>
      </c>
      <c r="G14" s="473">
        <v>0</v>
      </c>
      <c r="H14" s="471">
        <v>0</v>
      </c>
      <c r="I14" s="473">
        <v>0</v>
      </c>
      <c r="J14" s="473">
        <v>0</v>
      </c>
      <c r="K14" s="471">
        <v>0</v>
      </c>
      <c r="L14" s="473">
        <v>0</v>
      </c>
      <c r="M14" s="473">
        <v>0</v>
      </c>
      <c r="N14" s="471">
        <v>0</v>
      </c>
      <c r="O14" s="473">
        <v>0</v>
      </c>
      <c r="P14" s="473">
        <v>0</v>
      </c>
      <c r="Q14" s="460"/>
      <c r="R14" s="460"/>
      <c r="S14" s="460"/>
    </row>
    <row r="15" spans="1:19" s="380" customFormat="1" x14ac:dyDescent="0.15">
      <c r="A15" s="503" t="s">
        <v>13</v>
      </c>
      <c r="B15" s="471">
        <v>0</v>
      </c>
      <c r="C15" s="473">
        <v>0</v>
      </c>
      <c r="D15" s="473">
        <v>0</v>
      </c>
      <c r="E15" s="471">
        <v>0</v>
      </c>
      <c r="F15" s="473">
        <v>0</v>
      </c>
      <c r="G15" s="473">
        <v>0</v>
      </c>
      <c r="H15" s="471">
        <v>0</v>
      </c>
      <c r="I15" s="473">
        <v>0</v>
      </c>
      <c r="J15" s="473">
        <v>0</v>
      </c>
      <c r="K15" s="471">
        <v>2</v>
      </c>
      <c r="L15" s="473">
        <v>0</v>
      </c>
      <c r="M15" s="473">
        <v>2</v>
      </c>
      <c r="N15" s="471">
        <v>2</v>
      </c>
      <c r="O15" s="473">
        <v>0</v>
      </c>
      <c r="P15" s="473">
        <v>2</v>
      </c>
      <c r="Q15" s="460"/>
      <c r="R15" s="460"/>
      <c r="S15" s="460"/>
    </row>
    <row r="16" spans="1:19" s="380" customFormat="1" x14ac:dyDescent="0.15">
      <c r="A16" s="503" t="s">
        <v>14</v>
      </c>
      <c r="B16" s="471">
        <v>0</v>
      </c>
      <c r="C16" s="473">
        <v>0</v>
      </c>
      <c r="D16" s="473">
        <v>0</v>
      </c>
      <c r="E16" s="471">
        <v>0</v>
      </c>
      <c r="F16" s="473">
        <v>0</v>
      </c>
      <c r="G16" s="473">
        <v>0</v>
      </c>
      <c r="H16" s="471">
        <v>0</v>
      </c>
      <c r="I16" s="473">
        <v>0</v>
      </c>
      <c r="J16" s="473">
        <v>0</v>
      </c>
      <c r="K16" s="471">
        <v>4</v>
      </c>
      <c r="L16" s="473">
        <v>1</v>
      </c>
      <c r="M16" s="473">
        <v>3</v>
      </c>
      <c r="N16" s="471">
        <v>4</v>
      </c>
      <c r="O16" s="473">
        <v>1</v>
      </c>
      <c r="P16" s="473">
        <v>3</v>
      </c>
      <c r="Q16" s="460"/>
      <c r="R16" s="460"/>
      <c r="S16" s="460"/>
    </row>
    <row r="17" spans="1:19" s="380" customFormat="1" x14ac:dyDescent="0.15">
      <c r="A17" s="503" t="s">
        <v>15</v>
      </c>
      <c r="B17" s="471">
        <v>0</v>
      </c>
      <c r="C17" s="473">
        <v>0</v>
      </c>
      <c r="D17" s="473">
        <v>0</v>
      </c>
      <c r="E17" s="471">
        <v>0</v>
      </c>
      <c r="F17" s="473">
        <v>0</v>
      </c>
      <c r="G17" s="473">
        <v>0</v>
      </c>
      <c r="H17" s="471">
        <v>0</v>
      </c>
      <c r="I17" s="473">
        <v>0</v>
      </c>
      <c r="J17" s="473">
        <v>0</v>
      </c>
      <c r="K17" s="471">
        <v>6</v>
      </c>
      <c r="L17" s="473">
        <v>5</v>
      </c>
      <c r="M17" s="473">
        <v>1</v>
      </c>
      <c r="N17" s="471">
        <v>7</v>
      </c>
      <c r="O17" s="473">
        <v>5</v>
      </c>
      <c r="P17" s="473">
        <v>2</v>
      </c>
      <c r="Q17" s="460"/>
      <c r="R17" s="460"/>
      <c r="S17" s="460"/>
    </row>
    <row r="18" spans="1:19" s="380" customFormat="1" x14ac:dyDescent="0.15">
      <c r="A18" s="503" t="s">
        <v>16</v>
      </c>
      <c r="B18" s="471">
        <v>0</v>
      </c>
      <c r="C18" s="473">
        <v>0</v>
      </c>
      <c r="D18" s="473">
        <v>0</v>
      </c>
      <c r="E18" s="471">
        <v>0</v>
      </c>
      <c r="F18" s="473">
        <v>0</v>
      </c>
      <c r="G18" s="473">
        <v>0</v>
      </c>
      <c r="H18" s="471">
        <v>0</v>
      </c>
      <c r="I18" s="473">
        <v>0</v>
      </c>
      <c r="J18" s="473">
        <v>0</v>
      </c>
      <c r="K18" s="471">
        <v>0</v>
      </c>
      <c r="L18" s="473">
        <v>0</v>
      </c>
      <c r="M18" s="473">
        <v>0</v>
      </c>
      <c r="N18" s="471">
        <v>0</v>
      </c>
      <c r="O18" s="473">
        <v>0</v>
      </c>
      <c r="P18" s="473">
        <v>0</v>
      </c>
      <c r="Q18" s="460"/>
      <c r="R18" s="460"/>
      <c r="S18" s="460"/>
    </row>
    <row r="19" spans="1:19" s="380" customFormat="1" x14ac:dyDescent="0.15">
      <c r="A19" s="503" t="s">
        <v>17</v>
      </c>
      <c r="B19" s="471">
        <v>1</v>
      </c>
      <c r="C19" s="473">
        <v>0</v>
      </c>
      <c r="D19" s="473">
        <v>1</v>
      </c>
      <c r="E19" s="471">
        <v>1</v>
      </c>
      <c r="F19" s="473">
        <v>0</v>
      </c>
      <c r="G19" s="473">
        <v>1</v>
      </c>
      <c r="H19" s="471">
        <v>1</v>
      </c>
      <c r="I19" s="473">
        <v>0</v>
      </c>
      <c r="J19" s="473">
        <v>1</v>
      </c>
      <c r="K19" s="471">
        <v>2</v>
      </c>
      <c r="L19" s="473">
        <v>0</v>
      </c>
      <c r="M19" s="473">
        <v>2</v>
      </c>
      <c r="N19" s="471">
        <v>2</v>
      </c>
      <c r="O19" s="473">
        <v>0</v>
      </c>
      <c r="P19" s="473">
        <v>2</v>
      </c>
      <c r="Q19" s="460"/>
      <c r="R19" s="460"/>
      <c r="S19" s="460"/>
    </row>
    <row r="20" spans="1:19" s="380" customFormat="1" x14ac:dyDescent="0.15">
      <c r="A20" s="503" t="s">
        <v>18</v>
      </c>
      <c r="B20" s="471">
        <v>0</v>
      </c>
      <c r="C20" s="473">
        <v>0</v>
      </c>
      <c r="D20" s="473">
        <v>0</v>
      </c>
      <c r="E20" s="471">
        <v>0</v>
      </c>
      <c r="F20" s="473">
        <v>0</v>
      </c>
      <c r="G20" s="473">
        <v>0</v>
      </c>
      <c r="H20" s="471">
        <v>0</v>
      </c>
      <c r="I20" s="473">
        <v>0</v>
      </c>
      <c r="J20" s="473">
        <v>0</v>
      </c>
      <c r="K20" s="471">
        <v>0</v>
      </c>
      <c r="L20" s="473">
        <v>0</v>
      </c>
      <c r="M20" s="473">
        <v>0</v>
      </c>
      <c r="N20" s="471">
        <v>0</v>
      </c>
      <c r="O20" s="473">
        <v>0</v>
      </c>
      <c r="P20" s="473">
        <v>0</v>
      </c>
      <c r="Q20" s="460"/>
      <c r="R20" s="460"/>
      <c r="S20" s="460"/>
    </row>
    <row r="21" spans="1:19" s="380" customFormat="1" x14ac:dyDescent="0.15">
      <c r="A21" s="503" t="s">
        <v>19</v>
      </c>
      <c r="B21" s="471">
        <v>0</v>
      </c>
      <c r="C21" s="473">
        <v>0</v>
      </c>
      <c r="D21" s="473">
        <v>0</v>
      </c>
      <c r="E21" s="471">
        <v>0</v>
      </c>
      <c r="F21" s="473">
        <v>0</v>
      </c>
      <c r="G21" s="473">
        <v>0</v>
      </c>
      <c r="H21" s="471">
        <v>0</v>
      </c>
      <c r="I21" s="473">
        <v>0</v>
      </c>
      <c r="J21" s="473">
        <v>0</v>
      </c>
      <c r="K21" s="471">
        <v>0</v>
      </c>
      <c r="L21" s="473">
        <v>0</v>
      </c>
      <c r="M21" s="473">
        <v>0</v>
      </c>
      <c r="N21" s="471">
        <v>0</v>
      </c>
      <c r="O21" s="473">
        <v>0</v>
      </c>
      <c r="P21" s="473">
        <v>0</v>
      </c>
      <c r="Q21" s="460"/>
      <c r="R21" s="460"/>
      <c r="S21" s="460"/>
    </row>
    <row r="22" spans="1:19" s="380" customFormat="1" ht="11.25" x14ac:dyDescent="0.15">
      <c r="A22" s="461" t="s">
        <v>1431</v>
      </c>
      <c r="B22" s="471">
        <v>0</v>
      </c>
      <c r="C22" s="473">
        <v>0</v>
      </c>
      <c r="D22" s="473">
        <v>0</v>
      </c>
      <c r="E22" s="471">
        <v>0</v>
      </c>
      <c r="F22" s="473">
        <v>0</v>
      </c>
      <c r="G22" s="473">
        <v>0</v>
      </c>
      <c r="H22" s="471">
        <v>0</v>
      </c>
      <c r="I22" s="473">
        <v>0</v>
      </c>
      <c r="J22" s="473">
        <v>0</v>
      </c>
      <c r="K22" s="471">
        <v>0</v>
      </c>
      <c r="L22" s="473">
        <v>0</v>
      </c>
      <c r="M22" s="473">
        <v>0</v>
      </c>
      <c r="N22" s="471">
        <v>0</v>
      </c>
      <c r="O22" s="473">
        <v>0</v>
      </c>
      <c r="P22" s="473">
        <v>0</v>
      </c>
      <c r="Q22" s="460"/>
      <c r="R22" s="460"/>
      <c r="S22" s="460"/>
    </row>
    <row r="23" spans="1:19" s="380" customFormat="1" x14ac:dyDescent="0.15">
      <c r="A23" s="461"/>
      <c r="B23" s="471"/>
      <c r="C23" s="473"/>
      <c r="D23" s="473"/>
      <c r="E23" s="471"/>
      <c r="F23" s="473"/>
      <c r="G23" s="473"/>
      <c r="H23" s="458"/>
      <c r="I23" s="460"/>
      <c r="J23" s="460"/>
      <c r="K23" s="458"/>
      <c r="L23" s="460"/>
      <c r="M23" s="460"/>
      <c r="N23" s="458"/>
      <c r="O23" s="460"/>
      <c r="P23" s="460"/>
      <c r="Q23" s="460"/>
      <c r="R23" s="460"/>
      <c r="S23" s="460"/>
    </row>
    <row r="24" spans="1:19" s="380" customFormat="1" ht="12.75" customHeight="1" x14ac:dyDescent="0.15">
      <c r="A24" s="379" t="s">
        <v>1426</v>
      </c>
      <c r="B24" s="379"/>
      <c r="C24" s="379"/>
      <c r="D24" s="379"/>
      <c r="E24" s="379"/>
      <c r="F24" s="379"/>
      <c r="G24" s="379"/>
      <c r="H24" s="379"/>
      <c r="I24" s="379"/>
      <c r="J24" s="379"/>
      <c r="K24" s="379"/>
      <c r="L24" s="379"/>
      <c r="M24" s="379"/>
      <c r="N24" s="463"/>
      <c r="O24" s="463"/>
      <c r="P24" s="463"/>
      <c r="Q24" s="463"/>
      <c r="R24" s="463"/>
      <c r="S24" s="463"/>
    </row>
    <row r="25" spans="1:19" s="380" customFormat="1" x14ac:dyDescent="0.15">
      <c r="A25" s="379" t="s">
        <v>1427</v>
      </c>
      <c r="B25" s="379"/>
      <c r="C25" s="379"/>
      <c r="D25" s="379"/>
      <c r="E25" s="379"/>
      <c r="F25" s="379"/>
      <c r="G25" s="379"/>
      <c r="H25" s="379"/>
      <c r="I25" s="379"/>
      <c r="J25" s="379"/>
      <c r="K25" s="379"/>
      <c r="L25" s="379"/>
      <c r="M25" s="379"/>
    </row>
    <row r="26" spans="1:19" s="380" customFormat="1" x14ac:dyDescent="0.15">
      <c r="A26" s="456" t="s">
        <v>60</v>
      </c>
      <c r="B26" s="456"/>
      <c r="C26" s="456"/>
      <c r="D26" s="456"/>
      <c r="E26" s="456"/>
      <c r="F26" s="456"/>
      <c r="G26" s="456"/>
      <c r="H26" s="456"/>
      <c r="I26" s="456"/>
      <c r="J26" s="456"/>
      <c r="K26" s="456"/>
      <c r="L26" s="456"/>
      <c r="M26" s="456"/>
    </row>
    <row r="27" spans="1:19" s="380" customFormat="1" x14ac:dyDescent="0.15">
      <c r="A27" s="456" t="s">
        <v>1429</v>
      </c>
      <c r="B27" s="456"/>
      <c r="C27" s="456"/>
      <c r="D27" s="456"/>
      <c r="E27" s="456"/>
      <c r="F27" s="456"/>
      <c r="G27" s="456"/>
      <c r="H27" s="456"/>
      <c r="I27" s="456"/>
      <c r="J27" s="456"/>
      <c r="K27" s="456"/>
      <c r="L27" s="456"/>
      <c r="M27" s="456"/>
    </row>
    <row r="28" spans="1:19" s="380" customFormat="1" x14ac:dyDescent="0.15">
      <c r="A28" s="500"/>
      <c r="B28" s="500"/>
      <c r="C28" s="500"/>
      <c r="D28" s="500"/>
      <c r="E28" s="500"/>
      <c r="F28" s="500"/>
      <c r="G28" s="500"/>
      <c r="H28" s="500"/>
      <c r="I28" s="500"/>
      <c r="J28" s="500"/>
      <c r="K28" s="500"/>
      <c r="L28" s="500"/>
      <c r="M28" s="500"/>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S29"/>
  <sheetViews>
    <sheetView zoomScaleNormal="100" workbookViewId="0">
      <selection activeCell="O39" sqref="O39"/>
    </sheetView>
  </sheetViews>
  <sheetFormatPr baseColWidth="10" defaultRowHeight="10.5" x14ac:dyDescent="0.15"/>
  <cols>
    <col min="1" max="1" width="28.42578125" style="380" customWidth="1"/>
    <col min="2" max="16" width="10" style="380" customWidth="1"/>
    <col min="17" max="17" width="7.85546875" style="380" bestFit="1" customWidth="1"/>
    <col min="18" max="18" width="9.140625" style="380" customWidth="1"/>
    <col min="19" max="19" width="8.28515625" style="380" customWidth="1"/>
    <col min="20" max="16384" width="11.42578125" style="380"/>
  </cols>
  <sheetData>
    <row r="1" spans="1:19" x14ac:dyDescent="0.15">
      <c r="A1" s="504"/>
      <c r="B1" s="504"/>
      <c r="C1" s="504"/>
      <c r="D1" s="504"/>
      <c r="E1" s="505"/>
      <c r="F1" s="506"/>
      <c r="G1" s="506"/>
    </row>
    <row r="2" spans="1:19" ht="24" customHeight="1" x14ac:dyDescent="0.15">
      <c r="A2" s="2659" t="s">
        <v>1451</v>
      </c>
      <c r="B2" s="2659"/>
      <c r="C2" s="2659"/>
      <c r="D2" s="2659"/>
      <c r="E2" s="2659"/>
      <c r="F2" s="2659"/>
      <c r="G2" s="2659"/>
      <c r="H2" s="2659"/>
      <c r="I2" s="2659"/>
      <c r="J2" s="2659"/>
      <c r="K2" s="2659"/>
      <c r="L2" s="2659"/>
      <c r="M2" s="2659"/>
      <c r="N2" s="2659"/>
      <c r="O2" s="2659"/>
      <c r="P2" s="2659"/>
    </row>
    <row r="3" spans="1:19" ht="11.25" customHeight="1" x14ac:dyDescent="0.15">
      <c r="A3" s="507"/>
      <c r="B3" s="507"/>
      <c r="C3" s="507"/>
      <c r="D3" s="507"/>
      <c r="E3" s="507"/>
      <c r="F3" s="507"/>
      <c r="G3" s="507"/>
      <c r="H3" s="507"/>
      <c r="I3" s="507"/>
      <c r="J3" s="507"/>
      <c r="K3" s="507"/>
      <c r="L3" s="507"/>
      <c r="M3" s="507"/>
      <c r="N3" s="507"/>
      <c r="O3" s="507"/>
      <c r="P3" s="507"/>
    </row>
    <row r="4" spans="1:19" x14ac:dyDescent="0.15">
      <c r="A4" s="2658" t="s">
        <v>1</v>
      </c>
      <c r="B4" s="2660">
        <v>2011</v>
      </c>
      <c r="C4" s="2661"/>
      <c r="D4" s="2662"/>
      <c r="E4" s="2677">
        <v>2012</v>
      </c>
      <c r="F4" s="2677"/>
      <c r="G4" s="2677"/>
      <c r="H4" s="2677">
        <v>2013</v>
      </c>
      <c r="I4" s="2677"/>
      <c r="J4" s="2677"/>
      <c r="K4" s="2677">
        <v>2014</v>
      </c>
      <c r="L4" s="2677"/>
      <c r="M4" s="2677"/>
      <c r="N4" s="2677">
        <v>2015</v>
      </c>
      <c r="O4" s="2677"/>
      <c r="P4" s="2677"/>
      <c r="Q4" s="502"/>
      <c r="R4" s="502"/>
      <c r="S4" s="502"/>
    </row>
    <row r="5" spans="1:19" x14ac:dyDescent="0.15">
      <c r="A5" s="2658"/>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x14ac:dyDescent="0.15">
      <c r="A6" s="451" t="s">
        <v>141</v>
      </c>
      <c r="B6" s="471">
        <v>41</v>
      </c>
      <c r="C6" s="471">
        <v>19</v>
      </c>
      <c r="D6" s="471">
        <v>22</v>
      </c>
      <c r="E6" s="471">
        <v>41</v>
      </c>
      <c r="F6" s="471">
        <v>19</v>
      </c>
      <c r="G6" s="471">
        <v>22</v>
      </c>
      <c r="H6" s="471">
        <v>51</v>
      </c>
      <c r="I6" s="471">
        <v>23</v>
      </c>
      <c r="J6" s="471">
        <v>28</v>
      </c>
      <c r="K6" s="471">
        <v>123</v>
      </c>
      <c r="L6" s="471">
        <v>59</v>
      </c>
      <c r="M6" s="471">
        <v>64</v>
      </c>
      <c r="N6" s="471">
        <v>176</v>
      </c>
      <c r="O6" s="471">
        <v>85</v>
      </c>
      <c r="P6" s="471">
        <v>91</v>
      </c>
    </row>
    <row r="7" spans="1:19" x14ac:dyDescent="0.15">
      <c r="A7" s="508" t="s">
        <v>5</v>
      </c>
      <c r="B7" s="471">
        <v>0</v>
      </c>
      <c r="C7" s="473">
        <v>0</v>
      </c>
      <c r="D7" s="473">
        <v>0</v>
      </c>
      <c r="E7" s="471">
        <v>0</v>
      </c>
      <c r="F7" s="473">
        <v>0</v>
      </c>
      <c r="G7" s="473">
        <v>0</v>
      </c>
      <c r="H7" s="471">
        <v>0</v>
      </c>
      <c r="I7" s="473">
        <v>0</v>
      </c>
      <c r="J7" s="473">
        <v>0</v>
      </c>
      <c r="K7" s="471">
        <v>1</v>
      </c>
      <c r="L7" s="473">
        <v>0</v>
      </c>
      <c r="M7" s="473">
        <v>1</v>
      </c>
      <c r="N7" s="471">
        <v>1</v>
      </c>
      <c r="O7" s="473">
        <v>0</v>
      </c>
      <c r="P7" s="473">
        <v>1</v>
      </c>
      <c r="Q7" s="460"/>
      <c r="R7" s="460"/>
      <c r="S7" s="460"/>
    </row>
    <row r="8" spans="1:19" x14ac:dyDescent="0.15">
      <c r="A8" s="508" t="s">
        <v>6</v>
      </c>
      <c r="B8" s="471">
        <v>0</v>
      </c>
      <c r="C8" s="473">
        <v>0</v>
      </c>
      <c r="D8" s="473">
        <v>0</v>
      </c>
      <c r="E8" s="471">
        <v>0</v>
      </c>
      <c r="F8" s="473">
        <v>0</v>
      </c>
      <c r="G8" s="473">
        <v>0</v>
      </c>
      <c r="H8" s="471">
        <v>0</v>
      </c>
      <c r="I8" s="473">
        <v>0</v>
      </c>
      <c r="J8" s="473">
        <v>0</v>
      </c>
      <c r="K8" s="471">
        <v>5</v>
      </c>
      <c r="L8" s="473">
        <v>4</v>
      </c>
      <c r="M8" s="473">
        <v>1</v>
      </c>
      <c r="N8" s="471">
        <v>5</v>
      </c>
      <c r="O8" s="473">
        <v>4</v>
      </c>
      <c r="P8" s="473">
        <v>1</v>
      </c>
      <c r="Q8" s="460"/>
      <c r="R8" s="460"/>
      <c r="S8" s="460"/>
    </row>
    <row r="9" spans="1:19" x14ac:dyDescent="0.15">
      <c r="A9" s="508" t="s">
        <v>7</v>
      </c>
      <c r="B9" s="471">
        <v>0</v>
      </c>
      <c r="C9" s="473">
        <v>0</v>
      </c>
      <c r="D9" s="473">
        <v>0</v>
      </c>
      <c r="E9" s="471">
        <v>0</v>
      </c>
      <c r="F9" s="473">
        <v>0</v>
      </c>
      <c r="G9" s="473">
        <v>0</v>
      </c>
      <c r="H9" s="471">
        <v>0</v>
      </c>
      <c r="I9" s="473">
        <v>0</v>
      </c>
      <c r="J9" s="473">
        <v>0</v>
      </c>
      <c r="K9" s="471">
        <v>1</v>
      </c>
      <c r="L9" s="473">
        <v>0</v>
      </c>
      <c r="M9" s="473">
        <v>1</v>
      </c>
      <c r="N9" s="471">
        <v>4</v>
      </c>
      <c r="O9" s="473">
        <v>3</v>
      </c>
      <c r="P9" s="473">
        <v>1</v>
      </c>
      <c r="Q9" s="460"/>
      <c r="R9" s="460"/>
      <c r="S9" s="460"/>
    </row>
    <row r="10" spans="1:19" x14ac:dyDescent="0.15">
      <c r="A10" s="508" t="s">
        <v>8</v>
      </c>
      <c r="B10" s="471">
        <v>0</v>
      </c>
      <c r="C10" s="473">
        <v>0</v>
      </c>
      <c r="D10" s="473">
        <v>0</v>
      </c>
      <c r="E10" s="471">
        <v>0</v>
      </c>
      <c r="F10" s="473">
        <v>0</v>
      </c>
      <c r="G10" s="473">
        <v>0</v>
      </c>
      <c r="H10" s="471">
        <v>0</v>
      </c>
      <c r="I10" s="473">
        <v>0</v>
      </c>
      <c r="J10" s="473">
        <v>0</v>
      </c>
      <c r="K10" s="471">
        <v>0</v>
      </c>
      <c r="L10" s="473">
        <v>0</v>
      </c>
      <c r="M10" s="473">
        <v>0</v>
      </c>
      <c r="N10" s="471">
        <v>1</v>
      </c>
      <c r="O10" s="473">
        <v>0</v>
      </c>
      <c r="P10" s="473">
        <v>1</v>
      </c>
      <c r="Q10" s="460"/>
      <c r="R10" s="460"/>
      <c r="S10" s="460"/>
    </row>
    <row r="11" spans="1:19" x14ac:dyDescent="0.15">
      <c r="A11" s="508" t="s">
        <v>9</v>
      </c>
      <c r="B11" s="471">
        <v>0</v>
      </c>
      <c r="C11" s="473">
        <v>0</v>
      </c>
      <c r="D11" s="473">
        <v>0</v>
      </c>
      <c r="E11" s="471">
        <v>0</v>
      </c>
      <c r="F11" s="473">
        <v>0</v>
      </c>
      <c r="G11" s="473">
        <v>0</v>
      </c>
      <c r="H11" s="471">
        <v>0</v>
      </c>
      <c r="I11" s="473">
        <v>0</v>
      </c>
      <c r="J11" s="473">
        <v>0</v>
      </c>
      <c r="K11" s="471">
        <v>0</v>
      </c>
      <c r="L11" s="473">
        <v>0</v>
      </c>
      <c r="M11" s="473">
        <v>0</v>
      </c>
      <c r="N11" s="471">
        <v>0</v>
      </c>
      <c r="O11" s="473">
        <v>0</v>
      </c>
      <c r="P11" s="473">
        <v>0</v>
      </c>
      <c r="Q11" s="460"/>
      <c r="R11" s="460"/>
      <c r="S11" s="460"/>
    </row>
    <row r="12" spans="1:19" x14ac:dyDescent="0.15">
      <c r="A12" s="508" t="s">
        <v>10</v>
      </c>
      <c r="B12" s="471">
        <v>1</v>
      </c>
      <c r="C12" s="473">
        <v>1</v>
      </c>
      <c r="D12" s="473">
        <v>0</v>
      </c>
      <c r="E12" s="471">
        <v>1</v>
      </c>
      <c r="F12" s="473">
        <v>1</v>
      </c>
      <c r="G12" s="473">
        <v>0</v>
      </c>
      <c r="H12" s="471">
        <v>1</v>
      </c>
      <c r="I12" s="473">
        <v>1</v>
      </c>
      <c r="J12" s="473">
        <v>0</v>
      </c>
      <c r="K12" s="471">
        <v>3</v>
      </c>
      <c r="L12" s="473">
        <v>2</v>
      </c>
      <c r="M12" s="473">
        <v>1</v>
      </c>
      <c r="N12" s="471">
        <v>3</v>
      </c>
      <c r="O12" s="473">
        <v>2</v>
      </c>
      <c r="P12" s="473">
        <v>1</v>
      </c>
      <c r="Q12" s="460"/>
      <c r="R12" s="460"/>
      <c r="S12" s="460"/>
    </row>
    <row r="13" spans="1:19" x14ac:dyDescent="0.15">
      <c r="A13" s="508" t="s">
        <v>11</v>
      </c>
      <c r="B13" s="471">
        <v>39</v>
      </c>
      <c r="C13" s="473">
        <v>18</v>
      </c>
      <c r="D13" s="473">
        <v>21</v>
      </c>
      <c r="E13" s="471">
        <v>39</v>
      </c>
      <c r="F13" s="473">
        <v>18</v>
      </c>
      <c r="G13" s="473">
        <v>21</v>
      </c>
      <c r="H13" s="471">
        <v>49</v>
      </c>
      <c r="I13" s="473">
        <v>22</v>
      </c>
      <c r="J13" s="473">
        <v>27</v>
      </c>
      <c r="K13" s="471">
        <v>99</v>
      </c>
      <c r="L13" s="473">
        <v>47</v>
      </c>
      <c r="M13" s="473">
        <v>52</v>
      </c>
      <c r="N13" s="471">
        <v>147</v>
      </c>
      <c r="O13" s="473">
        <v>70</v>
      </c>
      <c r="P13" s="473">
        <v>77</v>
      </c>
      <c r="Q13" s="460"/>
      <c r="R13" s="460"/>
      <c r="S13" s="460"/>
    </row>
    <row r="14" spans="1:19" x14ac:dyDescent="0.15">
      <c r="A14" s="508" t="s">
        <v>12</v>
      </c>
      <c r="B14" s="471">
        <v>0</v>
      </c>
      <c r="C14" s="473">
        <v>0</v>
      </c>
      <c r="D14" s="473">
        <v>0</v>
      </c>
      <c r="E14" s="471">
        <v>0</v>
      </c>
      <c r="F14" s="473">
        <v>0</v>
      </c>
      <c r="G14" s="473">
        <v>0</v>
      </c>
      <c r="H14" s="471">
        <v>0</v>
      </c>
      <c r="I14" s="473">
        <v>0</v>
      </c>
      <c r="J14" s="473">
        <v>0</v>
      </c>
      <c r="K14" s="471">
        <v>0</v>
      </c>
      <c r="L14" s="473">
        <v>0</v>
      </c>
      <c r="M14" s="473">
        <v>0</v>
      </c>
      <c r="N14" s="471">
        <v>0</v>
      </c>
      <c r="O14" s="473">
        <v>0</v>
      </c>
      <c r="P14" s="473">
        <v>0</v>
      </c>
      <c r="Q14" s="460"/>
      <c r="R14" s="460"/>
      <c r="S14" s="460"/>
    </row>
    <row r="15" spans="1:19" x14ac:dyDescent="0.15">
      <c r="A15" s="508" t="s">
        <v>13</v>
      </c>
      <c r="B15" s="471">
        <v>0</v>
      </c>
      <c r="C15" s="473">
        <v>0</v>
      </c>
      <c r="D15" s="473">
        <v>0</v>
      </c>
      <c r="E15" s="471">
        <v>0</v>
      </c>
      <c r="F15" s="473">
        <v>0</v>
      </c>
      <c r="G15" s="473">
        <v>0</v>
      </c>
      <c r="H15" s="471">
        <v>0</v>
      </c>
      <c r="I15" s="473">
        <v>0</v>
      </c>
      <c r="J15" s="473">
        <v>0</v>
      </c>
      <c r="K15" s="471">
        <v>2</v>
      </c>
      <c r="L15" s="473">
        <v>0</v>
      </c>
      <c r="M15" s="473">
        <v>2</v>
      </c>
      <c r="N15" s="471">
        <v>2</v>
      </c>
      <c r="O15" s="473">
        <v>0</v>
      </c>
      <c r="P15" s="473">
        <v>2</v>
      </c>
      <c r="Q15" s="460"/>
      <c r="R15" s="460"/>
      <c r="S15" s="460"/>
    </row>
    <row r="16" spans="1:19" x14ac:dyDescent="0.15">
      <c r="A16" s="508" t="s">
        <v>14</v>
      </c>
      <c r="B16" s="471">
        <v>0</v>
      </c>
      <c r="C16" s="473">
        <v>0</v>
      </c>
      <c r="D16" s="473">
        <v>0</v>
      </c>
      <c r="E16" s="471">
        <v>0</v>
      </c>
      <c r="F16" s="473">
        <v>0</v>
      </c>
      <c r="G16" s="473">
        <v>0</v>
      </c>
      <c r="H16" s="471">
        <v>0</v>
      </c>
      <c r="I16" s="473">
        <v>0</v>
      </c>
      <c r="J16" s="473">
        <v>0</v>
      </c>
      <c r="K16" s="471">
        <v>4</v>
      </c>
      <c r="L16" s="473">
        <v>1</v>
      </c>
      <c r="M16" s="473">
        <v>3</v>
      </c>
      <c r="N16" s="471">
        <v>4</v>
      </c>
      <c r="O16" s="473">
        <v>1</v>
      </c>
      <c r="P16" s="473">
        <v>3</v>
      </c>
      <c r="Q16" s="460"/>
      <c r="R16" s="460"/>
      <c r="S16" s="460"/>
    </row>
    <row r="17" spans="1:19" x14ac:dyDescent="0.15">
      <c r="A17" s="508" t="s">
        <v>15</v>
      </c>
      <c r="B17" s="471">
        <v>0</v>
      </c>
      <c r="C17" s="473">
        <v>0</v>
      </c>
      <c r="D17" s="473">
        <v>0</v>
      </c>
      <c r="E17" s="471">
        <v>0</v>
      </c>
      <c r="F17" s="473">
        <v>0</v>
      </c>
      <c r="G17" s="473">
        <v>0</v>
      </c>
      <c r="H17" s="471">
        <v>0</v>
      </c>
      <c r="I17" s="473">
        <v>0</v>
      </c>
      <c r="J17" s="473">
        <v>0</v>
      </c>
      <c r="K17" s="471">
        <v>6</v>
      </c>
      <c r="L17" s="473">
        <v>5</v>
      </c>
      <c r="M17" s="473">
        <v>1</v>
      </c>
      <c r="N17" s="471">
        <v>7</v>
      </c>
      <c r="O17" s="473">
        <v>5</v>
      </c>
      <c r="P17" s="473">
        <v>2</v>
      </c>
      <c r="Q17" s="460"/>
      <c r="R17" s="460"/>
      <c r="S17" s="460"/>
    </row>
    <row r="18" spans="1:19" x14ac:dyDescent="0.15">
      <c r="A18" s="508" t="s">
        <v>16</v>
      </c>
      <c r="B18" s="471">
        <v>0</v>
      </c>
      <c r="C18" s="473">
        <v>0</v>
      </c>
      <c r="D18" s="473">
        <v>0</v>
      </c>
      <c r="E18" s="471">
        <v>0</v>
      </c>
      <c r="F18" s="473">
        <v>0</v>
      </c>
      <c r="G18" s="473">
        <v>0</v>
      </c>
      <c r="H18" s="471">
        <v>0</v>
      </c>
      <c r="I18" s="473">
        <v>0</v>
      </c>
      <c r="J18" s="473">
        <v>0</v>
      </c>
      <c r="K18" s="471">
        <v>0</v>
      </c>
      <c r="L18" s="473">
        <v>0</v>
      </c>
      <c r="M18" s="473">
        <v>0</v>
      </c>
      <c r="N18" s="471">
        <v>0</v>
      </c>
      <c r="O18" s="473">
        <v>0</v>
      </c>
      <c r="P18" s="473">
        <v>0</v>
      </c>
      <c r="Q18" s="460"/>
      <c r="R18" s="460"/>
      <c r="S18" s="460"/>
    </row>
    <row r="19" spans="1:19" x14ac:dyDescent="0.15">
      <c r="A19" s="508" t="s">
        <v>17</v>
      </c>
      <c r="B19" s="471">
        <v>1</v>
      </c>
      <c r="C19" s="473">
        <v>0</v>
      </c>
      <c r="D19" s="473">
        <v>1</v>
      </c>
      <c r="E19" s="471">
        <v>1</v>
      </c>
      <c r="F19" s="473">
        <v>0</v>
      </c>
      <c r="G19" s="473">
        <v>1</v>
      </c>
      <c r="H19" s="471">
        <v>1</v>
      </c>
      <c r="I19" s="473">
        <v>0</v>
      </c>
      <c r="J19" s="473">
        <v>1</v>
      </c>
      <c r="K19" s="471">
        <v>2</v>
      </c>
      <c r="L19" s="473">
        <v>0</v>
      </c>
      <c r="M19" s="473">
        <v>2</v>
      </c>
      <c r="N19" s="471">
        <v>2</v>
      </c>
      <c r="O19" s="473">
        <v>0</v>
      </c>
      <c r="P19" s="473">
        <v>2</v>
      </c>
      <c r="Q19" s="460"/>
      <c r="R19" s="460"/>
      <c r="S19" s="460"/>
    </row>
    <row r="20" spans="1:19" x14ac:dyDescent="0.15">
      <c r="A20" s="508" t="s">
        <v>18</v>
      </c>
      <c r="B20" s="471">
        <v>0</v>
      </c>
      <c r="C20" s="473">
        <v>0</v>
      </c>
      <c r="D20" s="473">
        <v>0</v>
      </c>
      <c r="E20" s="471">
        <v>0</v>
      </c>
      <c r="F20" s="473">
        <v>0</v>
      </c>
      <c r="G20" s="473">
        <v>0</v>
      </c>
      <c r="H20" s="471">
        <v>0</v>
      </c>
      <c r="I20" s="473">
        <v>0</v>
      </c>
      <c r="J20" s="473">
        <v>0</v>
      </c>
      <c r="K20" s="471">
        <v>0</v>
      </c>
      <c r="L20" s="473">
        <v>0</v>
      </c>
      <c r="M20" s="473">
        <v>0</v>
      </c>
      <c r="N20" s="471">
        <v>0</v>
      </c>
      <c r="O20" s="473">
        <v>0</v>
      </c>
      <c r="P20" s="473">
        <v>0</v>
      </c>
      <c r="Q20" s="460"/>
      <c r="R20" s="460"/>
      <c r="S20" s="460"/>
    </row>
    <row r="21" spans="1:19" x14ac:dyDescent="0.15">
      <c r="A21" s="508" t="s">
        <v>19</v>
      </c>
      <c r="B21" s="471">
        <v>0</v>
      </c>
      <c r="C21" s="473">
        <v>0</v>
      </c>
      <c r="D21" s="473">
        <v>0</v>
      </c>
      <c r="E21" s="471">
        <v>0</v>
      </c>
      <c r="F21" s="473">
        <v>0</v>
      </c>
      <c r="G21" s="473">
        <v>0</v>
      </c>
      <c r="H21" s="471">
        <v>0</v>
      </c>
      <c r="I21" s="473">
        <v>0</v>
      </c>
      <c r="J21" s="473">
        <v>0</v>
      </c>
      <c r="K21" s="471">
        <v>0</v>
      </c>
      <c r="L21" s="473">
        <v>0</v>
      </c>
      <c r="M21" s="473">
        <v>0</v>
      </c>
      <c r="N21" s="471">
        <v>0</v>
      </c>
      <c r="O21" s="473">
        <v>0</v>
      </c>
      <c r="P21" s="473">
        <v>0</v>
      </c>
      <c r="Q21" s="460"/>
      <c r="R21" s="460"/>
      <c r="S21" s="460"/>
    </row>
    <row r="22" spans="1:19" ht="11.25" x14ac:dyDescent="0.15">
      <c r="A22" s="461" t="s">
        <v>1446</v>
      </c>
      <c r="B22" s="471">
        <v>0</v>
      </c>
      <c r="C22" s="473">
        <v>0</v>
      </c>
      <c r="D22" s="473">
        <v>0</v>
      </c>
      <c r="E22" s="471">
        <v>0</v>
      </c>
      <c r="F22" s="473">
        <v>0</v>
      </c>
      <c r="G22" s="473">
        <v>0</v>
      </c>
      <c r="H22" s="471">
        <v>0</v>
      </c>
      <c r="I22" s="473">
        <v>0</v>
      </c>
      <c r="J22" s="473">
        <v>0</v>
      </c>
      <c r="K22" s="471">
        <v>0</v>
      </c>
      <c r="L22" s="473">
        <v>0</v>
      </c>
      <c r="M22" s="473">
        <v>0</v>
      </c>
      <c r="N22" s="471">
        <v>0</v>
      </c>
      <c r="O22" s="473">
        <v>0</v>
      </c>
      <c r="P22" s="473">
        <v>0</v>
      </c>
      <c r="Q22" s="460"/>
      <c r="R22" s="460"/>
      <c r="S22" s="460"/>
    </row>
    <row r="23" spans="1:19" ht="6" customHeight="1" x14ac:dyDescent="0.15">
      <c r="A23" s="462"/>
      <c r="B23" s="462"/>
      <c r="C23" s="462"/>
      <c r="D23" s="462"/>
      <c r="E23" s="462"/>
      <c r="F23" s="462"/>
      <c r="G23" s="462"/>
      <c r="H23" s="462"/>
      <c r="I23" s="462"/>
      <c r="J23" s="462"/>
      <c r="K23" s="462"/>
      <c r="L23" s="462"/>
      <c r="M23" s="462"/>
      <c r="N23" s="462"/>
      <c r="O23" s="462"/>
      <c r="P23" s="462"/>
      <c r="Q23" s="460"/>
      <c r="R23" s="460"/>
      <c r="S23" s="460"/>
    </row>
    <row r="24" spans="1:19" ht="15" customHeight="1" x14ac:dyDescent="0.15">
      <c r="A24" s="379" t="s">
        <v>1426</v>
      </c>
      <c r="B24" s="379"/>
      <c r="C24" s="379"/>
      <c r="D24" s="379"/>
      <c r="E24" s="379"/>
      <c r="F24" s="379"/>
      <c r="G24" s="379"/>
      <c r="H24" s="379"/>
      <c r="I24" s="379"/>
      <c r="J24" s="379"/>
      <c r="K24" s="379"/>
      <c r="L24" s="379"/>
      <c r="M24" s="379"/>
      <c r="N24" s="462"/>
      <c r="O24" s="462"/>
      <c r="P24" s="462"/>
      <c r="Q24" s="462"/>
      <c r="R24" s="462"/>
      <c r="S24" s="462"/>
    </row>
    <row r="25" spans="1:19" ht="15" customHeight="1" x14ac:dyDescent="0.15">
      <c r="A25" s="379" t="s">
        <v>1447</v>
      </c>
      <c r="B25" s="379"/>
      <c r="C25" s="379"/>
      <c r="D25" s="379"/>
      <c r="E25" s="379"/>
      <c r="F25" s="379"/>
      <c r="G25" s="379"/>
      <c r="H25" s="379"/>
      <c r="I25" s="379"/>
      <c r="J25" s="379"/>
      <c r="K25" s="379"/>
      <c r="L25" s="379"/>
      <c r="M25" s="379"/>
      <c r="N25" s="462"/>
      <c r="O25" s="462"/>
      <c r="P25" s="462"/>
      <c r="Q25" s="462"/>
      <c r="R25" s="462"/>
      <c r="S25" s="462"/>
    </row>
    <row r="26" spans="1:19" ht="15" customHeight="1" x14ac:dyDescent="0.15">
      <c r="A26" s="379" t="s">
        <v>1448</v>
      </c>
      <c r="B26" s="379"/>
      <c r="C26" s="379"/>
      <c r="D26" s="379"/>
      <c r="E26" s="379"/>
      <c r="F26" s="379"/>
      <c r="G26" s="379"/>
      <c r="H26" s="379"/>
      <c r="I26" s="379"/>
      <c r="J26" s="379"/>
      <c r="K26" s="379"/>
      <c r="L26" s="379"/>
      <c r="M26" s="379"/>
      <c r="N26" s="456"/>
      <c r="O26" s="456"/>
      <c r="P26" s="456"/>
    </row>
    <row r="27" spans="1:19" ht="12" customHeight="1" x14ac:dyDescent="0.15">
      <c r="A27" s="456" t="s">
        <v>60</v>
      </c>
      <c r="B27" s="456"/>
      <c r="C27" s="456"/>
      <c r="D27" s="456"/>
      <c r="E27" s="456"/>
      <c r="F27" s="456"/>
      <c r="G27" s="456"/>
      <c r="H27" s="456"/>
      <c r="I27" s="456"/>
      <c r="J27" s="456"/>
      <c r="K27" s="456"/>
      <c r="L27" s="456"/>
      <c r="M27" s="456"/>
      <c r="N27" s="456"/>
      <c r="O27" s="456"/>
      <c r="P27" s="456"/>
    </row>
    <row r="28" spans="1:19" ht="14.25" customHeight="1" x14ac:dyDescent="0.15">
      <c r="A28" s="456" t="s">
        <v>1429</v>
      </c>
      <c r="B28" s="456"/>
      <c r="C28" s="456"/>
      <c r="D28" s="456"/>
      <c r="E28" s="456"/>
      <c r="F28" s="456"/>
      <c r="G28" s="456"/>
      <c r="H28" s="456"/>
      <c r="I28" s="456"/>
      <c r="J28" s="456"/>
      <c r="K28" s="456"/>
      <c r="L28" s="456"/>
      <c r="M28" s="456"/>
      <c r="N28" s="462"/>
      <c r="O28" s="462"/>
      <c r="P28" s="462"/>
    </row>
    <row r="29" spans="1:19" ht="17.25" customHeight="1" x14ac:dyDescent="0.15"/>
  </sheetData>
  <mergeCells count="7">
    <mergeCell ref="A2:P2"/>
    <mergeCell ref="A4:A5"/>
    <mergeCell ref="B4:D4"/>
    <mergeCell ref="E4:G4"/>
    <mergeCell ref="H4:J4"/>
    <mergeCell ref="K4:M4"/>
    <mergeCell ref="N4:P4"/>
  </mergeCells>
  <pageMargins left="0.7" right="0.7" top="0.75" bottom="0.75" header="0.3" footer="0.3"/>
  <pageSetup paperSize="14" scale="9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H29"/>
  <sheetViews>
    <sheetView zoomScale="90" zoomScaleNormal="90" workbookViewId="0">
      <selection activeCell="A2" sqref="A2:F2"/>
    </sheetView>
  </sheetViews>
  <sheetFormatPr baseColWidth="10" defaultRowHeight="10.5" x14ac:dyDescent="0.15"/>
  <cols>
    <col min="1" max="1" width="25.85546875" style="448" customWidth="1"/>
    <col min="2" max="16384" width="11.42578125" style="448"/>
  </cols>
  <sheetData>
    <row r="2" spans="1:8" s="480" customFormat="1" ht="35.25" customHeight="1" x14ac:dyDescent="0.15">
      <c r="A2" s="2674" t="s">
        <v>1452</v>
      </c>
      <c r="B2" s="2674"/>
      <c r="C2" s="2674"/>
      <c r="D2" s="2674"/>
      <c r="E2" s="2674"/>
      <c r="F2" s="2674"/>
      <c r="G2" s="481"/>
    </row>
    <row r="3" spans="1:8" s="385" customFormat="1" x14ac:dyDescent="0.15">
      <c r="A3" s="2675"/>
      <c r="B3" s="2675"/>
      <c r="C3" s="2675"/>
      <c r="D3" s="2675"/>
      <c r="E3" s="2675"/>
      <c r="F3" s="2675"/>
      <c r="G3" s="491"/>
    </row>
    <row r="4" spans="1:8" s="385" customFormat="1" ht="18" customHeight="1" x14ac:dyDescent="0.25">
      <c r="A4" s="2616" t="s">
        <v>1453</v>
      </c>
      <c r="B4" s="2678" t="s">
        <v>2</v>
      </c>
      <c r="C4" s="2679"/>
      <c r="D4" s="2679"/>
      <c r="E4" s="2679"/>
      <c r="F4" s="2680"/>
      <c r="G4" s="509"/>
    </row>
    <row r="5" spans="1:8" s="385" customFormat="1" ht="18" customHeight="1" x14ac:dyDescent="0.25">
      <c r="A5" s="2616"/>
      <c r="B5" s="365">
        <v>2011</v>
      </c>
      <c r="C5" s="365">
        <v>2012</v>
      </c>
      <c r="D5" s="365">
        <v>2013</v>
      </c>
      <c r="E5" s="365">
        <v>2014</v>
      </c>
      <c r="F5" s="365">
        <v>2015</v>
      </c>
      <c r="G5" s="510"/>
    </row>
    <row r="6" spans="1:8" s="367" customFormat="1" x14ac:dyDescent="0.25">
      <c r="A6" s="367" t="s">
        <v>141</v>
      </c>
      <c r="B6" s="367">
        <f t="shared" ref="B6:E6" si="0">SUM(B7:B8)</f>
        <v>207</v>
      </c>
      <c r="C6" s="367">
        <f t="shared" si="0"/>
        <v>252</v>
      </c>
      <c r="D6" s="367">
        <f t="shared" si="0"/>
        <v>276</v>
      </c>
      <c r="E6" s="367">
        <f t="shared" si="0"/>
        <v>286</v>
      </c>
      <c r="F6" s="367">
        <f t="shared" ref="F6" si="1">SUM(F7:F8)</f>
        <v>374</v>
      </c>
      <c r="G6" s="511"/>
    </row>
    <row r="7" spans="1:8" s="385" customFormat="1" ht="11.25" customHeight="1" x14ac:dyDescent="0.15">
      <c r="A7" s="385" t="s">
        <v>1454</v>
      </c>
      <c r="B7" s="385">
        <v>122</v>
      </c>
      <c r="C7" s="512">
        <v>160</v>
      </c>
      <c r="D7" s="513">
        <v>154</v>
      </c>
      <c r="E7" s="385">
        <v>191</v>
      </c>
      <c r="F7" s="385">
        <v>248</v>
      </c>
      <c r="G7" s="511"/>
    </row>
    <row r="8" spans="1:8" s="385" customFormat="1" ht="11.25" customHeight="1" x14ac:dyDescent="0.15">
      <c r="A8" s="385" t="s">
        <v>1455</v>
      </c>
      <c r="B8" s="385">
        <v>85</v>
      </c>
      <c r="C8" s="512">
        <v>92</v>
      </c>
      <c r="D8" s="513">
        <v>122</v>
      </c>
      <c r="E8" s="385">
        <v>95</v>
      </c>
      <c r="F8" s="385">
        <v>126</v>
      </c>
      <c r="G8" s="491"/>
    </row>
    <row r="9" spans="1:8" s="385" customFormat="1" ht="11.25" customHeight="1" x14ac:dyDescent="0.15">
      <c r="C9" s="512"/>
      <c r="D9" s="513"/>
      <c r="G9" s="491"/>
    </row>
    <row r="10" spans="1:8" s="385" customFormat="1" ht="35.25" customHeight="1" x14ac:dyDescent="0.15">
      <c r="A10" s="2681" t="s">
        <v>1456</v>
      </c>
      <c r="B10" s="2681"/>
      <c r="C10" s="2681"/>
      <c r="D10" s="2681"/>
      <c r="E10" s="2681"/>
      <c r="F10" s="2681"/>
      <c r="G10" s="491"/>
    </row>
    <row r="11" spans="1:8" s="385" customFormat="1" ht="14.25" customHeight="1" x14ac:dyDescent="0.25">
      <c r="A11" s="2624" t="s">
        <v>1444</v>
      </c>
      <c r="B11" s="2624"/>
      <c r="C11" s="2624"/>
      <c r="D11" s="2624"/>
      <c r="E11" s="2624"/>
      <c r="F11" s="2624"/>
    </row>
    <row r="12" spans="1:8" s="385" customFormat="1" x14ac:dyDescent="0.25">
      <c r="B12" s="367"/>
      <c r="C12" s="367"/>
      <c r="D12" s="367"/>
    </row>
    <row r="13" spans="1:8" x14ac:dyDescent="0.15">
      <c r="A13" s="514"/>
      <c r="B13" s="514"/>
      <c r="C13" s="514"/>
      <c r="D13" s="514"/>
      <c r="H13" s="514"/>
    </row>
    <row r="14" spans="1:8" x14ac:dyDescent="0.15">
      <c r="A14" s="514"/>
      <c r="B14" s="514"/>
      <c r="C14" s="514"/>
      <c r="D14" s="514"/>
      <c r="H14" s="514"/>
    </row>
    <row r="15" spans="1:8" x14ac:dyDescent="0.15">
      <c r="A15" s="514"/>
      <c r="B15" s="514"/>
      <c r="C15" s="514"/>
      <c r="D15" s="514"/>
      <c r="H15" s="514"/>
    </row>
    <row r="16" spans="1:8" x14ac:dyDescent="0.15">
      <c r="A16" s="514"/>
      <c r="B16" s="514"/>
      <c r="C16" s="514"/>
      <c r="D16" s="514"/>
      <c r="H16" s="514"/>
    </row>
    <row r="17" spans="1:8" x14ac:dyDescent="0.15">
      <c r="A17" s="514"/>
      <c r="B17" s="514"/>
      <c r="C17" s="514"/>
      <c r="D17" s="514"/>
      <c r="H17" s="514"/>
    </row>
    <row r="18" spans="1:8" x14ac:dyDescent="0.15">
      <c r="A18" s="514"/>
      <c r="B18" s="514"/>
      <c r="C18" s="514"/>
      <c r="D18" s="514"/>
      <c r="H18" s="514"/>
    </row>
    <row r="19" spans="1:8" x14ac:dyDescent="0.15">
      <c r="H19" s="514"/>
    </row>
    <row r="20" spans="1:8" x14ac:dyDescent="0.15">
      <c r="H20" s="514"/>
    </row>
    <row r="21" spans="1:8" x14ac:dyDescent="0.15">
      <c r="H21" s="514"/>
    </row>
    <row r="22" spans="1:8" x14ac:dyDescent="0.15">
      <c r="H22" s="514"/>
    </row>
    <row r="23" spans="1:8" x14ac:dyDescent="0.15">
      <c r="H23" s="514"/>
    </row>
    <row r="25" spans="1:8" x14ac:dyDescent="0.15">
      <c r="H25" s="514"/>
    </row>
    <row r="26" spans="1:8" x14ac:dyDescent="0.15">
      <c r="H26" s="514"/>
    </row>
    <row r="27" spans="1:8" x14ac:dyDescent="0.15">
      <c r="H27" s="514"/>
    </row>
    <row r="28" spans="1:8" x14ac:dyDescent="0.15">
      <c r="H28" s="514"/>
    </row>
    <row r="29" spans="1:8" x14ac:dyDescent="0.15">
      <c r="H29" s="514"/>
    </row>
  </sheetData>
  <mergeCells count="6">
    <mergeCell ref="A11:F11"/>
    <mergeCell ref="A2:F2"/>
    <mergeCell ref="A3:F3"/>
    <mergeCell ref="A4:A5"/>
    <mergeCell ref="B4:F4"/>
    <mergeCell ref="A10:F10"/>
  </mergeCells>
  <conditionalFormatting sqref="C6:F9">
    <cfRule type="expression" dxfId="19" priority="1">
      <formula>IF(AND(#REF!="2",#REF!="2"),1)</formula>
    </cfRule>
  </conditionalFormatting>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350</vt:i4>
      </vt:variant>
      <vt:variant>
        <vt:lpstr>Rangos con nombre</vt:lpstr>
      </vt:variant>
      <vt:variant>
        <vt:i4>18</vt:i4>
      </vt:variant>
    </vt:vector>
  </HeadingPairs>
  <TitlesOfParts>
    <vt:vector size="368"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vt:lpstr>
      <vt:lpstr>10.40</vt:lpstr>
      <vt:lpstr>10.41</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10.68</vt:lpstr>
      <vt:lpstr>10.69</vt:lpstr>
      <vt:lpstr>10.70</vt:lpstr>
      <vt:lpstr>10.71</vt:lpstr>
      <vt:lpstr>10.72</vt:lpstr>
      <vt:lpstr>10.73</vt:lpstr>
      <vt:lpstr>10.74</vt:lpstr>
      <vt:lpstr>10.75</vt:lpstr>
      <vt:lpstr>10.76</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13.20</vt:lpstr>
      <vt:lpstr>13.21</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14.36</vt:lpstr>
      <vt:lpstr>14.37</vt:lpstr>
      <vt:lpstr>14.38</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15.34(R)</vt:lpstr>
      <vt:lpstr>15.35</vt:lpstr>
      <vt:lpstr>15.36</vt:lpstr>
      <vt:lpstr>15.37</vt:lpstr>
      <vt:lpstr>15.38</vt:lpstr>
      <vt:lpstr>15.39</vt:lpstr>
      <vt:lpstr>15.40</vt:lpstr>
      <vt:lpstr>15.41</vt:lpstr>
      <vt:lpstr>15.42</vt:lpstr>
      <vt:lpstr>15.43</vt:lpstr>
      <vt:lpstr>15.44</vt:lpstr>
      <vt:lpstr>15.45</vt:lpstr>
      <vt:lpstr>15.46</vt:lpstr>
      <vt:lpstr>15.47</vt:lpstr>
      <vt:lpstr>15.48</vt:lpstr>
      <vt:lpstr>15.49</vt:lpstr>
      <vt:lpstr>15.50</vt:lpstr>
      <vt:lpstr>15.51</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 (ex42)</vt:lpstr>
      <vt:lpstr>16.41 (ex 43)</vt:lpstr>
      <vt:lpstr>16.42 (ex44)</vt:lpstr>
      <vt:lpstr>16.43</vt:lpstr>
      <vt:lpstr>16.44</vt:lpstr>
      <vt:lpstr>17.1</vt:lpstr>
      <vt:lpstr>17.1 (R 2014)</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21.1</vt:lpstr>
      <vt:lpstr>21.2</vt:lpstr>
      <vt:lpstr>21.3</vt:lpstr>
      <vt:lpstr>21.4</vt:lpstr>
      <vt:lpstr>22.1</vt:lpstr>
      <vt:lpstr>22.2</vt:lpstr>
      <vt:lpstr>22.3</vt:lpstr>
      <vt:lpstr>22.4</vt:lpstr>
      <vt:lpstr>22.5</vt:lpstr>
      <vt:lpstr>23.1</vt:lpstr>
      <vt:lpstr>23.2</vt:lpstr>
      <vt:lpstr>23.3</vt:lpstr>
      <vt:lpstr>23.4</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'11.4'!Área_de_impresión</vt:lpstr>
      <vt:lpstr>'11.5'!Área_de_impresión</vt:lpstr>
      <vt:lpstr>'12.2'!Área_de_impresión</vt:lpstr>
      <vt:lpstr>'13.2'!Área_de_impresión</vt:lpstr>
      <vt:lpstr>'13.3'!Área_de_impresión</vt:lpstr>
      <vt:lpstr>'13.8'!Área_de_impresión</vt:lpstr>
      <vt:lpstr>'14.13'!Área_de_impresión</vt:lpstr>
      <vt:lpstr>'16.22'!Área_de_impresión</vt:lpstr>
      <vt:lpstr>'16.23'!Área_de_impresión</vt:lpstr>
      <vt:lpstr>'16.35'!Área_de_impresión</vt:lpstr>
      <vt:lpstr>'16.42 (ex44)'!Área_de_impresión</vt:lpstr>
      <vt:lpstr>'17.4'!Área_de_impresión</vt:lpstr>
      <vt:lpstr>'17.6'!Área_de_impresión</vt:lpstr>
      <vt:lpstr>'19.1'!Área_de_impresión</vt:lpstr>
      <vt:lpstr>'22.1'!Área_de_impresión</vt:lpstr>
      <vt:lpstr>'26.19'!Área_de_impresión</vt:lpstr>
      <vt:lpstr>'23.2'!OLE_LINK1</vt:lpstr>
      <vt:lpstr>'16.42 (ex44)'!Títulos_a_imprimir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Loreto Cisternas Natho</dc:creator>
  <cp:lastModifiedBy>Marco Antonio Gambra Garrido</cp:lastModifiedBy>
  <dcterms:created xsi:type="dcterms:W3CDTF">2016-11-18T18:32:29Z</dcterms:created>
  <dcterms:modified xsi:type="dcterms:W3CDTF">2016-12-28T21:53:10Z</dcterms:modified>
</cp:coreProperties>
</file>